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EstaPastaDeTrabalho" defaultThemeVersion="124226"/>
  <mc:AlternateContent xmlns:mc="http://schemas.openxmlformats.org/markup-compatibility/2006">
    <mc:Choice Requires="x15">
      <x15ac:absPath xmlns:x15ac="http://schemas.microsoft.com/office/spreadsheetml/2010/11/ac" url="https://forteseng.sharepoint.com/sites/FortanksSite/Documentos Compartilhados/00-FORTANKS/00-OBRAS/01-EM ANDAM/0015-00-TQS NEREDA (12X)/01-ORÇ FINAL/"/>
    </mc:Choice>
  </mc:AlternateContent>
  <xr:revisionPtr revIDLastSave="94" documentId="8_{7C98351B-8C00-423F-8BAE-65A4042B33C3}" xr6:coauthVersionLast="47" xr6:coauthVersionMax="47" xr10:uidLastSave="{650D8181-DF6B-446A-898C-A6D1940B6326}"/>
  <bookViews>
    <workbookView xWindow="-98" yWindow="-98" windowWidth="21795" windowHeight="12975" tabRatio="876" firstSheet="2" activeTab="10" xr2:uid="{00000000-000D-0000-FFFF-FFFF00000000}"/>
  </bookViews>
  <sheets>
    <sheet name="ENTRADAS" sheetId="23" r:id="rId1"/>
    <sheet name="TABELA SC-10 e 14" sheetId="12" state="veryHidden" r:id="rId2"/>
    <sheet name="GUINDASTE" sheetId="31" r:id="rId3"/>
    <sheet name="X MPa " sheetId="33" r:id="rId4"/>
    <sheet name="INSUMOS" sheetId="14" r:id="rId5"/>
    <sheet name="Aux." sheetId="36" r:id="rId6"/>
    <sheet name="ICMS" sheetId="35" r:id="rId7"/>
    <sheet name="FECHAMENTO" sheetId="20" r:id="rId8"/>
    <sheet name="FECHAMENTO cobertura" sheetId="30" state="veryHidden" r:id="rId9"/>
    <sheet name="cronograma unit." sheetId="27" r:id="rId10"/>
    <sheet name="RELATÓRIO" sheetId="25" r:id="rId11"/>
    <sheet name="CLASSE" sheetId="24" r:id="rId12"/>
    <sheet name="CÁLCULOS" sheetId="11" state="veryHidden" r:id="rId13"/>
    <sheet name="LAJES" sheetId="26" state="veryHidden" r:id="rId14"/>
    <sheet name="RESUMO M.O." sheetId="19" r:id="rId15"/>
    <sheet name="tabela traços" sheetId="34" r:id="rId16"/>
    <sheet name="KIT MONTAGEM" sheetId="16" state="veryHidden" r:id="rId17"/>
    <sheet name="MATERIAIS SEG. TRABALHO" sheetId="17" state="veryHidden" r:id="rId18"/>
    <sheet name="PINOS" sheetId="21" state="veryHidden" r:id="rId19"/>
    <sheet name="ARMAÇÃO" sheetId="22" state="veryHidden" r:id="rId20"/>
  </sheets>
  <definedNames>
    <definedName name="_xlnm._FilterDatabase" localSheetId="9" hidden="1">'cronograma unit.'!$A$12:$A$412</definedName>
    <definedName name="_xlnm._FilterDatabase" localSheetId="10" hidden="1">RELATÓRIO!$A$42:$A$156</definedName>
    <definedName name="_xlnm.Print_Area" localSheetId="19">ARMAÇÃO!$A$1:$I$371</definedName>
    <definedName name="_xlnm.Print_Area" localSheetId="12">CÁLCULOS!$A$1:$Q$765</definedName>
    <definedName name="_xlnm.Print_Area" localSheetId="11">CLASSE!$A$1:$M$41</definedName>
    <definedName name="_xlnm.Print_Area" localSheetId="9">'cronograma unit.'!$A$4:$IK$292</definedName>
    <definedName name="_xlnm.Print_Area" localSheetId="0">ENTRADAS!$A$1:$Q$1257</definedName>
    <definedName name="_xlnm.Print_Area" localSheetId="7">FECHAMENTO!$A$1:$Q$124</definedName>
    <definedName name="_xlnm.Print_Area" localSheetId="8">'FECHAMENTO cobertura'!$A$1:$Q$123</definedName>
    <definedName name="_xlnm.Print_Area" localSheetId="2">GUINDASTE!$A$1:$Q$136</definedName>
    <definedName name="_xlnm.Print_Area" localSheetId="4">INSUMOS!$A$1:$R$277</definedName>
    <definedName name="_xlnm.Print_Area" localSheetId="16">'KIT MONTAGEM'!$A$1:$K$55</definedName>
    <definedName name="_xlnm.Print_Area" localSheetId="17">'MATERIAIS SEG. TRABALHO'!$A$1:$J$37</definedName>
    <definedName name="_xlnm.Print_Area" localSheetId="10">RELATÓRIO!$A$1:$X$215</definedName>
    <definedName name="_xlnm.Print_Area" localSheetId="14">'RESUMO M.O.'!$A$1:$J$115</definedName>
    <definedName name="_xlnm.Print_Titles" localSheetId="12">CÁLCULOS!$1:$5</definedName>
    <definedName name="_xlnm.Print_Titles" localSheetId="11">CLASSE!$14:$14</definedName>
    <definedName name="_xlnm.Print_Titles" localSheetId="0">ENTRADAS!$1:$5</definedName>
    <definedName name="_xlnm.Print_Titles" localSheetId="10">RELATÓRIO!$1:$4</definedName>
    <definedName name="_xlnm.Print_Titles" localSheetId="14">'RESUMO M.O.'!$1:$27</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74" i="14" l="1"/>
  <c r="Q262" i="14"/>
  <c r="C39" i="14"/>
  <c r="C50" i="23"/>
  <c r="S17" i="20"/>
  <c r="F22" i="23"/>
  <c r="G21" i="23"/>
  <c r="AC78" i="20"/>
  <c r="H14" i="36" l="1"/>
  <c r="H10" i="36"/>
  <c r="H13" i="36"/>
  <c r="H12" i="36"/>
  <c r="H18" i="36"/>
  <c r="H9" i="36"/>
  <c r="H8" i="36"/>
  <c r="H7" i="36"/>
  <c r="H15" i="36"/>
  <c r="H17" i="36"/>
  <c r="H16" i="36"/>
  <c r="G33" i="20" l="1"/>
  <c r="AA86" i="20" l="1"/>
  <c r="I17" i="20"/>
  <c r="F20" i="36" l="1"/>
  <c r="X67" i="14"/>
  <c r="X68" i="14" s="1"/>
  <c r="X71" i="14" s="1"/>
  <c r="Q269" i="14" l="1"/>
  <c r="Q265" i="14"/>
  <c r="Y243" i="14" l="1"/>
  <c r="Y242" i="14"/>
  <c r="Y241" i="14"/>
  <c r="Y240" i="14"/>
  <c r="Y239" i="14"/>
  <c r="Y238" i="14"/>
  <c r="Y237" i="14"/>
  <c r="AC67" i="20"/>
  <c r="AC69" i="20"/>
  <c r="AC71" i="20"/>
  <c r="AC72" i="20"/>
  <c r="AC73" i="20"/>
  <c r="AC74" i="20"/>
  <c r="AC76" i="20"/>
  <c r="AC77" i="20"/>
  <c r="AC79" i="20"/>
  <c r="AC80" i="20"/>
  <c r="AC81" i="20"/>
  <c r="AC82" i="20"/>
  <c r="AC83" i="20"/>
  <c r="AC84" i="20"/>
  <c r="AC86" i="20"/>
  <c r="AC87" i="20"/>
  <c r="AC88" i="20"/>
  <c r="AC89" i="20"/>
  <c r="AC90" i="20"/>
  <c r="AC91" i="20"/>
  <c r="AC92" i="20"/>
  <c r="AC93" i="20"/>
  <c r="AC94" i="20"/>
  <c r="AC95" i="20"/>
  <c r="AC96" i="20"/>
  <c r="AC97" i="20"/>
  <c r="AC98" i="20"/>
  <c r="AC99" i="20"/>
  <c r="AC100" i="20"/>
  <c r="AC101" i="20"/>
  <c r="AC102" i="20"/>
  <c r="AC103" i="20"/>
  <c r="AC104" i="20"/>
  <c r="AA67" i="20"/>
  <c r="AB67" i="20"/>
  <c r="AA69" i="20"/>
  <c r="AB69" i="20"/>
  <c r="AA71" i="20"/>
  <c r="AB71" i="20"/>
  <c r="AA72" i="20"/>
  <c r="AB72" i="20"/>
  <c r="AA73" i="20"/>
  <c r="AB73" i="20"/>
  <c r="AA74" i="20"/>
  <c r="AB74" i="20"/>
  <c r="AA76" i="20"/>
  <c r="AB76" i="20"/>
  <c r="AA77" i="20"/>
  <c r="AB77" i="20"/>
  <c r="AA78" i="20"/>
  <c r="AB78" i="20"/>
  <c r="AA79" i="20"/>
  <c r="AB79" i="20"/>
  <c r="AA80" i="20"/>
  <c r="AB80" i="20"/>
  <c r="AA81" i="20"/>
  <c r="AB81" i="20"/>
  <c r="AA82" i="20"/>
  <c r="AB82" i="20"/>
  <c r="AA83" i="20"/>
  <c r="AB83" i="20"/>
  <c r="AA84" i="20"/>
  <c r="AB84" i="20"/>
  <c r="AB86" i="20"/>
  <c r="AA87" i="20"/>
  <c r="AB87" i="20"/>
  <c r="AA88" i="20"/>
  <c r="AB88" i="20"/>
  <c r="AA89" i="20"/>
  <c r="AB89" i="20"/>
  <c r="AA90" i="20"/>
  <c r="AB90" i="20"/>
  <c r="AA91" i="20"/>
  <c r="AB91" i="20"/>
  <c r="AA92" i="20"/>
  <c r="AB92" i="20"/>
  <c r="AA93" i="20"/>
  <c r="AB93" i="20"/>
  <c r="AA94" i="20"/>
  <c r="AB94" i="20"/>
  <c r="AA95" i="20"/>
  <c r="AB95" i="20"/>
  <c r="AA96" i="20"/>
  <c r="AB96" i="20"/>
  <c r="AA97" i="20"/>
  <c r="AB97" i="20"/>
  <c r="AA98" i="20"/>
  <c r="AB98" i="20"/>
  <c r="AA99" i="20"/>
  <c r="AB99" i="20"/>
  <c r="AA100" i="20"/>
  <c r="AB100" i="20"/>
  <c r="AA101" i="20"/>
  <c r="AB101" i="20"/>
  <c r="AA102" i="20"/>
  <c r="AB102" i="20"/>
  <c r="AA103" i="20"/>
  <c r="AB103" i="20"/>
  <c r="AA104" i="20"/>
  <c r="AB104" i="20"/>
  <c r="AA105" i="20"/>
  <c r="W241" i="14" l="1"/>
  <c r="E46" i="35"/>
  <c r="E47" i="35"/>
  <c r="E48" i="35"/>
  <c r="E49" i="35"/>
  <c r="E50" i="35"/>
  <c r="E51" i="35"/>
  <c r="E52" i="35"/>
  <c r="E53" i="35"/>
  <c r="E54" i="35"/>
  <c r="E55" i="35"/>
  <c r="E56" i="35"/>
  <c r="E57" i="35"/>
  <c r="E58" i="35"/>
  <c r="E59" i="35"/>
  <c r="E60" i="35"/>
  <c r="E61" i="35"/>
  <c r="E62" i="35"/>
  <c r="E63" i="35"/>
  <c r="E64" i="35"/>
  <c r="E65" i="35"/>
  <c r="E45" i="35"/>
  <c r="E44" i="35"/>
  <c r="E43" i="35"/>
  <c r="A38" i="35"/>
  <c r="A24" i="35"/>
  <c r="A25" i="35"/>
  <c r="A26" i="35"/>
  <c r="A27" i="35"/>
  <c r="A9" i="35"/>
  <c r="A5" i="35"/>
  <c r="G692" i="11" l="1"/>
  <c r="N415" i="11" l="1"/>
  <c r="M415" i="11"/>
  <c r="Q228" i="14" l="1"/>
  <c r="Q229" i="14"/>
  <c r="Q227" i="14"/>
  <c r="Q224" i="14"/>
  <c r="Q225" i="14"/>
  <c r="Q226" i="14"/>
  <c r="Q221" i="14"/>
  <c r="Q222" i="14"/>
  <c r="Q223" i="14"/>
  <c r="Q218" i="14"/>
  <c r="Q219" i="14"/>
  <c r="Q220" i="14"/>
  <c r="Q217" i="14"/>
  <c r="F755" i="23"/>
  <c r="F751" i="23"/>
  <c r="F750" i="23"/>
  <c r="Q159" i="14" l="1"/>
  <c r="Q136" i="14"/>
  <c r="E66" i="33"/>
  <c r="F12" i="11" l="1"/>
  <c r="E12" i="11"/>
  <c r="F756" i="23" l="1"/>
  <c r="F754" i="23"/>
  <c r="F753" i="23"/>
  <c r="F752" i="23"/>
  <c r="F749" i="23"/>
  <c r="E68" i="33" l="1"/>
  <c r="E67" i="33"/>
  <c r="F66" i="33" l="1"/>
  <c r="I83" i="33" s="1"/>
  <c r="F65" i="33"/>
  <c r="I81" i="33" s="1"/>
  <c r="I73" i="33"/>
  <c r="Z316" i="11" l="1"/>
  <c r="AA316" i="11"/>
  <c r="W142" i="14"/>
  <c r="W161" i="14"/>
  <c r="W159" i="14"/>
  <c r="W154" i="14"/>
  <c r="W153" i="14"/>
  <c r="W152" i="14"/>
  <c r="W150" i="14"/>
  <c r="W148" i="14"/>
  <c r="W143" i="14"/>
  <c r="W141" i="14"/>
  <c r="W140" i="14"/>
  <c r="L241" i="23" l="1"/>
  <c r="J68" i="33" l="1"/>
  <c r="J67" i="33"/>
  <c r="F18" i="33"/>
  <c r="F15" i="33"/>
  <c r="F13" i="33"/>
  <c r="D74" i="33" l="1"/>
  <c r="A13" i="34" l="1"/>
  <c r="A12" i="34"/>
  <c r="A11" i="34"/>
  <c r="A10" i="34"/>
  <c r="A9" i="34"/>
  <c r="A8" i="34"/>
  <c r="A7" i="34"/>
  <c r="A6" i="34"/>
  <c r="A5" i="34"/>
  <c r="A4" i="34"/>
  <c r="A3" i="34"/>
  <c r="F45" i="33"/>
  <c r="N45" i="33" s="1"/>
  <c r="I44" i="33"/>
  <c r="H44" i="33"/>
  <c r="I41" i="33"/>
  <c r="H41" i="33"/>
  <c r="I38" i="33"/>
  <c r="H38" i="33"/>
  <c r="I35" i="33"/>
  <c r="H35" i="33"/>
  <c r="D30" i="33"/>
  <c r="B30" i="33"/>
  <c r="D29" i="33"/>
  <c r="B29" i="33"/>
  <c r="D28" i="33"/>
  <c r="B28" i="33"/>
  <c r="D27" i="33"/>
  <c r="B27" i="33"/>
  <c r="A27" i="33"/>
  <c r="D26" i="33"/>
  <c r="B26" i="33"/>
  <c r="A26" i="33"/>
  <c r="D25" i="33"/>
  <c r="B25" i="33"/>
  <c r="A25" i="33"/>
  <c r="D24" i="33"/>
  <c r="B24" i="33"/>
  <c r="A24" i="33"/>
  <c r="D23" i="33"/>
  <c r="B23" i="33"/>
  <c r="A23" i="33"/>
  <c r="Q154" i="14" l="1"/>
  <c r="Q249" i="14" s="1"/>
  <c r="E42" i="33"/>
  <c r="D35" i="33"/>
  <c r="E44" i="33"/>
  <c r="E38" i="33"/>
  <c r="D38" i="33"/>
  <c r="D44" i="33"/>
  <c r="E35" i="33"/>
  <c r="E47" i="33"/>
  <c r="D42" i="33"/>
  <c r="D36" i="33"/>
  <c r="D41" i="33"/>
  <c r="D43" i="33"/>
  <c r="F43" i="33" s="1"/>
  <c r="D46" i="33"/>
  <c r="B32" i="33"/>
  <c r="E36" i="33"/>
  <c r="E41" i="33"/>
  <c r="E46" i="33"/>
  <c r="F32" i="33"/>
  <c r="F47" i="33" l="1"/>
  <c r="F35" i="33"/>
  <c r="N35" i="33" s="1"/>
  <c r="F44" i="33"/>
  <c r="N44" i="33" s="1"/>
  <c r="F38" i="33"/>
  <c r="N38" i="33" s="1"/>
  <c r="F42" i="33"/>
  <c r="N42" i="33" s="1"/>
  <c r="F46" i="33"/>
  <c r="N46" i="33" s="1"/>
  <c r="F36" i="33"/>
  <c r="N36" i="33" s="1"/>
  <c r="F41" i="33"/>
  <c r="N41" i="33" s="1"/>
  <c r="N51" i="33" l="1"/>
  <c r="F50" i="33"/>
  <c r="M51" i="33" l="1"/>
  <c r="Y62" i="14"/>
  <c r="Y61" i="14"/>
  <c r="Y60" i="14"/>
  <c r="Y59" i="14"/>
  <c r="Y58" i="14"/>
  <c r="Y57" i="14"/>
  <c r="Y56" i="14"/>
  <c r="O155" i="14"/>
  <c r="O154" i="14"/>
  <c r="H96" i="31"/>
  <c r="G96" i="31"/>
  <c r="H83" i="31"/>
  <c r="G83" i="31"/>
  <c r="H70" i="31"/>
  <c r="G70" i="31"/>
  <c r="O38" i="19"/>
  <c r="O37" i="19"/>
  <c r="O35" i="19"/>
  <c r="O34" i="19"/>
  <c r="O33" i="19"/>
  <c r="O30" i="19"/>
  <c r="O13" i="19"/>
  <c r="O11" i="19"/>
  <c r="O10" i="19"/>
  <c r="O9" i="19"/>
  <c r="O8" i="19"/>
  <c r="Q153" i="14"/>
  <c r="Q90" i="14"/>
  <c r="Q88" i="14"/>
  <c r="Q87" i="14"/>
  <c r="Q51" i="14"/>
  <c r="C24" i="35" l="1"/>
  <c r="C38" i="35" s="1"/>
  <c r="G691" i="11"/>
  <c r="A32" i="19"/>
  <c r="D188" i="14"/>
  <c r="A13" i="19"/>
  <c r="A12" i="19"/>
  <c r="A11" i="19"/>
  <c r="A10" i="19"/>
  <c r="A9" i="19"/>
  <c r="A8" i="19"/>
  <c r="Q6" i="19"/>
  <c r="R6" i="19"/>
  <c r="C1192" i="23"/>
  <c r="S116" i="26" l="1"/>
  <c r="S115" i="26"/>
  <c r="S114" i="26"/>
  <c r="S113" i="26"/>
  <c r="P503" i="26" l="1"/>
  <c r="Q503" i="26" s="1"/>
  <c r="P506" i="26"/>
  <c r="R28" i="19" s="1"/>
  <c r="P505" i="26"/>
  <c r="P504" i="26"/>
  <c r="Q28" i="19" s="1"/>
  <c r="C1023" i="23"/>
  <c r="R267" i="14"/>
  <c r="L19" i="20"/>
  <c r="G19" i="20"/>
  <c r="C19" i="20"/>
  <c r="Q504" i="26" l="1"/>
  <c r="Q505" i="26"/>
  <c r="Q506" i="26"/>
  <c r="L520" i="11"/>
  <c r="X533" i="11" l="1"/>
  <c r="N6" i="19" s="1"/>
  <c r="X532" i="11"/>
  <c r="X531" i="11"/>
  <c r="M6" i="19" s="1"/>
  <c r="X530" i="11"/>
  <c r="G688" i="11"/>
  <c r="N28" i="19" s="1"/>
  <c r="G687" i="11"/>
  <c r="G685" i="11"/>
  <c r="G686" i="11"/>
  <c r="M28" i="19" s="1"/>
  <c r="C262" i="23"/>
  <c r="M240" i="23" l="1"/>
  <c r="C240" i="23"/>
  <c r="C239" i="23"/>
  <c r="C309" i="23" l="1"/>
  <c r="Q242" i="14" l="1"/>
  <c r="Q239" i="14"/>
  <c r="Q241" i="14"/>
  <c r="Q240" i="14"/>
  <c r="G706" i="11"/>
  <c r="B251" i="23"/>
  <c r="B250" i="23"/>
  <c r="C252" i="23"/>
  <c r="C260" i="23"/>
  <c r="B260" i="23" s="1"/>
  <c r="C650" i="11" s="1"/>
  <c r="C259" i="23"/>
  <c r="B259" i="23" s="1"/>
  <c r="C649" i="11" s="1"/>
  <c r="C257" i="23"/>
  <c r="B257" i="23" s="1"/>
  <c r="C648" i="11" s="1"/>
  <c r="C256" i="23"/>
  <c r="B256" i="23" s="1"/>
  <c r="C647" i="11" s="1"/>
  <c r="B252" i="23" l="1"/>
  <c r="C643" i="11" s="1"/>
  <c r="AI221" i="11"/>
  <c r="X157" i="11"/>
  <c r="F480" i="23"/>
  <c r="C480" i="23"/>
  <c r="AO157" i="26"/>
  <c r="E61" i="11"/>
  <c r="C61" i="11"/>
  <c r="E55" i="11"/>
  <c r="C55" i="11"/>
  <c r="C56" i="11" s="1"/>
  <c r="Z315" i="11" l="1"/>
  <c r="AB315" i="11" s="1"/>
  <c r="AC315" i="11" s="1"/>
  <c r="AA314" i="11"/>
  <c r="Z314" i="11"/>
  <c r="Z313" i="11"/>
  <c r="AB313" i="11" s="1"/>
  <c r="AC313" i="11" s="1"/>
  <c r="Z312" i="11"/>
  <c r="AB312" i="11" s="1"/>
  <c r="AC312" i="11" s="1"/>
  <c r="AB314" i="11" l="1"/>
  <c r="AC314" i="11" s="1"/>
  <c r="AB316" i="11"/>
  <c r="AC316" i="11" s="1"/>
  <c r="K353" i="11"/>
  <c r="K352" i="11"/>
  <c r="Y354" i="11"/>
  <c r="Y355" i="11"/>
  <c r="Y356" i="11"/>
  <c r="Y357" i="11"/>
  <c r="Y358" i="11"/>
  <c r="Y359" i="11"/>
  <c r="C738" i="23" l="1"/>
  <c r="C741" i="23"/>
  <c r="O133" i="14" l="1"/>
  <c r="AC133" i="14" l="1"/>
  <c r="D133" i="14"/>
  <c r="N478" i="11" l="1"/>
  <c r="E519" i="11" l="1"/>
  <c r="E395" i="26"/>
  <c r="E122" i="26"/>
  <c r="F304" i="26" s="1"/>
  <c r="C1183" i="23"/>
  <c r="B122" i="26" s="1"/>
  <c r="C304" i="26" s="1"/>
  <c r="D177" i="14"/>
  <c r="F426" i="11"/>
  <c r="C737" i="23"/>
  <c r="C426" i="11" s="1"/>
  <c r="C25" i="25" l="1"/>
  <c r="C23" i="25"/>
  <c r="K19" i="25"/>
  <c r="C18" i="25"/>
  <c r="K17" i="25"/>
  <c r="G24" i="25" s="1"/>
  <c r="C16" i="25"/>
  <c r="G26" i="25" l="1"/>
  <c r="G18" i="23" l="1"/>
  <c r="V161" i="14"/>
  <c r="V160" i="14"/>
  <c r="V159" i="14"/>
  <c r="AD280" i="11"/>
  <c r="AC280" i="11"/>
  <c r="Z280" i="11"/>
  <c r="AA280" i="11"/>
  <c r="AD648" i="11"/>
  <c r="AC648" i="11"/>
  <c r="Z648" i="11"/>
  <c r="V158" i="14" s="1"/>
  <c r="AA648" i="11"/>
  <c r="X46" i="14" l="1"/>
  <c r="X49" i="14"/>
  <c r="V49" i="14"/>
  <c r="G13" i="11"/>
  <c r="X48" i="14" l="1"/>
  <c r="X47" i="14"/>
  <c r="G1261" i="23"/>
  <c r="V47" i="14"/>
  <c r="V48" i="14"/>
  <c r="V46" i="14"/>
  <c r="AC53" i="14"/>
  <c r="AC54" i="14"/>
  <c r="AC55" i="14"/>
  <c r="AC56" i="14"/>
  <c r="AC57" i="14"/>
  <c r="AC68" i="14"/>
  <c r="AC70" i="14"/>
  <c r="AC72" i="14"/>
  <c r="AC74" i="14"/>
  <c r="AC75" i="14"/>
  <c r="AC76" i="14"/>
  <c r="AC77" i="14"/>
  <c r="AC79" i="14"/>
  <c r="AC80" i="14"/>
  <c r="AC81" i="14"/>
  <c r="AC82" i="14"/>
  <c r="AC83" i="14"/>
  <c r="AC84" i="14"/>
  <c r="AC85" i="14"/>
  <c r="AC91" i="14"/>
  <c r="AC92" i="14"/>
  <c r="AC93" i="14"/>
  <c r="AC94" i="14"/>
  <c r="AC95" i="14"/>
  <c r="AC96" i="14"/>
  <c r="AC97" i="14"/>
  <c r="AC98" i="14"/>
  <c r="AC100" i="14"/>
  <c r="AC101" i="14"/>
  <c r="AC102" i="14"/>
  <c r="AC103" i="14"/>
  <c r="AC104" i="14"/>
  <c r="AC105" i="14"/>
  <c r="AC106" i="14"/>
  <c r="AC108" i="14"/>
  <c r="AC109" i="14"/>
  <c r="AC110" i="14"/>
  <c r="AC111" i="14"/>
  <c r="AC112" i="14"/>
  <c r="AC113" i="14"/>
  <c r="AC114" i="14"/>
  <c r="AC115" i="14"/>
  <c r="AC116" i="14"/>
  <c r="AC117" i="14"/>
  <c r="AC118" i="14"/>
  <c r="AC120" i="14"/>
  <c r="AC121" i="14"/>
  <c r="AC122" i="14"/>
  <c r="AC123" i="14"/>
  <c r="AC124" i="14"/>
  <c r="AC125" i="14"/>
  <c r="AC127" i="14"/>
  <c r="AC128" i="14"/>
  <c r="AC129" i="14"/>
  <c r="AC130" i="14"/>
  <c r="AC131" i="14"/>
  <c r="AC132" i="14"/>
  <c r="AC135" i="14"/>
  <c r="AC138" i="14"/>
  <c r="AC139" i="14"/>
  <c r="AC147" i="14"/>
  <c r="AC149" i="14"/>
  <c r="AC150" i="14"/>
  <c r="AC152" i="14"/>
  <c r="AC154" i="14"/>
  <c r="AC156" i="14"/>
  <c r="AC157" i="14"/>
  <c r="AC158" i="14"/>
  <c r="AC159" i="14"/>
  <c r="AC160" i="14"/>
  <c r="AC161" i="14"/>
  <c r="AC162" i="14"/>
  <c r="AC163" i="14"/>
  <c r="AC164" i="14"/>
  <c r="AC165" i="14"/>
  <c r="AC166" i="14"/>
  <c r="AC167" i="14"/>
  <c r="AC168" i="14"/>
  <c r="AC169" i="14"/>
  <c r="AC170" i="14"/>
  <c r="AC171" i="14"/>
  <c r="AC172" i="14"/>
  <c r="AC173" i="14"/>
  <c r="AC175" i="14"/>
  <c r="AC176" i="14"/>
  <c r="AC184" i="14"/>
  <c r="AC185" i="14"/>
  <c r="AC196" i="14"/>
  <c r="AC197" i="14"/>
  <c r="AC198" i="14"/>
  <c r="AC199" i="14"/>
  <c r="AC200" i="14"/>
  <c r="AC201" i="14"/>
  <c r="AC202" i="14"/>
  <c r="AC203" i="14"/>
  <c r="AC204" i="14"/>
  <c r="AC205" i="14"/>
  <c r="AC206" i="14"/>
  <c r="AC207" i="14"/>
  <c r="AC208" i="14"/>
  <c r="AC209" i="14"/>
  <c r="AC210" i="14"/>
  <c r="AC211" i="14"/>
  <c r="AC212" i="14"/>
  <c r="AC213" i="14"/>
  <c r="AC215" i="14"/>
  <c r="AC216" i="14"/>
  <c r="AC217" i="14"/>
  <c r="AC218" i="14"/>
  <c r="AC219" i="14"/>
  <c r="AC220" i="14"/>
  <c r="AC221" i="14"/>
  <c r="AC222" i="14"/>
  <c r="AC223" i="14"/>
  <c r="AC224" i="14"/>
  <c r="AC225" i="14"/>
  <c r="AC226" i="14"/>
  <c r="AC227" i="14"/>
  <c r="AC228" i="14"/>
  <c r="AC229" i="14"/>
  <c r="AC231" i="14"/>
  <c r="AC232" i="14"/>
  <c r="AC233" i="14"/>
  <c r="AC234" i="14"/>
  <c r="AC235" i="14"/>
  <c r="AC237" i="14"/>
  <c r="AC238" i="14"/>
  <c r="AC244" i="14"/>
  <c r="AC245" i="14"/>
  <c r="AC249" i="14"/>
  <c r="AC254" i="14"/>
  <c r="AC255" i="14"/>
  <c r="AC256" i="14"/>
  <c r="AC257" i="14"/>
  <c r="AC258" i="14"/>
  <c r="AC259" i="14"/>
  <c r="AC260" i="14"/>
  <c r="AC261" i="14"/>
  <c r="AC262" i="14"/>
  <c r="AC264" i="14"/>
  <c r="AC266" i="14"/>
  <c r="AC267" i="14"/>
  <c r="AC269" i="14"/>
  <c r="AC272" i="14"/>
  <c r="AC273" i="14"/>
  <c r="AC274" i="14"/>
  <c r="AC277" i="14"/>
  <c r="AC153" i="14" l="1"/>
  <c r="R171" i="14"/>
  <c r="R172" i="14"/>
  <c r="R173" i="14"/>
  <c r="O169" i="14"/>
  <c r="O170" i="14"/>
  <c r="D170" i="14"/>
  <c r="D169" i="14"/>
  <c r="A37" i="35" s="1"/>
  <c r="V143" i="14"/>
  <c r="V142" i="14"/>
  <c r="V141" i="14"/>
  <c r="V140" i="14"/>
  <c r="V154" i="14"/>
  <c r="V153" i="14"/>
  <c r="V152" i="14"/>
  <c r="V151" i="14"/>
  <c r="V150" i="14"/>
  <c r="V149" i="14"/>
  <c r="V148" i="14"/>
  <c r="Y23" i="21"/>
  <c r="Y22" i="21"/>
  <c r="Y21" i="21"/>
  <c r="Y20" i="21"/>
  <c r="Y19" i="21"/>
  <c r="Y18" i="21"/>
  <c r="Y13" i="21"/>
  <c r="Y12" i="21"/>
  <c r="Y11" i="21"/>
  <c r="Y10" i="21"/>
  <c r="Y9" i="21"/>
  <c r="Y8" i="21"/>
  <c r="Y7" i="21"/>
  <c r="Y6" i="21"/>
  <c r="R258" i="14" l="1"/>
  <c r="C1187" i="23" l="1"/>
  <c r="C740" i="23"/>
  <c r="C253" i="23"/>
  <c r="B253" i="23" s="1"/>
  <c r="C644" i="11" s="1"/>
  <c r="O168" i="14"/>
  <c r="D168" i="14"/>
  <c r="A36" i="35" s="1"/>
  <c r="O167" i="14"/>
  <c r="D167" i="14"/>
  <c r="O50" i="14"/>
  <c r="D50" i="14"/>
  <c r="O166" i="14" l="1"/>
  <c r="D166" i="14"/>
  <c r="A35" i="35" s="1"/>
  <c r="O118" i="14"/>
  <c r="D118" i="14"/>
  <c r="O117" i="14"/>
  <c r="D117" i="14"/>
  <c r="C33" i="20" l="1"/>
  <c r="A38" i="19"/>
  <c r="A37" i="19"/>
  <c r="E453" i="26"/>
  <c r="E452" i="26"/>
  <c r="F441" i="11"/>
  <c r="F650" i="11"/>
  <c r="F649" i="11"/>
  <c r="D194" i="14"/>
  <c r="D193" i="14"/>
  <c r="F442" i="11"/>
  <c r="C1018" i="23" l="1"/>
  <c r="B452" i="26" s="1"/>
  <c r="C1019" i="23"/>
  <c r="B453" i="26" s="1"/>
  <c r="D838" i="23" l="1"/>
  <c r="C838" i="23" s="1"/>
  <c r="E837" i="23"/>
  <c r="C828" i="23"/>
  <c r="H833" i="23"/>
  <c r="L833" i="23"/>
  <c r="D831" i="23"/>
  <c r="C830" i="23"/>
  <c r="L828" i="23"/>
  <c r="H828" i="23"/>
  <c r="E838" i="23"/>
  <c r="AC126" i="14"/>
  <c r="AC136" i="14"/>
  <c r="O136" i="14"/>
  <c r="H841" i="23"/>
  <c r="BT166" i="26" l="1"/>
  <c r="BW166" i="26" s="1"/>
  <c r="BX166" i="26" l="1"/>
  <c r="K35" i="14"/>
  <c r="L62" i="20"/>
  <c r="K34" i="14"/>
  <c r="I160" i="14" l="1"/>
  <c r="U620" i="11"/>
  <c r="U619" i="11"/>
  <c r="U618" i="11"/>
  <c r="Z681" i="11" l="1"/>
  <c r="AB689" i="11"/>
  <c r="K30" i="14" l="1"/>
  <c r="K33" i="14"/>
  <c r="K32" i="14"/>
  <c r="K36" i="14"/>
  <c r="K29" i="14"/>
  <c r="K31" i="14"/>
  <c r="N256" i="14" l="1"/>
  <c r="M256" i="14"/>
  <c r="L256" i="14"/>
  <c r="K256" i="14"/>
  <c r="E258" i="14" l="1"/>
  <c r="H258" i="14"/>
  <c r="R260" i="14"/>
  <c r="E257" i="14"/>
  <c r="F257" i="14"/>
  <c r="G257" i="14"/>
  <c r="I257" i="14"/>
  <c r="BV145" i="26" l="1"/>
  <c r="F923" i="23" l="1"/>
  <c r="F975" i="23"/>
  <c r="C5" i="12" l="1"/>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96" i="31" l="1"/>
  <c r="C29" i="31" l="1"/>
  <c r="E115" i="22" l="1"/>
  <c r="D115" i="22"/>
  <c r="F115" i="22" l="1"/>
  <c r="O12" i="27"/>
  <c r="V12" i="27"/>
  <c r="AC12" i="27"/>
  <c r="AJ12" i="27"/>
  <c r="AQ12" i="27"/>
  <c r="AX12" i="27"/>
  <c r="BE12" i="27"/>
  <c r="BL12" i="27"/>
  <c r="BS12" i="27"/>
  <c r="BZ12" i="27"/>
  <c r="CG12" i="27"/>
  <c r="CN12" i="27"/>
  <c r="CU12" i="27"/>
  <c r="DB12" i="27"/>
  <c r="DI12" i="27"/>
  <c r="DP12" i="27"/>
  <c r="DW12" i="27"/>
  <c r="ED12" i="27"/>
  <c r="EK12" i="27"/>
  <c r="ER12" i="27"/>
  <c r="EY12" i="27"/>
  <c r="FF12" i="27"/>
  <c r="FM12" i="27"/>
  <c r="FT12" i="27"/>
  <c r="GA12" i="27"/>
  <c r="GH12" i="27"/>
  <c r="GO12" i="27"/>
  <c r="GV12" i="27"/>
  <c r="HC12" i="27"/>
  <c r="HJ12" i="27"/>
  <c r="HQ12" i="27"/>
  <c r="HX12" i="27"/>
  <c r="IE12" i="27"/>
  <c r="H12" i="27"/>
  <c r="D337" i="27"/>
  <c r="D253" i="27"/>
  <c r="D169" i="27"/>
  <c r="D85" i="27"/>
  <c r="Q853" i="23" l="1"/>
  <c r="Q852" i="23"/>
  <c r="E49" i="27" l="1"/>
  <c r="ED6" i="27"/>
  <c r="EH6" i="27"/>
  <c r="EL6" i="27"/>
  <c r="EP6" i="27"/>
  <c r="ET6" i="27"/>
  <c r="EX6" i="27"/>
  <c r="FB6" i="27"/>
  <c r="FF6" i="27"/>
  <c r="FJ6" i="27"/>
  <c r="FN6" i="27"/>
  <c r="EE6" i="27"/>
  <c r="EI6" i="27"/>
  <c r="EM6" i="27"/>
  <c r="EQ6" i="27"/>
  <c r="EU6" i="27"/>
  <c r="EY6" i="27"/>
  <c r="FC6" i="27"/>
  <c r="FG6" i="27"/>
  <c r="FK6" i="27"/>
  <c r="FO6" i="27"/>
  <c r="FS6" i="27"/>
  <c r="FW6" i="27"/>
  <c r="GA6" i="27"/>
  <c r="GE6" i="27"/>
  <c r="GI6" i="27"/>
  <c r="GM6" i="27"/>
  <c r="GQ6" i="27"/>
  <c r="GU6" i="27"/>
  <c r="GY6" i="27"/>
  <c r="HC6" i="27"/>
  <c r="HG6" i="27"/>
  <c r="HK6" i="27"/>
  <c r="HO6" i="27"/>
  <c r="HS6" i="27"/>
  <c r="HW6" i="27"/>
  <c r="IA6" i="27"/>
  <c r="IE6" i="27"/>
  <c r="II6" i="27"/>
  <c r="O6" i="27"/>
  <c r="S6" i="27"/>
  <c r="W6" i="27"/>
  <c r="AA6" i="27"/>
  <c r="AE6" i="27"/>
  <c r="AI6" i="27"/>
  <c r="AM6" i="27"/>
  <c r="AQ6" i="27"/>
  <c r="AU6" i="27"/>
  <c r="AY6" i="27"/>
  <c r="BC6" i="27"/>
  <c r="BG6" i="27"/>
  <c r="BK6" i="27"/>
  <c r="BO6" i="27"/>
  <c r="BS6" i="27"/>
  <c r="BW6" i="27"/>
  <c r="CA6" i="27"/>
  <c r="CE6" i="27"/>
  <c r="CI6" i="27"/>
  <c r="CM6" i="27"/>
  <c r="CQ6" i="27"/>
  <c r="CU6" i="27"/>
  <c r="CY6" i="27"/>
  <c r="DC6" i="27"/>
  <c r="DG6" i="27"/>
  <c r="DK6" i="27"/>
  <c r="DO6" i="27"/>
  <c r="DS6" i="27"/>
  <c r="DW6" i="27"/>
  <c r="EA6" i="27"/>
  <c r="EB6" i="27"/>
  <c r="EF6" i="27"/>
  <c r="EJ6" i="27"/>
  <c r="EN6" i="27"/>
  <c r="ER6" i="27"/>
  <c r="EV6" i="27"/>
  <c r="EZ6" i="27"/>
  <c r="FD6" i="27"/>
  <c r="FH6" i="27"/>
  <c r="FL6" i="27"/>
  <c r="FP6" i="27"/>
  <c r="FT6" i="27"/>
  <c r="FX6" i="27"/>
  <c r="GB6" i="27"/>
  <c r="GF6" i="27"/>
  <c r="GJ6" i="27"/>
  <c r="GN6" i="27"/>
  <c r="GR6" i="27"/>
  <c r="GV6" i="27"/>
  <c r="GZ6" i="27"/>
  <c r="HD6" i="27"/>
  <c r="HH6" i="27"/>
  <c r="HL6" i="27"/>
  <c r="HP6" i="27"/>
  <c r="HT6" i="27"/>
  <c r="HX6" i="27"/>
  <c r="IB6" i="27"/>
  <c r="IF6" i="27"/>
  <c r="IJ6" i="27"/>
  <c r="P6" i="27"/>
  <c r="T6" i="27"/>
  <c r="X6" i="27"/>
  <c r="AB6" i="27"/>
  <c r="AF6" i="27"/>
  <c r="AJ6" i="27"/>
  <c r="AN6" i="27"/>
  <c r="AR6" i="27"/>
  <c r="AV6" i="27"/>
  <c r="AZ6" i="27"/>
  <c r="BD6" i="27"/>
  <c r="BH6" i="27"/>
  <c r="BL6" i="27"/>
  <c r="BP6" i="27"/>
  <c r="BT6" i="27"/>
  <c r="BX6" i="27"/>
  <c r="CB6" i="27"/>
  <c r="CF6" i="27"/>
  <c r="CJ6" i="27"/>
  <c r="CN6" i="27"/>
  <c r="CR6" i="27"/>
  <c r="CV6" i="27"/>
  <c r="CZ6" i="27"/>
  <c r="DD6" i="27"/>
  <c r="DH6" i="27"/>
  <c r="DL6" i="27"/>
  <c r="DP6" i="27"/>
  <c r="DT6" i="27"/>
  <c r="DX6" i="27"/>
  <c r="M6" i="27"/>
  <c r="EK6" i="27"/>
  <c r="FA6" i="27"/>
  <c r="FQ6" i="27"/>
  <c r="FY6" i="27"/>
  <c r="GG6" i="27"/>
  <c r="GO6" i="27"/>
  <c r="GW6" i="27"/>
  <c r="HE6" i="27"/>
  <c r="HM6" i="27"/>
  <c r="HU6" i="27"/>
  <c r="IC6" i="27"/>
  <c r="IK6" i="27"/>
  <c r="U6" i="27"/>
  <c r="AC6" i="27"/>
  <c r="AK6" i="27"/>
  <c r="AS6" i="27"/>
  <c r="BA6" i="27"/>
  <c r="BI6" i="27"/>
  <c r="BQ6" i="27"/>
  <c r="BY6" i="27"/>
  <c r="CG6" i="27"/>
  <c r="CO6" i="27"/>
  <c r="CW6" i="27"/>
  <c r="DE6" i="27"/>
  <c r="DM6" i="27"/>
  <c r="DU6" i="27"/>
  <c r="L6" i="27"/>
  <c r="EO6" i="27"/>
  <c r="FE6" i="27"/>
  <c r="FR6" i="27"/>
  <c r="FZ6" i="27"/>
  <c r="GH6" i="27"/>
  <c r="GP6" i="27"/>
  <c r="GX6" i="27"/>
  <c r="HF6" i="27"/>
  <c r="HN6" i="27"/>
  <c r="HV6" i="27"/>
  <c r="ID6" i="27"/>
  <c r="N6" i="27"/>
  <c r="V6" i="27"/>
  <c r="AD6" i="27"/>
  <c r="AL6" i="27"/>
  <c r="AT6" i="27"/>
  <c r="BB6" i="27"/>
  <c r="BJ6" i="27"/>
  <c r="BR6" i="27"/>
  <c r="BZ6" i="27"/>
  <c r="CH6" i="27"/>
  <c r="CP6" i="27"/>
  <c r="CX6" i="27"/>
  <c r="DF6" i="27"/>
  <c r="DN6" i="27"/>
  <c r="DV6" i="27"/>
  <c r="EC6" i="27"/>
  <c r="ES6" i="27"/>
  <c r="FI6" i="27"/>
  <c r="FU6" i="27"/>
  <c r="GC6" i="27"/>
  <c r="GK6" i="27"/>
  <c r="GS6" i="27"/>
  <c r="HA6" i="27"/>
  <c r="HI6" i="27"/>
  <c r="HQ6" i="27"/>
  <c r="HY6" i="27"/>
  <c r="IG6" i="27"/>
  <c r="Q6" i="27"/>
  <c r="Y6" i="27"/>
  <c r="AG6" i="27"/>
  <c r="AO6" i="27"/>
  <c r="AW6" i="27"/>
  <c r="BE6" i="27"/>
  <c r="BM6" i="27"/>
  <c r="BU6" i="27"/>
  <c r="CC6" i="27"/>
  <c r="CK6" i="27"/>
  <c r="CS6" i="27"/>
  <c r="DA6" i="27"/>
  <c r="DI6" i="27"/>
  <c r="DQ6" i="27"/>
  <c r="DY6" i="27"/>
  <c r="FM6" i="27"/>
  <c r="GT6" i="27"/>
  <c r="HZ6" i="27"/>
  <c r="AH6" i="27"/>
  <c r="BN6" i="27"/>
  <c r="CT6" i="27"/>
  <c r="DZ6" i="27"/>
  <c r="FV6" i="27"/>
  <c r="HB6" i="27"/>
  <c r="IH6" i="27"/>
  <c r="AP6" i="27"/>
  <c r="BV6" i="27"/>
  <c r="DB6" i="27"/>
  <c r="H6" i="27"/>
  <c r="EG6" i="27"/>
  <c r="GD6" i="27"/>
  <c r="HJ6" i="27"/>
  <c r="R6" i="27"/>
  <c r="AX6" i="27"/>
  <c r="CD6" i="27"/>
  <c r="DJ6" i="27"/>
  <c r="HR6" i="27"/>
  <c r="DR6" i="27"/>
  <c r="K6" i="27"/>
  <c r="Z6" i="27"/>
  <c r="EW6" i="27"/>
  <c r="BF6" i="27"/>
  <c r="I6" i="27"/>
  <c r="GL6" i="27"/>
  <c r="CL6" i="27"/>
  <c r="J6" i="27"/>
  <c r="F416" i="23"/>
  <c r="F417" i="23"/>
  <c r="EW92" i="27" l="1"/>
  <c r="EW176" i="27"/>
  <c r="EW260" i="27"/>
  <c r="AX260" i="27"/>
  <c r="AX92" i="27"/>
  <c r="AX176" i="27"/>
  <c r="BV260" i="27"/>
  <c r="BV176" i="27"/>
  <c r="BV92" i="27"/>
  <c r="DY92" i="27"/>
  <c r="DY260" i="27"/>
  <c r="DY176" i="27"/>
  <c r="AG260" i="27"/>
  <c r="AG176" i="27"/>
  <c r="AG92" i="27"/>
  <c r="GS92" i="27"/>
  <c r="GS176" i="27"/>
  <c r="GS260" i="27"/>
  <c r="FI92" i="27"/>
  <c r="FI260" i="27"/>
  <c r="FI176" i="27"/>
  <c r="BB260" i="27"/>
  <c r="BB176" i="27"/>
  <c r="BB92" i="27"/>
  <c r="V260" i="27"/>
  <c r="V176" i="27"/>
  <c r="V92" i="27"/>
  <c r="GH176" i="27"/>
  <c r="GH260" i="27"/>
  <c r="GH92" i="27"/>
  <c r="DE176" i="27"/>
  <c r="DE92" i="27"/>
  <c r="DE260" i="27"/>
  <c r="IK92" i="27"/>
  <c r="IK260" i="27"/>
  <c r="IK176" i="27"/>
  <c r="M260" i="27"/>
  <c r="M92" i="27"/>
  <c r="M176" i="27"/>
  <c r="CV260" i="27"/>
  <c r="CV92" i="27"/>
  <c r="CV176" i="27"/>
  <c r="CF260" i="27"/>
  <c r="CF92" i="27"/>
  <c r="CF176" i="27"/>
  <c r="AZ260" i="27"/>
  <c r="AZ176" i="27"/>
  <c r="AZ92" i="27"/>
  <c r="T260" i="27"/>
  <c r="T176" i="27"/>
  <c r="T92" i="27"/>
  <c r="IB260" i="27"/>
  <c r="IB92" i="27"/>
  <c r="IB176" i="27"/>
  <c r="GV260" i="27"/>
  <c r="GV176" i="27"/>
  <c r="GV92" i="27"/>
  <c r="FP260" i="27"/>
  <c r="FP176" i="27"/>
  <c r="FP92" i="27"/>
  <c r="DW260" i="27"/>
  <c r="DW92" i="27"/>
  <c r="DW176" i="27"/>
  <c r="DG176" i="27"/>
  <c r="DG92" i="27"/>
  <c r="DG260" i="27"/>
  <c r="CA176" i="27"/>
  <c r="CA260" i="27"/>
  <c r="CA92" i="27"/>
  <c r="BK176" i="27"/>
  <c r="BK260" i="27"/>
  <c r="BK92" i="27"/>
  <c r="AU176" i="27"/>
  <c r="AU92" i="27"/>
  <c r="AU260" i="27"/>
  <c r="AE176" i="27"/>
  <c r="AE260" i="27"/>
  <c r="AE92" i="27"/>
  <c r="O176" i="27"/>
  <c r="O260" i="27"/>
  <c r="O92" i="27"/>
  <c r="HW260" i="27"/>
  <c r="HW92" i="27"/>
  <c r="HW176" i="27"/>
  <c r="HG260" i="27"/>
  <c r="HG176" i="27"/>
  <c r="HG92" i="27"/>
  <c r="GQ260" i="27"/>
  <c r="GQ92" i="27"/>
  <c r="GQ176" i="27"/>
  <c r="GA260" i="27"/>
  <c r="GA176" i="27"/>
  <c r="GA92" i="27"/>
  <c r="FK260" i="27"/>
  <c r="FK92" i="27"/>
  <c r="FK176" i="27"/>
  <c r="EU260" i="27"/>
  <c r="EU176" i="27"/>
  <c r="EU92" i="27"/>
  <c r="EE260" i="27"/>
  <c r="EE92" i="27"/>
  <c r="EE176" i="27"/>
  <c r="FB260" i="27"/>
  <c r="FB176" i="27"/>
  <c r="FB92" i="27"/>
  <c r="EL260" i="27"/>
  <c r="EL176" i="27"/>
  <c r="EL92" i="27"/>
  <c r="GL260" i="27"/>
  <c r="GL176" i="27"/>
  <c r="GL92" i="27"/>
  <c r="HR260" i="27"/>
  <c r="HR92" i="27"/>
  <c r="HR176" i="27"/>
  <c r="R260" i="27"/>
  <c r="R176" i="27"/>
  <c r="R92" i="27"/>
  <c r="H92" i="27"/>
  <c r="H260" i="27"/>
  <c r="H176" i="27"/>
  <c r="AP260" i="27"/>
  <c r="AP176" i="27"/>
  <c r="AP92" i="27"/>
  <c r="DZ260" i="27"/>
  <c r="DZ176" i="27"/>
  <c r="DZ92" i="27"/>
  <c r="HZ176" i="27"/>
  <c r="HZ92" i="27"/>
  <c r="HZ260" i="27"/>
  <c r="DQ260" i="27"/>
  <c r="DQ176" i="27"/>
  <c r="DQ92" i="27"/>
  <c r="CK260" i="27"/>
  <c r="CK176" i="27"/>
  <c r="CK92" i="27"/>
  <c r="BE92" i="27"/>
  <c r="BE260" i="27"/>
  <c r="BE176" i="27"/>
  <c r="Y176" i="27"/>
  <c r="Y260" i="27"/>
  <c r="Y92" i="27"/>
  <c r="HQ92" i="27"/>
  <c r="HQ260" i="27"/>
  <c r="HQ176" i="27"/>
  <c r="GK92" i="27"/>
  <c r="GK176" i="27"/>
  <c r="GK260" i="27"/>
  <c r="ES92" i="27"/>
  <c r="ES260" i="27"/>
  <c r="ES176" i="27"/>
  <c r="DF260" i="27"/>
  <c r="DF176" i="27"/>
  <c r="DF92" i="27"/>
  <c r="BZ260" i="27"/>
  <c r="BZ176" i="27"/>
  <c r="BZ92" i="27"/>
  <c r="AT176" i="27"/>
  <c r="AT260" i="27"/>
  <c r="AT92" i="27"/>
  <c r="N176" i="27"/>
  <c r="N92" i="27"/>
  <c r="N260" i="27"/>
  <c r="HF260" i="27"/>
  <c r="HF92" i="27"/>
  <c r="HF176" i="27"/>
  <c r="FZ92" i="27"/>
  <c r="FZ260" i="27"/>
  <c r="FZ176" i="27"/>
  <c r="L260" i="27"/>
  <c r="L92" i="27"/>
  <c r="L176" i="27"/>
  <c r="CW92" i="27"/>
  <c r="CW260" i="27"/>
  <c r="CW176" i="27"/>
  <c r="BQ176" i="27"/>
  <c r="BQ260" i="27"/>
  <c r="BQ92" i="27"/>
  <c r="AK260" i="27"/>
  <c r="AK92" i="27"/>
  <c r="AK176" i="27"/>
  <c r="IC92" i="27"/>
  <c r="IC176" i="27"/>
  <c r="IC260" i="27"/>
  <c r="GW92" i="27"/>
  <c r="GW176" i="27"/>
  <c r="GW260" i="27"/>
  <c r="FQ92" i="27"/>
  <c r="FQ176" i="27"/>
  <c r="FQ260" i="27"/>
  <c r="DX176" i="27"/>
  <c r="DX92" i="27"/>
  <c r="DX260" i="27"/>
  <c r="DH260" i="27"/>
  <c r="DH92" i="27"/>
  <c r="DH176" i="27"/>
  <c r="CR260" i="27"/>
  <c r="CR92" i="27"/>
  <c r="CR176" i="27"/>
  <c r="CB260" i="27"/>
  <c r="CB92" i="27"/>
  <c r="CB176" i="27"/>
  <c r="BL260" i="27"/>
  <c r="BL176" i="27"/>
  <c r="BL92" i="27"/>
  <c r="AV260" i="27"/>
  <c r="AV176" i="27"/>
  <c r="AV92" i="27"/>
  <c r="AF260" i="27"/>
  <c r="AF176" i="27"/>
  <c r="AF92" i="27"/>
  <c r="P260" i="27"/>
  <c r="P176" i="27"/>
  <c r="P92" i="27"/>
  <c r="HX260" i="27"/>
  <c r="HX92" i="27"/>
  <c r="HX176" i="27"/>
  <c r="HH176" i="27"/>
  <c r="HH260" i="27"/>
  <c r="HH92" i="27"/>
  <c r="GR176" i="27"/>
  <c r="GR260" i="27"/>
  <c r="GR92" i="27"/>
  <c r="GB260" i="27"/>
  <c r="GB176" i="27"/>
  <c r="GB92" i="27"/>
  <c r="FL260" i="27"/>
  <c r="FL176" i="27"/>
  <c r="FL92" i="27"/>
  <c r="EV260" i="27"/>
  <c r="EV176" i="27"/>
  <c r="EV92" i="27"/>
  <c r="EF260" i="27"/>
  <c r="EF176" i="27"/>
  <c r="EF92" i="27"/>
  <c r="DS260" i="27"/>
  <c r="DS176" i="27"/>
  <c r="DS92" i="27"/>
  <c r="DC260" i="27"/>
  <c r="DC176" i="27"/>
  <c r="DC92" i="27"/>
  <c r="CM260" i="27"/>
  <c r="CM176" i="27"/>
  <c r="CM92" i="27"/>
  <c r="BW260" i="27"/>
  <c r="BW176" i="27"/>
  <c r="BW92" i="27"/>
  <c r="BG260" i="27"/>
  <c r="BG176" i="27"/>
  <c r="BG92" i="27"/>
  <c r="AQ260" i="27"/>
  <c r="AQ176" i="27"/>
  <c r="AQ92" i="27"/>
  <c r="AA260" i="27"/>
  <c r="AA176" i="27"/>
  <c r="AA92" i="27"/>
  <c r="II260" i="27"/>
  <c r="II176" i="27"/>
  <c r="II92" i="27"/>
  <c r="HS260" i="27"/>
  <c r="HS176" i="27"/>
  <c r="HS92" i="27"/>
  <c r="HC176" i="27"/>
  <c r="HC260" i="27"/>
  <c r="HC92" i="27"/>
  <c r="GM176" i="27"/>
  <c r="GM260" i="27"/>
  <c r="GM92" i="27"/>
  <c r="FW260" i="27"/>
  <c r="FW176" i="27"/>
  <c r="FW92" i="27"/>
  <c r="FG260" i="27"/>
  <c r="FG176" i="27"/>
  <c r="FG92" i="27"/>
  <c r="EQ260" i="27"/>
  <c r="EQ176" i="27"/>
  <c r="EQ92" i="27"/>
  <c r="FN176" i="27"/>
  <c r="FN260" i="27"/>
  <c r="FN92" i="27"/>
  <c r="EX260" i="27"/>
  <c r="EX176" i="27"/>
  <c r="EX92" i="27"/>
  <c r="EH176" i="27"/>
  <c r="EH260" i="27"/>
  <c r="EH92" i="27"/>
  <c r="CL260" i="27"/>
  <c r="CL176" i="27"/>
  <c r="CL92" i="27"/>
  <c r="AH260" i="27"/>
  <c r="AH176" i="27"/>
  <c r="AH92" i="27"/>
  <c r="AS176" i="27"/>
  <c r="AS260" i="27"/>
  <c r="AS92" i="27"/>
  <c r="GT176" i="27"/>
  <c r="GT260" i="27"/>
  <c r="GT92" i="27"/>
  <c r="CC260" i="27"/>
  <c r="CC92" i="27"/>
  <c r="CC176" i="27"/>
  <c r="HI92" i="27"/>
  <c r="HI176" i="27"/>
  <c r="HI260" i="27"/>
  <c r="BR260" i="27"/>
  <c r="BR176" i="27"/>
  <c r="BR92" i="27"/>
  <c r="DU92" i="27"/>
  <c r="DU260" i="27"/>
  <c r="DU176" i="27"/>
  <c r="GO92" i="27"/>
  <c r="GO260" i="27"/>
  <c r="GO176" i="27"/>
  <c r="FA92" i="27"/>
  <c r="FA176" i="27"/>
  <c r="FA260" i="27"/>
  <c r="DD260" i="27"/>
  <c r="DD92" i="27"/>
  <c r="DD176" i="27"/>
  <c r="CN260" i="27"/>
  <c r="CN92" i="27"/>
  <c r="CN176" i="27"/>
  <c r="BX260" i="27"/>
  <c r="BX92" i="27"/>
  <c r="BX176" i="27"/>
  <c r="BH260" i="27"/>
  <c r="BH176" i="27"/>
  <c r="BH92" i="27"/>
  <c r="AR260" i="27"/>
  <c r="AR92" i="27"/>
  <c r="AR176" i="27"/>
  <c r="AB260" i="27"/>
  <c r="AB92" i="27"/>
  <c r="AB176" i="27"/>
  <c r="IJ260" i="27"/>
  <c r="IJ176" i="27"/>
  <c r="IJ92" i="27"/>
  <c r="HT176" i="27"/>
  <c r="HT260" i="27"/>
  <c r="HT92" i="27"/>
  <c r="HD176" i="27"/>
  <c r="HD92" i="27"/>
  <c r="HD260" i="27"/>
  <c r="GN176" i="27"/>
  <c r="GN260" i="27"/>
  <c r="GN92" i="27"/>
  <c r="FX176" i="27"/>
  <c r="FX260" i="27"/>
  <c r="FX92" i="27"/>
  <c r="FH260" i="27"/>
  <c r="FH176" i="27"/>
  <c r="FH92" i="27"/>
  <c r="ER176" i="27"/>
  <c r="ER260" i="27"/>
  <c r="ER92" i="27"/>
  <c r="EB260" i="27"/>
  <c r="EB176" i="27"/>
  <c r="EB92" i="27"/>
  <c r="DO260" i="27"/>
  <c r="DO176" i="27"/>
  <c r="DO92" i="27"/>
  <c r="CY260" i="27"/>
  <c r="CY92" i="27"/>
  <c r="CY176" i="27"/>
  <c r="CI260" i="27"/>
  <c r="CI176" i="27"/>
  <c r="CI92" i="27"/>
  <c r="BS260" i="27"/>
  <c r="BS92" i="27"/>
  <c r="BS176" i="27"/>
  <c r="BC260" i="27"/>
  <c r="BC176" i="27"/>
  <c r="BC92" i="27"/>
  <c r="AM260" i="27"/>
  <c r="AM176" i="27"/>
  <c r="AM92" i="27"/>
  <c r="W260" i="27"/>
  <c r="W92" i="27"/>
  <c r="W176" i="27"/>
  <c r="IE176" i="27"/>
  <c r="IE260" i="27"/>
  <c r="IE92" i="27"/>
  <c r="HO260" i="27"/>
  <c r="HO176" i="27"/>
  <c r="HO92" i="27"/>
  <c r="GY176" i="27"/>
  <c r="GY260" i="27"/>
  <c r="GY92" i="27"/>
  <c r="GI176" i="27"/>
  <c r="GI260" i="27"/>
  <c r="GI92" i="27"/>
  <c r="FS260" i="27"/>
  <c r="FS176" i="27"/>
  <c r="FS92" i="27"/>
  <c r="FC176" i="27"/>
  <c r="FC260" i="27"/>
  <c r="FC92" i="27"/>
  <c r="EM260" i="27"/>
  <c r="EM176" i="27"/>
  <c r="EM92" i="27"/>
  <c r="FJ260" i="27"/>
  <c r="FJ92" i="27"/>
  <c r="FJ176" i="27"/>
  <c r="ET92" i="27"/>
  <c r="ET260" i="27"/>
  <c r="ET176" i="27"/>
  <c r="ED176" i="27"/>
  <c r="ED260" i="27"/>
  <c r="ED92" i="27"/>
  <c r="DR260" i="27"/>
  <c r="DR176" i="27"/>
  <c r="DR92" i="27"/>
  <c r="EG92" i="27"/>
  <c r="EG176" i="27"/>
  <c r="EG260" i="27"/>
  <c r="FV260" i="27"/>
  <c r="FV92" i="27"/>
  <c r="FV176" i="27"/>
  <c r="CS176" i="27"/>
  <c r="CS92" i="27"/>
  <c r="CS260" i="27"/>
  <c r="BM176" i="27"/>
  <c r="BM260" i="27"/>
  <c r="BM92" i="27"/>
  <c r="HY92" i="27"/>
  <c r="HY176" i="27"/>
  <c r="HY260" i="27"/>
  <c r="DN260" i="27"/>
  <c r="DN176" i="27"/>
  <c r="DN92" i="27"/>
  <c r="CH260" i="27"/>
  <c r="CH176" i="27"/>
  <c r="CH92" i="27"/>
  <c r="HN260" i="27"/>
  <c r="HN176" i="27"/>
  <c r="HN92" i="27"/>
  <c r="EO92" i="27"/>
  <c r="EO260" i="27"/>
  <c r="EO176" i="27"/>
  <c r="BY260" i="27"/>
  <c r="BY92" i="27"/>
  <c r="BY176" i="27"/>
  <c r="HE92" i="27"/>
  <c r="HE260" i="27"/>
  <c r="HE176" i="27"/>
  <c r="FY92" i="27"/>
  <c r="FY260" i="27"/>
  <c r="FY176" i="27"/>
  <c r="DL260" i="27"/>
  <c r="DL92" i="27"/>
  <c r="DL176" i="27"/>
  <c r="BP260" i="27"/>
  <c r="BP176" i="27"/>
  <c r="BP92" i="27"/>
  <c r="AJ260" i="27"/>
  <c r="AJ176" i="27"/>
  <c r="AJ92" i="27"/>
  <c r="HL260" i="27"/>
  <c r="HL92" i="27"/>
  <c r="HL176" i="27"/>
  <c r="GF260" i="27"/>
  <c r="GF92" i="27"/>
  <c r="GF176" i="27"/>
  <c r="EZ260" i="27"/>
  <c r="EZ92" i="27"/>
  <c r="EZ176" i="27"/>
  <c r="EJ260" i="27"/>
  <c r="EJ176" i="27"/>
  <c r="EJ92" i="27"/>
  <c r="CQ260" i="27"/>
  <c r="CQ92" i="27"/>
  <c r="CQ176" i="27"/>
  <c r="I176" i="27"/>
  <c r="I260" i="27"/>
  <c r="I92" i="27"/>
  <c r="Z260" i="27"/>
  <c r="Z176" i="27"/>
  <c r="Z92" i="27"/>
  <c r="DJ260" i="27"/>
  <c r="DJ176" i="27"/>
  <c r="DJ92" i="27"/>
  <c r="HJ176" i="27"/>
  <c r="HJ260" i="27"/>
  <c r="HJ92" i="27"/>
  <c r="IH260" i="27"/>
  <c r="IH92" i="27"/>
  <c r="IH176" i="27"/>
  <c r="CT260" i="27"/>
  <c r="CT176" i="27"/>
  <c r="CT92" i="27"/>
  <c r="DI92" i="27"/>
  <c r="DI260" i="27"/>
  <c r="DI176" i="27"/>
  <c r="AW260" i="27"/>
  <c r="AW176" i="27"/>
  <c r="AW92" i="27"/>
  <c r="Q260" i="27"/>
  <c r="Q92" i="27"/>
  <c r="Q176" i="27"/>
  <c r="GC92" i="27"/>
  <c r="GC176" i="27"/>
  <c r="GC260" i="27"/>
  <c r="EC92" i="27"/>
  <c r="EC260" i="27"/>
  <c r="EC176" i="27"/>
  <c r="CX260" i="27"/>
  <c r="CX176" i="27"/>
  <c r="CX92" i="27"/>
  <c r="AL260" i="27"/>
  <c r="AL176" i="27"/>
  <c r="AL92" i="27"/>
  <c r="ID260" i="27"/>
  <c r="ID176" i="27"/>
  <c r="ID92" i="27"/>
  <c r="GX176" i="27"/>
  <c r="GX260" i="27"/>
  <c r="GX92" i="27"/>
  <c r="FR260" i="27"/>
  <c r="FR176" i="27"/>
  <c r="FR92" i="27"/>
  <c r="CO176" i="27"/>
  <c r="CO260" i="27"/>
  <c r="CO92" i="27"/>
  <c r="BI92" i="27"/>
  <c r="BI260" i="27"/>
  <c r="BI176" i="27"/>
  <c r="AC176" i="27"/>
  <c r="AC260" i="27"/>
  <c r="AC92" i="27"/>
  <c r="HU92" i="27"/>
  <c r="HU260" i="27"/>
  <c r="HU176" i="27"/>
  <c r="DT260" i="27"/>
  <c r="DT176" i="27"/>
  <c r="DT92" i="27"/>
  <c r="J260" i="27"/>
  <c r="J92" i="27"/>
  <c r="J176" i="27"/>
  <c r="BF260" i="27"/>
  <c r="BF176" i="27"/>
  <c r="BF92" i="27"/>
  <c r="K260" i="27"/>
  <c r="K92" i="27"/>
  <c r="K176" i="27"/>
  <c r="CD260" i="27"/>
  <c r="CD176" i="27"/>
  <c r="CD92" i="27"/>
  <c r="GD260" i="27"/>
  <c r="GD176" i="27"/>
  <c r="GD92" i="27"/>
  <c r="DB260" i="27"/>
  <c r="DB176" i="27"/>
  <c r="DB92" i="27"/>
  <c r="HB260" i="27"/>
  <c r="HB92" i="27"/>
  <c r="HB176" i="27"/>
  <c r="BN260" i="27"/>
  <c r="BN92" i="27"/>
  <c r="BN176" i="27"/>
  <c r="FM92" i="27"/>
  <c r="FM176" i="27"/>
  <c r="FM260" i="27"/>
  <c r="DA92" i="27"/>
  <c r="DA260" i="27"/>
  <c r="DA176" i="27"/>
  <c r="BU176" i="27"/>
  <c r="BU92" i="27"/>
  <c r="BU260" i="27"/>
  <c r="AO176" i="27"/>
  <c r="AO260" i="27"/>
  <c r="AO92" i="27"/>
  <c r="IG92" i="27"/>
  <c r="IG260" i="27"/>
  <c r="IG176" i="27"/>
  <c r="HA92" i="27"/>
  <c r="HA260" i="27"/>
  <c r="HA176" i="27"/>
  <c r="FU92" i="27"/>
  <c r="FU260" i="27"/>
  <c r="FU176" i="27"/>
  <c r="DV260" i="27"/>
  <c r="DV176" i="27"/>
  <c r="DV92" i="27"/>
  <c r="CP260" i="27"/>
  <c r="CP176" i="27"/>
  <c r="CP92" i="27"/>
  <c r="BJ176" i="27"/>
  <c r="BJ260" i="27"/>
  <c r="BJ92" i="27"/>
  <c r="AD176" i="27"/>
  <c r="AD260" i="27"/>
  <c r="AD92" i="27"/>
  <c r="HV260" i="27"/>
  <c r="HV176" i="27"/>
  <c r="HV92" i="27"/>
  <c r="GP260" i="27"/>
  <c r="GP92" i="27"/>
  <c r="GP176" i="27"/>
  <c r="FE92" i="27"/>
  <c r="FE260" i="27"/>
  <c r="FE176" i="27"/>
  <c r="DM176" i="27"/>
  <c r="DM92" i="27"/>
  <c r="DM260" i="27"/>
  <c r="CG260" i="27"/>
  <c r="CG176" i="27"/>
  <c r="CG92" i="27"/>
  <c r="BA92" i="27"/>
  <c r="BA260" i="27"/>
  <c r="BA176" i="27"/>
  <c r="U92" i="27"/>
  <c r="U260" i="27"/>
  <c r="U176" i="27"/>
  <c r="HM92" i="27"/>
  <c r="HM176" i="27"/>
  <c r="HM260" i="27"/>
  <c r="GG92" i="27"/>
  <c r="GG176" i="27"/>
  <c r="GG260" i="27"/>
  <c r="EK92" i="27"/>
  <c r="EK260" i="27"/>
  <c r="EK176" i="27"/>
  <c r="DP260" i="27"/>
  <c r="DP176" i="27"/>
  <c r="DP92" i="27"/>
  <c r="CZ260" i="27"/>
  <c r="CZ92" i="27"/>
  <c r="CZ176" i="27"/>
  <c r="CJ260" i="27"/>
  <c r="CJ92" i="27"/>
  <c r="CJ176" i="27"/>
  <c r="BT260" i="27"/>
  <c r="BT92" i="27"/>
  <c r="BT176" i="27"/>
  <c r="BD260" i="27"/>
  <c r="BD176" i="27"/>
  <c r="BD92" i="27"/>
  <c r="AN260" i="27"/>
  <c r="AN176" i="27"/>
  <c r="AN92" i="27"/>
  <c r="X260" i="27"/>
  <c r="X176" i="27"/>
  <c r="X92" i="27"/>
  <c r="IF260" i="27"/>
  <c r="IF176" i="27"/>
  <c r="IF92" i="27"/>
  <c r="HP260" i="27"/>
  <c r="HP176" i="27"/>
  <c r="HP92" i="27"/>
  <c r="GZ260" i="27"/>
  <c r="GZ92" i="27"/>
  <c r="GZ176" i="27"/>
  <c r="GJ260" i="27"/>
  <c r="GJ92" i="27"/>
  <c r="GJ176" i="27"/>
  <c r="FT260" i="27"/>
  <c r="FT92" i="27"/>
  <c r="FT176" i="27"/>
  <c r="FD92" i="27"/>
  <c r="FD176" i="27"/>
  <c r="FD260" i="27"/>
  <c r="EN260" i="27"/>
  <c r="EN92" i="27"/>
  <c r="EN176" i="27"/>
  <c r="EA260" i="27"/>
  <c r="EA176" i="27"/>
  <c r="EA92" i="27"/>
  <c r="DK260" i="27"/>
  <c r="DK176" i="27"/>
  <c r="DK92" i="27"/>
  <c r="CU260" i="27"/>
  <c r="CU176" i="27"/>
  <c r="CU92" i="27"/>
  <c r="CE260" i="27"/>
  <c r="CE176" i="27"/>
  <c r="CE92" i="27"/>
  <c r="BO260" i="27"/>
  <c r="BO176" i="27"/>
  <c r="BO92" i="27"/>
  <c r="AY260" i="27"/>
  <c r="AY176" i="27"/>
  <c r="AY92" i="27"/>
  <c r="AI260" i="27"/>
  <c r="AI176" i="27"/>
  <c r="AI92" i="27"/>
  <c r="S260" i="27"/>
  <c r="S176" i="27"/>
  <c r="S92" i="27"/>
  <c r="IA260" i="27"/>
  <c r="IA176" i="27"/>
  <c r="IA92" i="27"/>
  <c r="HK260" i="27"/>
  <c r="HK92" i="27"/>
  <c r="HK176" i="27"/>
  <c r="GU260" i="27"/>
  <c r="GU92" i="27"/>
  <c r="GU176" i="27"/>
  <c r="GE260" i="27"/>
  <c r="GE92" i="27"/>
  <c r="GE176" i="27"/>
  <c r="FO260" i="27"/>
  <c r="FO92" i="27"/>
  <c r="FO176" i="27"/>
  <c r="EY260" i="27"/>
  <c r="EY92" i="27"/>
  <c r="EY176" i="27"/>
  <c r="EI176" i="27"/>
  <c r="EI92" i="27"/>
  <c r="EI260" i="27"/>
  <c r="FF260" i="27"/>
  <c r="FF176" i="27"/>
  <c r="FF92" i="27"/>
  <c r="EP260" i="27"/>
  <c r="EP92" i="27"/>
  <c r="EP176" i="27"/>
  <c r="AA263" i="14"/>
  <c r="AA264" i="14"/>
  <c r="AA268" i="14"/>
  <c r="AA269" i="14"/>
  <c r="AA270" i="14"/>
  <c r="AA271" i="14"/>
  <c r="AA272" i="14"/>
  <c r="AA273" i="14"/>
  <c r="AA274" i="14"/>
  <c r="Z263" i="14"/>
  <c r="Z264" i="14"/>
  <c r="Z265" i="14"/>
  <c r="Z266" i="14"/>
  <c r="Z267" i="14"/>
  <c r="Z268" i="14"/>
  <c r="Z269" i="14"/>
  <c r="Z270" i="14"/>
  <c r="Z271" i="14"/>
  <c r="Z272" i="14"/>
  <c r="Z273" i="14"/>
  <c r="Z274" i="14"/>
  <c r="R264" i="14" l="1"/>
  <c r="H27" i="14"/>
  <c r="K27" i="14" s="1"/>
  <c r="H26" i="14"/>
  <c r="K26" i="14" s="1"/>
  <c r="H25" i="14"/>
  <c r="K25" i="14" s="1"/>
  <c r="H24" i="14"/>
  <c r="K24" i="14" s="1"/>
  <c r="H23" i="14"/>
  <c r="K23" i="14" s="1"/>
  <c r="H22" i="14"/>
  <c r="K22" i="14" s="1"/>
  <c r="H21" i="14"/>
  <c r="K21" i="14" s="1"/>
  <c r="H20" i="14"/>
  <c r="K20" i="14" s="1"/>
  <c r="H19" i="14"/>
  <c r="K19" i="14" s="1"/>
  <c r="H18" i="14"/>
  <c r="K18" i="14" s="1"/>
  <c r="R262" i="14" l="1"/>
  <c r="AA262" i="14" l="1"/>
  <c r="Z262" i="14"/>
  <c r="Z275" i="14" s="1"/>
  <c r="T11" i="20" s="1"/>
  <c r="N176" i="11"/>
  <c r="E116" i="22" l="1"/>
  <c r="D116" i="22"/>
  <c r="E125" i="31" l="1"/>
  <c r="B386" i="27" l="1"/>
  <c r="A386" i="27" s="1"/>
  <c r="B385" i="27"/>
  <c r="A385" i="27" s="1"/>
  <c r="B383" i="27"/>
  <c r="A383" i="27" s="1"/>
  <c r="B381" i="27"/>
  <c r="A381" i="27" s="1"/>
  <c r="B380" i="27"/>
  <c r="A380" i="27" s="1"/>
  <c r="B378" i="27"/>
  <c r="A378" i="27" s="1"/>
  <c r="B376" i="27"/>
  <c r="A376" i="27" s="1"/>
  <c r="B375" i="27"/>
  <c r="A375" i="27" s="1"/>
  <c r="B373" i="27"/>
  <c r="A373" i="27" s="1"/>
  <c r="B371" i="27"/>
  <c r="A371" i="27" s="1"/>
  <c r="B369" i="27"/>
  <c r="A369" i="27" s="1"/>
  <c r="C123" i="31"/>
  <c r="A372" i="27"/>
  <c r="A374" i="27"/>
  <c r="A377" i="27"/>
  <c r="A379" i="27"/>
  <c r="A382" i="27"/>
  <c r="A384" i="27"/>
  <c r="A346" i="27"/>
  <c r="A347" i="27"/>
  <c r="A348" i="27"/>
  <c r="A349" i="27"/>
  <c r="A350" i="27"/>
  <c r="A351" i="27"/>
  <c r="A352" i="27"/>
  <c r="A353" i="27"/>
  <c r="A354" i="27"/>
  <c r="A355" i="27"/>
  <c r="A356" i="27"/>
  <c r="A357" i="27"/>
  <c r="A358" i="27"/>
  <c r="A359" i="27"/>
  <c r="A360" i="27"/>
  <c r="A361" i="27"/>
  <c r="A362" i="27"/>
  <c r="A363" i="27"/>
  <c r="A364" i="27"/>
  <c r="A365" i="27"/>
  <c r="A366" i="27"/>
  <c r="A367" i="27"/>
  <c r="A368" i="27"/>
  <c r="A345" i="27"/>
  <c r="C371" i="27"/>
  <c r="C376" i="27"/>
  <c r="BP401" i="23" l="1"/>
  <c r="G54" i="31"/>
  <c r="G53" i="31"/>
  <c r="C56" i="31"/>
  <c r="C54" i="31"/>
  <c r="C53" i="31"/>
  <c r="O53" i="31"/>
  <c r="C386" i="27"/>
  <c r="C381" i="27"/>
  <c r="C102" i="31" l="1"/>
  <c r="C89" i="31"/>
  <c r="F57" i="31" l="1"/>
  <c r="C57" i="31"/>
  <c r="F50" i="31"/>
  <c r="D50" i="31"/>
  <c r="C48" i="31"/>
  <c r="D46" i="31"/>
  <c r="D103" i="31"/>
  <c r="C76" i="31"/>
  <c r="E123" i="31"/>
  <c r="D118" i="31"/>
  <c r="D116" i="31"/>
  <c r="C118" i="31"/>
  <c r="C116" i="31"/>
  <c r="H94" i="31"/>
  <c r="H92" i="31"/>
  <c r="H90" i="31"/>
  <c r="H107" i="31"/>
  <c r="H105" i="31"/>
  <c r="H103" i="31"/>
  <c r="J107" i="31"/>
  <c r="J105" i="31"/>
  <c r="J103" i="31"/>
  <c r="J90" i="31"/>
  <c r="J94" i="31"/>
  <c r="J92" i="31"/>
  <c r="D90" i="31"/>
  <c r="C83" i="31"/>
  <c r="B406" i="23"/>
  <c r="B407" i="23"/>
  <c r="B408" i="23"/>
  <c r="B409" i="23"/>
  <c r="B410" i="23"/>
  <c r="B405" i="23"/>
  <c r="B402" i="23"/>
  <c r="B403" i="23"/>
  <c r="B401" i="23"/>
  <c r="B411" i="23" l="1"/>
  <c r="K181" i="26"/>
  <c r="K184" i="26"/>
  <c r="C125" i="31"/>
  <c r="CV5" i="27" l="1"/>
  <c r="D130" i="31"/>
  <c r="D132" i="31"/>
  <c r="W102" i="31"/>
  <c r="W89" i="31"/>
  <c r="W76" i="31"/>
  <c r="O12" i="31" l="1"/>
  <c r="O10" i="31"/>
  <c r="N12" i="31"/>
  <c r="N10" i="31"/>
  <c r="T92" i="31" l="1"/>
  <c r="F89" i="31"/>
  <c r="F102" i="31"/>
  <c r="T79" i="31"/>
  <c r="T105" i="31"/>
  <c r="F76" i="31"/>
  <c r="O140" i="11" l="1"/>
  <c r="G138" i="11"/>
  <c r="G137" i="11"/>
  <c r="I135" i="11"/>
  <c r="E134" i="11"/>
  <c r="E133" i="11"/>
  <c r="N37" i="31"/>
  <c r="L29" i="31"/>
  <c r="J29" i="31"/>
  <c r="I62" i="31" l="1"/>
  <c r="D395" i="23" l="1"/>
  <c r="BR403" i="23" l="1"/>
  <c r="BP403" i="23"/>
  <c r="BS401" i="23"/>
  <c r="BS402" i="23"/>
  <c r="BS403" i="23"/>
  <c r="BS405" i="23"/>
  <c r="BS406" i="23"/>
  <c r="BS407" i="23"/>
  <c r="BS408" i="23"/>
  <c r="BS409" i="23"/>
  <c r="BS410" i="23"/>
  <c r="BR402" i="23"/>
  <c r="BR405" i="23"/>
  <c r="BR406" i="23"/>
  <c r="BR407" i="23"/>
  <c r="BR408" i="23"/>
  <c r="BR409" i="23"/>
  <c r="BR410" i="23"/>
  <c r="BR401" i="23"/>
  <c r="BQ401" i="23"/>
  <c r="BP406" i="23"/>
  <c r="BP407" i="23"/>
  <c r="BP408" i="23"/>
  <c r="BP409" i="23"/>
  <c r="BP410" i="23"/>
  <c r="BP405" i="23"/>
  <c r="BP402" i="23"/>
  <c r="BQ410" i="23"/>
  <c r="BQ406" i="23"/>
  <c r="BQ402" i="23"/>
  <c r="BQ408" i="23"/>
  <c r="BQ405" i="23"/>
  <c r="BQ407" i="23"/>
  <c r="BQ409" i="23"/>
  <c r="BQ403" i="23"/>
  <c r="C399" i="23"/>
  <c r="D397" i="23"/>
  <c r="C410" i="23"/>
  <c r="E410" i="23" s="1"/>
  <c r="C409" i="23"/>
  <c r="E409" i="23" s="1"/>
  <c r="C408" i="23"/>
  <c r="E408" i="23" s="1"/>
  <c r="C407" i="23"/>
  <c r="E407" i="23" s="1"/>
  <c r="C406" i="23"/>
  <c r="E406" i="23" s="1"/>
  <c r="BP411" i="23" l="1"/>
  <c r="BQ411" i="23"/>
  <c r="BR411" i="23"/>
  <c r="C405" i="23"/>
  <c r="S143" i="11" l="1"/>
  <c r="H143" i="11"/>
  <c r="E405" i="23"/>
  <c r="C403" i="23"/>
  <c r="E403" i="23" s="1"/>
  <c r="C402" i="23"/>
  <c r="E402" i="23" s="1"/>
  <c r="C401" i="23"/>
  <c r="E401" i="23" s="1"/>
  <c r="C393" i="23"/>
  <c r="H39" i="31" l="1"/>
  <c r="E5" i="12" l="1"/>
  <c r="Q68" i="22" l="1"/>
  <c r="Q67" i="22"/>
  <c r="Q69" i="22"/>
  <c r="Q70" i="22"/>
  <c r="A29" i="19" l="1"/>
  <c r="C34" i="14"/>
  <c r="F34" i="14" s="1"/>
  <c r="C33" i="14"/>
  <c r="F33" i="14" s="1"/>
  <c r="C19" i="14"/>
  <c r="F19" i="14" s="1"/>
  <c r="C18" i="14"/>
  <c r="F18" i="14" s="1"/>
  <c r="C32" i="14"/>
  <c r="F32" i="14" s="1"/>
  <c r="C31" i="14"/>
  <c r="F31" i="14" s="1"/>
  <c r="C30" i="14"/>
  <c r="F30" i="14" s="1"/>
  <c r="C28" i="14"/>
  <c r="F28" i="14" s="1"/>
  <c r="C29" i="14"/>
  <c r="F29" i="14" s="1"/>
  <c r="C419" i="23" l="1"/>
  <c r="C420" i="23"/>
  <c r="C417" i="23"/>
  <c r="C416" i="23"/>
  <c r="C418" i="23"/>
  <c r="V186" i="11" l="1"/>
  <c r="F681" i="23"/>
  <c r="E81" i="12"/>
  <c r="F81" i="12" s="1"/>
  <c r="E82" i="12"/>
  <c r="G82" i="12" s="1"/>
  <c r="E83" i="12"/>
  <c r="F83" i="12" s="1"/>
  <c r="E80" i="12"/>
  <c r="G80" i="12" s="1"/>
  <c r="E77" i="12"/>
  <c r="E78" i="12"/>
  <c r="E79" i="12"/>
  <c r="G79" i="12" s="1"/>
  <c r="E76" i="12"/>
  <c r="F76" i="12" s="1"/>
  <c r="E73" i="12"/>
  <c r="E74" i="12"/>
  <c r="E75" i="12"/>
  <c r="F75" i="12" s="1"/>
  <c r="E72" i="12"/>
  <c r="F72" i="12" s="1"/>
  <c r="E70" i="12"/>
  <c r="G70" i="12" s="1"/>
  <c r="E71" i="12"/>
  <c r="E69" i="12"/>
  <c r="F69" i="12" s="1"/>
  <c r="E67" i="12"/>
  <c r="F67" i="12" s="1"/>
  <c r="E68" i="12"/>
  <c r="F68" i="12" s="1"/>
  <c r="E66" i="12"/>
  <c r="G66" i="12" s="1"/>
  <c r="E65" i="12"/>
  <c r="F65" i="12" s="1"/>
  <c r="E64" i="12"/>
  <c r="F64" i="12" s="1"/>
  <c r="E63" i="12"/>
  <c r="F63" i="12" s="1"/>
  <c r="E6" i="12"/>
  <c r="F6" i="12" s="1"/>
  <c r="E7" i="12"/>
  <c r="F7" i="12" s="1"/>
  <c r="E8" i="12"/>
  <c r="F8" i="12" s="1"/>
  <c r="E9" i="12"/>
  <c r="G9" i="12" s="1"/>
  <c r="E10" i="12"/>
  <c r="G10" i="12" s="1"/>
  <c r="E11" i="12"/>
  <c r="F11" i="12" s="1"/>
  <c r="E12" i="12"/>
  <c r="F12" i="12" s="1"/>
  <c r="E13" i="12"/>
  <c r="E14" i="12"/>
  <c r="G14" i="12" s="1"/>
  <c r="F148" i="12" s="1"/>
  <c r="E15" i="12"/>
  <c r="F15" i="12" s="1"/>
  <c r="E16" i="12"/>
  <c r="F16" i="12" s="1"/>
  <c r="E17" i="12"/>
  <c r="F17" i="12" s="1"/>
  <c r="E18" i="12"/>
  <c r="E19" i="12"/>
  <c r="F19" i="12" s="1"/>
  <c r="E20" i="12"/>
  <c r="F20" i="12" s="1"/>
  <c r="E21" i="12"/>
  <c r="G21" i="12" s="1"/>
  <c r="E22" i="12"/>
  <c r="G22" i="12" s="1"/>
  <c r="E23" i="12"/>
  <c r="F23" i="12" s="1"/>
  <c r="E24" i="12"/>
  <c r="F24" i="12" s="1"/>
  <c r="E25" i="12"/>
  <c r="F25" i="12" s="1"/>
  <c r="E26" i="12"/>
  <c r="E27" i="12"/>
  <c r="F27" i="12" s="1"/>
  <c r="E28" i="12"/>
  <c r="G28" i="12" s="1"/>
  <c r="E29" i="12"/>
  <c r="G29" i="12" s="1"/>
  <c r="E30" i="12"/>
  <c r="E31" i="12"/>
  <c r="F31" i="12" s="1"/>
  <c r="E32" i="12"/>
  <c r="G32" i="12" s="1"/>
  <c r="E33" i="12"/>
  <c r="F33" i="12" s="1"/>
  <c r="E34" i="12"/>
  <c r="G34" i="12" s="1"/>
  <c r="E35" i="12"/>
  <c r="F35" i="12" s="1"/>
  <c r="E36" i="12"/>
  <c r="F36" i="12" s="1"/>
  <c r="E37" i="12"/>
  <c r="F37" i="12" s="1"/>
  <c r="E38" i="12"/>
  <c r="G38" i="12" s="1"/>
  <c r="E39" i="12"/>
  <c r="F39" i="12" s="1"/>
  <c r="E40" i="12"/>
  <c r="F40" i="12" s="1"/>
  <c r="E41" i="12"/>
  <c r="F41" i="12" s="1"/>
  <c r="E42" i="12"/>
  <c r="G42" i="12" s="1"/>
  <c r="E43" i="12"/>
  <c r="F43" i="12" s="1"/>
  <c r="E44" i="12"/>
  <c r="F44" i="12" s="1"/>
  <c r="E45" i="12"/>
  <c r="G45" i="12" s="1"/>
  <c r="E46" i="12"/>
  <c r="G46" i="12" s="1"/>
  <c r="E47" i="12"/>
  <c r="F47" i="12" s="1"/>
  <c r="E48" i="12"/>
  <c r="F48" i="12" s="1"/>
  <c r="E49" i="12"/>
  <c r="F49" i="12" s="1"/>
  <c r="E50" i="12"/>
  <c r="G50" i="12" s="1"/>
  <c r="E51" i="12"/>
  <c r="F51" i="12" s="1"/>
  <c r="E52" i="12"/>
  <c r="G52" i="12" s="1"/>
  <c r="E53" i="12"/>
  <c r="E54" i="12"/>
  <c r="G54" i="12" s="1"/>
  <c r="E55" i="12"/>
  <c r="F55" i="12" s="1"/>
  <c r="E56" i="12"/>
  <c r="F56" i="12" s="1"/>
  <c r="E57" i="12"/>
  <c r="F57" i="12" s="1"/>
  <c r="E58" i="12"/>
  <c r="G58" i="12" s="1"/>
  <c r="E59" i="12"/>
  <c r="F59" i="12" s="1"/>
  <c r="E60" i="12"/>
  <c r="F60" i="12" s="1"/>
  <c r="E61" i="12"/>
  <c r="F61" i="12" s="1"/>
  <c r="E62" i="12"/>
  <c r="G62" i="12" s="1"/>
  <c r="F5" i="12"/>
  <c r="Y234" i="26"/>
  <c r="Y233" i="26"/>
  <c r="Y232" i="26"/>
  <c r="Y231" i="26"/>
  <c r="Y230" i="26"/>
  <c r="Y179" i="26"/>
  <c r="Y183" i="26"/>
  <c r="Y182" i="26"/>
  <c r="Y181" i="26"/>
  <c r="Y180" i="26"/>
  <c r="V187" i="11"/>
  <c r="V188" i="11"/>
  <c r="V189" i="11"/>
  <c r="V190" i="11"/>
  <c r="Q251" i="14"/>
  <c r="AC251" i="14" s="1"/>
  <c r="D252" i="14"/>
  <c r="A40" i="35" s="1"/>
  <c r="D251" i="14"/>
  <c r="A39" i="35" s="1"/>
  <c r="O6" i="26"/>
  <c r="F97" i="11"/>
  <c r="C123" i="20"/>
  <c r="C121" i="20"/>
  <c r="C119" i="20"/>
  <c r="C117" i="20"/>
  <c r="C115" i="20"/>
  <c r="AC86" i="14"/>
  <c r="K329" i="14"/>
  <c r="K330" i="14"/>
  <c r="K319" i="14"/>
  <c r="K320" i="14"/>
  <c r="K321" i="14"/>
  <c r="K322" i="14"/>
  <c r="K323" i="14"/>
  <c r="K312" i="14"/>
  <c r="K313" i="14"/>
  <c r="K314" i="14"/>
  <c r="K315" i="14"/>
  <c r="K316" i="14"/>
  <c r="K301" i="14"/>
  <c r="K302" i="14"/>
  <c r="K303" i="14"/>
  <c r="K295" i="14"/>
  <c r="K296" i="14"/>
  <c r="K297" i="14"/>
  <c r="K298" i="14"/>
  <c r="K299" i="14"/>
  <c r="K300" i="14"/>
  <c r="K282" i="14"/>
  <c r="K283" i="14"/>
  <c r="K284" i="14"/>
  <c r="K285" i="14"/>
  <c r="K286" i="14"/>
  <c r="K287" i="14"/>
  <c r="K288" i="14"/>
  <c r="K289" i="14"/>
  <c r="K290" i="14"/>
  <c r="K291" i="14"/>
  <c r="K292" i="14"/>
  <c r="K293" i="14"/>
  <c r="K294" i="14"/>
  <c r="J98" i="19"/>
  <c r="J108" i="19"/>
  <c r="J105" i="19"/>
  <c r="J109" i="19"/>
  <c r="J99" i="19"/>
  <c r="J100" i="19"/>
  <c r="J101" i="19"/>
  <c r="J102" i="19"/>
  <c r="J103" i="19"/>
  <c r="J104" i="19"/>
  <c r="R75" i="14"/>
  <c r="D9" i="35" s="1"/>
  <c r="E9" i="35" s="1"/>
  <c r="K261" i="14"/>
  <c r="N261" i="14"/>
  <c r="M261" i="14"/>
  <c r="L261" i="14"/>
  <c r="A291" i="27"/>
  <c r="C289" i="27"/>
  <c r="E289" i="27" s="1"/>
  <c r="C287" i="27"/>
  <c r="F287" i="27" s="1"/>
  <c r="C285" i="27"/>
  <c r="E286" i="27" s="1"/>
  <c r="B289" i="27"/>
  <c r="A289" i="27" s="1"/>
  <c r="B287" i="27"/>
  <c r="A288" i="27" s="1"/>
  <c r="B285" i="27"/>
  <c r="A286" i="27" s="1"/>
  <c r="D290" i="27"/>
  <c r="G289" i="27"/>
  <c r="D289" i="27"/>
  <c r="D288" i="27"/>
  <c r="G287" i="27"/>
  <c r="D287" i="27"/>
  <c r="D286" i="27"/>
  <c r="G285" i="27"/>
  <c r="D285" i="27"/>
  <c r="C205" i="27"/>
  <c r="F205" i="27" s="1"/>
  <c r="C203" i="27"/>
  <c r="E203" i="27" s="1"/>
  <c r="B205" i="27"/>
  <c r="A206" i="27" s="1"/>
  <c r="B203" i="27"/>
  <c r="A203" i="27" s="1"/>
  <c r="C201" i="27"/>
  <c r="F201" i="27" s="1"/>
  <c r="B201" i="27"/>
  <c r="A201" i="27" s="1"/>
  <c r="D206" i="27"/>
  <c r="G205" i="27"/>
  <c r="D205" i="27"/>
  <c r="D204" i="27"/>
  <c r="G203" i="27"/>
  <c r="D203" i="27"/>
  <c r="D202" i="27"/>
  <c r="G201" i="27"/>
  <c r="D201" i="27"/>
  <c r="C121" i="27"/>
  <c r="C119" i="27"/>
  <c r="E119" i="27" s="1"/>
  <c r="B121" i="27"/>
  <c r="A122" i="27" s="1"/>
  <c r="B119" i="27"/>
  <c r="A120" i="27" s="1"/>
  <c r="C117" i="27"/>
  <c r="B117" i="27"/>
  <c r="A118" i="27" s="1"/>
  <c r="C37" i="27"/>
  <c r="F37" i="27" s="1"/>
  <c r="H37" i="27" s="1"/>
  <c r="C35" i="27"/>
  <c r="F35" i="27" s="1"/>
  <c r="H35" i="27" s="1"/>
  <c r="B37" i="27"/>
  <c r="A37" i="27" s="1"/>
  <c r="B35" i="27"/>
  <c r="D122" i="27"/>
  <c r="G121" i="27"/>
  <c r="D121" i="27"/>
  <c r="D120" i="27"/>
  <c r="G119" i="27"/>
  <c r="D119" i="27"/>
  <c r="D118" i="27"/>
  <c r="G117" i="27"/>
  <c r="D117" i="27"/>
  <c r="C33" i="27"/>
  <c r="F33" i="27" s="1"/>
  <c r="H33" i="27" s="1"/>
  <c r="B33" i="27"/>
  <c r="A33" i="27" s="1"/>
  <c r="A40" i="27"/>
  <c r="A39" i="27"/>
  <c r="G37" i="27"/>
  <c r="D38" i="27"/>
  <c r="D37" i="27"/>
  <c r="G35" i="27"/>
  <c r="G33" i="27"/>
  <c r="D36" i="27"/>
  <c r="D35" i="27"/>
  <c r="M1252" i="23"/>
  <c r="L1252" i="23"/>
  <c r="J1252" i="23"/>
  <c r="I1252" i="23"/>
  <c r="D34" i="27"/>
  <c r="D33" i="27"/>
  <c r="L229" i="23"/>
  <c r="U653" i="11" s="1"/>
  <c r="U668" i="11" s="1"/>
  <c r="H659" i="11"/>
  <c r="J659" i="11" s="1"/>
  <c r="G660" i="11"/>
  <c r="H660" i="11" s="1"/>
  <c r="J660" i="11" s="1"/>
  <c r="F3" i="11"/>
  <c r="D60" i="14"/>
  <c r="D258" i="14" s="1"/>
  <c r="A43" i="25"/>
  <c r="A44" i="25"/>
  <c r="A45" i="25"/>
  <c r="A46" i="25"/>
  <c r="A47" i="25"/>
  <c r="A48" i="25"/>
  <c r="A49" i="25"/>
  <c r="L42" i="25"/>
  <c r="Q45" i="25"/>
  <c r="Q46" i="25"/>
  <c r="Q47" i="25"/>
  <c r="Q48" i="25"/>
  <c r="Q44" i="25"/>
  <c r="O13" i="25"/>
  <c r="O12" i="25"/>
  <c r="GA98" i="26"/>
  <c r="FZ100" i="26" s="1"/>
  <c r="DD116" i="26" s="1"/>
  <c r="K67" i="14"/>
  <c r="H109" i="26"/>
  <c r="G81" i="26"/>
  <c r="J1068" i="23"/>
  <c r="H1068" i="23"/>
  <c r="F288" i="11"/>
  <c r="J849" i="23"/>
  <c r="H849" i="23"/>
  <c r="F935" i="23"/>
  <c r="D20" i="26" s="1"/>
  <c r="F972" i="23"/>
  <c r="F969" i="23"/>
  <c r="F938" i="23"/>
  <c r="CE2" i="26"/>
  <c r="CE1" i="26"/>
  <c r="A103" i="25"/>
  <c r="A124" i="25"/>
  <c r="A125" i="25"/>
  <c r="A131" i="25"/>
  <c r="A134" i="25"/>
  <c r="A122" i="25"/>
  <c r="A123" i="25"/>
  <c r="A129" i="25"/>
  <c r="A135" i="25"/>
  <c r="A136" i="25"/>
  <c r="A139" i="25"/>
  <c r="A130" i="25"/>
  <c r="J27" i="25"/>
  <c r="M20" i="25"/>
  <c r="A102" i="25"/>
  <c r="A84" i="25"/>
  <c r="A105" i="25"/>
  <c r="A104" i="25"/>
  <c r="P66" i="25"/>
  <c r="P65" i="25"/>
  <c r="P64" i="25"/>
  <c r="P63" i="25"/>
  <c r="P62" i="25"/>
  <c r="P61" i="25"/>
  <c r="P60" i="25"/>
  <c r="P59" i="25"/>
  <c r="P58" i="25"/>
  <c r="P57" i="25"/>
  <c r="P56" i="25"/>
  <c r="P55" i="25"/>
  <c r="P54" i="25"/>
  <c r="P53" i="25"/>
  <c r="A51" i="25"/>
  <c r="A50" i="25"/>
  <c r="A85" i="25"/>
  <c r="A86" i="25"/>
  <c r="H17" i="20"/>
  <c r="P4" i="23"/>
  <c r="V68" i="14"/>
  <c r="V69" i="14"/>
  <c r="V70" i="14"/>
  <c r="V71" i="14"/>
  <c r="V67" i="14"/>
  <c r="O286" i="23"/>
  <c r="C17" i="27"/>
  <c r="C21" i="27"/>
  <c r="D13" i="23"/>
  <c r="E6" i="26"/>
  <c r="D38" i="11"/>
  <c r="D34" i="11"/>
  <c r="D30" i="11"/>
  <c r="L193" i="26"/>
  <c r="C130" i="25"/>
  <c r="F180" i="26"/>
  <c r="F177" i="26"/>
  <c r="C140" i="25"/>
  <c r="B140" i="25" s="1"/>
  <c r="A140" i="25" s="1"/>
  <c r="CG108" i="26"/>
  <c r="DJ95" i="26"/>
  <c r="DJ98" i="26"/>
  <c r="DJ101" i="26"/>
  <c r="DJ104" i="26"/>
  <c r="DJ107" i="26"/>
  <c r="DJ108" i="26"/>
  <c r="CE108" i="26"/>
  <c r="FU66" i="26"/>
  <c r="FB66" i="26"/>
  <c r="EI66" i="26"/>
  <c r="DP66" i="26"/>
  <c r="CW66" i="26"/>
  <c r="K208" i="26"/>
  <c r="K259" i="26" s="1"/>
  <c r="K205" i="26"/>
  <c r="K256" i="26" s="1"/>
  <c r="K202" i="26"/>
  <c r="K253" i="26" s="1"/>
  <c r="K199" i="26"/>
  <c r="K250" i="26" s="1"/>
  <c r="K196" i="26"/>
  <c r="K247" i="26" s="1"/>
  <c r="K193" i="26"/>
  <c r="K244" i="26" s="1"/>
  <c r="K190" i="26"/>
  <c r="K241" i="26" s="1"/>
  <c r="K187" i="26"/>
  <c r="K238" i="26" s="1"/>
  <c r="K235" i="26"/>
  <c r="K232" i="26"/>
  <c r="N188" i="11"/>
  <c r="N185" i="11"/>
  <c r="N182" i="11"/>
  <c r="N179" i="11"/>
  <c r="O176" i="11"/>
  <c r="F174" i="26"/>
  <c r="F171" i="26"/>
  <c r="F168" i="26"/>
  <c r="W128" i="25"/>
  <c r="X128" i="25" s="1"/>
  <c r="C128" i="25"/>
  <c r="A128" i="25"/>
  <c r="A43" i="19"/>
  <c r="E466" i="26"/>
  <c r="CG87" i="26"/>
  <c r="AL24" i="26"/>
  <c r="I159" i="25"/>
  <c r="A30" i="19"/>
  <c r="A31" i="19"/>
  <c r="A33" i="19"/>
  <c r="A34" i="19"/>
  <c r="A35" i="19"/>
  <c r="A36" i="19"/>
  <c r="A7" i="19"/>
  <c r="O208" i="26"/>
  <c r="O205" i="26"/>
  <c r="O202" i="26"/>
  <c r="O199" i="26"/>
  <c r="O196" i="26"/>
  <c r="O193" i="26"/>
  <c r="O190" i="26"/>
  <c r="O187" i="26"/>
  <c r="O184" i="26"/>
  <c r="O181" i="26"/>
  <c r="E3" i="26"/>
  <c r="BW18" i="26" s="1"/>
  <c r="D31" i="26"/>
  <c r="BV144" i="26" s="1"/>
  <c r="M4" i="23"/>
  <c r="M4" i="11" s="1"/>
  <c r="M3" i="23"/>
  <c r="Q151" i="14"/>
  <c r="AC151" i="14" s="1"/>
  <c r="O51" i="14"/>
  <c r="D51" i="14"/>
  <c r="I66" i="23"/>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6" i="12"/>
  <c r="D5"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I34" i="12"/>
  <c r="L34" i="12" s="1"/>
  <c r="P34" i="12" s="1"/>
  <c r="S34" i="12"/>
  <c r="B35" i="12"/>
  <c r="I35" i="12"/>
  <c r="L35" i="12" s="1"/>
  <c r="P35" i="12" s="1"/>
  <c r="S35" i="12"/>
  <c r="B36" i="12"/>
  <c r="I36" i="12"/>
  <c r="L36" i="12" s="1"/>
  <c r="M36" i="12" s="1"/>
  <c r="N36" i="12" s="1"/>
  <c r="S36" i="12"/>
  <c r="B37" i="12"/>
  <c r="I37" i="12"/>
  <c r="L37" i="12" s="1"/>
  <c r="P37" i="12" s="1"/>
  <c r="S37" i="12"/>
  <c r="B38" i="12"/>
  <c r="I38" i="12"/>
  <c r="L38" i="12" s="1"/>
  <c r="P38" i="12" s="1"/>
  <c r="S38" i="12"/>
  <c r="B39" i="12"/>
  <c r="I39" i="12"/>
  <c r="L39" i="12" s="1"/>
  <c r="M39" i="12" s="1"/>
  <c r="N39" i="12" s="1"/>
  <c r="S39" i="12"/>
  <c r="B40" i="12"/>
  <c r="I40" i="12"/>
  <c r="L40" i="12" s="1"/>
  <c r="P40" i="12" s="1"/>
  <c r="S40" i="12"/>
  <c r="B41" i="12"/>
  <c r="I41" i="12"/>
  <c r="L41" i="12" s="1"/>
  <c r="S41" i="12"/>
  <c r="B42" i="12"/>
  <c r="I42" i="12"/>
  <c r="L42" i="12" s="1"/>
  <c r="M42" i="12" s="1"/>
  <c r="N42" i="12" s="1"/>
  <c r="S42" i="12"/>
  <c r="B43" i="12"/>
  <c r="I43" i="12"/>
  <c r="L43" i="12" s="1"/>
  <c r="M43" i="12" s="1"/>
  <c r="N43" i="12" s="1"/>
  <c r="S43" i="12"/>
  <c r="B44" i="12"/>
  <c r="I44" i="12"/>
  <c r="L44" i="12" s="1"/>
  <c r="P44" i="12" s="1"/>
  <c r="S44" i="12"/>
  <c r="B45" i="12"/>
  <c r="I45" i="12"/>
  <c r="L45" i="12" s="1"/>
  <c r="P45" i="12" s="1"/>
  <c r="S45" i="12"/>
  <c r="B46" i="12"/>
  <c r="I46" i="12"/>
  <c r="L46" i="12" s="1"/>
  <c r="S46" i="12"/>
  <c r="B47" i="12"/>
  <c r="I47" i="12"/>
  <c r="L47" i="12" s="1"/>
  <c r="M47" i="12" s="1"/>
  <c r="N47" i="12" s="1"/>
  <c r="S47" i="12"/>
  <c r="B48" i="12"/>
  <c r="I48" i="12"/>
  <c r="L48" i="12" s="1"/>
  <c r="P48" i="12" s="1"/>
  <c r="S48" i="12"/>
  <c r="B49" i="12"/>
  <c r="I49" i="12"/>
  <c r="L49" i="12" s="1"/>
  <c r="P49" i="12" s="1"/>
  <c r="S49" i="12"/>
  <c r="B50" i="12"/>
  <c r="I50" i="12"/>
  <c r="L50" i="12" s="1"/>
  <c r="S50" i="12"/>
  <c r="B51" i="12"/>
  <c r="I51" i="12"/>
  <c r="L51" i="12" s="1"/>
  <c r="M51" i="12" s="1"/>
  <c r="N51" i="12" s="1"/>
  <c r="S51" i="12"/>
  <c r="B52" i="12"/>
  <c r="I52" i="12"/>
  <c r="L52" i="12" s="1"/>
  <c r="M52" i="12" s="1"/>
  <c r="N52" i="12" s="1"/>
  <c r="S52" i="12"/>
  <c r="B53" i="12"/>
  <c r="I53" i="12"/>
  <c r="L53" i="12" s="1"/>
  <c r="S53" i="12"/>
  <c r="B54" i="12"/>
  <c r="I54" i="12"/>
  <c r="L54" i="12" s="1"/>
  <c r="M54" i="12" s="1"/>
  <c r="N54" i="12" s="1"/>
  <c r="S54" i="12"/>
  <c r="B55" i="12"/>
  <c r="I55" i="12"/>
  <c r="L55" i="12" s="1"/>
  <c r="M55" i="12" s="1"/>
  <c r="N55" i="12" s="1"/>
  <c r="S55" i="12"/>
  <c r="B56" i="12"/>
  <c r="I56" i="12"/>
  <c r="L56" i="12" s="1"/>
  <c r="M56" i="12" s="1"/>
  <c r="N56" i="12" s="1"/>
  <c r="S56" i="12"/>
  <c r="B57" i="12"/>
  <c r="I57" i="12"/>
  <c r="L57" i="12" s="1"/>
  <c r="M57" i="12" s="1"/>
  <c r="N57" i="12" s="1"/>
  <c r="S57" i="12"/>
  <c r="B58" i="12"/>
  <c r="I58" i="12"/>
  <c r="L58" i="12" s="1"/>
  <c r="M58" i="12" s="1"/>
  <c r="N58" i="12" s="1"/>
  <c r="S58" i="12"/>
  <c r="B59" i="12"/>
  <c r="I59" i="12"/>
  <c r="L59" i="12" s="1"/>
  <c r="S59" i="12"/>
  <c r="B60" i="12"/>
  <c r="I60" i="12"/>
  <c r="L60" i="12" s="1"/>
  <c r="P60" i="12" s="1"/>
  <c r="S60" i="12"/>
  <c r="B61" i="12"/>
  <c r="I61" i="12"/>
  <c r="L61" i="12" s="1"/>
  <c r="P61" i="12" s="1"/>
  <c r="S61" i="12"/>
  <c r="B62" i="12"/>
  <c r="I62" i="12"/>
  <c r="L62" i="12" s="1"/>
  <c r="P62" i="12" s="1"/>
  <c r="S62" i="12"/>
  <c r="B63" i="12"/>
  <c r="I63" i="12"/>
  <c r="L63" i="12" s="1"/>
  <c r="M63" i="12" s="1"/>
  <c r="N63" i="12" s="1"/>
  <c r="S63" i="12"/>
  <c r="B64" i="12"/>
  <c r="I64" i="12"/>
  <c r="L64" i="12" s="1"/>
  <c r="P64" i="12" s="1"/>
  <c r="S64" i="12"/>
  <c r="B65" i="12"/>
  <c r="I65" i="12"/>
  <c r="L65" i="12" s="1"/>
  <c r="M65" i="12" s="1"/>
  <c r="N65" i="12" s="1"/>
  <c r="S65" i="12"/>
  <c r="B66" i="12"/>
  <c r="I66" i="12"/>
  <c r="L66" i="12" s="1"/>
  <c r="P66" i="12" s="1"/>
  <c r="S66" i="12"/>
  <c r="B67" i="12"/>
  <c r="I67" i="12"/>
  <c r="L67" i="12" s="1"/>
  <c r="M67" i="12" s="1"/>
  <c r="N67" i="12" s="1"/>
  <c r="S67" i="12"/>
  <c r="B68" i="12"/>
  <c r="I68" i="12"/>
  <c r="L68" i="12" s="1"/>
  <c r="M68" i="12" s="1"/>
  <c r="N68" i="12" s="1"/>
  <c r="S68" i="12"/>
  <c r="B69" i="12"/>
  <c r="I69" i="12"/>
  <c r="L69" i="12" s="1"/>
  <c r="P69" i="12" s="1"/>
  <c r="S69" i="12"/>
  <c r="B70" i="12"/>
  <c r="I70" i="12"/>
  <c r="L70" i="12" s="1"/>
  <c r="S70" i="12"/>
  <c r="B71" i="12"/>
  <c r="I71" i="12"/>
  <c r="L71" i="12" s="1"/>
  <c r="M71" i="12" s="1"/>
  <c r="N71" i="12" s="1"/>
  <c r="S71" i="12"/>
  <c r="B72" i="12"/>
  <c r="I72" i="12"/>
  <c r="L72" i="12" s="1"/>
  <c r="P72" i="12" s="1"/>
  <c r="S72" i="12"/>
  <c r="B73" i="12"/>
  <c r="I73" i="12"/>
  <c r="L73" i="12" s="1"/>
  <c r="M73" i="12" s="1"/>
  <c r="N73" i="12" s="1"/>
  <c r="S73" i="12"/>
  <c r="B74" i="12"/>
  <c r="I74" i="12"/>
  <c r="L74" i="12" s="1"/>
  <c r="S74" i="12"/>
  <c r="B75" i="12"/>
  <c r="I75" i="12"/>
  <c r="L75" i="12" s="1"/>
  <c r="S75" i="12"/>
  <c r="B76" i="12"/>
  <c r="I76" i="12"/>
  <c r="L76" i="12" s="1"/>
  <c r="S76" i="12"/>
  <c r="B77" i="12"/>
  <c r="I77" i="12"/>
  <c r="L77" i="12" s="1"/>
  <c r="M77" i="12" s="1"/>
  <c r="N77" i="12" s="1"/>
  <c r="S77" i="12"/>
  <c r="B78" i="12"/>
  <c r="I78" i="12"/>
  <c r="L78" i="12" s="1"/>
  <c r="S78" i="12"/>
  <c r="B79" i="12"/>
  <c r="I79" i="12"/>
  <c r="L79" i="12" s="1"/>
  <c r="P79" i="12" s="1"/>
  <c r="S79" i="12"/>
  <c r="B80" i="12"/>
  <c r="I80" i="12"/>
  <c r="L80" i="12" s="1"/>
  <c r="P80" i="12" s="1"/>
  <c r="S80" i="12"/>
  <c r="B81" i="12"/>
  <c r="I81" i="12"/>
  <c r="L81" i="12" s="1"/>
  <c r="M81" i="12" s="1"/>
  <c r="N81" i="12" s="1"/>
  <c r="S81" i="12"/>
  <c r="B82" i="12"/>
  <c r="I82" i="12"/>
  <c r="L82" i="12" s="1"/>
  <c r="P82" i="12" s="1"/>
  <c r="S82" i="12"/>
  <c r="B83" i="12"/>
  <c r="I83" i="12"/>
  <c r="L83" i="12" s="1"/>
  <c r="P83" i="12" s="1"/>
  <c r="S83" i="12"/>
  <c r="B84" i="12"/>
  <c r="I84" i="12"/>
  <c r="L84" i="12" s="1"/>
  <c r="S84" i="12"/>
  <c r="B85" i="12"/>
  <c r="I85" i="12"/>
  <c r="L85" i="12" s="1"/>
  <c r="P85" i="12" s="1"/>
  <c r="S85" i="12"/>
  <c r="B86" i="12"/>
  <c r="I86" i="12"/>
  <c r="L86" i="12" s="1"/>
  <c r="M86" i="12" s="1"/>
  <c r="N86" i="12" s="1"/>
  <c r="S86" i="12"/>
  <c r="B87" i="12"/>
  <c r="I87" i="12"/>
  <c r="L87" i="12" s="1"/>
  <c r="P87" i="12" s="1"/>
  <c r="S87" i="12"/>
  <c r="B88" i="12"/>
  <c r="I88" i="12"/>
  <c r="L88" i="12" s="1"/>
  <c r="S88" i="12"/>
  <c r="B89" i="12"/>
  <c r="I89" i="12"/>
  <c r="L89" i="12" s="1"/>
  <c r="M89" i="12" s="1"/>
  <c r="N89" i="12" s="1"/>
  <c r="S89" i="12"/>
  <c r="B90" i="12"/>
  <c r="I90" i="12"/>
  <c r="L90" i="12" s="1"/>
  <c r="M90" i="12" s="1"/>
  <c r="N90" i="12" s="1"/>
  <c r="S90" i="12"/>
  <c r="B91" i="12"/>
  <c r="I91" i="12"/>
  <c r="L91" i="12" s="1"/>
  <c r="P91" i="12" s="1"/>
  <c r="S91" i="12"/>
  <c r="B92" i="12"/>
  <c r="I92" i="12"/>
  <c r="L92" i="12" s="1"/>
  <c r="M92" i="12" s="1"/>
  <c r="N92" i="12" s="1"/>
  <c r="S92" i="12"/>
  <c r="B93" i="12"/>
  <c r="I93" i="12"/>
  <c r="L93" i="12" s="1"/>
  <c r="M93" i="12" s="1"/>
  <c r="N93" i="12" s="1"/>
  <c r="S93" i="12"/>
  <c r="B94" i="12"/>
  <c r="I94" i="12"/>
  <c r="L94" i="12" s="1"/>
  <c r="S94" i="12"/>
  <c r="B95" i="12"/>
  <c r="I95" i="12"/>
  <c r="L95" i="12" s="1"/>
  <c r="P95" i="12" s="1"/>
  <c r="S95" i="12"/>
  <c r="B96" i="12"/>
  <c r="I96" i="12"/>
  <c r="L96" i="12" s="1"/>
  <c r="M96" i="12" s="1"/>
  <c r="N96" i="12" s="1"/>
  <c r="S96" i="12"/>
  <c r="B97" i="12"/>
  <c r="I97" i="12"/>
  <c r="L97" i="12" s="1"/>
  <c r="M97" i="12" s="1"/>
  <c r="N97" i="12" s="1"/>
  <c r="S97" i="12"/>
  <c r="B98" i="12"/>
  <c r="I98" i="12"/>
  <c r="L98" i="12" s="1"/>
  <c r="P98" i="12" s="1"/>
  <c r="S98" i="12"/>
  <c r="B99" i="12"/>
  <c r="I99" i="12"/>
  <c r="L99" i="12" s="1"/>
  <c r="M99" i="12" s="1"/>
  <c r="N99" i="12" s="1"/>
  <c r="S99" i="12"/>
  <c r="B100" i="12"/>
  <c r="I100" i="12"/>
  <c r="L100" i="12" s="1"/>
  <c r="M100" i="12" s="1"/>
  <c r="N100" i="12" s="1"/>
  <c r="S100" i="12"/>
  <c r="B101" i="12"/>
  <c r="I101" i="12"/>
  <c r="L101" i="12" s="1"/>
  <c r="S101" i="12"/>
  <c r="B102" i="12"/>
  <c r="I102" i="12"/>
  <c r="L102" i="12" s="1"/>
  <c r="M102" i="12" s="1"/>
  <c r="N102" i="12" s="1"/>
  <c r="S102" i="12"/>
  <c r="B103" i="12"/>
  <c r="I103" i="12"/>
  <c r="L103" i="12" s="1"/>
  <c r="P103" i="12" s="1"/>
  <c r="S103" i="12"/>
  <c r="B104" i="12"/>
  <c r="I104" i="12"/>
  <c r="L104" i="12" s="1"/>
  <c r="P104" i="12" s="1"/>
  <c r="S104" i="12"/>
  <c r="B105" i="12"/>
  <c r="I105" i="12"/>
  <c r="L105" i="12" s="1"/>
  <c r="P105" i="12" s="1"/>
  <c r="S105" i="12"/>
  <c r="B106" i="12"/>
  <c r="I106" i="12"/>
  <c r="L106" i="12" s="1"/>
  <c r="P106" i="12" s="1"/>
  <c r="S106" i="12"/>
  <c r="B107" i="12"/>
  <c r="I107" i="12"/>
  <c r="L107" i="12" s="1"/>
  <c r="S107" i="12"/>
  <c r="B108" i="12"/>
  <c r="I108" i="12"/>
  <c r="L108" i="12" s="1"/>
  <c r="P108" i="12" s="1"/>
  <c r="S108" i="12"/>
  <c r="B109" i="12"/>
  <c r="I109" i="12"/>
  <c r="L109" i="12" s="1"/>
  <c r="M109" i="12" s="1"/>
  <c r="N109" i="12" s="1"/>
  <c r="S109" i="12"/>
  <c r="B110" i="12"/>
  <c r="I110" i="12"/>
  <c r="L110" i="12" s="1"/>
  <c r="M110" i="12" s="1"/>
  <c r="N110" i="12" s="1"/>
  <c r="S110" i="12"/>
  <c r="B111" i="12"/>
  <c r="I111" i="12"/>
  <c r="L111" i="12" s="1"/>
  <c r="S111" i="12"/>
  <c r="B112" i="12"/>
  <c r="I112" i="12"/>
  <c r="L112" i="12" s="1"/>
  <c r="M112" i="12" s="1"/>
  <c r="N112" i="12" s="1"/>
  <c r="S112" i="12"/>
  <c r="B113" i="12"/>
  <c r="I113" i="12"/>
  <c r="L113" i="12" s="1"/>
  <c r="M113" i="12" s="1"/>
  <c r="N113" i="12" s="1"/>
  <c r="S113" i="12"/>
  <c r="B114" i="12"/>
  <c r="I114" i="12"/>
  <c r="L114" i="12" s="1"/>
  <c r="S114" i="12"/>
  <c r="B115" i="12"/>
  <c r="I115" i="12"/>
  <c r="L115" i="12" s="1"/>
  <c r="P115" i="12" s="1"/>
  <c r="S115" i="12"/>
  <c r="B116" i="12"/>
  <c r="I116" i="12"/>
  <c r="L116" i="12" s="1"/>
  <c r="P116" i="12" s="1"/>
  <c r="S116" i="12"/>
  <c r="B117" i="12"/>
  <c r="I117" i="12"/>
  <c r="L117" i="12" s="1"/>
  <c r="S117" i="12"/>
  <c r="B118" i="12"/>
  <c r="I118" i="12"/>
  <c r="L118" i="12" s="1"/>
  <c r="M118" i="12" s="1"/>
  <c r="N118" i="12" s="1"/>
  <c r="S118" i="12"/>
  <c r="B119" i="12"/>
  <c r="I119" i="12"/>
  <c r="L119" i="12" s="1"/>
  <c r="M119" i="12" s="1"/>
  <c r="N119" i="12" s="1"/>
  <c r="S119" i="12"/>
  <c r="B120" i="12"/>
  <c r="I120" i="12"/>
  <c r="L120" i="12" s="1"/>
  <c r="P120" i="12" s="1"/>
  <c r="S120" i="12"/>
  <c r="B121" i="12"/>
  <c r="I121" i="12"/>
  <c r="L121" i="12" s="1"/>
  <c r="S121" i="12"/>
  <c r="B122" i="12"/>
  <c r="I122" i="12"/>
  <c r="L122" i="12" s="1"/>
  <c r="M122" i="12" s="1"/>
  <c r="N122" i="12" s="1"/>
  <c r="S122" i="12"/>
  <c r="B123" i="12"/>
  <c r="I123" i="12"/>
  <c r="L123" i="12" s="1"/>
  <c r="S123" i="12"/>
  <c r="B124" i="12"/>
  <c r="I124" i="12"/>
  <c r="L124" i="12" s="1"/>
  <c r="S124" i="12"/>
  <c r="B125" i="12"/>
  <c r="Q32" i="23"/>
  <c r="I125" i="12"/>
  <c r="L125" i="12" s="1"/>
  <c r="P125" i="12" s="1"/>
  <c r="S125" i="12"/>
  <c r="B126" i="12"/>
  <c r="I126" i="12"/>
  <c r="L126" i="12" s="1"/>
  <c r="P126" i="12" s="1"/>
  <c r="S126" i="12"/>
  <c r="I179" i="25"/>
  <c r="AC41" i="14"/>
  <c r="AC42" i="14"/>
  <c r="AC43" i="14"/>
  <c r="AC44" i="14"/>
  <c r="AC48" i="14"/>
  <c r="AC49" i="14"/>
  <c r="AC52" i="14"/>
  <c r="L110" i="20"/>
  <c r="L111" i="20"/>
  <c r="C122" i="30"/>
  <c r="C120" i="30"/>
  <c r="C118" i="30"/>
  <c r="C116" i="30"/>
  <c r="C114" i="30"/>
  <c r="C112" i="30"/>
  <c r="C113" i="20"/>
  <c r="J766" i="23"/>
  <c r="H766" i="23"/>
  <c r="C766" i="23"/>
  <c r="S212" i="25"/>
  <c r="S178" i="25"/>
  <c r="F41" i="27"/>
  <c r="AL3" i="27"/>
  <c r="AL2" i="27"/>
  <c r="D294" i="27"/>
  <c r="D210" i="27"/>
  <c r="D126" i="27"/>
  <c r="A292" i="27"/>
  <c r="A208" i="27"/>
  <c r="A207" i="27"/>
  <c r="A124" i="27"/>
  <c r="A123" i="27"/>
  <c r="A342" i="27"/>
  <c r="E337" i="27"/>
  <c r="D296" i="27"/>
  <c r="A295" i="27"/>
  <c r="EI294" i="27"/>
  <c r="A294" i="27"/>
  <c r="A293" i="27"/>
  <c r="D282" i="27"/>
  <c r="G281" i="27"/>
  <c r="D281" i="27"/>
  <c r="C281" i="27"/>
  <c r="D276" i="27"/>
  <c r="G275" i="27"/>
  <c r="D275" i="27"/>
  <c r="C275" i="27"/>
  <c r="D274" i="27"/>
  <c r="G273" i="27"/>
  <c r="D273" i="27"/>
  <c r="A272" i="27"/>
  <c r="A271" i="27"/>
  <c r="A270" i="27"/>
  <c r="A269" i="27"/>
  <c r="A268" i="27"/>
  <c r="A267" i="27"/>
  <c r="A266" i="27"/>
  <c r="IE265" i="27"/>
  <c r="HX265" i="27"/>
  <c r="HQ265" i="27"/>
  <c r="HJ265" i="27"/>
  <c r="HC265" i="27"/>
  <c r="GV265" i="27"/>
  <c r="GO265" i="27"/>
  <c r="GH265" i="27"/>
  <c r="GA265" i="27"/>
  <c r="FT265" i="27"/>
  <c r="FM265" i="27"/>
  <c r="FF265" i="27"/>
  <c r="EY265" i="27"/>
  <c r="ER265" i="27"/>
  <c r="EK265" i="27"/>
  <c r="ED265" i="27"/>
  <c r="DW265" i="27"/>
  <c r="DP265" i="27"/>
  <c r="DI265" i="27"/>
  <c r="DB265" i="27"/>
  <c r="CU265" i="27"/>
  <c r="CN265" i="27"/>
  <c r="CG265" i="27"/>
  <c r="BZ265" i="27"/>
  <c r="BS265" i="27"/>
  <c r="BL265" i="27"/>
  <c r="BE265" i="27"/>
  <c r="AX265" i="27"/>
  <c r="AQ265" i="27"/>
  <c r="AJ265" i="27"/>
  <c r="AC265" i="27"/>
  <c r="V265" i="27"/>
  <c r="O265" i="27"/>
  <c r="H265" i="27"/>
  <c r="A258" i="27"/>
  <c r="E253" i="27"/>
  <c r="D212" i="27"/>
  <c r="A211" i="27"/>
  <c r="EI210" i="27"/>
  <c r="A210" i="27"/>
  <c r="A209" i="27"/>
  <c r="D198" i="27"/>
  <c r="G197" i="27"/>
  <c r="D197" i="27"/>
  <c r="C197" i="27"/>
  <c r="D192" i="27"/>
  <c r="G191" i="27"/>
  <c r="D191" i="27"/>
  <c r="C191" i="27"/>
  <c r="D190" i="27"/>
  <c r="G189" i="27"/>
  <c r="D189" i="27"/>
  <c r="A188" i="27"/>
  <c r="A187" i="27"/>
  <c r="A186" i="27"/>
  <c r="A185" i="27"/>
  <c r="A184" i="27"/>
  <c r="A183" i="27"/>
  <c r="A182" i="27"/>
  <c r="IE181" i="27"/>
  <c r="HX181" i="27"/>
  <c r="HQ181" i="27"/>
  <c r="HJ181" i="27"/>
  <c r="HC181" i="27"/>
  <c r="GV181" i="27"/>
  <c r="GO181" i="27"/>
  <c r="GH181" i="27"/>
  <c r="GA181" i="27"/>
  <c r="FT181" i="27"/>
  <c r="FM181" i="27"/>
  <c r="FF181" i="27"/>
  <c r="EY181" i="27"/>
  <c r="ER181" i="27"/>
  <c r="EK181" i="27"/>
  <c r="ED181" i="27"/>
  <c r="DW181" i="27"/>
  <c r="DP181" i="27"/>
  <c r="DI181" i="27"/>
  <c r="DB181" i="27"/>
  <c r="CU181" i="27"/>
  <c r="CN181" i="27"/>
  <c r="CG181" i="27"/>
  <c r="BZ181" i="27"/>
  <c r="BS181" i="27"/>
  <c r="BL181" i="27"/>
  <c r="BE181" i="27"/>
  <c r="AX181" i="27"/>
  <c r="AQ181" i="27"/>
  <c r="AJ181" i="27"/>
  <c r="AC181" i="27"/>
  <c r="V181" i="27"/>
  <c r="O181" i="27"/>
  <c r="H181" i="27"/>
  <c r="A175" i="27"/>
  <c r="D127" i="27"/>
  <c r="C130" i="27" s="1"/>
  <c r="A103" i="27"/>
  <c r="A102" i="27"/>
  <c r="A101" i="27"/>
  <c r="A100" i="27"/>
  <c r="A99" i="27"/>
  <c r="A98" i="27"/>
  <c r="A174" i="27"/>
  <c r="E169" i="27"/>
  <c r="D128" i="27"/>
  <c r="A127" i="27"/>
  <c r="EI126" i="27"/>
  <c r="A126" i="27"/>
  <c r="A125" i="27"/>
  <c r="D114" i="27"/>
  <c r="G113" i="27"/>
  <c r="D113" i="27"/>
  <c r="C113" i="27"/>
  <c r="D108" i="27"/>
  <c r="G107" i="27"/>
  <c r="D107" i="27"/>
  <c r="C107" i="27"/>
  <c r="D106" i="27"/>
  <c r="G105" i="27"/>
  <c r="D105" i="27"/>
  <c r="A104" i="27"/>
  <c r="IE97" i="27"/>
  <c r="HX97" i="27"/>
  <c r="HQ97" i="27"/>
  <c r="HJ97" i="27"/>
  <c r="HC97" i="27"/>
  <c r="GV97" i="27"/>
  <c r="GO97" i="27"/>
  <c r="GH97" i="27"/>
  <c r="GA97" i="27"/>
  <c r="FT97" i="27"/>
  <c r="FM97" i="27"/>
  <c r="FF97" i="27"/>
  <c r="EY97" i="27"/>
  <c r="ER97" i="27"/>
  <c r="EK97" i="27"/>
  <c r="ED97" i="27"/>
  <c r="DW97" i="27"/>
  <c r="DP97" i="27"/>
  <c r="DI97" i="27"/>
  <c r="DB97" i="27"/>
  <c r="CU97" i="27"/>
  <c r="CN97" i="27"/>
  <c r="CG97" i="27"/>
  <c r="BZ97" i="27"/>
  <c r="BS97" i="27"/>
  <c r="BL97" i="27"/>
  <c r="BE97" i="27"/>
  <c r="AX97" i="27"/>
  <c r="AQ97" i="27"/>
  <c r="AJ97" i="27"/>
  <c r="AC97" i="27"/>
  <c r="V97" i="27"/>
  <c r="O97" i="27"/>
  <c r="H97" i="27"/>
  <c r="D44" i="27"/>
  <c r="E85" i="27"/>
  <c r="E74" i="27"/>
  <c r="I1056" i="23"/>
  <c r="C214" i="25"/>
  <c r="BN5" i="27"/>
  <c r="D5" i="27"/>
  <c r="D4" i="27"/>
  <c r="B17" i="27"/>
  <c r="A17" i="27" s="1"/>
  <c r="B23" i="27"/>
  <c r="A23" i="27" s="1"/>
  <c r="B21" i="27"/>
  <c r="A19" i="27"/>
  <c r="A15" i="27"/>
  <c r="A16" i="27"/>
  <c r="A14" i="27"/>
  <c r="D17" i="27"/>
  <c r="D21" i="27"/>
  <c r="D18" i="27"/>
  <c r="D22" i="27"/>
  <c r="G17" i="27"/>
  <c r="G21" i="27"/>
  <c r="G29" i="27"/>
  <c r="D30" i="27"/>
  <c r="D29" i="27"/>
  <c r="G23" i="27"/>
  <c r="D24" i="27"/>
  <c r="D23" i="27"/>
  <c r="C29" i="27"/>
  <c r="C23" i="27"/>
  <c r="A42" i="27"/>
  <c r="A41" i="27"/>
  <c r="A43" i="27"/>
  <c r="A90" i="27"/>
  <c r="A91" i="27"/>
  <c r="A13" i="27"/>
  <c r="H102" i="20"/>
  <c r="H100" i="20"/>
  <c r="G22" i="23"/>
  <c r="F15" i="11"/>
  <c r="I87" i="30"/>
  <c r="I63" i="30"/>
  <c r="I64" i="30"/>
  <c r="I65" i="30"/>
  <c r="I66" i="30"/>
  <c r="I67" i="30"/>
  <c r="I68" i="30"/>
  <c r="I69" i="30"/>
  <c r="I70" i="30"/>
  <c r="I62" i="30"/>
  <c r="D63" i="30"/>
  <c r="D64" i="30"/>
  <c r="D65" i="30"/>
  <c r="D66" i="30"/>
  <c r="D67" i="30"/>
  <c r="D68" i="30"/>
  <c r="D69" i="30"/>
  <c r="D70" i="30"/>
  <c r="D71" i="30"/>
  <c r="D72" i="30"/>
  <c r="G31" i="30"/>
  <c r="G17" i="30"/>
  <c r="D89" i="30"/>
  <c r="D88" i="30"/>
  <c r="V50" i="30"/>
  <c r="V51" i="30" s="1"/>
  <c r="E7" i="26"/>
  <c r="A5" i="27"/>
  <c r="D88" i="20"/>
  <c r="D89" i="20"/>
  <c r="D55" i="14"/>
  <c r="F963" i="23"/>
  <c r="H88" i="26" s="1"/>
  <c r="F984" i="23"/>
  <c r="H93" i="26" s="1"/>
  <c r="D1174" i="23"/>
  <c r="H1174" i="23"/>
  <c r="I1174" i="23"/>
  <c r="C259" i="26"/>
  <c r="C260" i="26" s="1"/>
  <c r="C256" i="26"/>
  <c r="A256" i="26" s="1"/>
  <c r="C253" i="26"/>
  <c r="C250" i="26"/>
  <c r="A250" i="26" s="1"/>
  <c r="C247" i="26"/>
  <c r="A247" i="26" s="1"/>
  <c r="C244" i="26"/>
  <c r="C241" i="26"/>
  <c r="C238" i="26"/>
  <c r="A238" i="26" s="1"/>
  <c r="C235" i="26"/>
  <c r="A235" i="26" s="1"/>
  <c r="C232" i="26"/>
  <c r="A232" i="26" s="1"/>
  <c r="C1133" i="23"/>
  <c r="C1176" i="23"/>
  <c r="C1175" i="23"/>
  <c r="A1174" i="23"/>
  <c r="C1172" i="23"/>
  <c r="A1171" i="23"/>
  <c r="C1169" i="23"/>
  <c r="A1168" i="23"/>
  <c r="C1166" i="23"/>
  <c r="A1165" i="23"/>
  <c r="C1163" i="23"/>
  <c r="A1162" i="23"/>
  <c r="C1160" i="23"/>
  <c r="A1159" i="23"/>
  <c r="C1157" i="23"/>
  <c r="A1156" i="23"/>
  <c r="C1154" i="23"/>
  <c r="A1153" i="23"/>
  <c r="C1151" i="23"/>
  <c r="A1150" i="23"/>
  <c r="C1148" i="23"/>
  <c r="A1147" i="23"/>
  <c r="C1145" i="23"/>
  <c r="A1144" i="23"/>
  <c r="C1142" i="23"/>
  <c r="A1141" i="23"/>
  <c r="C1139" i="23"/>
  <c r="A1138" i="23"/>
  <c r="C1136" i="23"/>
  <c r="A1135" i="23"/>
  <c r="A1132" i="23"/>
  <c r="D261" i="26"/>
  <c r="C261" i="26"/>
  <c r="C215" i="26"/>
  <c r="E213" i="26"/>
  <c r="C208" i="26"/>
  <c r="C209" i="26" s="1"/>
  <c r="C205" i="26"/>
  <c r="C206" i="26" s="1"/>
  <c r="C202" i="26"/>
  <c r="A202" i="26" s="1"/>
  <c r="C199" i="26"/>
  <c r="C200" i="26" s="1"/>
  <c r="C196" i="26"/>
  <c r="A196" i="26" s="1"/>
  <c r="C193" i="26"/>
  <c r="C194" i="26" s="1"/>
  <c r="C190" i="26"/>
  <c r="A190" i="26" s="1"/>
  <c r="C187" i="26"/>
  <c r="C188" i="26" s="1"/>
  <c r="C184" i="26"/>
  <c r="A184" i="26" s="1"/>
  <c r="C181" i="26"/>
  <c r="C182" i="26" s="1"/>
  <c r="D210" i="26"/>
  <c r="D220" i="11"/>
  <c r="D177" i="11"/>
  <c r="A530" i="23"/>
  <c r="A1081" i="23"/>
  <c r="C1125" i="23"/>
  <c r="C1124" i="23"/>
  <c r="A1123" i="23"/>
  <c r="C1121" i="23"/>
  <c r="A1120" i="23"/>
  <c r="C1118" i="23"/>
  <c r="A1117" i="23"/>
  <c r="C1115" i="23"/>
  <c r="A1114" i="23"/>
  <c r="C1112" i="23"/>
  <c r="A1111" i="23"/>
  <c r="C1109" i="23"/>
  <c r="A1108" i="23"/>
  <c r="C1106" i="23"/>
  <c r="A1105" i="23"/>
  <c r="C1103" i="23"/>
  <c r="A1102" i="23"/>
  <c r="C1100" i="23"/>
  <c r="A1099" i="23"/>
  <c r="C1097" i="23"/>
  <c r="A1096" i="23"/>
  <c r="C1094" i="23"/>
  <c r="A1093" i="23"/>
  <c r="C1091" i="23"/>
  <c r="A1090" i="23"/>
  <c r="C1088" i="23"/>
  <c r="A1087" i="23"/>
  <c r="C1085" i="23"/>
  <c r="A1084" i="23"/>
  <c r="C1082" i="23"/>
  <c r="C164" i="26"/>
  <c r="AN274" i="26"/>
  <c r="AN421" i="26" s="1"/>
  <c r="AN275" i="26"/>
  <c r="AN422" i="26" s="1"/>
  <c r="AN276" i="26"/>
  <c r="AN423" i="26" s="1"/>
  <c r="AN277" i="26"/>
  <c r="AN424" i="26" s="1"/>
  <c r="AN278" i="26"/>
  <c r="AN425" i="26" s="1"/>
  <c r="AN279" i="26"/>
  <c r="AN426" i="26" s="1"/>
  <c r="AN280" i="26"/>
  <c r="AN427" i="26" s="1"/>
  <c r="AN281" i="26"/>
  <c r="AN428" i="26" s="1"/>
  <c r="AN282" i="26"/>
  <c r="AN429" i="26" s="1"/>
  <c r="AN283" i="26"/>
  <c r="AN430" i="26" s="1"/>
  <c r="AN284" i="26"/>
  <c r="AN431" i="26" s="1"/>
  <c r="AN285" i="26"/>
  <c r="AN432" i="26" s="1"/>
  <c r="AN286" i="26"/>
  <c r="AN433" i="26" s="1"/>
  <c r="AN287" i="26"/>
  <c r="AN434" i="26" s="1"/>
  <c r="AN273" i="26"/>
  <c r="AN420" i="26" s="1"/>
  <c r="F922" i="23"/>
  <c r="E8" i="26" s="1"/>
  <c r="F981" i="23"/>
  <c r="H437" i="26" s="1"/>
  <c r="F960" i="23"/>
  <c r="H431" i="26" s="1"/>
  <c r="F945" i="23"/>
  <c r="H425" i="26" s="1"/>
  <c r="F957" i="23"/>
  <c r="H430" i="26" s="1"/>
  <c r="I523" i="26" s="1"/>
  <c r="K248" i="14" s="1"/>
  <c r="F978" i="23"/>
  <c r="H436" i="26" s="1"/>
  <c r="I521" i="26" s="1"/>
  <c r="K246" i="14" s="1"/>
  <c r="AC87" i="14"/>
  <c r="AC88" i="14"/>
  <c r="AC90" i="14"/>
  <c r="AC89" i="14"/>
  <c r="F948" i="23"/>
  <c r="H83" i="26" s="1"/>
  <c r="D195" i="25"/>
  <c r="D196" i="25"/>
  <c r="D193" i="25"/>
  <c r="D191" i="25"/>
  <c r="D188" i="25"/>
  <c r="D189" i="25"/>
  <c r="D187" i="25"/>
  <c r="D185" i="25"/>
  <c r="D182" i="25"/>
  <c r="D183" i="25"/>
  <c r="D184" i="25"/>
  <c r="D181" i="25"/>
  <c r="S30" i="25"/>
  <c r="J1241" i="23"/>
  <c r="H1241" i="23"/>
  <c r="D1239" i="23"/>
  <c r="H15" i="22"/>
  <c r="B126" i="26"/>
  <c r="C430" i="11"/>
  <c r="M352" i="11"/>
  <c r="O341" i="11" s="1"/>
  <c r="O626" i="11"/>
  <c r="G23" i="11"/>
  <c r="I34" i="11" s="1"/>
  <c r="E11" i="11"/>
  <c r="AE157" i="11"/>
  <c r="AE158" i="11" s="1"/>
  <c r="F942" i="23"/>
  <c r="H424" i="26" s="1"/>
  <c r="I522" i="26" s="1"/>
  <c r="K247" i="14" s="1"/>
  <c r="H439" i="23"/>
  <c r="H438" i="23"/>
  <c r="F952" i="23"/>
  <c r="D30" i="26" s="1"/>
  <c r="F96" i="11"/>
  <c r="H100" i="11"/>
  <c r="H99" i="11"/>
  <c r="H98" i="11"/>
  <c r="H97" i="11"/>
  <c r="H96" i="11"/>
  <c r="S33" i="12"/>
  <c r="I33" i="12"/>
  <c r="L33" i="12" s="1"/>
  <c r="S32" i="12"/>
  <c r="I32" i="12"/>
  <c r="L32" i="12" s="1"/>
  <c r="P32" i="12" s="1"/>
  <c r="S31" i="12"/>
  <c r="I31" i="12"/>
  <c r="L31" i="12" s="1"/>
  <c r="P31" i="12" s="1"/>
  <c r="S30" i="12"/>
  <c r="I30" i="12"/>
  <c r="L30" i="12" s="1"/>
  <c r="P30" i="12" s="1"/>
  <c r="S29" i="12"/>
  <c r="I29" i="12"/>
  <c r="L29" i="12" s="1"/>
  <c r="P29" i="12" s="1"/>
  <c r="S28" i="12"/>
  <c r="I28" i="12"/>
  <c r="L28" i="12" s="1"/>
  <c r="S27" i="12"/>
  <c r="I27" i="12"/>
  <c r="L27" i="12" s="1"/>
  <c r="M27" i="12" s="1"/>
  <c r="N27" i="12" s="1"/>
  <c r="S26" i="12"/>
  <c r="I26" i="12"/>
  <c r="L26" i="12" s="1"/>
  <c r="P26" i="12" s="1"/>
  <c r="S25" i="12"/>
  <c r="I25" i="12"/>
  <c r="L25" i="12" s="1"/>
  <c r="P25" i="12" s="1"/>
  <c r="S24" i="12"/>
  <c r="I24" i="12"/>
  <c r="L24" i="12" s="1"/>
  <c r="P24" i="12" s="1"/>
  <c r="S23" i="12"/>
  <c r="I23" i="12"/>
  <c r="L23" i="12" s="1"/>
  <c r="M23" i="12" s="1"/>
  <c r="N23" i="12" s="1"/>
  <c r="S22" i="12"/>
  <c r="I22" i="12"/>
  <c r="L22" i="12" s="1"/>
  <c r="S21" i="12"/>
  <c r="I21" i="12"/>
  <c r="L21" i="12" s="1"/>
  <c r="M21" i="12" s="1"/>
  <c r="N21" i="12" s="1"/>
  <c r="S20" i="12"/>
  <c r="I20" i="12"/>
  <c r="L20" i="12" s="1"/>
  <c r="P20" i="12" s="1"/>
  <c r="S19" i="12"/>
  <c r="I19" i="12"/>
  <c r="L19" i="12" s="1"/>
  <c r="P19" i="12" s="1"/>
  <c r="S18" i="12"/>
  <c r="I18" i="12"/>
  <c r="L18" i="12" s="1"/>
  <c r="S17" i="12"/>
  <c r="I17" i="12"/>
  <c r="L17" i="12" s="1"/>
  <c r="M17" i="12" s="1"/>
  <c r="N17" i="12" s="1"/>
  <c r="S16" i="12"/>
  <c r="I16" i="12"/>
  <c r="L16" i="12" s="1"/>
  <c r="P16" i="12" s="1"/>
  <c r="S15" i="12"/>
  <c r="I15" i="12"/>
  <c r="L15" i="12" s="1"/>
  <c r="P15" i="12" s="1"/>
  <c r="S14" i="12"/>
  <c r="I14" i="12"/>
  <c r="L14" i="12" s="1"/>
  <c r="M14" i="12" s="1"/>
  <c r="N14" i="12" s="1"/>
  <c r="S13" i="12"/>
  <c r="I13" i="12"/>
  <c r="L13" i="12" s="1"/>
  <c r="P13" i="12" s="1"/>
  <c r="S12" i="12"/>
  <c r="I12" i="12"/>
  <c r="L12" i="12" s="1"/>
  <c r="P12" i="12" s="1"/>
  <c r="S11" i="12"/>
  <c r="I11" i="12"/>
  <c r="L11" i="12" s="1"/>
  <c r="P11" i="12" s="1"/>
  <c r="S10" i="12"/>
  <c r="I10" i="12"/>
  <c r="L10" i="12" s="1"/>
  <c r="S9" i="12"/>
  <c r="I9" i="12"/>
  <c r="L9" i="12" s="1"/>
  <c r="S8" i="12"/>
  <c r="I8" i="12"/>
  <c r="L8" i="12" s="1"/>
  <c r="P8" i="12" s="1"/>
  <c r="S7" i="12"/>
  <c r="I7" i="12"/>
  <c r="L7" i="12" s="1"/>
  <c r="P7" i="12" s="1"/>
  <c r="S6" i="12"/>
  <c r="I6" i="12"/>
  <c r="L6" i="12" s="1"/>
  <c r="S5" i="12"/>
  <c r="I5" i="12"/>
  <c r="L5" i="12" s="1"/>
  <c r="M5" i="12" s="1"/>
  <c r="N5" i="12" s="1"/>
  <c r="I41" i="25"/>
  <c r="Q144" i="14"/>
  <c r="AC144" i="14" s="1"/>
  <c r="F954" i="23"/>
  <c r="D32" i="26" s="1"/>
  <c r="F936" i="23"/>
  <c r="D21" i="26" s="1"/>
  <c r="F934" i="23"/>
  <c r="D19" i="26" s="1"/>
  <c r="BV141" i="26" s="1"/>
  <c r="F932" i="23"/>
  <c r="D17" i="26" s="1"/>
  <c r="D22" i="26" s="1"/>
  <c r="F464" i="26"/>
  <c r="D464" i="26"/>
  <c r="I1047" i="23"/>
  <c r="E455" i="26"/>
  <c r="E447" i="26"/>
  <c r="E448" i="26"/>
  <c r="E449" i="26"/>
  <c r="E450" i="26"/>
  <c r="E451" i="26"/>
  <c r="E446" i="26"/>
  <c r="C1016" i="23"/>
  <c r="B451" i="26" s="1"/>
  <c r="B443" i="26"/>
  <c r="C1015" i="23"/>
  <c r="B450" i="26" s="1"/>
  <c r="C1013" i="23"/>
  <c r="B448" i="26" s="1"/>
  <c r="O36" i="19" s="1"/>
  <c r="C1012" i="23"/>
  <c r="B447" i="26" s="1"/>
  <c r="C1011" i="23"/>
  <c r="B446" i="26" s="1"/>
  <c r="D1008" i="23"/>
  <c r="E124" i="26"/>
  <c r="F306" i="26" s="1"/>
  <c r="E125" i="26"/>
  <c r="F307" i="26" s="1"/>
  <c r="E126" i="26"/>
  <c r="F308" i="26" s="1"/>
  <c r="E127" i="26"/>
  <c r="F309" i="26" s="1"/>
  <c r="E123" i="26"/>
  <c r="F305" i="26" s="1"/>
  <c r="E129" i="26"/>
  <c r="F311" i="26" s="1"/>
  <c r="B120" i="26"/>
  <c r="C1188" i="23"/>
  <c r="B127" i="26" s="1"/>
  <c r="C309" i="26" s="1"/>
  <c r="C1186" i="23"/>
  <c r="B125" i="26" s="1"/>
  <c r="C307" i="26" s="1"/>
  <c r="C1185" i="23"/>
  <c r="B124" i="26" s="1"/>
  <c r="C306" i="26" s="1"/>
  <c r="C1184" i="23"/>
  <c r="B123" i="26" s="1"/>
  <c r="C305" i="26" s="1"/>
  <c r="D1180" i="23"/>
  <c r="D247" i="14"/>
  <c r="D248" i="14"/>
  <c r="D246" i="14"/>
  <c r="D144" i="14"/>
  <c r="A14" i="35" s="1"/>
  <c r="D54" i="14"/>
  <c r="D115" i="14"/>
  <c r="G60" i="14"/>
  <c r="G258" i="14" s="1"/>
  <c r="C379" i="26"/>
  <c r="B379" i="26" s="1"/>
  <c r="C377" i="26"/>
  <c r="B377" i="26" s="1"/>
  <c r="C375" i="26"/>
  <c r="B375" i="26" s="1"/>
  <c r="C373" i="26"/>
  <c r="B373" i="26" s="1"/>
  <c r="C371" i="26"/>
  <c r="B371" i="26" s="1"/>
  <c r="C368" i="26"/>
  <c r="B368" i="26" s="1"/>
  <c r="C367" i="26"/>
  <c r="C365" i="26"/>
  <c r="B365" i="26" s="1"/>
  <c r="C363" i="26"/>
  <c r="B363" i="26" s="1"/>
  <c r="G348" i="26"/>
  <c r="G346" i="26"/>
  <c r="C348" i="26"/>
  <c r="C346" i="26"/>
  <c r="H342" i="26"/>
  <c r="I334" i="26"/>
  <c r="G334" i="26"/>
  <c r="G332" i="26"/>
  <c r="J370" i="26" s="1"/>
  <c r="I329" i="26"/>
  <c r="G329" i="26"/>
  <c r="O360" i="26" s="1"/>
  <c r="I328" i="26"/>
  <c r="G328" i="26"/>
  <c r="H320" i="26"/>
  <c r="F320" i="26"/>
  <c r="F395" i="26"/>
  <c r="K337" i="26"/>
  <c r="F318" i="26"/>
  <c r="F316" i="26"/>
  <c r="F315" i="26"/>
  <c r="F313" i="26"/>
  <c r="AH242" i="11"/>
  <c r="AH241" i="11"/>
  <c r="AH239" i="11"/>
  <c r="AH238" i="11"/>
  <c r="AH237" i="11"/>
  <c r="AH236" i="11"/>
  <c r="AH235" i="11"/>
  <c r="AH234" i="11"/>
  <c r="AH233" i="11"/>
  <c r="AH232" i="11"/>
  <c r="AH229" i="11"/>
  <c r="AH228" i="11"/>
  <c r="J228" i="11"/>
  <c r="K228" i="11" s="1"/>
  <c r="AH227" i="11"/>
  <c r="AH226" i="11"/>
  <c r="AH225" i="11"/>
  <c r="J225" i="11"/>
  <c r="J223" i="11"/>
  <c r="C218" i="11"/>
  <c r="C219" i="11" s="1"/>
  <c r="C215" i="11"/>
  <c r="A215" i="11" s="1"/>
  <c r="C212" i="11"/>
  <c r="C213" i="11" s="1"/>
  <c r="C209" i="11"/>
  <c r="C206" i="11"/>
  <c r="A206" i="11" s="1"/>
  <c r="C203" i="11"/>
  <c r="C204" i="11" s="1"/>
  <c r="C200" i="11"/>
  <c r="C201" i="11" s="1"/>
  <c r="C197" i="11"/>
  <c r="C198" i="11" s="1"/>
  <c r="C194" i="11"/>
  <c r="A194" i="11" s="1"/>
  <c r="C191" i="11"/>
  <c r="A191" i="11" s="1"/>
  <c r="H167" i="11"/>
  <c r="I166" i="11" s="1"/>
  <c r="E167" i="11"/>
  <c r="AQ242" i="11" s="1"/>
  <c r="AX242" i="11" s="1"/>
  <c r="BF242" i="11" s="1"/>
  <c r="C167" i="11"/>
  <c r="A167" i="11" s="1"/>
  <c r="H166" i="11"/>
  <c r="J167" i="11" s="1"/>
  <c r="E166" i="11"/>
  <c r="C166" i="11"/>
  <c r="B166" i="11" s="1"/>
  <c r="H165" i="11"/>
  <c r="E165" i="11"/>
  <c r="AV285" i="26" s="1"/>
  <c r="AV432" i="26" s="1"/>
  <c r="BD432" i="26" s="1"/>
  <c r="C165" i="11"/>
  <c r="B165" i="11" s="1"/>
  <c r="H164" i="11"/>
  <c r="BB238" i="11" s="1"/>
  <c r="E164" i="11"/>
  <c r="AQ238" i="11" s="1"/>
  <c r="AX238" i="11" s="1"/>
  <c r="AW238" i="11" s="1"/>
  <c r="C164" i="11"/>
  <c r="H163" i="11"/>
  <c r="J164" i="11" s="1"/>
  <c r="E163" i="11"/>
  <c r="AV283" i="26" s="1"/>
  <c r="C163" i="11"/>
  <c r="A163" i="11" s="1"/>
  <c r="AM283" i="26" s="1"/>
  <c r="H196" i="26" s="1"/>
  <c r="I196" i="26" s="1"/>
  <c r="I1111" i="23" s="1"/>
  <c r="H162" i="11"/>
  <c r="BH282" i="26" s="1"/>
  <c r="BH429" i="26" s="1"/>
  <c r="E162" i="11"/>
  <c r="AV282" i="26" s="1"/>
  <c r="C162" i="11"/>
  <c r="H161" i="11"/>
  <c r="I160" i="11" s="1"/>
  <c r="E161" i="11"/>
  <c r="AV281" i="26" s="1"/>
  <c r="AV428" i="26" s="1"/>
  <c r="BD428" i="26" s="1"/>
  <c r="C161" i="11"/>
  <c r="A161" i="11" s="1"/>
  <c r="AM281" i="26" s="1"/>
  <c r="AM428" i="26" s="1"/>
  <c r="H160" i="11"/>
  <c r="I159" i="11" s="1"/>
  <c r="E160" i="11"/>
  <c r="AQ234" i="11" s="1"/>
  <c r="AX234" i="11" s="1"/>
  <c r="AW234" i="11" s="1"/>
  <c r="C160" i="11"/>
  <c r="H159" i="11"/>
  <c r="BH279" i="26" s="1"/>
  <c r="BH426" i="26" s="1"/>
  <c r="E159" i="11"/>
  <c r="AQ233" i="11" s="1"/>
  <c r="AX233" i="11" s="1"/>
  <c r="AW233" i="11" s="1"/>
  <c r="C159" i="11"/>
  <c r="B159" i="11" s="1"/>
  <c r="H158" i="11"/>
  <c r="E158" i="11"/>
  <c r="AV278" i="26" s="1"/>
  <c r="BD278" i="26" s="1"/>
  <c r="C158" i="11"/>
  <c r="A158" i="11" s="1"/>
  <c r="AM278" i="26" s="1"/>
  <c r="H157" i="11"/>
  <c r="E157" i="11"/>
  <c r="AV277" i="26" s="1"/>
  <c r="C157" i="11"/>
  <c r="B157" i="11" s="1"/>
  <c r="H156" i="11"/>
  <c r="E156" i="11"/>
  <c r="C156" i="11"/>
  <c r="A156" i="11" s="1"/>
  <c r="AG228" i="11" s="1"/>
  <c r="H155" i="11"/>
  <c r="AI227" i="11" s="1"/>
  <c r="E155" i="11"/>
  <c r="AQ227" i="11" s="1"/>
  <c r="AX227" i="11" s="1"/>
  <c r="AW227" i="11" s="1"/>
  <c r="C155" i="11"/>
  <c r="A155" i="11" s="1"/>
  <c r="H154" i="11"/>
  <c r="E154" i="11"/>
  <c r="AV274" i="26" s="1"/>
  <c r="AV421" i="26" s="1"/>
  <c r="BD421" i="26" s="1"/>
  <c r="BC421" i="26" s="1"/>
  <c r="C154" i="11"/>
  <c r="H153" i="11"/>
  <c r="E153" i="11"/>
  <c r="AQ225" i="11" s="1"/>
  <c r="AX225" i="11" s="1"/>
  <c r="AW225" i="11" s="1"/>
  <c r="C153" i="11"/>
  <c r="B153" i="11" s="1"/>
  <c r="AM123" i="26"/>
  <c r="C742" i="23"/>
  <c r="C431" i="11" s="1"/>
  <c r="V6" i="21"/>
  <c r="AC215" i="23" s="1"/>
  <c r="V7" i="21"/>
  <c r="AC217" i="23" s="1"/>
  <c r="V8" i="21"/>
  <c r="V9" i="21"/>
  <c r="AC623" i="11" s="1"/>
  <c r="V10" i="21"/>
  <c r="AC220" i="23" s="1"/>
  <c r="V11" i="21"/>
  <c r="AC625" i="11" s="1"/>
  <c r="V12" i="21"/>
  <c r="AC626" i="11" s="1"/>
  <c r="V13" i="21"/>
  <c r="AC627" i="11" s="1"/>
  <c r="V19" i="21"/>
  <c r="AC638" i="11" s="1"/>
  <c r="V20" i="21"/>
  <c r="AC248" i="23" s="1"/>
  <c r="V21" i="21"/>
  <c r="AC249" i="23" s="1"/>
  <c r="V22" i="21"/>
  <c r="AC641" i="11" s="1"/>
  <c r="V23" i="21"/>
  <c r="V18" i="21"/>
  <c r="AC637" i="11" s="1"/>
  <c r="AD622" i="11"/>
  <c r="AD623" i="11"/>
  <c r="AD624" i="11"/>
  <c r="AD625" i="11"/>
  <c r="AD626" i="11"/>
  <c r="AD627" i="11"/>
  <c r="G88" i="21"/>
  <c r="G87" i="21"/>
  <c r="H87" i="21" s="1"/>
  <c r="I87" i="21" s="1"/>
  <c r="G86" i="21"/>
  <c r="H86" i="21" s="1"/>
  <c r="I86" i="21" s="1"/>
  <c r="G85" i="21"/>
  <c r="H85" i="21" s="1"/>
  <c r="I85" i="21" s="1"/>
  <c r="J85" i="21" s="1"/>
  <c r="K85" i="21" s="1"/>
  <c r="M85" i="21" s="1"/>
  <c r="T13" i="21" s="1"/>
  <c r="AA627" i="11" s="1"/>
  <c r="G84" i="21"/>
  <c r="H84" i="21" s="1"/>
  <c r="I84" i="21" s="1"/>
  <c r="J84" i="21" s="1"/>
  <c r="K84" i="21" s="1"/>
  <c r="M84" i="21" s="1"/>
  <c r="G83" i="21"/>
  <c r="H83" i="21" s="1"/>
  <c r="I83" i="21" s="1"/>
  <c r="G82" i="21"/>
  <c r="G81" i="21"/>
  <c r="H81" i="21" s="1"/>
  <c r="I81" i="21" s="1"/>
  <c r="G80" i="21"/>
  <c r="H80" i="21" s="1"/>
  <c r="I80" i="21" s="1"/>
  <c r="J80" i="21" s="1"/>
  <c r="K80" i="21" s="1"/>
  <c r="M80" i="21" s="1"/>
  <c r="G79" i="21"/>
  <c r="H79" i="21" s="1"/>
  <c r="I79" i="21" s="1"/>
  <c r="J79" i="21" s="1"/>
  <c r="K79" i="21" s="1"/>
  <c r="M79" i="21" s="1"/>
  <c r="G78" i="21"/>
  <c r="H78" i="21" s="1"/>
  <c r="I78" i="21" s="1"/>
  <c r="J78" i="21" s="1"/>
  <c r="K78" i="21" s="1"/>
  <c r="M78" i="21" s="1"/>
  <c r="G77" i="21"/>
  <c r="H77" i="21" s="1"/>
  <c r="I77" i="21" s="1"/>
  <c r="G76" i="21"/>
  <c r="H76" i="21" s="1"/>
  <c r="I76" i="21" s="1"/>
  <c r="J76" i="21" s="1"/>
  <c r="K76" i="21" s="1"/>
  <c r="M76" i="21" s="1"/>
  <c r="G75" i="21"/>
  <c r="H75" i="21" s="1"/>
  <c r="I75" i="21" s="1"/>
  <c r="G74" i="21"/>
  <c r="H74" i="21" s="1"/>
  <c r="I74" i="21" s="1"/>
  <c r="G73" i="21"/>
  <c r="H73" i="21" s="1"/>
  <c r="I73" i="21" s="1"/>
  <c r="G72" i="21"/>
  <c r="H72" i="21" s="1"/>
  <c r="I72" i="21" s="1"/>
  <c r="J72" i="21" s="1"/>
  <c r="K72" i="21" s="1"/>
  <c r="M72" i="21" s="1"/>
  <c r="G71" i="21"/>
  <c r="H71" i="21" s="1"/>
  <c r="I71" i="21" s="1"/>
  <c r="G70" i="21"/>
  <c r="H70" i="21" s="1"/>
  <c r="I70" i="21" s="1"/>
  <c r="J70" i="21" s="1"/>
  <c r="K70" i="21" s="1"/>
  <c r="M70" i="21" s="1"/>
  <c r="U11" i="21" s="1"/>
  <c r="AB625" i="11" s="1"/>
  <c r="G69" i="21"/>
  <c r="H69" i="21" s="1"/>
  <c r="I69" i="21" s="1"/>
  <c r="G68" i="21"/>
  <c r="H68" i="21" s="1"/>
  <c r="I68" i="21" s="1"/>
  <c r="J68" i="21" s="1"/>
  <c r="K68" i="21" s="1"/>
  <c r="M68" i="21" s="1"/>
  <c r="T12" i="21" s="1"/>
  <c r="AA626" i="11" s="1"/>
  <c r="G67" i="21"/>
  <c r="H67" i="21" s="1"/>
  <c r="I67" i="21" s="1"/>
  <c r="J67" i="21" s="1"/>
  <c r="K67" i="21" s="1"/>
  <c r="M67" i="21" s="1"/>
  <c r="G66" i="21"/>
  <c r="H66" i="21" s="1"/>
  <c r="I66" i="21" s="1"/>
  <c r="G65" i="21"/>
  <c r="H65" i="21" s="1"/>
  <c r="I65" i="21" s="1"/>
  <c r="G64" i="21"/>
  <c r="H64" i="21" s="1"/>
  <c r="I64" i="21" s="1"/>
  <c r="G63" i="21"/>
  <c r="H63" i="21" s="1"/>
  <c r="I63" i="21" s="1"/>
  <c r="J63" i="21" s="1"/>
  <c r="K63" i="21" s="1"/>
  <c r="M63" i="21" s="1"/>
  <c r="G62" i="21"/>
  <c r="S10" i="21" s="1"/>
  <c r="Z624" i="11" s="1"/>
  <c r="G61" i="21"/>
  <c r="H61" i="21" s="1"/>
  <c r="I61" i="21" s="1"/>
  <c r="J61" i="21" s="1"/>
  <c r="K61" i="21" s="1"/>
  <c r="M61" i="21" s="1"/>
  <c r="G60" i="21"/>
  <c r="H60" i="21" s="1"/>
  <c r="I60" i="21" s="1"/>
  <c r="G59" i="21"/>
  <c r="H59" i="21" s="1"/>
  <c r="I59" i="21" s="1"/>
  <c r="J59" i="21" s="1"/>
  <c r="K59" i="21" s="1"/>
  <c r="M59" i="21" s="1"/>
  <c r="G58" i="21"/>
  <c r="H58" i="21" s="1"/>
  <c r="I58" i="21" s="1"/>
  <c r="G57" i="21"/>
  <c r="H57" i="21" s="1"/>
  <c r="I57" i="21" s="1"/>
  <c r="G56" i="21"/>
  <c r="G55" i="21"/>
  <c r="H55" i="21" s="1"/>
  <c r="I55" i="21" s="1"/>
  <c r="G54" i="21"/>
  <c r="H54" i="21" s="1"/>
  <c r="I54" i="21" s="1"/>
  <c r="G53" i="21"/>
  <c r="H53" i="21" s="1"/>
  <c r="I53" i="21" s="1"/>
  <c r="J53" i="21" s="1"/>
  <c r="K53" i="21" s="1"/>
  <c r="M53" i="21" s="1"/>
  <c r="G52" i="21"/>
  <c r="H52" i="21" s="1"/>
  <c r="I52" i="21" s="1"/>
  <c r="P52" i="21" s="1"/>
  <c r="G51" i="21"/>
  <c r="H51" i="21" s="1"/>
  <c r="I51" i="21" s="1"/>
  <c r="J51" i="21" s="1"/>
  <c r="K51" i="21" s="1"/>
  <c r="M51" i="21" s="1"/>
  <c r="G50" i="21"/>
  <c r="H50" i="21" s="1"/>
  <c r="I50" i="21" s="1"/>
  <c r="G49" i="21"/>
  <c r="H49" i="21" s="1"/>
  <c r="I49" i="21" s="1"/>
  <c r="J49" i="21" s="1"/>
  <c r="K49" i="21" s="1"/>
  <c r="M49" i="21" s="1"/>
  <c r="G48" i="21"/>
  <c r="H48" i="21" s="1"/>
  <c r="I48" i="21" s="1"/>
  <c r="G47" i="21"/>
  <c r="H47" i="21" s="1"/>
  <c r="I47" i="21" s="1"/>
  <c r="J47" i="21" s="1"/>
  <c r="K47" i="21" s="1"/>
  <c r="M47" i="21" s="1"/>
  <c r="G46" i="21"/>
  <c r="H46" i="21" s="1"/>
  <c r="I46" i="21" s="1"/>
  <c r="J46" i="21" s="1"/>
  <c r="K46" i="21" s="1"/>
  <c r="M46" i="21" s="1"/>
  <c r="T8" i="21" s="1"/>
  <c r="G45" i="21"/>
  <c r="H45" i="21" s="1"/>
  <c r="I45" i="21" s="1"/>
  <c r="J45" i="21" s="1"/>
  <c r="K45" i="21" s="1"/>
  <c r="M45" i="21" s="1"/>
  <c r="G44" i="21"/>
  <c r="H44" i="21" s="1"/>
  <c r="I44" i="21" s="1"/>
  <c r="G43" i="21"/>
  <c r="H43" i="21" s="1"/>
  <c r="I43" i="21" s="1"/>
  <c r="G42" i="21"/>
  <c r="H42" i="21" s="1"/>
  <c r="I42" i="21" s="1"/>
  <c r="G41" i="21"/>
  <c r="H41" i="21" s="1"/>
  <c r="I41" i="21" s="1"/>
  <c r="G40" i="21"/>
  <c r="H40" i="21" s="1"/>
  <c r="I40" i="21" s="1"/>
  <c r="J40" i="21" s="1"/>
  <c r="K40" i="21" s="1"/>
  <c r="M40" i="21" s="1"/>
  <c r="U8" i="21" s="1"/>
  <c r="G39" i="21"/>
  <c r="H39" i="21" s="1"/>
  <c r="I39" i="21" s="1"/>
  <c r="G38" i="21"/>
  <c r="H38" i="21" s="1"/>
  <c r="I38" i="21" s="1"/>
  <c r="G37" i="21"/>
  <c r="H37" i="21" s="1"/>
  <c r="I37" i="21" s="1"/>
  <c r="G36" i="21"/>
  <c r="H36" i="21" s="1"/>
  <c r="I36" i="21" s="1"/>
  <c r="G35" i="21"/>
  <c r="H35" i="21" s="1"/>
  <c r="I35" i="21" s="1"/>
  <c r="G34" i="21"/>
  <c r="H34" i="21" s="1"/>
  <c r="I34" i="21" s="1"/>
  <c r="G33" i="21"/>
  <c r="H33" i="21" s="1"/>
  <c r="I33" i="21" s="1"/>
  <c r="G32" i="21"/>
  <c r="H32" i="21" s="1"/>
  <c r="I32" i="21" s="1"/>
  <c r="J32" i="21" s="1"/>
  <c r="K32" i="21" s="1"/>
  <c r="M32" i="21" s="1"/>
  <c r="G31" i="21"/>
  <c r="H31" i="21" s="1"/>
  <c r="I31" i="21" s="1"/>
  <c r="G30" i="21"/>
  <c r="H30" i="21" s="1"/>
  <c r="I30" i="21" s="1"/>
  <c r="G29" i="21"/>
  <c r="H29" i="21" s="1"/>
  <c r="I29" i="21" s="1"/>
  <c r="G28" i="21"/>
  <c r="H28" i="21" s="1"/>
  <c r="I28" i="21" s="1"/>
  <c r="J28" i="21" s="1"/>
  <c r="K28" i="21" s="1"/>
  <c r="M28" i="21" s="1"/>
  <c r="G27" i="21"/>
  <c r="H27" i="21" s="1"/>
  <c r="I27" i="21" s="1"/>
  <c r="G26" i="21"/>
  <c r="H26" i="21" s="1"/>
  <c r="I26" i="21" s="1"/>
  <c r="G25" i="21"/>
  <c r="H25" i="21" s="1"/>
  <c r="I25" i="21" s="1"/>
  <c r="G24" i="21"/>
  <c r="H24" i="21" s="1"/>
  <c r="I24" i="21" s="1"/>
  <c r="J24" i="21" s="1"/>
  <c r="K24" i="21" s="1"/>
  <c r="M24" i="21" s="1"/>
  <c r="G23" i="21"/>
  <c r="S7" i="21" s="1"/>
  <c r="Z621" i="11" s="1"/>
  <c r="G22" i="21"/>
  <c r="H22" i="21" s="1"/>
  <c r="I22" i="21" s="1"/>
  <c r="G21" i="21"/>
  <c r="G20" i="21"/>
  <c r="H20" i="21" s="1"/>
  <c r="I20" i="21" s="1"/>
  <c r="J20" i="21" s="1"/>
  <c r="K20" i="21" s="1"/>
  <c r="M20" i="21" s="1"/>
  <c r="G19" i="21"/>
  <c r="H19" i="21" s="1"/>
  <c r="I19" i="21" s="1"/>
  <c r="G18" i="21"/>
  <c r="H18" i="21" s="1"/>
  <c r="I18" i="21" s="1"/>
  <c r="G17" i="21"/>
  <c r="H17" i="21" s="1"/>
  <c r="I17" i="21" s="1"/>
  <c r="J17" i="21" s="1"/>
  <c r="K17" i="21" s="1"/>
  <c r="M17" i="21" s="1"/>
  <c r="G16" i="21"/>
  <c r="H16" i="21" s="1"/>
  <c r="I16" i="21" s="1"/>
  <c r="J16" i="21" s="1"/>
  <c r="K16" i="21" s="1"/>
  <c r="M16" i="21" s="1"/>
  <c r="G15" i="21"/>
  <c r="H15" i="21" s="1"/>
  <c r="I15" i="21" s="1"/>
  <c r="G14" i="21"/>
  <c r="H14" i="21" s="1"/>
  <c r="I14" i="21" s="1"/>
  <c r="G13" i="21"/>
  <c r="H13" i="21" s="1"/>
  <c r="I13" i="21" s="1"/>
  <c r="J13" i="21" s="1"/>
  <c r="K13" i="21" s="1"/>
  <c r="M13" i="21" s="1"/>
  <c r="G12" i="21"/>
  <c r="H12" i="21" s="1"/>
  <c r="I12" i="21" s="1"/>
  <c r="P12" i="21" s="1"/>
  <c r="G11" i="21"/>
  <c r="H11" i="21" s="1"/>
  <c r="I11" i="21" s="1"/>
  <c r="J11" i="21" s="1"/>
  <c r="K11" i="21" s="1"/>
  <c r="M11" i="21" s="1"/>
  <c r="G10" i="21"/>
  <c r="H10" i="21" s="1"/>
  <c r="I10" i="21" s="1"/>
  <c r="G9" i="21"/>
  <c r="H9" i="21" s="1"/>
  <c r="I9" i="21" s="1"/>
  <c r="J9" i="21" s="1"/>
  <c r="K9" i="21" s="1"/>
  <c r="M9" i="21" s="1"/>
  <c r="G8" i="21"/>
  <c r="H8" i="21" s="1"/>
  <c r="I8" i="21" s="1"/>
  <c r="P8" i="21" s="1"/>
  <c r="G7" i="21"/>
  <c r="G6" i="21"/>
  <c r="H6" i="21" s="1"/>
  <c r="I6" i="21" s="1"/>
  <c r="J6" i="21" s="1"/>
  <c r="K6" i="21" s="1"/>
  <c r="M6" i="21" s="1"/>
  <c r="G5" i="21"/>
  <c r="H5" i="21" s="1"/>
  <c r="I5" i="21" s="1"/>
  <c r="C45" i="23"/>
  <c r="C41" i="23"/>
  <c r="C37" i="23"/>
  <c r="G1" i="25"/>
  <c r="W9" i="25"/>
  <c r="W8" i="25"/>
  <c r="I453" i="11"/>
  <c r="I452" i="11"/>
  <c r="G453" i="11"/>
  <c r="O484" i="11" s="1"/>
  <c r="O123" i="14" s="1"/>
  <c r="G452" i="11"/>
  <c r="F736" i="11"/>
  <c r="G736" i="11"/>
  <c r="F737" i="11"/>
  <c r="G737" i="11"/>
  <c r="F738" i="11"/>
  <c r="G738" i="11"/>
  <c r="P71" i="22"/>
  <c r="Q71" i="22" s="1"/>
  <c r="P72" i="22"/>
  <c r="Q72" i="22" s="1"/>
  <c r="P75" i="22"/>
  <c r="Q75" i="22" s="1"/>
  <c r="P76" i="22"/>
  <c r="Q76" i="22" s="1"/>
  <c r="P77" i="22"/>
  <c r="Q77" i="22" s="1"/>
  <c r="P78" i="22"/>
  <c r="Q78" i="22" s="1"/>
  <c r="P79" i="22"/>
  <c r="Q79" i="22" s="1"/>
  <c r="P80" i="22"/>
  <c r="Q80" i="22" s="1"/>
  <c r="P81" i="22"/>
  <c r="Q81" i="22" s="1"/>
  <c r="P82" i="22"/>
  <c r="Q82" i="22" s="1"/>
  <c r="P83" i="22"/>
  <c r="Q83" i="22" s="1"/>
  <c r="P84" i="22"/>
  <c r="Q84" i="22" s="1"/>
  <c r="P85" i="22"/>
  <c r="Q85" i="22" s="1"/>
  <c r="P86" i="22"/>
  <c r="Q86" i="22" s="1"/>
  <c r="P87" i="22"/>
  <c r="Q87" i="22" s="1"/>
  <c r="Q74" i="22"/>
  <c r="F519" i="11"/>
  <c r="G135" i="14" s="1"/>
  <c r="F135" i="14"/>
  <c r="C472" i="11"/>
  <c r="D122" i="22"/>
  <c r="D121" i="22"/>
  <c r="D48" i="14"/>
  <c r="O47" i="14"/>
  <c r="AF280" i="11"/>
  <c r="AF281" i="11"/>
  <c r="AF282" i="11"/>
  <c r="AF283" i="11"/>
  <c r="O146" i="14"/>
  <c r="D319" i="14"/>
  <c r="O315" i="14"/>
  <c r="O283" i="14"/>
  <c r="F435" i="11"/>
  <c r="G735" i="11"/>
  <c r="F735" i="11"/>
  <c r="L672" i="11"/>
  <c r="H669" i="11" s="1"/>
  <c r="J672" i="11"/>
  <c r="I672" i="11"/>
  <c r="H672" i="11"/>
  <c r="G672" i="11"/>
  <c r="F672" i="11"/>
  <c r="E672" i="11"/>
  <c r="D672" i="11"/>
  <c r="C672" i="11"/>
  <c r="F644" i="11"/>
  <c r="F645" i="11"/>
  <c r="F646" i="11"/>
  <c r="F647" i="11"/>
  <c r="F648" i="11"/>
  <c r="F643" i="11"/>
  <c r="C640" i="11"/>
  <c r="I637" i="11"/>
  <c r="G637" i="11"/>
  <c r="L634" i="11"/>
  <c r="N172" i="14" s="1"/>
  <c r="L635" i="11"/>
  <c r="N173" i="14" s="1"/>
  <c r="L633" i="11"/>
  <c r="N171" i="14" s="1"/>
  <c r="I623" i="11"/>
  <c r="J161" i="14" s="1"/>
  <c r="C503" i="11"/>
  <c r="B503" i="11" s="1"/>
  <c r="C501" i="11"/>
  <c r="B501" i="11" s="1"/>
  <c r="C499" i="11"/>
  <c r="C497" i="11"/>
  <c r="B497" i="11" s="1"/>
  <c r="C495" i="11"/>
  <c r="B495" i="11" s="1"/>
  <c r="C492" i="11"/>
  <c r="C491" i="11"/>
  <c r="B491" i="11" s="1"/>
  <c r="C489" i="11"/>
  <c r="B489" i="11" s="1"/>
  <c r="C487" i="11"/>
  <c r="B487" i="11" s="1"/>
  <c r="G472" i="11"/>
  <c r="G470" i="11"/>
  <c r="C470" i="11"/>
  <c r="H466" i="11"/>
  <c r="I458" i="11"/>
  <c r="G458" i="11"/>
  <c r="G456" i="11"/>
  <c r="J494" i="11" s="1"/>
  <c r="L450" i="11"/>
  <c r="L447" i="11"/>
  <c r="E448" i="11" s="1"/>
  <c r="H444" i="11"/>
  <c r="F444" i="11"/>
  <c r="Q177" i="14" s="1"/>
  <c r="F436" i="11"/>
  <c r="F437" i="11"/>
  <c r="F438" i="11"/>
  <c r="F439" i="11"/>
  <c r="F440" i="11"/>
  <c r="F433" i="11"/>
  <c r="F428" i="11"/>
  <c r="F429" i="11"/>
  <c r="F430" i="11"/>
  <c r="F431" i="11"/>
  <c r="F427" i="11"/>
  <c r="C423" i="11"/>
  <c r="F335" i="11"/>
  <c r="D335" i="11"/>
  <c r="C220" i="11" s="1"/>
  <c r="L135" i="11"/>
  <c r="E73" i="11"/>
  <c r="C73" i="11"/>
  <c r="I62" i="11"/>
  <c r="J62" i="11"/>
  <c r="H62" i="11"/>
  <c r="C62" i="11"/>
  <c r="H56" i="11"/>
  <c r="I56" i="11"/>
  <c r="J56" i="11"/>
  <c r="G56" i="11"/>
  <c r="G44" i="11"/>
  <c r="C46" i="11"/>
  <c r="C44" i="11"/>
  <c r="I19" i="11"/>
  <c r="F4" i="11"/>
  <c r="O2" i="11"/>
  <c r="O1" i="11"/>
  <c r="H310" i="23"/>
  <c r="G310" i="23" s="1"/>
  <c r="F310" i="23" s="1"/>
  <c r="I275" i="23"/>
  <c r="C254" i="23"/>
  <c r="B254" i="23" s="1"/>
  <c r="C645" i="11" s="1"/>
  <c r="AD251" i="23"/>
  <c r="AD250" i="23"/>
  <c r="AD249" i="23"/>
  <c r="D249" i="23"/>
  <c r="AD248" i="23"/>
  <c r="AD232" i="23"/>
  <c r="AD231" i="23"/>
  <c r="AD220" i="23"/>
  <c r="AD219" i="23"/>
  <c r="AD218" i="23"/>
  <c r="AD217" i="23"/>
  <c r="AD215" i="23"/>
  <c r="B825" i="23"/>
  <c r="B823" i="23"/>
  <c r="B821" i="23"/>
  <c r="B819" i="23"/>
  <c r="B817" i="23"/>
  <c r="J816" i="23"/>
  <c r="B813" i="23"/>
  <c r="B812" i="23"/>
  <c r="B810" i="23"/>
  <c r="B808" i="23"/>
  <c r="H788" i="23"/>
  <c r="C870" i="23" s="1"/>
  <c r="K775" i="23"/>
  <c r="E762" i="23"/>
  <c r="D759" i="23"/>
  <c r="C429" i="11"/>
  <c r="C739" i="23"/>
  <c r="C428" i="11" s="1"/>
  <c r="C427" i="11"/>
  <c r="D734" i="23"/>
  <c r="J706" i="23"/>
  <c r="J703" i="23"/>
  <c r="J700" i="23"/>
  <c r="J689" i="23"/>
  <c r="J688" i="23"/>
  <c r="J687" i="23"/>
  <c r="J686" i="23"/>
  <c r="M660" i="23"/>
  <c r="O659" i="23"/>
  <c r="N659" i="23"/>
  <c r="M659" i="23"/>
  <c r="M658" i="23"/>
  <c r="M657" i="23"/>
  <c r="M656" i="23"/>
  <c r="M655" i="23"/>
  <c r="D648" i="23"/>
  <c r="J644" i="23"/>
  <c r="J642" i="23"/>
  <c r="J637" i="23"/>
  <c r="F637" i="23"/>
  <c r="H629" i="23"/>
  <c r="L214" i="23" s="1"/>
  <c r="H623" i="23"/>
  <c r="H621" i="23"/>
  <c r="I619" i="23"/>
  <c r="H619" i="23"/>
  <c r="J619" i="23" s="1"/>
  <c r="I617" i="23"/>
  <c r="H617" i="23"/>
  <c r="J617" i="23" s="1"/>
  <c r="H615" i="23"/>
  <c r="J605" i="23"/>
  <c r="K605" i="23" s="1"/>
  <c r="C589" i="23"/>
  <c r="L566" i="23"/>
  <c r="L564" i="23"/>
  <c r="BL485" i="23"/>
  <c r="AZ485" i="23"/>
  <c r="BH485" i="23" s="1"/>
  <c r="AS485" i="23"/>
  <c r="AV485" i="23" s="1"/>
  <c r="AR485" i="23"/>
  <c r="BL484" i="23"/>
  <c r="AZ484" i="23"/>
  <c r="BH484" i="23" s="1"/>
  <c r="BP484" i="23" s="1"/>
  <c r="AS484" i="23"/>
  <c r="AV484" i="23" s="1"/>
  <c r="AR484" i="23"/>
  <c r="BL476" i="23"/>
  <c r="AZ483" i="23"/>
  <c r="BH476" i="23" s="1"/>
  <c r="AS483" i="23"/>
  <c r="AV483" i="23" s="1"/>
  <c r="AR483" i="23"/>
  <c r="BL475" i="23"/>
  <c r="AZ482" i="23"/>
  <c r="BH475" i="23" s="1"/>
  <c r="BG475" i="23" s="1"/>
  <c r="AS482" i="23"/>
  <c r="AV482" i="23" s="1"/>
  <c r="AR482" i="23"/>
  <c r="BL474" i="23"/>
  <c r="AZ477" i="23"/>
  <c r="BH474" i="23" s="1"/>
  <c r="BG474" i="23" s="1"/>
  <c r="AS477" i="23"/>
  <c r="AV477" i="23" s="1"/>
  <c r="AR477" i="23"/>
  <c r="BL473" i="23"/>
  <c r="AZ476" i="23"/>
  <c r="BH473" i="23" s="1"/>
  <c r="AS476" i="23"/>
  <c r="AV476" i="23" s="1"/>
  <c r="AR476" i="23"/>
  <c r="BL472" i="23"/>
  <c r="AZ475" i="23"/>
  <c r="BH472" i="23" s="1"/>
  <c r="BP472" i="23" s="1"/>
  <c r="AS475" i="23"/>
  <c r="AV475" i="23" s="1"/>
  <c r="AR475" i="23"/>
  <c r="BL471" i="23"/>
  <c r="AZ474" i="23"/>
  <c r="BH471" i="23" s="1"/>
  <c r="AS474" i="23"/>
  <c r="AV474" i="23" s="1"/>
  <c r="AR474" i="23"/>
  <c r="BL470" i="23"/>
  <c r="AZ473" i="23"/>
  <c r="BH470" i="23" s="1"/>
  <c r="BP470" i="23" s="1"/>
  <c r="AS473" i="23"/>
  <c r="AV473" i="23" s="1"/>
  <c r="AR473" i="23"/>
  <c r="BL469" i="23"/>
  <c r="AZ472" i="23"/>
  <c r="BH469" i="23" s="1"/>
  <c r="BG469" i="23" s="1"/>
  <c r="AS472" i="23"/>
  <c r="AV472" i="23" s="1"/>
  <c r="AR472" i="23"/>
  <c r="BL466" i="23"/>
  <c r="AZ469" i="23"/>
  <c r="BH466" i="23" s="1"/>
  <c r="AS469" i="23"/>
  <c r="AR469" i="23"/>
  <c r="BL465" i="23"/>
  <c r="AZ468" i="23"/>
  <c r="BH465" i="23" s="1"/>
  <c r="BG465" i="23" s="1"/>
  <c r="AS468" i="23"/>
  <c r="AR468" i="23"/>
  <c r="K543" i="23"/>
  <c r="BL464" i="23"/>
  <c r="AZ467" i="23"/>
  <c r="BH464" i="23" s="1"/>
  <c r="BG464" i="23" s="1"/>
  <c r="AS467" i="23"/>
  <c r="AR467" i="23"/>
  <c r="BL463" i="23"/>
  <c r="AZ466" i="23"/>
  <c r="BH463" i="23" s="1"/>
  <c r="BG463" i="23" s="1"/>
  <c r="AS466" i="23"/>
  <c r="AR466" i="23"/>
  <c r="BL462" i="23"/>
  <c r="AZ465" i="23"/>
  <c r="BH462" i="23" s="1"/>
  <c r="BG462" i="23" s="1"/>
  <c r="AS465" i="23"/>
  <c r="AR465" i="23"/>
  <c r="AM465" i="23"/>
  <c r="AM466" i="23" s="1"/>
  <c r="AL465" i="23"/>
  <c r="AL466" i="23" s="1"/>
  <c r="AK465" i="23"/>
  <c r="AK466" i="23" s="1"/>
  <c r="AJ465" i="23"/>
  <c r="AJ466" i="23" s="1"/>
  <c r="J539" i="23"/>
  <c r="J537" i="23"/>
  <c r="D532" i="23"/>
  <c r="C532" i="23"/>
  <c r="C531" i="23"/>
  <c r="C528" i="23"/>
  <c r="A527" i="23"/>
  <c r="C525" i="23"/>
  <c r="A524" i="23"/>
  <c r="C522" i="23"/>
  <c r="A521" i="23"/>
  <c r="C519" i="23"/>
  <c r="A518" i="23"/>
  <c r="C516" i="23"/>
  <c r="A515" i="23"/>
  <c r="C513" i="23"/>
  <c r="A512" i="23"/>
  <c r="C510" i="23"/>
  <c r="A509" i="23"/>
  <c r="C507" i="23"/>
  <c r="A506" i="23"/>
  <c r="C504" i="23"/>
  <c r="A503" i="23"/>
  <c r="C501" i="23"/>
  <c r="A500" i="23"/>
  <c r="C498" i="23"/>
  <c r="A497" i="23"/>
  <c r="C495" i="23"/>
  <c r="A494" i="23"/>
  <c r="C492" i="23"/>
  <c r="A491" i="23"/>
  <c r="C489" i="23"/>
  <c r="A488" i="23"/>
  <c r="J475" i="23"/>
  <c r="B475" i="23"/>
  <c r="A475" i="23"/>
  <c r="AQ485" i="23" s="1"/>
  <c r="J474" i="23"/>
  <c r="I474" i="23"/>
  <c r="B474" i="23"/>
  <c r="A474" i="23"/>
  <c r="AQ484" i="23" s="1"/>
  <c r="J473" i="23"/>
  <c r="I473" i="23"/>
  <c r="B473" i="23"/>
  <c r="A473" i="23"/>
  <c r="AQ483" i="23" s="1"/>
  <c r="J472" i="23"/>
  <c r="I472" i="23"/>
  <c r="B472" i="23"/>
  <c r="A472" i="23"/>
  <c r="AQ482" i="23" s="1"/>
  <c r="J471" i="23"/>
  <c r="I471" i="23"/>
  <c r="B471" i="23"/>
  <c r="A471" i="23"/>
  <c r="AQ477" i="23" s="1"/>
  <c r="J470" i="23"/>
  <c r="I470" i="23"/>
  <c r="B470" i="23"/>
  <c r="A470" i="23"/>
  <c r="AQ476" i="23" s="1"/>
  <c r="J469" i="23"/>
  <c r="I469" i="23"/>
  <c r="B469" i="23"/>
  <c r="A469" i="23"/>
  <c r="AQ475" i="23" s="1"/>
  <c r="J468" i="23"/>
  <c r="I468" i="23"/>
  <c r="B468" i="23"/>
  <c r="A468" i="23"/>
  <c r="AQ474" i="23" s="1"/>
  <c r="J467" i="23"/>
  <c r="I467" i="23"/>
  <c r="B467" i="23"/>
  <c r="A467" i="23"/>
  <c r="AQ473" i="23" s="1"/>
  <c r="I466" i="23"/>
  <c r="B466" i="23"/>
  <c r="A466" i="23"/>
  <c r="AQ472" i="23" s="1"/>
  <c r="AC465" i="23"/>
  <c r="AC466" i="23" s="1"/>
  <c r="AB465" i="23"/>
  <c r="AB466" i="23" s="1"/>
  <c r="AA465" i="23"/>
  <c r="AA466" i="23" s="1"/>
  <c r="Z465" i="23"/>
  <c r="Z466" i="23" s="1"/>
  <c r="X465" i="23"/>
  <c r="B465" i="23"/>
  <c r="A465" i="23"/>
  <c r="AQ469" i="23" s="1"/>
  <c r="B464" i="23"/>
  <c r="A464" i="23"/>
  <c r="AQ468" i="23" s="1"/>
  <c r="B463" i="23"/>
  <c r="A463" i="23"/>
  <c r="AQ467" i="23" s="1"/>
  <c r="B462" i="23"/>
  <c r="A462" i="23"/>
  <c r="AQ466" i="23" s="1"/>
  <c r="B461" i="23"/>
  <c r="A461" i="23"/>
  <c r="AQ465" i="23" s="1"/>
  <c r="D434" i="23"/>
  <c r="F420" i="23"/>
  <c r="F100" i="11" s="1"/>
  <c r="F117" i="23"/>
  <c r="AK468" i="23" s="1"/>
  <c r="F115" i="23"/>
  <c r="AL467" i="23" s="1"/>
  <c r="C111" i="23"/>
  <c r="C105" i="23"/>
  <c r="O41" i="23"/>
  <c r="I41" i="23"/>
  <c r="G28" i="23"/>
  <c r="J15" i="23"/>
  <c r="R350" i="14"/>
  <c r="K281" i="14"/>
  <c r="R281" i="14" s="1"/>
  <c r="AD638" i="11"/>
  <c r="AD639" i="11"/>
  <c r="AD640" i="11"/>
  <c r="AD641" i="11"/>
  <c r="AD642" i="11"/>
  <c r="AD637" i="11"/>
  <c r="AD621" i="11"/>
  <c r="AD619" i="11"/>
  <c r="J388" i="11"/>
  <c r="J391" i="11"/>
  <c r="V50" i="20"/>
  <c r="V51" i="20" s="1"/>
  <c r="R345" i="14"/>
  <c r="R347" i="14"/>
  <c r="Q341" i="14"/>
  <c r="R341" i="14" s="1"/>
  <c r="O347" i="11"/>
  <c r="M347" i="11"/>
  <c r="M343" i="11"/>
  <c r="J394" i="11"/>
  <c r="J332" i="11"/>
  <c r="H311" i="11"/>
  <c r="H307" i="11"/>
  <c r="J307" i="11" s="1"/>
  <c r="H305" i="11"/>
  <c r="J305" i="11" s="1"/>
  <c r="H303" i="11"/>
  <c r="D179" i="14"/>
  <c r="D180" i="14"/>
  <c r="D181" i="14"/>
  <c r="D182" i="14"/>
  <c r="D178" i="14"/>
  <c r="O305" i="14"/>
  <c r="D305" i="14"/>
  <c r="J30" i="16"/>
  <c r="B30" i="16"/>
  <c r="I11" i="16"/>
  <c r="I13" i="16"/>
  <c r="R351" i="14"/>
  <c r="R352" i="14"/>
  <c r="R348" i="14"/>
  <c r="R346" i="14"/>
  <c r="R344" i="14"/>
  <c r="J333" i="14"/>
  <c r="I333" i="14"/>
  <c r="H333" i="14"/>
  <c r="G333" i="14"/>
  <c r="F333" i="14"/>
  <c r="E333" i="14"/>
  <c r="O165" i="14"/>
  <c r="O171" i="14"/>
  <c r="O172" i="14"/>
  <c r="O173" i="14"/>
  <c r="D165" i="14"/>
  <c r="A34" i="35" s="1"/>
  <c r="D171" i="14"/>
  <c r="D172" i="14"/>
  <c r="D173" i="14"/>
  <c r="I37" i="17"/>
  <c r="A37" i="17"/>
  <c r="I36" i="17"/>
  <c r="A36" i="17"/>
  <c r="I35" i="17"/>
  <c r="A35" i="17"/>
  <c r="I34" i="17"/>
  <c r="A34" i="17"/>
  <c r="I33" i="17"/>
  <c r="A33" i="17"/>
  <c r="I32" i="17"/>
  <c r="A32" i="17"/>
  <c r="I31" i="17"/>
  <c r="A31" i="17"/>
  <c r="I30" i="17"/>
  <c r="A30" i="17"/>
  <c r="I29" i="17"/>
  <c r="A29" i="17"/>
  <c r="I28" i="17"/>
  <c r="A28" i="17"/>
  <c r="I27" i="17"/>
  <c r="A27" i="17"/>
  <c r="I26" i="17"/>
  <c r="A26" i="17"/>
  <c r="I25" i="17"/>
  <c r="A25" i="17"/>
  <c r="I22" i="17"/>
  <c r="A22" i="17"/>
  <c r="I21" i="17"/>
  <c r="A21" i="17"/>
  <c r="I20" i="17"/>
  <c r="A20" i="17"/>
  <c r="I19" i="17"/>
  <c r="A19" i="17"/>
  <c r="I18" i="17"/>
  <c r="A18" i="17"/>
  <c r="I17" i="17"/>
  <c r="A17" i="17"/>
  <c r="I16" i="17"/>
  <c r="A16" i="17"/>
  <c r="I15" i="17"/>
  <c r="A15" i="17"/>
  <c r="I14" i="17"/>
  <c r="A14" i="17"/>
  <c r="I13" i="17"/>
  <c r="A13" i="17"/>
  <c r="I12" i="17"/>
  <c r="A12" i="17"/>
  <c r="I11" i="17"/>
  <c r="A11" i="17"/>
  <c r="I10" i="17"/>
  <c r="A10" i="17"/>
  <c r="I9" i="17"/>
  <c r="A9" i="17"/>
  <c r="I8" i="17"/>
  <c r="A8" i="17"/>
  <c r="I7" i="17"/>
  <c r="A7" i="17"/>
  <c r="G6" i="17"/>
  <c r="F6" i="17"/>
  <c r="E6" i="17"/>
  <c r="D6" i="17"/>
  <c r="C6" i="17"/>
  <c r="B6" i="17"/>
  <c r="A6" i="17"/>
  <c r="J55" i="16"/>
  <c r="B55" i="16"/>
  <c r="J54" i="16"/>
  <c r="B54" i="16"/>
  <c r="J53" i="16"/>
  <c r="B53" i="16"/>
  <c r="J51" i="16"/>
  <c r="B51" i="16"/>
  <c r="J50" i="16"/>
  <c r="B50" i="16"/>
  <c r="J48" i="16"/>
  <c r="B48" i="16"/>
  <c r="J47" i="16"/>
  <c r="B47" i="16"/>
  <c r="J46" i="16"/>
  <c r="B46" i="16"/>
  <c r="J45" i="16"/>
  <c r="B45" i="16"/>
  <c r="J44" i="16"/>
  <c r="B44" i="16"/>
  <c r="J43" i="16"/>
  <c r="B43" i="16"/>
  <c r="B41" i="16"/>
  <c r="B40" i="16"/>
  <c r="J39" i="16"/>
  <c r="B39" i="16"/>
  <c r="J38" i="16"/>
  <c r="B38" i="16"/>
  <c r="J37" i="16"/>
  <c r="B37" i="16"/>
  <c r="J36" i="16"/>
  <c r="B36" i="16"/>
  <c r="J34" i="16"/>
  <c r="B34" i="16"/>
  <c r="J33" i="16"/>
  <c r="B33" i="16"/>
  <c r="J32" i="16"/>
  <c r="B32" i="16"/>
  <c r="J31" i="16"/>
  <c r="B31" i="16"/>
  <c r="J29" i="16"/>
  <c r="B29" i="16"/>
  <c r="J28" i="16"/>
  <c r="B28" i="16"/>
  <c r="J27" i="16"/>
  <c r="B27" i="16"/>
  <c r="J26" i="16"/>
  <c r="B26" i="16"/>
  <c r="J25" i="16"/>
  <c r="B25" i="16"/>
  <c r="J24" i="16"/>
  <c r="B24" i="16"/>
  <c r="J23" i="16"/>
  <c r="B23" i="16"/>
  <c r="J22" i="16"/>
  <c r="B22" i="16"/>
  <c r="J21" i="16"/>
  <c r="B21" i="16"/>
  <c r="J20" i="16"/>
  <c r="B20" i="16"/>
  <c r="J19" i="16"/>
  <c r="B19" i="16"/>
  <c r="J18" i="16"/>
  <c r="B18" i="16"/>
  <c r="J17" i="16"/>
  <c r="B17" i="16"/>
  <c r="J16" i="16"/>
  <c r="B16" i="16"/>
  <c r="J15" i="16"/>
  <c r="B15" i="16"/>
  <c r="J14" i="16"/>
  <c r="B14" i="16"/>
  <c r="J13" i="16"/>
  <c r="B13" i="16"/>
  <c r="J12" i="16"/>
  <c r="B12" i="16"/>
  <c r="J11" i="16"/>
  <c r="B11" i="16"/>
  <c r="J10" i="16"/>
  <c r="B10" i="16"/>
  <c r="J9" i="16"/>
  <c r="B9" i="16"/>
  <c r="J8" i="16"/>
  <c r="B8" i="16"/>
  <c r="J7" i="16"/>
  <c r="B7" i="16"/>
  <c r="J6" i="16"/>
  <c r="I6" i="16"/>
  <c r="B6" i="16"/>
  <c r="H5" i="16"/>
  <c r="G5" i="16"/>
  <c r="F5" i="16"/>
  <c r="E5" i="16"/>
  <c r="D5" i="16"/>
  <c r="C5" i="16"/>
  <c r="R349" i="14"/>
  <c r="R353" i="14"/>
  <c r="R354" i="14"/>
  <c r="R355" i="14"/>
  <c r="R342" i="14"/>
  <c r="R340" i="14"/>
  <c r="R337" i="14"/>
  <c r="R338" i="14"/>
  <c r="R339" i="14"/>
  <c r="R336" i="14"/>
  <c r="R335" i="14"/>
  <c r="R334" i="14"/>
  <c r="O234" i="14"/>
  <c r="O235" i="14"/>
  <c r="O233" i="14"/>
  <c r="O218" i="14"/>
  <c r="O219" i="14"/>
  <c r="O220" i="14"/>
  <c r="O221" i="14"/>
  <c r="O222" i="14"/>
  <c r="O223" i="14"/>
  <c r="O224" i="14"/>
  <c r="O225" i="14"/>
  <c r="O226" i="14"/>
  <c r="O227" i="14"/>
  <c r="O228" i="14"/>
  <c r="O229" i="14"/>
  <c r="O217" i="14"/>
  <c r="D192" i="14"/>
  <c r="D187" i="14"/>
  <c r="D189" i="14"/>
  <c r="D190" i="14"/>
  <c r="D191" i="14"/>
  <c r="D186" i="14"/>
  <c r="D185" i="14"/>
  <c r="J280" i="14"/>
  <c r="I280" i="14"/>
  <c r="H280" i="14"/>
  <c r="G280" i="14"/>
  <c r="F280" i="14"/>
  <c r="E280" i="14"/>
  <c r="D217" i="14"/>
  <c r="D218" i="14"/>
  <c r="D219" i="14"/>
  <c r="D220" i="14"/>
  <c r="D221" i="14"/>
  <c r="D222" i="14"/>
  <c r="D223" i="14"/>
  <c r="D224" i="14"/>
  <c r="D225" i="14"/>
  <c r="D226" i="14"/>
  <c r="D227" i="14"/>
  <c r="D228" i="14"/>
  <c r="D229" i="14"/>
  <c r="D235" i="14"/>
  <c r="D234" i="14"/>
  <c r="D233" i="14"/>
  <c r="D176" i="14"/>
  <c r="O135" i="14"/>
  <c r="D135" i="14"/>
  <c r="D282" i="14"/>
  <c r="D283" i="14"/>
  <c r="D284" i="14"/>
  <c r="D285" i="14"/>
  <c r="D286" i="14"/>
  <c r="D287" i="14"/>
  <c r="D288" i="14"/>
  <c r="D289" i="14"/>
  <c r="D290" i="14"/>
  <c r="D291" i="14"/>
  <c r="D292" i="14"/>
  <c r="D293" i="14"/>
  <c r="D294" i="14"/>
  <c r="D295" i="14"/>
  <c r="D296" i="14"/>
  <c r="D297" i="14"/>
  <c r="D298" i="14"/>
  <c r="D299" i="14"/>
  <c r="D300" i="14"/>
  <c r="D301" i="14"/>
  <c r="O282" i="14"/>
  <c r="O284" i="14"/>
  <c r="O285" i="14"/>
  <c r="O286" i="14"/>
  <c r="O287" i="14"/>
  <c r="O288" i="14"/>
  <c r="O289" i="14"/>
  <c r="O290" i="14"/>
  <c r="O291" i="14"/>
  <c r="O292" i="14"/>
  <c r="O293" i="14"/>
  <c r="O294" i="14"/>
  <c r="O295" i="14"/>
  <c r="O296" i="14"/>
  <c r="O297" i="14"/>
  <c r="O298" i="14"/>
  <c r="O299" i="14"/>
  <c r="O300" i="14"/>
  <c r="O301" i="14"/>
  <c r="D302" i="14"/>
  <c r="O302" i="14"/>
  <c r="D303" i="14"/>
  <c r="O303" i="14"/>
  <c r="D304" i="14"/>
  <c r="O304" i="14"/>
  <c r="D306" i="14"/>
  <c r="O306" i="14"/>
  <c r="D307" i="14"/>
  <c r="O307" i="14"/>
  <c r="D308" i="14"/>
  <c r="O308" i="14"/>
  <c r="H161" i="14"/>
  <c r="O141" i="14"/>
  <c r="O142" i="14"/>
  <c r="O143" i="14"/>
  <c r="O145" i="14"/>
  <c r="O147" i="14"/>
  <c r="O148" i="14"/>
  <c r="O149" i="14"/>
  <c r="O150" i="14"/>
  <c r="O151" i="14"/>
  <c r="O152" i="14"/>
  <c r="O153" i="14"/>
  <c r="O159" i="14"/>
  <c r="O160" i="14"/>
  <c r="O161" i="14"/>
  <c r="O162" i="14"/>
  <c r="O163" i="14"/>
  <c r="O164" i="14"/>
  <c r="O140" i="14"/>
  <c r="O41" i="14"/>
  <c r="O42" i="14"/>
  <c r="O43" i="14"/>
  <c r="O44" i="14"/>
  <c r="O45" i="14"/>
  <c r="O46" i="14"/>
  <c r="O48" i="14"/>
  <c r="O49" i="14"/>
  <c r="O52" i="14"/>
  <c r="O53" i="14"/>
  <c r="O281" i="14"/>
  <c r="O309" i="14"/>
  <c r="O56" i="14"/>
  <c r="O57" i="14"/>
  <c r="O61" i="14"/>
  <c r="O73" i="14"/>
  <c r="O77" i="14"/>
  <c r="O40" i="14"/>
  <c r="O199" i="14"/>
  <c r="O200" i="14"/>
  <c r="O201" i="14"/>
  <c r="O202" i="14"/>
  <c r="O203" i="14"/>
  <c r="O204" i="14"/>
  <c r="O205" i="14"/>
  <c r="O206" i="14"/>
  <c r="O207" i="14"/>
  <c r="O208" i="14"/>
  <c r="O209" i="14"/>
  <c r="O210" i="14"/>
  <c r="O211" i="14"/>
  <c r="O212" i="14"/>
  <c r="O213" i="14"/>
  <c r="O198" i="14"/>
  <c r="O129" i="14"/>
  <c r="O130" i="14"/>
  <c r="O131" i="14"/>
  <c r="O132" i="14"/>
  <c r="O134" i="14"/>
  <c r="O128" i="14"/>
  <c r="O110" i="14"/>
  <c r="O111" i="14"/>
  <c r="O112" i="14"/>
  <c r="O113" i="14"/>
  <c r="O114" i="14"/>
  <c r="O116" i="14"/>
  <c r="O328" i="14"/>
  <c r="O329" i="14"/>
  <c r="O330" i="14"/>
  <c r="E101" i="14"/>
  <c r="F101" i="14"/>
  <c r="G101" i="14"/>
  <c r="H101" i="14"/>
  <c r="I101" i="14"/>
  <c r="J101" i="14"/>
  <c r="D41" i="14"/>
  <c r="D42" i="14"/>
  <c r="D43" i="14"/>
  <c r="H43" i="14"/>
  <c r="D44" i="14"/>
  <c r="H44" i="14"/>
  <c r="H45" i="14"/>
  <c r="H48" i="14"/>
  <c r="D49" i="14"/>
  <c r="H49" i="14"/>
  <c r="D52" i="14"/>
  <c r="D53" i="14"/>
  <c r="D281" i="14"/>
  <c r="D309" i="14"/>
  <c r="D57" i="14"/>
  <c r="D80" i="14"/>
  <c r="E80" i="14"/>
  <c r="F80" i="14"/>
  <c r="G80" i="14"/>
  <c r="H80" i="14"/>
  <c r="I80" i="14"/>
  <c r="J80" i="14"/>
  <c r="O85" i="14"/>
  <c r="O156" i="14" s="1"/>
  <c r="O86" i="14"/>
  <c r="O157" i="14" s="1"/>
  <c r="O87" i="14"/>
  <c r="O88" i="14"/>
  <c r="D89" i="14"/>
  <c r="O89" i="14"/>
  <c r="D90" i="14"/>
  <c r="O90" i="14"/>
  <c r="D91" i="14"/>
  <c r="D92" i="14"/>
  <c r="O92" i="14"/>
  <c r="D93" i="14"/>
  <c r="O93" i="14"/>
  <c r="D94" i="14"/>
  <c r="O94" i="14"/>
  <c r="D95" i="14"/>
  <c r="O95" i="14"/>
  <c r="D96" i="14"/>
  <c r="O96" i="14"/>
  <c r="D318" i="14"/>
  <c r="D320" i="14"/>
  <c r="D321" i="14"/>
  <c r="D322" i="14"/>
  <c r="D323" i="14"/>
  <c r="D101" i="14"/>
  <c r="D102" i="14"/>
  <c r="O102" i="14"/>
  <c r="D103" i="14"/>
  <c r="O103" i="14"/>
  <c r="D104" i="14"/>
  <c r="O104" i="14"/>
  <c r="D105" i="14"/>
  <c r="O105" i="14"/>
  <c r="D106" i="14"/>
  <c r="O106" i="14"/>
  <c r="D311" i="14"/>
  <c r="O311" i="14"/>
  <c r="D312" i="14"/>
  <c r="O312" i="14"/>
  <c r="D313" i="14"/>
  <c r="O313" i="14"/>
  <c r="D314" i="14"/>
  <c r="O314" i="14"/>
  <c r="D315" i="14"/>
  <c r="D316" i="14"/>
  <c r="D109" i="14"/>
  <c r="E109" i="14"/>
  <c r="F109" i="14"/>
  <c r="G109" i="14"/>
  <c r="H109" i="14"/>
  <c r="I109" i="14"/>
  <c r="J109" i="14"/>
  <c r="D325" i="14"/>
  <c r="D110" i="14"/>
  <c r="D111" i="14"/>
  <c r="D112" i="14"/>
  <c r="D113" i="14"/>
  <c r="D114" i="14"/>
  <c r="D326" i="14"/>
  <c r="D116" i="14"/>
  <c r="D328" i="14"/>
  <c r="D329" i="14"/>
  <c r="D330" i="14"/>
  <c r="D121" i="14"/>
  <c r="E121" i="14"/>
  <c r="F121" i="14"/>
  <c r="G121" i="14"/>
  <c r="H121" i="14"/>
  <c r="I121" i="14"/>
  <c r="J121" i="14"/>
  <c r="D128" i="14"/>
  <c r="D129" i="14"/>
  <c r="D130" i="14"/>
  <c r="D131" i="14"/>
  <c r="D132" i="14"/>
  <c r="D134" i="14"/>
  <c r="G134" i="14"/>
  <c r="D197" i="14"/>
  <c r="E197" i="14"/>
  <c r="F197" i="14"/>
  <c r="G197" i="14"/>
  <c r="H197" i="14"/>
  <c r="I197" i="14"/>
  <c r="J197" i="14"/>
  <c r="D198" i="14"/>
  <c r="D199" i="14"/>
  <c r="D200" i="14"/>
  <c r="D201" i="14"/>
  <c r="D202" i="14"/>
  <c r="D203" i="14"/>
  <c r="D204" i="14"/>
  <c r="D205" i="14"/>
  <c r="D206" i="14"/>
  <c r="D207" i="14"/>
  <c r="D208" i="14"/>
  <c r="D209" i="14"/>
  <c r="D210" i="14"/>
  <c r="D211" i="14"/>
  <c r="D212" i="14"/>
  <c r="D213" i="14"/>
  <c r="E139" i="14"/>
  <c r="F139" i="14"/>
  <c r="G139" i="14"/>
  <c r="H139" i="14"/>
  <c r="I139" i="14"/>
  <c r="J139" i="14"/>
  <c r="D140" i="14"/>
  <c r="A10" i="35" s="1"/>
  <c r="D141" i="14"/>
  <c r="A11" i="35" s="1"/>
  <c r="D142" i="14"/>
  <c r="A12" i="35" s="1"/>
  <c r="D143" i="14"/>
  <c r="A13" i="35" s="1"/>
  <c r="D147" i="14"/>
  <c r="A17" i="35" s="1"/>
  <c r="D149" i="14"/>
  <c r="A19" i="35" s="1"/>
  <c r="D150" i="14"/>
  <c r="A20" i="35" s="1"/>
  <c r="D151" i="14"/>
  <c r="A21" i="35" s="1"/>
  <c r="D152" i="14"/>
  <c r="A22" i="35" s="1"/>
  <c r="D153" i="14"/>
  <c r="A23" i="35" s="1"/>
  <c r="D159" i="14"/>
  <c r="A28" i="35" s="1"/>
  <c r="D160" i="14"/>
  <c r="A29" i="35" s="1"/>
  <c r="D161" i="14"/>
  <c r="A30" i="35" s="1"/>
  <c r="D162" i="14"/>
  <c r="A31" i="35" s="1"/>
  <c r="D163" i="14"/>
  <c r="A32" i="35" s="1"/>
  <c r="D164" i="14"/>
  <c r="A33" i="35" s="1"/>
  <c r="I658" i="11"/>
  <c r="R286" i="14"/>
  <c r="I305" i="11"/>
  <c r="I307" i="11"/>
  <c r="K311" i="14"/>
  <c r="R311" i="14" s="1"/>
  <c r="I37" i="16"/>
  <c r="I38" i="16"/>
  <c r="I39" i="16"/>
  <c r="K461" i="11"/>
  <c r="D114" i="11"/>
  <c r="I127" i="14"/>
  <c r="O318" i="14"/>
  <c r="O326" i="14"/>
  <c r="O322" i="14"/>
  <c r="O325" i="14"/>
  <c r="O320" i="14"/>
  <c r="O323" i="14"/>
  <c r="O321" i="14"/>
  <c r="O319" i="14"/>
  <c r="R304" i="14"/>
  <c r="R288" i="14"/>
  <c r="I36" i="16"/>
  <c r="R305" i="14"/>
  <c r="R313" i="14"/>
  <c r="R312" i="14"/>
  <c r="R314" i="14"/>
  <c r="I7" i="16"/>
  <c r="R282" i="14"/>
  <c r="R330" i="14"/>
  <c r="I55" i="16"/>
  <c r="K328" i="14"/>
  <c r="R328" i="14" s="1"/>
  <c r="I53" i="16"/>
  <c r="R329" i="14"/>
  <c r="I54" i="16"/>
  <c r="N325" i="14"/>
  <c r="R325" i="14" s="1"/>
  <c r="I50" i="16"/>
  <c r="I8" i="16"/>
  <c r="R283" i="14"/>
  <c r="I9" i="16"/>
  <c r="R284" i="14"/>
  <c r="I29" i="16"/>
  <c r="I30" i="16"/>
  <c r="R293" i="14"/>
  <c r="I18" i="16"/>
  <c r="N326" i="14"/>
  <c r="R326" i="14" s="1"/>
  <c r="I51" i="16"/>
  <c r="I21" i="16"/>
  <c r="R296" i="14"/>
  <c r="I20" i="16"/>
  <c r="R295" i="14"/>
  <c r="I32" i="16"/>
  <c r="K307" i="14"/>
  <c r="R307" i="14" s="1"/>
  <c r="I33" i="16"/>
  <c r="K308" i="14"/>
  <c r="R308" i="14" s="1"/>
  <c r="I44" i="16"/>
  <c r="R319" i="14"/>
  <c r="I10" i="16"/>
  <c r="R285" i="14"/>
  <c r="R299" i="14"/>
  <c r="I24" i="16"/>
  <c r="I41" i="16"/>
  <c r="R316" i="14"/>
  <c r="I14" i="16"/>
  <c r="R289" i="14"/>
  <c r="R321" i="14"/>
  <c r="I46" i="16"/>
  <c r="I17" i="16"/>
  <c r="R292" i="14"/>
  <c r="R323" i="14"/>
  <c r="I48" i="16"/>
  <c r="I23" i="16"/>
  <c r="R298" i="14"/>
  <c r="I28" i="16"/>
  <c r="R303" i="14"/>
  <c r="R297" i="14"/>
  <c r="I22" i="16"/>
  <c r="I26" i="16"/>
  <c r="R301" i="14"/>
  <c r="I25" i="16"/>
  <c r="R300" i="14"/>
  <c r="I40" i="16"/>
  <c r="R315" i="14"/>
  <c r="I45" i="16"/>
  <c r="R320" i="14"/>
  <c r="R287" i="14"/>
  <c r="I12" i="16"/>
  <c r="I47" i="16"/>
  <c r="R322" i="14"/>
  <c r="I19" i="16"/>
  <c r="R294" i="14"/>
  <c r="I27" i="16"/>
  <c r="R302" i="14"/>
  <c r="R291" i="14"/>
  <c r="I16" i="16"/>
  <c r="R290" i="14"/>
  <c r="I15" i="16"/>
  <c r="I43" i="16"/>
  <c r="K318" i="14"/>
  <c r="R318" i="14" s="1"/>
  <c r="I31" i="16"/>
  <c r="K306" i="14"/>
  <c r="R306" i="14" s="1"/>
  <c r="J41" i="16"/>
  <c r="O316" i="14"/>
  <c r="J40" i="16"/>
  <c r="G19" i="11"/>
  <c r="D14" i="26"/>
  <c r="BV142" i="26" s="1"/>
  <c r="D15" i="26"/>
  <c r="EI42" i="27"/>
  <c r="D87" i="27"/>
  <c r="E87" i="27" s="1"/>
  <c r="Y41" i="27"/>
  <c r="P118" i="12"/>
  <c r="P81" i="12"/>
  <c r="E1097" i="23"/>
  <c r="E1103" i="23"/>
  <c r="E1112" i="23"/>
  <c r="E1106" i="23"/>
  <c r="E1115" i="23"/>
  <c r="E1118" i="23"/>
  <c r="E1121" i="23"/>
  <c r="E1109" i="23"/>
  <c r="E1124" i="23"/>
  <c r="E1100" i="23"/>
  <c r="N347" i="11"/>
  <c r="M346" i="11"/>
  <c r="M344" i="11"/>
  <c r="M345" i="11"/>
  <c r="M348" i="11"/>
  <c r="DJ102" i="26"/>
  <c r="DJ99" i="26"/>
  <c r="DJ105" i="26"/>
  <c r="E453" i="23"/>
  <c r="E145" i="11" s="1"/>
  <c r="E172" i="11" s="1"/>
  <c r="E162" i="26" s="1"/>
  <c r="DJ96" i="26"/>
  <c r="DJ93" i="26"/>
  <c r="G5" i="12"/>
  <c r="H5" i="12" s="1"/>
  <c r="P99" i="12" l="1"/>
  <c r="AC619" i="11"/>
  <c r="P93" i="12"/>
  <c r="AL25" i="26"/>
  <c r="AL26" i="26" s="1"/>
  <c r="M48" i="12"/>
  <c r="N48" i="12" s="1"/>
  <c r="P85" i="21"/>
  <c r="M40" i="12"/>
  <c r="N40" i="12" s="1"/>
  <c r="M115" i="12"/>
  <c r="N115" i="12" s="1"/>
  <c r="P51" i="12"/>
  <c r="P56" i="12"/>
  <c r="M120" i="12"/>
  <c r="N120" i="12" s="1"/>
  <c r="M35" i="12"/>
  <c r="N35" i="12" s="1"/>
  <c r="M125" i="12"/>
  <c r="N125" i="12" s="1"/>
  <c r="C308" i="26"/>
  <c r="Q373" i="26" s="1"/>
  <c r="O12" i="19"/>
  <c r="M103" i="12"/>
  <c r="N103" i="12" s="1"/>
  <c r="AC219" i="23"/>
  <c r="P55" i="12"/>
  <c r="P9" i="21"/>
  <c r="Z217" i="23"/>
  <c r="P71" i="12"/>
  <c r="M95" i="12"/>
  <c r="N95" i="12" s="1"/>
  <c r="P39" i="12"/>
  <c r="M82" i="12"/>
  <c r="N82" i="12" s="1"/>
  <c r="P90" i="12"/>
  <c r="M69" i="12"/>
  <c r="N69" i="12" s="1"/>
  <c r="M34" i="12"/>
  <c r="N34" i="12" s="1"/>
  <c r="M32" i="12"/>
  <c r="N32" i="12" s="1"/>
  <c r="M45" i="12"/>
  <c r="N45" i="12" s="1"/>
  <c r="P36" i="12"/>
  <c r="P45" i="21"/>
  <c r="M116" i="12"/>
  <c r="N116" i="12" s="1"/>
  <c r="P77" i="12"/>
  <c r="P16" i="21"/>
  <c r="M61" i="12"/>
  <c r="N61" i="12" s="1"/>
  <c r="S8" i="21"/>
  <c r="Z622" i="11" s="1"/>
  <c r="P6" i="21"/>
  <c r="Q188" i="14"/>
  <c r="Q187" i="14"/>
  <c r="AC187" i="14" s="1"/>
  <c r="D423" i="11"/>
  <c r="C443" i="26"/>
  <c r="D640" i="11"/>
  <c r="P54" i="12"/>
  <c r="P102" i="12"/>
  <c r="P97" i="12"/>
  <c r="M49" i="12"/>
  <c r="N49" i="12" s="1"/>
  <c r="M105" i="12"/>
  <c r="N105" i="12" s="1"/>
  <c r="P89" i="12"/>
  <c r="P67" i="21"/>
  <c r="P57" i="12"/>
  <c r="M38" i="12"/>
  <c r="N38" i="12" s="1"/>
  <c r="M7" i="12"/>
  <c r="N7" i="12" s="1"/>
  <c r="P13" i="21"/>
  <c r="J110" i="19"/>
  <c r="P92" i="12"/>
  <c r="S21" i="21"/>
  <c r="Z249" i="23" s="1"/>
  <c r="P100" i="12"/>
  <c r="M44" i="12"/>
  <c r="N44" i="12" s="1"/>
  <c r="AC639" i="11"/>
  <c r="P28" i="21"/>
  <c r="T21" i="21" s="1"/>
  <c r="M108" i="12"/>
  <c r="N108" i="12" s="1"/>
  <c r="AC250" i="23"/>
  <c r="P51" i="21"/>
  <c r="J12" i="21"/>
  <c r="K12" i="21" s="1"/>
  <c r="M12" i="21" s="1"/>
  <c r="P52" i="12"/>
  <c r="G669" i="11"/>
  <c r="F669" i="11" s="1"/>
  <c r="O660" i="11" s="1"/>
  <c r="Q186" i="14"/>
  <c r="AC186" i="14" s="1"/>
  <c r="P112" i="12"/>
  <c r="M25" i="12"/>
  <c r="N25" i="12" s="1"/>
  <c r="P5" i="12"/>
  <c r="M72" i="12"/>
  <c r="N72" i="12" s="1"/>
  <c r="M104" i="12"/>
  <c r="N104" i="12" s="1"/>
  <c r="P80" i="21"/>
  <c r="P122" i="12"/>
  <c r="P21" i="12"/>
  <c r="BH277" i="26"/>
  <c r="BH424" i="26" s="1"/>
  <c r="AI229" i="11"/>
  <c r="BB225" i="11"/>
  <c r="AI225" i="11"/>
  <c r="BH276" i="26"/>
  <c r="BH423" i="26" s="1"/>
  <c r="AI228" i="11"/>
  <c r="AU228" i="11" s="1"/>
  <c r="BH274" i="26"/>
  <c r="BH421" i="26" s="1"/>
  <c r="AI226" i="11"/>
  <c r="K370" i="26"/>
  <c r="D499" i="11"/>
  <c r="D821" i="23" s="1"/>
  <c r="U503" i="11"/>
  <c r="D489" i="11"/>
  <c r="D810" i="23" s="1"/>
  <c r="D501" i="11"/>
  <c r="D823" i="23" s="1"/>
  <c r="E518" i="11"/>
  <c r="F134" i="14" s="1"/>
  <c r="Q134" i="14" s="1"/>
  <c r="S479" i="11"/>
  <c r="D503" i="11"/>
  <c r="D825" i="23" s="1"/>
  <c r="D487" i="11"/>
  <c r="D808" i="23" s="1"/>
  <c r="S497" i="11"/>
  <c r="T497" i="11"/>
  <c r="U506" i="11"/>
  <c r="Q193" i="14"/>
  <c r="AC193" i="14" s="1"/>
  <c r="F478" i="26"/>
  <c r="F480" i="26"/>
  <c r="F472" i="26"/>
  <c r="F474" i="26"/>
  <c r="Q194" i="14"/>
  <c r="AC194" i="14" s="1"/>
  <c r="P74" i="12"/>
  <c r="M74" i="12"/>
  <c r="N74" i="12" s="1"/>
  <c r="P53" i="21"/>
  <c r="M80" i="12"/>
  <c r="N80" i="12" s="1"/>
  <c r="P67" i="12"/>
  <c r="M87" i="12"/>
  <c r="N87" i="12" s="1"/>
  <c r="M16" i="12"/>
  <c r="N16" i="12" s="1"/>
  <c r="M24" i="12"/>
  <c r="N24" i="12" s="1"/>
  <c r="P72" i="21"/>
  <c r="S20" i="21"/>
  <c r="Z639" i="11" s="1"/>
  <c r="M20" i="12"/>
  <c r="N20" i="12" s="1"/>
  <c r="M66" i="12"/>
  <c r="N66" i="12" s="1"/>
  <c r="P58" i="12"/>
  <c r="AC640" i="11"/>
  <c r="P14" i="12"/>
  <c r="P11" i="21"/>
  <c r="M79" i="12"/>
  <c r="N79" i="12" s="1"/>
  <c r="J486" i="11"/>
  <c r="O482" i="11"/>
  <c r="O122" i="14" s="1"/>
  <c r="J81" i="21"/>
  <c r="K81" i="21" s="1"/>
  <c r="M81" i="21" s="1"/>
  <c r="P81" i="21"/>
  <c r="P50" i="12"/>
  <c r="M50" i="12"/>
  <c r="N50" i="12" s="1"/>
  <c r="M107" i="12"/>
  <c r="N107" i="12" s="1"/>
  <c r="P107" i="12"/>
  <c r="M59" i="12"/>
  <c r="N59" i="12" s="1"/>
  <c r="P59" i="12"/>
  <c r="P47" i="12"/>
  <c r="M11" i="12"/>
  <c r="N11" i="12" s="1"/>
  <c r="P42" i="12"/>
  <c r="P119" i="12"/>
  <c r="P68" i="21"/>
  <c r="T23" i="21" s="1"/>
  <c r="AA251" i="23" s="1"/>
  <c r="P49" i="21"/>
  <c r="P27" i="12"/>
  <c r="P86" i="12"/>
  <c r="P65" i="12"/>
  <c r="M60" i="12"/>
  <c r="N60" i="12" s="1"/>
  <c r="P73" i="12"/>
  <c r="M12" i="12"/>
  <c r="N12" i="12" s="1"/>
  <c r="Z220" i="23"/>
  <c r="M26" i="12"/>
  <c r="N26" i="12" s="1"/>
  <c r="M37" i="12"/>
  <c r="N37" i="12" s="1"/>
  <c r="P96" i="12"/>
  <c r="M98" i="12"/>
  <c r="N98" i="12" s="1"/>
  <c r="P23" i="12"/>
  <c r="P68" i="12"/>
  <c r="M83" i="12"/>
  <c r="N83" i="12" s="1"/>
  <c r="M106" i="12"/>
  <c r="N106" i="12" s="1"/>
  <c r="M91" i="12"/>
  <c r="N91" i="12" s="1"/>
  <c r="M62" i="12"/>
  <c r="N62" i="12" s="1"/>
  <c r="P76" i="21"/>
  <c r="Q28" i="23"/>
  <c r="Q30" i="23"/>
  <c r="Q35" i="23" s="1"/>
  <c r="M30" i="12"/>
  <c r="N30" i="12" s="1"/>
  <c r="P70" i="21"/>
  <c r="U22" i="21" s="1"/>
  <c r="AB250" i="23" s="1"/>
  <c r="G27" i="12"/>
  <c r="H27" i="12" s="1"/>
  <c r="J26" i="21"/>
  <c r="K26" i="21" s="1"/>
  <c r="M26" i="21" s="1"/>
  <c r="P26" i="21"/>
  <c r="J34" i="21"/>
  <c r="K34" i="21" s="1"/>
  <c r="M34" i="21" s="1"/>
  <c r="P34" i="21"/>
  <c r="J87" i="21"/>
  <c r="K87" i="21" s="1"/>
  <c r="M87" i="21" s="1"/>
  <c r="P87" i="21"/>
  <c r="P117" i="12"/>
  <c r="M117" i="12"/>
  <c r="N117" i="12" s="1"/>
  <c r="M88" i="12"/>
  <c r="N88" i="12" s="1"/>
  <c r="P88" i="12"/>
  <c r="P46" i="12"/>
  <c r="M46" i="12"/>
  <c r="N46" i="12" s="1"/>
  <c r="J74" i="21"/>
  <c r="K74" i="21" s="1"/>
  <c r="M74" i="21" s="1"/>
  <c r="P74" i="21"/>
  <c r="P111" i="12"/>
  <c r="M111" i="12"/>
  <c r="N111" i="12" s="1"/>
  <c r="M78" i="12"/>
  <c r="N78" i="12" s="1"/>
  <c r="P78" i="12"/>
  <c r="P41" i="12"/>
  <c r="M41" i="12"/>
  <c r="N41" i="12" s="1"/>
  <c r="P101" i="12"/>
  <c r="M101" i="12"/>
  <c r="N101" i="12" s="1"/>
  <c r="P70" i="12"/>
  <c r="M70" i="12"/>
  <c r="N70" i="12" s="1"/>
  <c r="P121" i="12"/>
  <c r="M121" i="12"/>
  <c r="N121" i="12" s="1"/>
  <c r="M94" i="12"/>
  <c r="N94" i="12" s="1"/>
  <c r="P94" i="12"/>
  <c r="M53" i="12"/>
  <c r="N53" i="12" s="1"/>
  <c r="P53" i="12"/>
  <c r="M15" i="12"/>
  <c r="N15" i="12" s="1"/>
  <c r="M126" i="12"/>
  <c r="N126" i="12" s="1"/>
  <c r="M29" i="12"/>
  <c r="N29" i="12" s="1"/>
  <c r="P63" i="12"/>
  <c r="P43" i="12"/>
  <c r="P110" i="12"/>
  <c r="M85" i="12"/>
  <c r="N85" i="12" s="1"/>
  <c r="P17" i="12"/>
  <c r="P20" i="21"/>
  <c r="P78" i="21"/>
  <c r="P61" i="21"/>
  <c r="T22" i="21" s="1"/>
  <c r="AA641" i="11" s="1"/>
  <c r="P79" i="21"/>
  <c r="P32" i="21"/>
  <c r="H62" i="21"/>
  <c r="I62" i="21" s="1"/>
  <c r="J62" i="21" s="1"/>
  <c r="K62" i="21" s="1"/>
  <c r="M62" i="21" s="1"/>
  <c r="U10" i="21" s="1"/>
  <c r="AB220" i="23" s="1"/>
  <c r="AC624" i="11"/>
  <c r="AC231" i="23"/>
  <c r="J8" i="21"/>
  <c r="K8" i="21" s="1"/>
  <c r="M8" i="21" s="1"/>
  <c r="M19" i="12"/>
  <c r="N19" i="12" s="1"/>
  <c r="M13" i="12"/>
  <c r="N13" i="12" s="1"/>
  <c r="M8" i="12"/>
  <c r="N8" i="12" s="1"/>
  <c r="P109" i="12"/>
  <c r="M64" i="12"/>
  <c r="N64" i="12" s="1"/>
  <c r="P59" i="21"/>
  <c r="U21" i="21" s="1"/>
  <c r="AB640" i="11" s="1"/>
  <c r="P46" i="21"/>
  <c r="T20" i="21" s="1"/>
  <c r="AA639" i="11" s="1"/>
  <c r="P17" i="21"/>
  <c r="P24" i="21"/>
  <c r="P84" i="21"/>
  <c r="P47" i="21"/>
  <c r="P63" i="21"/>
  <c r="AC621" i="11"/>
  <c r="AC232" i="23"/>
  <c r="G11" i="12"/>
  <c r="H11" i="12" s="1"/>
  <c r="G69" i="12"/>
  <c r="H69" i="12" s="1"/>
  <c r="E288" i="27"/>
  <c r="A51" i="19"/>
  <c r="M5" i="30"/>
  <c r="M5" i="31"/>
  <c r="L2" i="24"/>
  <c r="O3" i="31"/>
  <c r="O2" i="20"/>
  <c r="O2" i="31"/>
  <c r="D4" i="19"/>
  <c r="F5" i="31"/>
  <c r="D3" i="24"/>
  <c r="F4" i="31"/>
  <c r="F79" i="12"/>
  <c r="H79" i="12" s="1"/>
  <c r="G39" i="12"/>
  <c r="H39" i="12" s="1"/>
  <c r="G75" i="12"/>
  <c r="H75" i="12" s="1"/>
  <c r="K169" i="26"/>
  <c r="K220" i="26" s="1"/>
  <c r="K172" i="26"/>
  <c r="K223" i="26" s="1"/>
  <c r="K175" i="26"/>
  <c r="K226" i="26" s="1"/>
  <c r="K178" i="26"/>
  <c r="K229" i="26" s="1"/>
  <c r="K166" i="26"/>
  <c r="K217" i="26" s="1"/>
  <c r="G83" i="12"/>
  <c r="H83" i="12" s="1"/>
  <c r="G15" i="12"/>
  <c r="H15" i="12" s="1"/>
  <c r="E287" i="27"/>
  <c r="G43" i="12"/>
  <c r="H43" i="12" s="1"/>
  <c r="G19" i="12"/>
  <c r="H19" i="12" s="1"/>
  <c r="G35" i="12"/>
  <c r="H35" i="12" s="1"/>
  <c r="G55" i="12"/>
  <c r="H55" i="12" s="1"/>
  <c r="G65" i="12"/>
  <c r="H65" i="12" s="1"/>
  <c r="G51" i="12"/>
  <c r="H51" i="12" s="1"/>
  <c r="G31" i="12"/>
  <c r="H31" i="12" s="1"/>
  <c r="G47" i="12"/>
  <c r="H47" i="12" s="1"/>
  <c r="A285" i="27"/>
  <c r="G7" i="12"/>
  <c r="H7" i="12" s="1"/>
  <c r="G23" i="12"/>
  <c r="H23" i="12" s="1"/>
  <c r="G59" i="12"/>
  <c r="H59" i="12" s="1"/>
  <c r="AM468" i="23"/>
  <c r="BG484" i="23"/>
  <c r="BP469" i="23"/>
  <c r="BV17" i="26"/>
  <c r="BW17" i="26" s="1"/>
  <c r="T104" i="25" s="1"/>
  <c r="AL468" i="23"/>
  <c r="BG472" i="23"/>
  <c r="AJ468" i="23"/>
  <c r="BG470" i="23"/>
  <c r="BD473" i="23"/>
  <c r="BE473" i="23" s="1"/>
  <c r="BD474" i="23"/>
  <c r="BE474" i="23" s="1"/>
  <c r="BD475" i="23"/>
  <c r="BE475" i="23" s="1"/>
  <c r="BD477" i="23"/>
  <c r="BE477" i="23" s="1"/>
  <c r="BD482" i="23"/>
  <c r="BE482" i="23" s="1"/>
  <c r="BD483" i="23"/>
  <c r="BE483" i="23" s="1"/>
  <c r="BD484" i="23"/>
  <c r="BE484" i="23" s="1"/>
  <c r="BD485" i="23"/>
  <c r="BE485" i="23" s="1"/>
  <c r="BD472" i="23"/>
  <c r="BE472" i="23" s="1"/>
  <c r="A34" i="27"/>
  <c r="BF233" i="11"/>
  <c r="C191" i="26"/>
  <c r="C203" i="26"/>
  <c r="D360" i="26"/>
  <c r="C239" i="26"/>
  <c r="J160" i="11"/>
  <c r="BD465" i="23"/>
  <c r="BE465" i="23" s="1"/>
  <c r="BD467" i="23"/>
  <c r="BE467" i="23" s="1"/>
  <c r="DJ97" i="26"/>
  <c r="DJ106" i="26"/>
  <c r="A153" i="11"/>
  <c r="AG225" i="11" s="1"/>
  <c r="B158" i="11"/>
  <c r="AQ226" i="11"/>
  <c r="AX226" i="11" s="1"/>
  <c r="AW226" i="11" s="1"/>
  <c r="F470" i="26"/>
  <c r="E37" i="27"/>
  <c r="E204" i="27"/>
  <c r="F476" i="26"/>
  <c r="A38" i="27"/>
  <c r="F203" i="27"/>
  <c r="E38" i="27"/>
  <c r="A202" i="27"/>
  <c r="A287" i="27"/>
  <c r="L486" i="11"/>
  <c r="E206" i="27"/>
  <c r="E120" i="27"/>
  <c r="E290" i="27"/>
  <c r="J161" i="11"/>
  <c r="E201" i="27"/>
  <c r="A117" i="27"/>
  <c r="A197" i="11"/>
  <c r="A166" i="11"/>
  <c r="AG241" i="11" s="1"/>
  <c r="BH275" i="26"/>
  <c r="BH422" i="26" s="1"/>
  <c r="A157" i="11"/>
  <c r="AG229" i="11" s="1"/>
  <c r="AO284" i="26"/>
  <c r="AO431" i="26" s="1"/>
  <c r="F119" i="27"/>
  <c r="H119" i="27" s="1"/>
  <c r="F289" i="27"/>
  <c r="E202" i="27"/>
  <c r="C251" i="26"/>
  <c r="I158" i="11"/>
  <c r="AV279" i="26"/>
  <c r="BD279" i="26" s="1"/>
  <c r="BL279" i="26" s="1"/>
  <c r="E205" i="27"/>
  <c r="AV287" i="26"/>
  <c r="AV434" i="26" s="1"/>
  <c r="BD434" i="26" s="1"/>
  <c r="A24" i="27"/>
  <c r="G24" i="12"/>
  <c r="H24" i="12" s="1"/>
  <c r="AG232" i="11"/>
  <c r="J162" i="11"/>
  <c r="K494" i="11"/>
  <c r="J135" i="11"/>
  <c r="G134" i="11" s="1"/>
  <c r="F80" i="12"/>
  <c r="H80" i="12" s="1"/>
  <c r="O3" i="20"/>
  <c r="E3" i="22"/>
  <c r="M5" i="20"/>
  <c r="BE4" i="27" s="1"/>
  <c r="F32" i="12"/>
  <c r="H32" i="12" s="1"/>
  <c r="L87" i="22"/>
  <c r="I15" i="23"/>
  <c r="G12" i="12"/>
  <c r="H12" i="12" s="1"/>
  <c r="G44" i="12"/>
  <c r="H44" i="12" s="1"/>
  <c r="G16" i="12"/>
  <c r="H16" i="12" s="1"/>
  <c r="G56" i="12"/>
  <c r="H56" i="12" s="1"/>
  <c r="G67" i="12"/>
  <c r="H67" i="12" s="1"/>
  <c r="G36" i="12"/>
  <c r="H36" i="12" s="1"/>
  <c r="G8" i="12"/>
  <c r="H8" i="12" s="1"/>
  <c r="G60" i="12"/>
  <c r="H60" i="12" s="1"/>
  <c r="G72" i="12"/>
  <c r="H72" i="12" s="1"/>
  <c r="G20" i="12"/>
  <c r="H20" i="12" s="1"/>
  <c r="F28" i="12"/>
  <c r="H28" i="12" s="1"/>
  <c r="G48" i="12"/>
  <c r="H48" i="12" s="1"/>
  <c r="G64" i="12"/>
  <c r="H64" i="12" s="1"/>
  <c r="G15" i="23"/>
  <c r="G40" i="12"/>
  <c r="H40" i="12" s="1"/>
  <c r="G76" i="12"/>
  <c r="H76" i="12" s="1"/>
  <c r="G11" i="11"/>
  <c r="D3" i="19"/>
  <c r="B105" i="27"/>
  <c r="A105" i="27" s="1"/>
  <c r="D9" i="11"/>
  <c r="C98" i="11"/>
  <c r="C97" i="11"/>
  <c r="C96" i="11"/>
  <c r="C99" i="11"/>
  <c r="G769" i="23"/>
  <c r="L871" i="23" s="1"/>
  <c r="J1127" i="23"/>
  <c r="J1071" i="23"/>
  <c r="E484" i="23"/>
  <c r="J3" i="25"/>
  <c r="D3" i="17"/>
  <c r="H7" i="21"/>
  <c r="I7" i="21" s="1"/>
  <c r="S18" i="21"/>
  <c r="J10" i="21"/>
  <c r="K10" i="21" s="1"/>
  <c r="M10" i="21" s="1"/>
  <c r="P10" i="21"/>
  <c r="J19" i="21"/>
  <c r="K19" i="21" s="1"/>
  <c r="M19" i="21" s="1"/>
  <c r="P19" i="21"/>
  <c r="J42" i="21"/>
  <c r="K42" i="21" s="1"/>
  <c r="M42" i="21" s="1"/>
  <c r="P42" i="21"/>
  <c r="J54" i="21"/>
  <c r="K54" i="21" s="1"/>
  <c r="M54" i="21" s="1"/>
  <c r="P54" i="21"/>
  <c r="J57" i="21"/>
  <c r="K57" i="21" s="1"/>
  <c r="M57" i="21" s="1"/>
  <c r="T10" i="21" s="1"/>
  <c r="P57" i="21"/>
  <c r="J65" i="21"/>
  <c r="K65" i="21" s="1"/>
  <c r="M65" i="21" s="1"/>
  <c r="P65" i="21"/>
  <c r="J77" i="21"/>
  <c r="K77" i="21" s="1"/>
  <c r="M77" i="21" s="1"/>
  <c r="P77" i="21"/>
  <c r="J86" i="21"/>
  <c r="K86" i="21" s="1"/>
  <c r="M86" i="21" s="1"/>
  <c r="P86" i="21"/>
  <c r="M33" i="12"/>
  <c r="N33" i="12" s="1"/>
  <c r="P33" i="12"/>
  <c r="J5" i="21"/>
  <c r="K5" i="21" s="1"/>
  <c r="M5" i="21" s="1"/>
  <c r="T6" i="21" s="1"/>
  <c r="AA215" i="23" s="1"/>
  <c r="P5" i="21"/>
  <c r="T18" i="21" s="1"/>
  <c r="P31" i="21"/>
  <c r="J31" i="21"/>
  <c r="K31" i="21" s="1"/>
  <c r="M31" i="21" s="1"/>
  <c r="J39" i="21"/>
  <c r="K39" i="21" s="1"/>
  <c r="M39" i="21" s="1"/>
  <c r="P39" i="21"/>
  <c r="J58" i="21"/>
  <c r="K58" i="21" s="1"/>
  <c r="M58" i="21" s="1"/>
  <c r="P58" i="21"/>
  <c r="J75" i="21"/>
  <c r="K75" i="21" s="1"/>
  <c r="M75" i="21" s="1"/>
  <c r="P75" i="21"/>
  <c r="J83" i="21"/>
  <c r="K83" i="21" s="1"/>
  <c r="M83" i="21" s="1"/>
  <c r="P83" i="21"/>
  <c r="M9" i="12"/>
  <c r="N9" i="12" s="1"/>
  <c r="P9" i="12"/>
  <c r="P28" i="12"/>
  <c r="M28" i="12"/>
  <c r="N28" i="12" s="1"/>
  <c r="AA622" i="11"/>
  <c r="AA218" i="23"/>
  <c r="J15" i="21"/>
  <c r="K15" i="21" s="1"/>
  <c r="M15" i="21" s="1"/>
  <c r="P15" i="21"/>
  <c r="J30" i="21"/>
  <c r="K30" i="21" s="1"/>
  <c r="M30" i="21" s="1"/>
  <c r="P30" i="21"/>
  <c r="J38" i="21"/>
  <c r="K38" i="21" s="1"/>
  <c r="M38" i="21" s="1"/>
  <c r="P38" i="21"/>
  <c r="U20" i="21" s="1"/>
  <c r="J55" i="21"/>
  <c r="K55" i="21" s="1"/>
  <c r="M55" i="21" s="1"/>
  <c r="P55" i="21"/>
  <c r="J71" i="21"/>
  <c r="K71" i="21" s="1"/>
  <c r="M71" i="21" s="1"/>
  <c r="P71" i="21"/>
  <c r="J73" i="21"/>
  <c r="K73" i="21" s="1"/>
  <c r="M73" i="21" s="1"/>
  <c r="P73" i="21"/>
  <c r="J14" i="21"/>
  <c r="K14" i="21" s="1"/>
  <c r="M14" i="21" s="1"/>
  <c r="P14" i="21"/>
  <c r="P18" i="12"/>
  <c r="M18" i="12"/>
  <c r="N18" i="12" s="1"/>
  <c r="J18" i="21"/>
  <c r="K18" i="21" s="1"/>
  <c r="M18" i="21" s="1"/>
  <c r="P18" i="21"/>
  <c r="T19" i="21" s="1"/>
  <c r="AA638" i="11" s="1"/>
  <c r="H21" i="21"/>
  <c r="I21" i="21" s="1"/>
  <c r="S6" i="21"/>
  <c r="P35" i="21"/>
  <c r="J35" i="21"/>
  <c r="K35" i="21" s="1"/>
  <c r="M35" i="21" s="1"/>
  <c r="J43" i="21"/>
  <c r="K43" i="21" s="1"/>
  <c r="M43" i="21" s="1"/>
  <c r="P43" i="21"/>
  <c r="J50" i="21"/>
  <c r="K50" i="21" s="1"/>
  <c r="M50" i="21" s="1"/>
  <c r="P50" i="21"/>
  <c r="J64" i="21"/>
  <c r="K64" i="21" s="1"/>
  <c r="M64" i="21" s="1"/>
  <c r="P64" i="21"/>
  <c r="M6" i="12"/>
  <c r="N6" i="12" s="1"/>
  <c r="P6" i="12"/>
  <c r="M10" i="12"/>
  <c r="N10" i="12" s="1"/>
  <c r="P10" i="12"/>
  <c r="S11" i="21"/>
  <c r="Z625" i="11" s="1"/>
  <c r="S19" i="21"/>
  <c r="Q252" i="14"/>
  <c r="AC252" i="14" s="1"/>
  <c r="J52" i="21"/>
  <c r="K52" i="21" s="1"/>
  <c r="M52" i="21" s="1"/>
  <c r="T9" i="21" s="1"/>
  <c r="AA219" i="23" s="1"/>
  <c r="P113" i="12"/>
  <c r="Q356" i="14"/>
  <c r="H23" i="21"/>
  <c r="I23" i="21" s="1"/>
  <c r="J11" i="11"/>
  <c r="B107" i="27"/>
  <c r="A107" i="27" s="1"/>
  <c r="C131" i="27"/>
  <c r="D211" i="27"/>
  <c r="C105" i="27"/>
  <c r="AO279" i="26"/>
  <c r="AO426" i="26" s="1"/>
  <c r="B161" i="11"/>
  <c r="AQ229" i="11"/>
  <c r="AX229" i="11" s="1"/>
  <c r="AW229" i="11" s="1"/>
  <c r="G73" i="12"/>
  <c r="AV280" i="26"/>
  <c r="AV427" i="26" s="1"/>
  <c r="BD427" i="26" s="1"/>
  <c r="BL427" i="26" s="1"/>
  <c r="C340" i="26"/>
  <c r="BD285" i="26"/>
  <c r="BL285" i="26" s="1"/>
  <c r="J188" i="23"/>
  <c r="AK467" i="23"/>
  <c r="AM430" i="26"/>
  <c r="B163" i="11"/>
  <c r="C598" i="23"/>
  <c r="L597" i="23" s="1"/>
  <c r="J604" i="23" s="1"/>
  <c r="K604" i="23" s="1"/>
  <c r="D346" i="26"/>
  <c r="C192" i="11"/>
  <c r="J334" i="26"/>
  <c r="C337" i="26"/>
  <c r="A18" i="27"/>
  <c r="C332" i="26"/>
  <c r="I342" i="26"/>
  <c r="C338" i="26"/>
  <c r="I352" i="26"/>
  <c r="A193" i="26"/>
  <c r="O375" i="26"/>
  <c r="C257" i="26"/>
  <c r="O368" i="26"/>
  <c r="M370" i="26"/>
  <c r="C352" i="26"/>
  <c r="H334" i="26"/>
  <c r="O371" i="26"/>
  <c r="A205" i="26"/>
  <c r="AQ239" i="11"/>
  <c r="AX239" i="11" s="1"/>
  <c r="AW239" i="11" s="1"/>
  <c r="C334" i="26"/>
  <c r="B155" i="11"/>
  <c r="H331" i="26"/>
  <c r="A181" i="26"/>
  <c r="L362" i="26"/>
  <c r="F374" i="26"/>
  <c r="H332" i="26"/>
  <c r="C339" i="26"/>
  <c r="DD120" i="26"/>
  <c r="G25" i="12"/>
  <c r="H25" i="12" s="1"/>
  <c r="C216" i="11"/>
  <c r="E338" i="26"/>
  <c r="C336" i="26"/>
  <c r="J329" i="26"/>
  <c r="O379" i="26"/>
  <c r="D368" i="26"/>
  <c r="D358" i="26"/>
  <c r="BB228" i="11"/>
  <c r="B167" i="11"/>
  <c r="AV284" i="26"/>
  <c r="AV431" i="26" s="1"/>
  <c r="BD431" i="26" s="1"/>
  <c r="BL431" i="26" s="1"/>
  <c r="A119" i="27"/>
  <c r="X170" i="11"/>
  <c r="AD170" i="11" s="1"/>
  <c r="D321" i="26"/>
  <c r="BD283" i="26"/>
  <c r="AV430" i="26"/>
  <c r="BD430" i="26" s="1"/>
  <c r="BL430" i="26" s="1"/>
  <c r="DD112" i="26"/>
  <c r="C233" i="26"/>
  <c r="E34" i="27"/>
  <c r="AI238" i="11"/>
  <c r="AL238" i="11" s="1"/>
  <c r="J4" i="25"/>
  <c r="O804" i="23"/>
  <c r="CP172" i="26"/>
  <c r="AI233" i="11"/>
  <c r="AL233" i="11" s="1"/>
  <c r="E33" i="27"/>
  <c r="W2" i="25"/>
  <c r="A208" i="26"/>
  <c r="A259" i="26"/>
  <c r="AO273" i="26"/>
  <c r="CX66" i="26" s="1"/>
  <c r="C185" i="26"/>
  <c r="AO274" i="26"/>
  <c r="AO421" i="26" s="1"/>
  <c r="AQ232" i="11"/>
  <c r="AX232" i="11" s="1"/>
  <c r="AW232" i="11" s="1"/>
  <c r="AQ237" i="11"/>
  <c r="AX237" i="11" s="1"/>
  <c r="C207" i="11"/>
  <c r="AQ236" i="11"/>
  <c r="AX236" i="11" s="1"/>
  <c r="BF236" i="11" s="1"/>
  <c r="BH284" i="26"/>
  <c r="BH431" i="26" s="1"/>
  <c r="AG237" i="11"/>
  <c r="BB233" i="11"/>
  <c r="E4" i="16"/>
  <c r="DD113" i="26"/>
  <c r="C197" i="26"/>
  <c r="BB237" i="11"/>
  <c r="BW1" i="26"/>
  <c r="A218" i="11"/>
  <c r="J165" i="11"/>
  <c r="BG466" i="23"/>
  <c r="BP471" i="23"/>
  <c r="BG471" i="23"/>
  <c r="AG227" i="11"/>
  <c r="AU227" i="11" s="1"/>
  <c r="AM275" i="26"/>
  <c r="AM422" i="26" s="1"/>
  <c r="BP473" i="23"/>
  <c r="BG473" i="23"/>
  <c r="BP485" i="23"/>
  <c r="BG485" i="23"/>
  <c r="O279" i="23"/>
  <c r="H279" i="23" s="1"/>
  <c r="O275" i="23"/>
  <c r="H275" i="23" s="1"/>
  <c r="O278" i="23"/>
  <c r="H278" i="23" s="1"/>
  <c r="O280" i="23"/>
  <c r="H280" i="23" s="1"/>
  <c r="O281" i="23"/>
  <c r="H281" i="23" s="1"/>
  <c r="O282" i="23"/>
  <c r="H282" i="23" s="1"/>
  <c r="O276" i="23"/>
  <c r="H276" i="23" s="1"/>
  <c r="O277" i="23"/>
  <c r="H277" i="23" s="1"/>
  <c r="J293" i="11"/>
  <c r="S184" i="25" s="1"/>
  <c r="A187" i="26"/>
  <c r="BB236" i="11"/>
  <c r="C248" i="26"/>
  <c r="BD281" i="26"/>
  <c r="BL281" i="26" s="1"/>
  <c r="BF234" i="11"/>
  <c r="M338" i="11"/>
  <c r="BP474" i="23"/>
  <c r="AA467" i="23"/>
  <c r="AB467" i="23"/>
  <c r="BD469" i="23"/>
  <c r="BE469" i="23" s="1"/>
  <c r="BH273" i="26"/>
  <c r="BH420" i="26" s="1"/>
  <c r="C236" i="26"/>
  <c r="M341" i="11"/>
  <c r="BP475" i="23"/>
  <c r="AJ467" i="23"/>
  <c r="Z467" i="23"/>
  <c r="BD466" i="23"/>
  <c r="BE466" i="23" s="1"/>
  <c r="A199" i="26"/>
  <c r="X183" i="11"/>
  <c r="AC183" i="11" s="1"/>
  <c r="AI242" i="11"/>
  <c r="AL242" i="11" s="1"/>
  <c r="AC467" i="23"/>
  <c r="AM467" i="23"/>
  <c r="BD468" i="23"/>
  <c r="BE468" i="23" s="1"/>
  <c r="E866" i="23"/>
  <c r="A154" i="11"/>
  <c r="B154" i="11"/>
  <c r="E36" i="27"/>
  <c r="E35" i="27"/>
  <c r="F121" i="27"/>
  <c r="E121" i="27"/>
  <c r="E122" i="27"/>
  <c r="E3" i="16"/>
  <c r="AV275" i="26"/>
  <c r="C301" i="26"/>
  <c r="E394" i="26" s="1"/>
  <c r="C120" i="26"/>
  <c r="D40" i="26"/>
  <c r="BW2" i="26" s="1"/>
  <c r="DZ77" i="26" s="1"/>
  <c r="BV143" i="26"/>
  <c r="C242" i="26"/>
  <c r="A241" i="26"/>
  <c r="H181" i="26"/>
  <c r="AM425" i="26"/>
  <c r="C461" i="11"/>
  <c r="C464" i="11"/>
  <c r="H458" i="11"/>
  <c r="H772" i="23" s="1"/>
  <c r="H453" i="11"/>
  <c r="H767" i="23" s="1"/>
  <c r="C468" i="11"/>
  <c r="C782" i="23" s="1"/>
  <c r="I466" i="11"/>
  <c r="I780" i="23" s="1"/>
  <c r="C453" i="11"/>
  <c r="C767" i="23" s="1"/>
  <c r="O491" i="11"/>
  <c r="O812" i="23" s="1"/>
  <c r="C463" i="11"/>
  <c r="F4" i="20"/>
  <c r="G3" i="14"/>
  <c r="F4" i="30"/>
  <c r="R1" i="14"/>
  <c r="C455" i="11"/>
  <c r="C769" i="23" s="1"/>
  <c r="AQ228" i="11"/>
  <c r="AX228" i="11" s="1"/>
  <c r="AW228" i="11" s="1"/>
  <c r="AV276" i="26"/>
  <c r="AO277" i="26"/>
  <c r="AO424" i="26" s="1"/>
  <c r="BB229" i="11"/>
  <c r="BB232" i="11"/>
  <c r="J159" i="11"/>
  <c r="I157" i="11"/>
  <c r="A160" i="11"/>
  <c r="AG234" i="11" s="1"/>
  <c r="B160" i="11"/>
  <c r="AQ241" i="11"/>
  <c r="AX241" i="11" s="1"/>
  <c r="AW241" i="11" s="1"/>
  <c r="AV286" i="26"/>
  <c r="AV433" i="26" s="1"/>
  <c r="BD433" i="26" s="1"/>
  <c r="BL433" i="26" s="1"/>
  <c r="AW242" i="11"/>
  <c r="Q192" i="14"/>
  <c r="AC192" i="14" s="1"/>
  <c r="Q181" i="14"/>
  <c r="AC181" i="14" s="1"/>
  <c r="AG235" i="11"/>
  <c r="BB226" i="11"/>
  <c r="I162" i="11"/>
  <c r="AI236" i="11"/>
  <c r="AL236" i="11" s="1"/>
  <c r="X173" i="11"/>
  <c r="AD173" i="11" s="1"/>
  <c r="X178" i="11"/>
  <c r="X179" i="11"/>
  <c r="AD179" i="11" s="1"/>
  <c r="AO287" i="26"/>
  <c r="BB242" i="11"/>
  <c r="AO282" i="26"/>
  <c r="BH283" i="26"/>
  <c r="BH430" i="26" s="1"/>
  <c r="B156" i="11"/>
  <c r="A165" i="11"/>
  <c r="AO283" i="26"/>
  <c r="AR283" i="26" s="1"/>
  <c r="I161" i="11"/>
  <c r="X174" i="11"/>
  <c r="AQ235" i="11"/>
  <c r="AX235" i="11" s="1"/>
  <c r="AW235" i="11" s="1"/>
  <c r="BH287" i="26"/>
  <c r="BH434" i="26" s="1"/>
  <c r="I153" i="11"/>
  <c r="A159" i="11"/>
  <c r="AG233" i="11" s="1"/>
  <c r="AV273" i="26"/>
  <c r="BD273" i="26" s="1"/>
  <c r="BC273" i="26" s="1"/>
  <c r="AO276" i="26"/>
  <c r="AI237" i="11"/>
  <c r="AL237" i="11" s="1"/>
  <c r="I154" i="11"/>
  <c r="Q182" i="14"/>
  <c r="AC182" i="14" s="1"/>
  <c r="A200" i="11"/>
  <c r="J163" i="11"/>
  <c r="X181" i="11"/>
  <c r="AD181" i="11" s="1"/>
  <c r="AM276" i="26"/>
  <c r="AG242" i="11"/>
  <c r="AM287" i="26"/>
  <c r="BL432" i="26"/>
  <c r="BC432" i="26"/>
  <c r="BL278" i="26"/>
  <c r="BC278" i="26"/>
  <c r="A244" i="26"/>
  <c r="C245" i="26"/>
  <c r="F117" i="27"/>
  <c r="E118" i="27"/>
  <c r="E117" i="27"/>
  <c r="D4" i="17"/>
  <c r="E2" i="22"/>
  <c r="H190" i="26"/>
  <c r="BD274" i="26"/>
  <c r="BC274" i="26" s="1"/>
  <c r="A290" i="27"/>
  <c r="G13" i="12"/>
  <c r="F13" i="12"/>
  <c r="G4" i="14"/>
  <c r="DD121" i="26"/>
  <c r="DD117" i="26"/>
  <c r="G68" i="12"/>
  <c r="H68" i="12" s="1"/>
  <c r="BB241" i="11"/>
  <c r="Q178" i="14"/>
  <c r="AC178" i="14" s="1"/>
  <c r="Q180" i="14"/>
  <c r="AC180" i="14" s="1"/>
  <c r="A205" i="27"/>
  <c r="A203" i="11"/>
  <c r="Q179" i="14"/>
  <c r="AC179" i="14" s="1"/>
  <c r="A204" i="27"/>
  <c r="B499" i="11"/>
  <c r="O499" i="11"/>
  <c r="O821" i="23" s="1"/>
  <c r="F502" i="11"/>
  <c r="F824" i="23" s="1"/>
  <c r="C458" i="11"/>
  <c r="C772" i="23" s="1"/>
  <c r="I476" i="11"/>
  <c r="D470" i="11"/>
  <c r="D784" i="23" s="1"/>
  <c r="H472" i="11"/>
  <c r="H786" i="23" s="1"/>
  <c r="O497" i="11"/>
  <c r="O819" i="23" s="1"/>
  <c r="J453" i="11"/>
  <c r="J767" i="23" s="1"/>
  <c r="E461" i="11"/>
  <c r="E462" i="11"/>
  <c r="J458" i="11"/>
  <c r="J772" i="23" s="1"/>
  <c r="D486" i="11"/>
  <c r="O492" i="11"/>
  <c r="O813" i="23" s="1"/>
  <c r="O495" i="11"/>
  <c r="O817" i="23" s="1"/>
  <c r="O503" i="11"/>
  <c r="O825" i="23" s="1"/>
  <c r="F498" i="11"/>
  <c r="F820" i="23" s="1"/>
  <c r="C476" i="11"/>
  <c r="H455" i="11"/>
  <c r="H769" i="23" s="1"/>
  <c r="C456" i="11"/>
  <c r="C770" i="23" s="1"/>
  <c r="C462" i="11"/>
  <c r="D491" i="11"/>
  <c r="D812" i="23" s="1"/>
  <c r="O501" i="11"/>
  <c r="O823" i="23" s="1"/>
  <c r="H470" i="11"/>
  <c r="H784" i="23" s="1"/>
  <c r="C460" i="11"/>
  <c r="D492" i="11"/>
  <c r="D813" i="23" s="1"/>
  <c r="M494" i="11"/>
  <c r="BB234" i="11"/>
  <c r="AO280" i="26"/>
  <c r="BH280" i="26"/>
  <c r="BH427" i="26" s="1"/>
  <c r="AI234" i="11"/>
  <c r="AL234" i="11" s="1"/>
  <c r="B162" i="11"/>
  <c r="A162" i="11"/>
  <c r="BB239" i="11"/>
  <c r="BH285" i="26"/>
  <c r="BH432" i="26" s="1"/>
  <c r="AO285" i="26"/>
  <c r="I164" i="11"/>
  <c r="B367" i="26"/>
  <c r="DD124" i="26"/>
  <c r="DD122" i="26"/>
  <c r="DD110" i="26"/>
  <c r="DD115" i="26"/>
  <c r="DD111" i="26"/>
  <c r="DD118" i="26"/>
  <c r="BH281" i="26"/>
  <c r="BH428" i="26" s="1"/>
  <c r="BB235" i="11"/>
  <c r="AI235" i="11"/>
  <c r="AL235" i="11" s="1"/>
  <c r="B164" i="11"/>
  <c r="A164" i="11"/>
  <c r="AM284" i="26" s="1"/>
  <c r="AI241" i="11"/>
  <c r="AL241" i="11" s="1"/>
  <c r="BH286" i="26"/>
  <c r="BH433" i="26" s="1"/>
  <c r="AO286" i="26"/>
  <c r="A35" i="27"/>
  <c r="A36" i="27"/>
  <c r="F5" i="30"/>
  <c r="G77" i="12"/>
  <c r="F5" i="20"/>
  <c r="D4" i="24"/>
  <c r="F77" i="12"/>
  <c r="DD119" i="26"/>
  <c r="DD114" i="26"/>
  <c r="DD123" i="26"/>
  <c r="F29" i="12"/>
  <c r="H29" i="12" s="1"/>
  <c r="A212" i="11"/>
  <c r="BF238" i="11"/>
  <c r="I165" i="11"/>
  <c r="AO281" i="26"/>
  <c r="AZ281" i="26" s="1"/>
  <c r="BA281" i="26" s="1"/>
  <c r="D494" i="11"/>
  <c r="C466" i="11"/>
  <c r="C780" i="23" s="1"/>
  <c r="H456" i="11"/>
  <c r="H770" i="23" s="1"/>
  <c r="D472" i="11"/>
  <c r="D786" i="23" s="1"/>
  <c r="AV424" i="26"/>
  <c r="BD424" i="26" s="1"/>
  <c r="BC424" i="26" s="1"/>
  <c r="BD277" i="26"/>
  <c r="BC277" i="26" s="1"/>
  <c r="H476" i="11"/>
  <c r="C195" i="11"/>
  <c r="J166" i="11"/>
  <c r="AI239" i="11"/>
  <c r="AL239" i="11" s="1"/>
  <c r="R2" i="14"/>
  <c r="O3" i="30"/>
  <c r="X176" i="11"/>
  <c r="X169" i="11"/>
  <c r="AC169" i="11" s="1"/>
  <c r="D445" i="11"/>
  <c r="Q190" i="14"/>
  <c r="AC190" i="14" s="1"/>
  <c r="Q189" i="14"/>
  <c r="AC189" i="14" s="1"/>
  <c r="Q191" i="14"/>
  <c r="AC191" i="14" s="1"/>
  <c r="A121" i="27"/>
  <c r="X172" i="11"/>
  <c r="X177" i="11"/>
  <c r="X168" i="11"/>
  <c r="AC168" i="11" s="1"/>
  <c r="X180" i="11"/>
  <c r="X171" i="11"/>
  <c r="X175" i="11"/>
  <c r="X182" i="11"/>
  <c r="D336" i="11"/>
  <c r="I156" i="11"/>
  <c r="AI232" i="11"/>
  <c r="BH278" i="26"/>
  <c r="BH425" i="26" s="1"/>
  <c r="AO278" i="26"/>
  <c r="O373" i="26"/>
  <c r="C329" i="26"/>
  <c r="H352" i="26"/>
  <c r="J362" i="26"/>
  <c r="D370" i="26"/>
  <c r="D367" i="26"/>
  <c r="H346" i="26"/>
  <c r="C342" i="26"/>
  <c r="C331" i="26"/>
  <c r="O367" i="26"/>
  <c r="H348" i="26"/>
  <c r="F378" i="26"/>
  <c r="O358" i="26"/>
  <c r="D362" i="26"/>
  <c r="H329" i="26"/>
  <c r="O377" i="26"/>
  <c r="D348" i="26"/>
  <c r="E337" i="26"/>
  <c r="C344" i="26"/>
  <c r="I155" i="11"/>
  <c r="C210" i="11"/>
  <c r="A209" i="11"/>
  <c r="H350" i="26"/>
  <c r="C399" i="26" s="1"/>
  <c r="C254" i="26"/>
  <c r="A253" i="26"/>
  <c r="H474" i="11"/>
  <c r="C523" i="11" s="1"/>
  <c r="B2" i="12"/>
  <c r="G25" i="11"/>
  <c r="L1" i="24"/>
  <c r="W1" i="25"/>
  <c r="O2" i="30"/>
  <c r="C38" i="11"/>
  <c r="F70" i="12"/>
  <c r="H70" i="12" s="1"/>
  <c r="G17" i="12"/>
  <c r="H17" i="12" s="1"/>
  <c r="F34" i="12"/>
  <c r="H34" i="12" s="1"/>
  <c r="F58" i="12"/>
  <c r="H58" i="12" s="1"/>
  <c r="F54" i="12"/>
  <c r="H54" i="12" s="1"/>
  <c r="G81" i="12"/>
  <c r="H81" i="12" s="1"/>
  <c r="F62" i="12"/>
  <c r="H62" i="12" s="1"/>
  <c r="G63" i="12"/>
  <c r="H63" i="12" s="1"/>
  <c r="G33" i="12"/>
  <c r="H33" i="12" s="1"/>
  <c r="F38" i="12"/>
  <c r="H38" i="12" s="1"/>
  <c r="F42" i="12"/>
  <c r="H42" i="12" s="1"/>
  <c r="F73" i="12"/>
  <c r="F18" i="12"/>
  <c r="F46" i="12"/>
  <c r="H46" i="12" s="1"/>
  <c r="F9" i="12"/>
  <c r="H9" i="12" s="1"/>
  <c r="F50" i="12"/>
  <c r="H50" i="12" s="1"/>
  <c r="F21" i="12"/>
  <c r="H21" i="12" s="1"/>
  <c r="F26" i="12"/>
  <c r="J653" i="23"/>
  <c r="J657" i="23" s="1"/>
  <c r="G49" i="12"/>
  <c r="H49" i="12" s="1"/>
  <c r="G71" i="12"/>
  <c r="G30" i="12"/>
  <c r="F53" i="12"/>
  <c r="F66" i="12"/>
  <c r="H66" i="12" s="1"/>
  <c r="F71" i="12"/>
  <c r="F14" i="12"/>
  <c r="H14" i="12" s="1"/>
  <c r="G18" i="12"/>
  <c r="G26" i="12"/>
  <c r="J655" i="23"/>
  <c r="G37" i="12"/>
  <c r="H37" i="12" s="1"/>
  <c r="L212" i="23"/>
  <c r="F10" i="12"/>
  <c r="H10" i="12" s="1"/>
  <c r="F22" i="12"/>
  <c r="H22" i="12" s="1"/>
  <c r="F30" i="12"/>
  <c r="G57" i="12"/>
  <c r="H57" i="12" s="1"/>
  <c r="G53" i="12"/>
  <c r="F45" i="12"/>
  <c r="H45" i="12" s="1"/>
  <c r="F74" i="12"/>
  <c r="F82" i="12"/>
  <c r="H82" i="12" s="1"/>
  <c r="G6" i="12"/>
  <c r="H6" i="12" s="1"/>
  <c r="G61" i="12"/>
  <c r="H61" i="12" s="1"/>
  <c r="G41" i="12"/>
  <c r="H41" i="12" s="1"/>
  <c r="G74" i="12"/>
  <c r="O34" i="11"/>
  <c r="A21" i="27"/>
  <c r="A22" i="27"/>
  <c r="C34" i="11"/>
  <c r="BW16" i="26"/>
  <c r="J104" i="25" s="1"/>
  <c r="X477" i="23"/>
  <c r="AC477" i="23" s="1"/>
  <c r="X489" i="23"/>
  <c r="X492" i="23"/>
  <c r="X476" i="23"/>
  <c r="AC476" i="23" s="1"/>
  <c r="X488" i="23"/>
  <c r="X482" i="23"/>
  <c r="AC482" i="23" s="1"/>
  <c r="X491" i="23"/>
  <c r="X493" i="23"/>
  <c r="X484" i="23"/>
  <c r="AC484" i="23" s="1"/>
  <c r="X485" i="23"/>
  <c r="AC485" i="23" s="1"/>
  <c r="X486" i="23"/>
  <c r="AC486" i="23" s="1"/>
  <c r="X487" i="23"/>
  <c r="AC487" i="23" s="1"/>
  <c r="X495" i="23"/>
  <c r="X494" i="23"/>
  <c r="X483" i="23"/>
  <c r="AC483" i="23" s="1"/>
  <c r="X490" i="23"/>
  <c r="BG476" i="23"/>
  <c r="BP476" i="23"/>
  <c r="C652" i="23"/>
  <c r="C655" i="23"/>
  <c r="C654" i="23"/>
  <c r="C653" i="23"/>
  <c r="I651" i="23"/>
  <c r="E867" i="23"/>
  <c r="B492" i="11"/>
  <c r="J33" i="21"/>
  <c r="K33" i="21" s="1"/>
  <c r="M33" i="21" s="1"/>
  <c r="T7" i="21" s="1"/>
  <c r="P33" i="21"/>
  <c r="J37" i="21"/>
  <c r="K37" i="21" s="1"/>
  <c r="M37" i="21" s="1"/>
  <c r="P37" i="21"/>
  <c r="J41" i="21"/>
  <c r="K41" i="21" s="1"/>
  <c r="M41" i="21" s="1"/>
  <c r="P41" i="21"/>
  <c r="P124" i="12"/>
  <c r="M124" i="12"/>
  <c r="N124" i="12" s="1"/>
  <c r="P123" i="12"/>
  <c r="M123" i="12"/>
  <c r="N123" i="12" s="1"/>
  <c r="M114" i="12"/>
  <c r="N114" i="12" s="1"/>
  <c r="P114" i="12"/>
  <c r="M84" i="12"/>
  <c r="N84" i="12" s="1"/>
  <c r="P84" i="12"/>
  <c r="M76" i="12"/>
  <c r="N76" i="12" s="1"/>
  <c r="P76" i="12"/>
  <c r="M75" i="12"/>
  <c r="N75" i="12" s="1"/>
  <c r="P75" i="12"/>
  <c r="G78" i="12"/>
  <c r="F78" i="12"/>
  <c r="D196" i="26"/>
  <c r="D1111" i="23" s="1"/>
  <c r="F197" i="26"/>
  <c r="F1112" i="23" s="1"/>
  <c r="H1111" i="23"/>
  <c r="AB622" i="11"/>
  <c r="AB218" i="23"/>
  <c r="BC428" i="26"/>
  <c r="BL428" i="26"/>
  <c r="AA249" i="23"/>
  <c r="AA640" i="11"/>
  <c r="AV425" i="26"/>
  <c r="BD425" i="26" s="1"/>
  <c r="AV429" i="26"/>
  <c r="BD429" i="26" s="1"/>
  <c r="BD282" i="26"/>
  <c r="J27" i="21"/>
  <c r="K27" i="21" s="1"/>
  <c r="M27" i="21" s="1"/>
  <c r="P27" i="21"/>
  <c r="J66" i="21"/>
  <c r="K66" i="21" s="1"/>
  <c r="M66" i="21" s="1"/>
  <c r="P66" i="21"/>
  <c r="J69" i="21"/>
  <c r="K69" i="21" s="1"/>
  <c r="M69" i="21" s="1"/>
  <c r="P69" i="21"/>
  <c r="AC251" i="23"/>
  <c r="AC642" i="11"/>
  <c r="AO275" i="26"/>
  <c r="BB227" i="11"/>
  <c r="P22" i="12"/>
  <c r="M22" i="12"/>
  <c r="N22" i="12" s="1"/>
  <c r="J25" i="21"/>
  <c r="K25" i="21" s="1"/>
  <c r="M25" i="21" s="1"/>
  <c r="P25" i="21"/>
  <c r="P60" i="21"/>
  <c r="J60" i="21"/>
  <c r="K60" i="21" s="1"/>
  <c r="M60" i="21" s="1"/>
  <c r="T11" i="21" s="1"/>
  <c r="AA625" i="11" s="1"/>
  <c r="AC468" i="23"/>
  <c r="AA468" i="23"/>
  <c r="AB468" i="23"/>
  <c r="J190" i="23"/>
  <c r="Z468" i="23"/>
  <c r="J36" i="21"/>
  <c r="K36" i="21" s="1"/>
  <c r="M36" i="21" s="1"/>
  <c r="P36" i="21"/>
  <c r="J44" i="21"/>
  <c r="K44" i="21" s="1"/>
  <c r="M44" i="21" s="1"/>
  <c r="P44" i="21"/>
  <c r="P48" i="21"/>
  <c r="J48" i="21"/>
  <c r="K48" i="21" s="1"/>
  <c r="M48" i="21" s="1"/>
  <c r="S9" i="21"/>
  <c r="H56" i="21"/>
  <c r="I56" i="21" s="1"/>
  <c r="BD476" i="23"/>
  <c r="BE476" i="23" s="1"/>
  <c r="AC622" i="11"/>
  <c r="AC218" i="23"/>
  <c r="O2" i="12"/>
  <c r="BW12" i="26" s="1"/>
  <c r="P40" i="21"/>
  <c r="S12" i="21"/>
  <c r="Z626" i="11" s="1"/>
  <c r="H82" i="21"/>
  <c r="I82" i="21" s="1"/>
  <c r="J22" i="21"/>
  <c r="K22" i="21" s="1"/>
  <c r="M22" i="21" s="1"/>
  <c r="P22" i="21"/>
  <c r="J29" i="21"/>
  <c r="K29" i="21" s="1"/>
  <c r="M29" i="21" s="1"/>
  <c r="P29" i="21"/>
  <c r="DJ103" i="26"/>
  <c r="DJ100" i="26"/>
  <c r="S22" i="21"/>
  <c r="DJ94" i="26"/>
  <c r="S13" i="21"/>
  <c r="Z627" i="11" s="1"/>
  <c r="S23" i="21"/>
  <c r="H88" i="21"/>
  <c r="I88" i="21" s="1"/>
  <c r="I163" i="11"/>
  <c r="M31" i="12"/>
  <c r="N31" i="12" s="1"/>
  <c r="F52" i="12"/>
  <c r="H52" i="12" s="1"/>
  <c r="E285" i="27"/>
  <c r="F285" i="27"/>
  <c r="J106" i="19"/>
  <c r="C30" i="11"/>
  <c r="K364" i="14"/>
  <c r="Q247" i="14" s="1"/>
  <c r="AC247" i="14" s="1"/>
  <c r="K365" i="14"/>
  <c r="Q248" i="14" s="1"/>
  <c r="AC248" i="14" s="1"/>
  <c r="H104" i="26"/>
  <c r="I104" i="26" s="1"/>
  <c r="K363" i="14"/>
  <c r="Q246" i="14" s="1"/>
  <c r="AC246" i="14" s="1"/>
  <c r="Z218" i="23" l="1"/>
  <c r="P62" i="21"/>
  <c r="I79" i="33"/>
  <c r="Q155" i="14" s="1"/>
  <c r="R373" i="26"/>
  <c r="Z248" i="23"/>
  <c r="AA232" i="23"/>
  <c r="Z640" i="11"/>
  <c r="AA642" i="11"/>
  <c r="AB624" i="11"/>
  <c r="AB249" i="23"/>
  <c r="K38" i="19"/>
  <c r="K30" i="19"/>
  <c r="K12" i="19"/>
  <c r="K37" i="19"/>
  <c r="K11" i="19"/>
  <c r="K36" i="19"/>
  <c r="K10" i="19"/>
  <c r="K35" i="19"/>
  <c r="K9" i="19"/>
  <c r="K31" i="19"/>
  <c r="K8" i="19"/>
  <c r="K33" i="19"/>
  <c r="K13" i="19"/>
  <c r="L1200" i="23"/>
  <c r="I133" i="26" s="1"/>
  <c r="L1198" i="23"/>
  <c r="I131" i="26" s="1"/>
  <c r="L354" i="26" s="1"/>
  <c r="L1029" i="23"/>
  <c r="L1031" i="23"/>
  <c r="L799" i="23"/>
  <c r="L480" i="11" s="1"/>
  <c r="AC134" i="14"/>
  <c r="L268" i="23"/>
  <c r="L797" i="23"/>
  <c r="L478" i="11" s="1"/>
  <c r="V526" i="11" s="1"/>
  <c r="V527" i="11" s="1"/>
  <c r="E60" i="23"/>
  <c r="E19" i="11" s="1"/>
  <c r="AB223" i="11" s="1"/>
  <c r="L270" i="23"/>
  <c r="L654" i="11" s="1"/>
  <c r="M386" i="26"/>
  <c r="AA623" i="11"/>
  <c r="AA248" i="23"/>
  <c r="S368" i="26"/>
  <c r="S367" i="26"/>
  <c r="D375" i="26"/>
  <c r="D365" i="26"/>
  <c r="C210" i="26" s="1"/>
  <c r="D379" i="26"/>
  <c r="D363" i="26"/>
  <c r="C385" i="26" s="1"/>
  <c r="C384" i="26" s="1"/>
  <c r="D377" i="26"/>
  <c r="C858" i="23"/>
  <c r="C857" i="23" s="1"/>
  <c r="M859" i="23"/>
  <c r="C277" i="11"/>
  <c r="D451" i="23" s="1"/>
  <c r="H71" i="12"/>
  <c r="AB641" i="11"/>
  <c r="U497" i="11"/>
  <c r="U498" i="11"/>
  <c r="U499" i="11" s="1"/>
  <c r="U500" i="11" s="1"/>
  <c r="S374" i="26"/>
  <c r="S375" i="26" s="1"/>
  <c r="S376" i="26" s="1"/>
  <c r="S377" i="26" s="1"/>
  <c r="S373" i="26"/>
  <c r="BU166" i="26"/>
  <c r="AA619" i="11"/>
  <c r="AA250" i="23"/>
  <c r="H77" i="12"/>
  <c r="C20" i="31"/>
  <c r="J2" i="27"/>
  <c r="J3" i="27"/>
  <c r="C458" i="23"/>
  <c r="H26" i="12"/>
  <c r="AR284" i="26"/>
  <c r="AM273" i="26"/>
  <c r="AM420" i="26" s="1"/>
  <c r="AU225" i="11"/>
  <c r="AU229" i="11"/>
  <c r="H73" i="12"/>
  <c r="BC279" i="26"/>
  <c r="C386" i="26"/>
  <c r="AR279" i="26"/>
  <c r="T4" i="25"/>
  <c r="AV426" i="26"/>
  <c r="BD426" i="26" s="1"/>
  <c r="BL426" i="26" s="1"/>
  <c r="AM286" i="26"/>
  <c r="H205" i="26" s="1"/>
  <c r="H1120" i="23" s="1"/>
  <c r="BD284" i="26"/>
  <c r="BC284" i="26" s="1"/>
  <c r="DG77" i="26"/>
  <c r="BD287" i="26"/>
  <c r="BL287" i="26" s="1"/>
  <c r="AM277" i="26"/>
  <c r="AM424" i="26" s="1"/>
  <c r="AZ424" i="26" s="1"/>
  <c r="BA424" i="26" s="1"/>
  <c r="DL73" i="26"/>
  <c r="BF232" i="11"/>
  <c r="BC285" i="26"/>
  <c r="B191" i="27"/>
  <c r="A192" i="27" s="1"/>
  <c r="L869" i="23"/>
  <c r="G455" i="11"/>
  <c r="I807" i="23"/>
  <c r="J869" i="23" s="1"/>
  <c r="H74" i="12"/>
  <c r="AM279" i="26"/>
  <c r="H184" i="26" s="1"/>
  <c r="M510" i="11"/>
  <c r="O126" i="14" s="1"/>
  <c r="BF239" i="11"/>
  <c r="H53" i="12"/>
  <c r="H18" i="12"/>
  <c r="H30" i="12"/>
  <c r="H13" i="12"/>
  <c r="F430" i="23"/>
  <c r="F428" i="23"/>
  <c r="F664" i="23"/>
  <c r="C429" i="23"/>
  <c r="F369" i="11"/>
  <c r="G102" i="14" s="1"/>
  <c r="D424" i="23"/>
  <c r="J66" i="23"/>
  <c r="AB471" i="23"/>
  <c r="AC471" i="23"/>
  <c r="C432" i="23"/>
  <c r="AJ469" i="23"/>
  <c r="AJ474" i="23" s="1"/>
  <c r="AJ482" i="23" s="1"/>
  <c r="C599" i="23"/>
  <c r="H428" i="23"/>
  <c r="AK473" i="23"/>
  <c r="AK477" i="23" s="1"/>
  <c r="H432" i="23"/>
  <c r="AM469" i="23"/>
  <c r="AM474" i="23" s="1"/>
  <c r="AM482" i="23" s="1"/>
  <c r="D412" i="23"/>
  <c r="P812" i="23"/>
  <c r="C431" i="23"/>
  <c r="AA471" i="23"/>
  <c r="AL473" i="23"/>
  <c r="AL477" i="23" s="1"/>
  <c r="C430" i="23"/>
  <c r="O219" i="23"/>
  <c r="H431" i="23"/>
  <c r="H429" i="23"/>
  <c r="P813" i="23"/>
  <c r="H66" i="23"/>
  <c r="F432" i="23"/>
  <c r="F429" i="23"/>
  <c r="C311" i="23"/>
  <c r="Q67" i="14"/>
  <c r="AC67" i="14" s="1"/>
  <c r="AA469" i="23"/>
  <c r="AA472" i="23" s="1"/>
  <c r="AJ473" i="23"/>
  <c r="AJ477" i="23" s="1"/>
  <c r="C597" i="23"/>
  <c r="I11" i="11"/>
  <c r="Z471" i="23"/>
  <c r="AM473" i="23"/>
  <c r="AM477" i="23" s="1"/>
  <c r="O220" i="23"/>
  <c r="F431" i="23"/>
  <c r="C428" i="23"/>
  <c r="H430" i="23"/>
  <c r="AL469" i="23"/>
  <c r="AL474" i="23" s="1"/>
  <c r="AL482" i="23" s="1"/>
  <c r="C486" i="23"/>
  <c r="C665" i="23"/>
  <c r="AK469" i="23"/>
  <c r="AK474" i="23" s="1"/>
  <c r="AK482" i="23" s="1"/>
  <c r="H78" i="12"/>
  <c r="C65" i="23"/>
  <c r="G66" i="23" s="1"/>
  <c r="G331" i="26"/>
  <c r="Q4" i="14"/>
  <c r="K4" i="24"/>
  <c r="A106" i="27"/>
  <c r="A108" i="27"/>
  <c r="K293" i="11"/>
  <c r="AW236" i="11"/>
  <c r="J23" i="21"/>
  <c r="K23" i="21" s="1"/>
  <c r="M23" i="21" s="1"/>
  <c r="U7" i="21" s="1"/>
  <c r="P23" i="21"/>
  <c r="U19" i="21" s="1"/>
  <c r="J21" i="21"/>
  <c r="K21" i="21" s="1"/>
  <c r="M21" i="21" s="1"/>
  <c r="U6" i="21" s="1"/>
  <c r="P21" i="21"/>
  <c r="J7" i="21"/>
  <c r="K7" i="21" s="1"/>
  <c r="M7" i="21" s="1"/>
  <c r="P7" i="21"/>
  <c r="U18" i="21" s="1"/>
  <c r="Z638" i="11"/>
  <c r="Z232" i="23"/>
  <c r="AB248" i="23"/>
  <c r="AB639" i="11"/>
  <c r="AA637" i="11"/>
  <c r="AA231" i="23"/>
  <c r="AA220" i="23"/>
  <c r="AA624" i="11"/>
  <c r="Z215" i="23"/>
  <c r="Z619" i="11"/>
  <c r="Z637" i="11"/>
  <c r="Z231" i="23"/>
  <c r="B189" i="27"/>
  <c r="A189" i="27" s="1"/>
  <c r="D295" i="27"/>
  <c r="C215" i="27"/>
  <c r="C189" i="27"/>
  <c r="C214" i="27"/>
  <c r="CS82" i="26"/>
  <c r="FQ86" i="26"/>
  <c r="EX83" i="26"/>
  <c r="AZ275" i="26"/>
  <c r="BA275" i="26" s="1"/>
  <c r="O662" i="11"/>
  <c r="H662" i="11" s="1"/>
  <c r="DL80" i="26"/>
  <c r="BC427" i="26"/>
  <c r="CN81" i="26"/>
  <c r="EE83" i="26"/>
  <c r="AU242" i="11"/>
  <c r="BC281" i="26"/>
  <c r="BD280" i="26"/>
  <c r="AO420" i="26"/>
  <c r="AC469" i="23"/>
  <c r="AC472" i="23" s="1"/>
  <c r="ES79" i="26"/>
  <c r="DL78" i="26"/>
  <c r="O665" i="11"/>
  <c r="H665" i="11" s="1"/>
  <c r="O663" i="11"/>
  <c r="H663" i="11" s="1"/>
  <c r="EX85" i="26"/>
  <c r="FQ81" i="26"/>
  <c r="CS80" i="26"/>
  <c r="BC431" i="26"/>
  <c r="EE82" i="26"/>
  <c r="FL85" i="26"/>
  <c r="EX80" i="26"/>
  <c r="CS75" i="26"/>
  <c r="FL79" i="26"/>
  <c r="DG78" i="26"/>
  <c r="FQ80" i="26"/>
  <c r="FQ84" i="26"/>
  <c r="EE76" i="26"/>
  <c r="FL81" i="26"/>
  <c r="EX79" i="26"/>
  <c r="DZ73" i="26"/>
  <c r="DL74" i="26"/>
  <c r="DL83" i="26"/>
  <c r="DG72" i="26"/>
  <c r="CN76" i="26"/>
  <c r="AC181" i="11"/>
  <c r="CS72" i="26"/>
  <c r="ES86" i="26"/>
  <c r="FL73" i="26"/>
  <c r="EX84" i="26"/>
  <c r="CS86" i="26"/>
  <c r="EE79" i="26"/>
  <c r="ES84" i="26"/>
  <c r="CN73" i="26"/>
  <c r="DZ72" i="26"/>
  <c r="FQ85" i="26"/>
  <c r="DG79" i="26"/>
  <c r="AG238" i="11"/>
  <c r="AU238" i="11" s="1"/>
  <c r="CN86" i="26"/>
  <c r="DZ85" i="26"/>
  <c r="EX74" i="26"/>
  <c r="FL71" i="26"/>
  <c r="EE73" i="26"/>
  <c r="DG86" i="26"/>
  <c r="FL84" i="26"/>
  <c r="ES72" i="26"/>
  <c r="CN83" i="26"/>
  <c r="CN79" i="26"/>
  <c r="EE81" i="26"/>
  <c r="EE78" i="26"/>
  <c r="FL78" i="26"/>
  <c r="CN80" i="26"/>
  <c r="DL81" i="26"/>
  <c r="CN74" i="26"/>
  <c r="CN75" i="26"/>
  <c r="DL86" i="26"/>
  <c r="O664" i="11"/>
  <c r="H664" i="11" s="1"/>
  <c r="DZ81" i="26"/>
  <c r="CN72" i="26"/>
  <c r="CS81" i="26"/>
  <c r="FL86" i="26"/>
  <c r="FQ83" i="26"/>
  <c r="DG71" i="26"/>
  <c r="FL72" i="26"/>
  <c r="FQ82" i="26"/>
  <c r="CN84" i="26"/>
  <c r="FQ75" i="26"/>
  <c r="CS74" i="26"/>
  <c r="ES83" i="26"/>
  <c r="ES74" i="26"/>
  <c r="AD183" i="11"/>
  <c r="AC170" i="11"/>
  <c r="BC430" i="26"/>
  <c r="O658" i="11"/>
  <c r="H658" i="11" s="1"/>
  <c r="AC173" i="11"/>
  <c r="O659" i="11"/>
  <c r="O661" i="11"/>
  <c r="H661" i="11" s="1"/>
  <c r="DQ66" i="26"/>
  <c r="AW237" i="11"/>
  <c r="BF237" i="11"/>
  <c r="BC283" i="26"/>
  <c r="BL283" i="26"/>
  <c r="AU234" i="11"/>
  <c r="AZ283" i="26"/>
  <c r="BA283" i="26" s="1"/>
  <c r="Z469" i="23"/>
  <c r="Z472" i="23" s="1"/>
  <c r="AM280" i="26"/>
  <c r="BC433" i="26"/>
  <c r="AB469" i="23"/>
  <c r="AB472" i="23" s="1"/>
  <c r="BF235" i="11"/>
  <c r="AU235" i="11"/>
  <c r="AU237" i="11"/>
  <c r="H1096" i="23"/>
  <c r="F182" i="26"/>
  <c r="F1097" i="23" s="1"/>
  <c r="D181" i="26"/>
  <c r="D1096" i="23" s="1"/>
  <c r="BF241" i="11"/>
  <c r="J769" i="23"/>
  <c r="I181" i="26"/>
  <c r="I1096" i="23" s="1"/>
  <c r="FV66" i="26"/>
  <c r="AV423" i="26"/>
  <c r="BD423" i="26" s="1"/>
  <c r="BC423" i="26" s="1"/>
  <c r="BD276" i="26"/>
  <c r="BC276" i="26" s="1"/>
  <c r="D301" i="26"/>
  <c r="O802" i="23"/>
  <c r="BD286" i="26"/>
  <c r="BC286" i="26" s="1"/>
  <c r="CS79" i="26"/>
  <c r="DG84" i="26"/>
  <c r="CN82" i="26"/>
  <c r="DG75" i="26"/>
  <c r="ES81" i="26"/>
  <c r="DZ83" i="26"/>
  <c r="EE86" i="26"/>
  <c r="EX76" i="26"/>
  <c r="DZ79" i="26"/>
  <c r="DG82" i="26"/>
  <c r="DG73" i="26"/>
  <c r="DZ80" i="26"/>
  <c r="EX81" i="26"/>
  <c r="DZ82" i="26"/>
  <c r="DZ86" i="26"/>
  <c r="DL76" i="26"/>
  <c r="DL77" i="26"/>
  <c r="DL85" i="26"/>
  <c r="FQ74" i="26"/>
  <c r="CS77" i="26"/>
  <c r="EE80" i="26"/>
  <c r="FL83" i="26"/>
  <c r="EX73" i="26"/>
  <c r="DG83" i="26"/>
  <c r="CN71" i="26"/>
  <c r="FQ78" i="26"/>
  <c r="ES75" i="26"/>
  <c r="FL80" i="26"/>
  <c r="DG85" i="26"/>
  <c r="CS76" i="26"/>
  <c r="DZ74" i="26"/>
  <c r="CS84" i="26"/>
  <c r="EX78" i="26"/>
  <c r="DZ84" i="26"/>
  <c r="ES80" i="26"/>
  <c r="DL75" i="26"/>
  <c r="CS78" i="26"/>
  <c r="DG74" i="26"/>
  <c r="EE72" i="26"/>
  <c r="DZ71" i="26"/>
  <c r="ES73" i="26"/>
  <c r="FL75" i="26"/>
  <c r="ES71" i="26"/>
  <c r="CN77" i="26"/>
  <c r="CN85" i="26"/>
  <c r="CS73" i="26"/>
  <c r="EX82" i="26"/>
  <c r="CS85" i="26"/>
  <c r="ES76" i="26"/>
  <c r="FQ77" i="26"/>
  <c r="DZ75" i="26"/>
  <c r="CN78" i="26"/>
  <c r="EE75" i="26"/>
  <c r="FL76" i="26"/>
  <c r="EE77" i="26"/>
  <c r="FQ72" i="26"/>
  <c r="ES78" i="26"/>
  <c r="EX77" i="26"/>
  <c r="DL84" i="26"/>
  <c r="DG76" i="26"/>
  <c r="CS83" i="26"/>
  <c r="EE74" i="26"/>
  <c r="DL79" i="26"/>
  <c r="FL82" i="26"/>
  <c r="FQ79" i="26"/>
  <c r="ES77" i="26"/>
  <c r="DG80" i="26"/>
  <c r="FL74" i="26"/>
  <c r="DL72" i="26"/>
  <c r="EX72" i="26"/>
  <c r="FQ73" i="26"/>
  <c r="EX86" i="26"/>
  <c r="DL82" i="26"/>
  <c r="DG81" i="26"/>
  <c r="EX75" i="26"/>
  <c r="DZ76" i="26"/>
  <c r="EE84" i="26"/>
  <c r="DZ78" i="26"/>
  <c r="EE85" i="26"/>
  <c r="FL77" i="26"/>
  <c r="FQ76" i="26"/>
  <c r="ES82" i="26"/>
  <c r="ES85" i="26"/>
  <c r="AV422" i="26"/>
  <c r="BD422" i="26" s="1"/>
  <c r="BC422" i="26" s="1"/>
  <c r="BD275" i="26"/>
  <c r="BC275" i="26" s="1"/>
  <c r="AG226" i="11"/>
  <c r="AU226" i="11" s="1"/>
  <c r="AM274" i="26"/>
  <c r="AV420" i="26"/>
  <c r="BD420" i="26" s="1"/>
  <c r="BC420" i="26" s="1"/>
  <c r="AO430" i="26"/>
  <c r="AZ430" i="26" s="1"/>
  <c r="BA430" i="26" s="1"/>
  <c r="AC179" i="11"/>
  <c r="AM423" i="26"/>
  <c r="AZ276" i="26"/>
  <c r="BA276" i="26" s="1"/>
  <c r="AC174" i="11"/>
  <c r="AD174" i="11"/>
  <c r="AD178" i="11"/>
  <c r="AC178" i="11"/>
  <c r="AR282" i="26"/>
  <c r="AO429" i="26"/>
  <c r="FC66" i="26"/>
  <c r="AO423" i="26"/>
  <c r="AM285" i="26"/>
  <c r="AG239" i="11"/>
  <c r="AU239" i="11" s="1"/>
  <c r="AO434" i="26"/>
  <c r="AR287" i="26"/>
  <c r="AC172" i="11"/>
  <c r="AD172" i="11"/>
  <c r="AO425" i="26"/>
  <c r="AZ425" i="26" s="1"/>
  <c r="BA425" i="26" s="1"/>
  <c r="AR278" i="26"/>
  <c r="AZ278" i="26"/>
  <c r="BA278" i="26" s="1"/>
  <c r="AC175" i="11"/>
  <c r="AD175" i="11"/>
  <c r="AC176" i="11"/>
  <c r="AD176" i="11"/>
  <c r="AU241" i="11"/>
  <c r="F191" i="26"/>
  <c r="F1106" i="23" s="1"/>
  <c r="D190" i="26"/>
  <c r="D1105" i="23" s="1"/>
  <c r="I190" i="26"/>
  <c r="I1105" i="23" s="1"/>
  <c r="H1105" i="23"/>
  <c r="H208" i="26"/>
  <c r="AZ287" i="26"/>
  <c r="BA287" i="26" s="1"/>
  <c r="AM434" i="26"/>
  <c r="AL232" i="11"/>
  <c r="AU232" i="11"/>
  <c r="AD182" i="11"/>
  <c r="AC182" i="11"/>
  <c r="AC180" i="11"/>
  <c r="AD180" i="11"/>
  <c r="AR281" i="26"/>
  <c r="AO428" i="26"/>
  <c r="AZ428" i="26" s="1"/>
  <c r="BA428" i="26" s="1"/>
  <c r="AO433" i="26"/>
  <c r="AR286" i="26"/>
  <c r="AG236" i="11"/>
  <c r="AU236" i="11" s="1"/>
  <c r="AM282" i="26"/>
  <c r="AO427" i="26"/>
  <c r="AR280" i="26"/>
  <c r="AR285" i="26"/>
  <c r="AO432" i="26"/>
  <c r="AD171" i="11"/>
  <c r="AC171" i="11"/>
  <c r="AC177" i="11"/>
  <c r="AD177" i="11"/>
  <c r="J88" i="21"/>
  <c r="K88" i="21" s="1"/>
  <c r="M88" i="21" s="1"/>
  <c r="U13" i="21" s="1"/>
  <c r="AB627" i="11" s="1"/>
  <c r="P88" i="21"/>
  <c r="U23" i="21" s="1"/>
  <c r="BC434" i="26"/>
  <c r="BL434" i="26"/>
  <c r="AD489" i="23"/>
  <c r="AC489" i="23"/>
  <c r="AZ284" i="26"/>
  <c r="BA284" i="26" s="1"/>
  <c r="H199" i="26"/>
  <c r="AM431" i="26"/>
  <c r="AZ431" i="26" s="1"/>
  <c r="BA431" i="26" s="1"/>
  <c r="BC429" i="26"/>
  <c r="BL429" i="26"/>
  <c r="C509" i="11"/>
  <c r="C508" i="11" s="1"/>
  <c r="AC491" i="23"/>
  <c r="AD491" i="23"/>
  <c r="Z641" i="11"/>
  <c r="Z250" i="23"/>
  <c r="BL425" i="26"/>
  <c r="BC425" i="26"/>
  <c r="J56" i="21"/>
  <c r="K56" i="21" s="1"/>
  <c r="M56" i="21" s="1"/>
  <c r="U9" i="21" s="1"/>
  <c r="P56" i="21"/>
  <c r="AC494" i="23"/>
  <c r="AD494" i="23"/>
  <c r="AC495" i="23"/>
  <c r="AD495" i="23"/>
  <c r="AO422" i="26"/>
  <c r="AZ422" i="26" s="1"/>
  <c r="BA422" i="26" s="1"/>
  <c r="EJ66" i="26"/>
  <c r="Z642" i="11"/>
  <c r="Z251" i="23"/>
  <c r="J82" i="21"/>
  <c r="K82" i="21" s="1"/>
  <c r="M82" i="21" s="1"/>
  <c r="U12" i="21" s="1"/>
  <c r="AB626" i="11" s="1"/>
  <c r="P82" i="21"/>
  <c r="Z623" i="11"/>
  <c r="Z219" i="23"/>
  <c r="BL282" i="26"/>
  <c r="BC282" i="26"/>
  <c r="AU233" i="11"/>
  <c r="AA621" i="11"/>
  <c r="AA217" i="23"/>
  <c r="AD490" i="23"/>
  <c r="AC490" i="23"/>
  <c r="AD493" i="23"/>
  <c r="AC493" i="23"/>
  <c r="AD488" i="23"/>
  <c r="AC488" i="23"/>
  <c r="AD492" i="23"/>
  <c r="AC492" i="23"/>
  <c r="R246" i="14"/>
  <c r="R247" i="14"/>
  <c r="R248" i="14"/>
  <c r="U320" i="11" l="1"/>
  <c r="Q250" i="14"/>
  <c r="AC155" i="14"/>
  <c r="D326" i="27"/>
  <c r="D242" i="27"/>
  <c r="D56" i="14"/>
  <c r="G693" i="11"/>
  <c r="G694" i="11"/>
  <c r="L669" i="11"/>
  <c r="L356" i="26"/>
  <c r="I459" i="26"/>
  <c r="I457" i="26"/>
  <c r="L500" i="26"/>
  <c r="P492" i="11"/>
  <c r="D158" i="27"/>
  <c r="D74" i="27"/>
  <c r="C118" i="11"/>
  <c r="C120" i="11"/>
  <c r="C119" i="11"/>
  <c r="C122" i="11"/>
  <c r="C121" i="11"/>
  <c r="C124" i="11"/>
  <c r="C123" i="11"/>
  <c r="W353" i="11"/>
  <c r="E265" i="26"/>
  <c r="I362" i="26"/>
  <c r="J398" i="26" s="1"/>
  <c r="S395" i="26" s="1"/>
  <c r="L524" i="11"/>
  <c r="N652" i="11"/>
  <c r="V528" i="11"/>
  <c r="P491" i="11"/>
  <c r="L237" i="11"/>
  <c r="C125" i="11"/>
  <c r="F125" i="11"/>
  <c r="F445" i="23" s="1"/>
  <c r="H125" i="11"/>
  <c r="H445" i="23" s="1"/>
  <c r="F124" i="11"/>
  <c r="F444" i="23" s="1"/>
  <c r="H123" i="11"/>
  <c r="H443" i="23" s="1"/>
  <c r="H124" i="11"/>
  <c r="H444" i="23" s="1"/>
  <c r="F123" i="11"/>
  <c r="F443" i="23" s="1"/>
  <c r="H122" i="11"/>
  <c r="H442" i="23" s="1"/>
  <c r="H121" i="11"/>
  <c r="H441" i="23" s="1"/>
  <c r="F122" i="11"/>
  <c r="F442" i="23" s="1"/>
  <c r="H120" i="11"/>
  <c r="F121" i="11"/>
  <c r="F441" i="23" s="1"/>
  <c r="F119" i="11"/>
  <c r="F439" i="23" s="1"/>
  <c r="F120" i="11"/>
  <c r="F440" i="23" s="1"/>
  <c r="F118" i="11"/>
  <c r="U501" i="11"/>
  <c r="E839" i="23"/>
  <c r="C835" i="23"/>
  <c r="E841" i="23"/>
  <c r="CL166" i="26"/>
  <c r="CA166" i="26"/>
  <c r="BY166" i="26"/>
  <c r="CB166" i="26"/>
  <c r="CC166" i="26"/>
  <c r="CD166" i="26"/>
  <c r="BV166" i="26"/>
  <c r="BZ166" i="26"/>
  <c r="CE166" i="26"/>
  <c r="Q36" i="23"/>
  <c r="AZ273" i="26"/>
  <c r="BA273" i="26" s="1"/>
  <c r="H309" i="11"/>
  <c r="AK698" i="11"/>
  <c r="D213" i="27"/>
  <c r="D297" i="27"/>
  <c r="O285" i="27" s="1"/>
  <c r="D49" i="27"/>
  <c r="E23" i="27" s="1"/>
  <c r="D129" i="27"/>
  <c r="GB119" i="27" s="1"/>
  <c r="D45" i="27"/>
  <c r="F418" i="23"/>
  <c r="F98" i="11" s="1"/>
  <c r="F419" i="23"/>
  <c r="F99" i="11" s="1"/>
  <c r="C174" i="11"/>
  <c r="BC426" i="26"/>
  <c r="AZ420" i="26"/>
  <c r="BA420" i="26" s="1"/>
  <c r="AU484" i="23"/>
  <c r="AY484" i="23" s="1"/>
  <c r="BC287" i="26"/>
  <c r="D205" i="26"/>
  <c r="D1120" i="23" s="1"/>
  <c r="AZ279" i="26"/>
  <c r="BA279" i="26" s="1"/>
  <c r="AM433" i="26"/>
  <c r="AZ433" i="26" s="1"/>
  <c r="BA433" i="26" s="1"/>
  <c r="AM426" i="26"/>
  <c r="E236" i="26" s="1"/>
  <c r="E1151" i="23" s="1"/>
  <c r="F206" i="26"/>
  <c r="F1121" i="23" s="1"/>
  <c r="BL284" i="26"/>
  <c r="AZ286" i="26"/>
  <c r="BA286" i="26" s="1"/>
  <c r="I205" i="26"/>
  <c r="I1120" i="23" s="1"/>
  <c r="AZ277" i="26"/>
  <c r="BA277" i="26" s="1"/>
  <c r="AU476" i="23"/>
  <c r="AY476" i="23" s="1"/>
  <c r="AU482" i="23"/>
  <c r="AY482" i="23" s="1"/>
  <c r="H94" i="27"/>
  <c r="I94" i="27" s="1"/>
  <c r="J94" i="27" s="1"/>
  <c r="K94" i="27" s="1"/>
  <c r="L94" i="27" s="1"/>
  <c r="M94" i="27" s="1"/>
  <c r="N94" i="27" s="1"/>
  <c r="O94" i="27" s="1"/>
  <c r="O98" i="27" s="1"/>
  <c r="AU485" i="23"/>
  <c r="AY485" i="23" s="1"/>
  <c r="AU475" i="23"/>
  <c r="AY475" i="23" s="1"/>
  <c r="AU467" i="23"/>
  <c r="AU468" i="23"/>
  <c r="A191" i="27"/>
  <c r="O489" i="11"/>
  <c r="O810" i="23" s="1"/>
  <c r="O487" i="11"/>
  <c r="O808" i="23" s="1"/>
  <c r="M857" i="23" s="1"/>
  <c r="O488" i="11"/>
  <c r="O809" i="23" s="1"/>
  <c r="M858" i="23" s="1"/>
  <c r="AU472" i="23"/>
  <c r="AW472" i="23" s="1"/>
  <c r="AX472" i="23" s="1"/>
  <c r="L522" i="11"/>
  <c r="O490" i="11"/>
  <c r="O811" i="23" s="1"/>
  <c r="I486" i="11"/>
  <c r="J522" i="11" s="1"/>
  <c r="O363" i="26"/>
  <c r="M384" i="26" s="1"/>
  <c r="O364" i="26"/>
  <c r="M385" i="26" s="1"/>
  <c r="L398" i="26"/>
  <c r="O365" i="26"/>
  <c r="L400" i="26"/>
  <c r="O366" i="26"/>
  <c r="AU465" i="23"/>
  <c r="AU473" i="23"/>
  <c r="AW473" i="23" s="1"/>
  <c r="AX473" i="23" s="1"/>
  <c r="AU483" i="23"/>
  <c r="AW483" i="23" s="1"/>
  <c r="AX483" i="23" s="1"/>
  <c r="AU477" i="23"/>
  <c r="AY477" i="23" s="1"/>
  <c r="AI204" i="23"/>
  <c r="H84" i="12"/>
  <c r="AU474" i="23"/>
  <c r="AY474" i="23" s="1"/>
  <c r="AU466" i="23"/>
  <c r="AU469" i="23"/>
  <c r="D92" i="11"/>
  <c r="H110" i="11"/>
  <c r="D104" i="11"/>
  <c r="C110" i="11"/>
  <c r="C111" i="11"/>
  <c r="F108" i="11"/>
  <c r="F111" i="11"/>
  <c r="E9" i="22"/>
  <c r="H178" i="27"/>
  <c r="I178" i="27" s="1"/>
  <c r="J178" i="27" s="1"/>
  <c r="K178" i="27" s="1"/>
  <c r="L178" i="27" s="1"/>
  <c r="M178" i="27" s="1"/>
  <c r="N178" i="27" s="1"/>
  <c r="O178" i="27" s="1"/>
  <c r="P178" i="27" s="1"/>
  <c r="Q178" i="27" s="1"/>
  <c r="R178" i="27" s="1"/>
  <c r="S178" i="27" s="1"/>
  <c r="T178" i="27" s="1"/>
  <c r="U178" i="27" s="1"/>
  <c r="V178" i="27" s="1"/>
  <c r="V182" i="27" s="1"/>
  <c r="C287" i="11"/>
  <c r="D77" i="14" s="1"/>
  <c r="O625" i="11"/>
  <c r="H109" i="11"/>
  <c r="C150" i="11"/>
  <c r="W31" i="25"/>
  <c r="R67" i="14"/>
  <c r="D5" i="35" s="1"/>
  <c r="E5" i="35" s="1"/>
  <c r="H262" i="27"/>
  <c r="I262" i="27" s="1"/>
  <c r="J262" i="27" s="1"/>
  <c r="K262" i="27" s="1"/>
  <c r="L262" i="27" s="1"/>
  <c r="M262" i="27" s="1"/>
  <c r="N262" i="27" s="1"/>
  <c r="O262" i="27" s="1"/>
  <c r="H9" i="27"/>
  <c r="F110" i="11"/>
  <c r="C112" i="11"/>
  <c r="H111" i="11"/>
  <c r="C100" i="11"/>
  <c r="C109" i="11"/>
  <c r="F587" i="23"/>
  <c r="Z155" i="11"/>
  <c r="E17" i="27"/>
  <c r="AK695" i="11"/>
  <c r="C108" i="11"/>
  <c r="H108" i="11"/>
  <c r="H112" i="11"/>
  <c r="F109" i="11"/>
  <c r="B266" i="26"/>
  <c r="F112" i="11"/>
  <c r="O624" i="11"/>
  <c r="J284" i="23"/>
  <c r="J717" i="11" s="1"/>
  <c r="C60" i="23"/>
  <c r="W30" i="25" s="1"/>
  <c r="M676" i="23"/>
  <c r="Z223" i="11"/>
  <c r="AA225" i="11" s="1"/>
  <c r="AA226" i="11" s="1"/>
  <c r="AA233" i="11" s="1"/>
  <c r="AA237" i="11" s="1"/>
  <c r="E84" i="14"/>
  <c r="Z699" i="11"/>
  <c r="Z700" i="11" s="1"/>
  <c r="D194" i="25"/>
  <c r="C415" i="11"/>
  <c r="AB215" i="23"/>
  <c r="AB619" i="11"/>
  <c r="AB231" i="23"/>
  <c r="AB637" i="11"/>
  <c r="AB232" i="23"/>
  <c r="AB638" i="11"/>
  <c r="AB217" i="23"/>
  <c r="AB621" i="11"/>
  <c r="A190" i="27"/>
  <c r="B273" i="27"/>
  <c r="C299" i="27"/>
  <c r="C298" i="27"/>
  <c r="B275" i="27"/>
  <c r="C273" i="27"/>
  <c r="BC280" i="26"/>
  <c r="BL280" i="26"/>
  <c r="O172" i="26"/>
  <c r="AZ434" i="26"/>
  <c r="BA434" i="26" s="1"/>
  <c r="BL286" i="26"/>
  <c r="AM427" i="26"/>
  <c r="AZ427" i="26" s="1"/>
  <c r="BA427" i="26" s="1"/>
  <c r="H187" i="26"/>
  <c r="AZ285" i="26"/>
  <c r="BA285" i="26" s="1"/>
  <c r="AZ280" i="26"/>
  <c r="BA280" i="26" s="1"/>
  <c r="AZ274" i="26"/>
  <c r="AM421" i="26"/>
  <c r="H202" i="26"/>
  <c r="AM432" i="26"/>
  <c r="AZ423" i="26"/>
  <c r="BA423" i="26" s="1"/>
  <c r="H193" i="26"/>
  <c r="AZ282" i="26"/>
  <c r="BA282" i="26" s="1"/>
  <c r="AM429" i="26"/>
  <c r="O175" i="26"/>
  <c r="D208" i="26"/>
  <c r="D1123" i="23" s="1"/>
  <c r="I208" i="26"/>
  <c r="I1123" i="23" s="1"/>
  <c r="H1123" i="23"/>
  <c r="F209" i="26"/>
  <c r="F1124" i="23" s="1"/>
  <c r="D184" i="26"/>
  <c r="D1099" i="23" s="1"/>
  <c r="F185" i="26"/>
  <c r="F1100" i="23" s="1"/>
  <c r="I184" i="26"/>
  <c r="I1099" i="23" s="1"/>
  <c r="H1099" i="23"/>
  <c r="AB219" i="23"/>
  <c r="AB623" i="11"/>
  <c r="AB642" i="11"/>
  <c r="AB251" i="23"/>
  <c r="I199" i="26"/>
  <c r="I1114" i="23" s="1"/>
  <c r="D199" i="26"/>
  <c r="D1114" i="23" s="1"/>
  <c r="H1114" i="23"/>
  <c r="F200" i="26"/>
  <c r="F1115" i="23" s="1"/>
  <c r="P519" i="11" l="1"/>
  <c r="X535" i="11"/>
  <c r="S405" i="26"/>
  <c r="S406" i="26" s="1"/>
  <c r="S407" i="26" s="1"/>
  <c r="P401" i="26"/>
  <c r="T503" i="11"/>
  <c r="D495" i="11" s="1"/>
  <c r="T506" i="11"/>
  <c r="D497" i="11" s="1"/>
  <c r="D819" i="23" s="1"/>
  <c r="M509" i="11"/>
  <c r="O125" i="14" s="1"/>
  <c r="M508" i="11"/>
  <c r="O124" i="14" s="1"/>
  <c r="D125" i="14" s="1"/>
  <c r="B118" i="11"/>
  <c r="C439" i="23"/>
  <c r="B119" i="11"/>
  <c r="C444" i="23"/>
  <c r="B124" i="11"/>
  <c r="C440" i="23"/>
  <c r="B120" i="11"/>
  <c r="C441" i="23"/>
  <c r="B121" i="11"/>
  <c r="C443" i="23"/>
  <c r="B123" i="11"/>
  <c r="C445" i="23"/>
  <c r="B125" i="11"/>
  <c r="C442" i="23"/>
  <c r="B122" i="11"/>
  <c r="O166" i="26"/>
  <c r="AC227" i="11"/>
  <c r="AB227" i="11"/>
  <c r="AA685" i="11"/>
  <c r="I9" i="27"/>
  <c r="J9" i="27" s="1"/>
  <c r="K9" i="27" s="1"/>
  <c r="L9" i="27" s="1"/>
  <c r="M9" i="27" s="1"/>
  <c r="N9" i="27" s="1"/>
  <c r="O9" i="27" s="1"/>
  <c r="O13" i="27" s="1"/>
  <c r="CC35" i="27"/>
  <c r="H102" i="11"/>
  <c r="F438" i="23"/>
  <c r="F126" i="11"/>
  <c r="H440" i="23"/>
  <c r="H126" i="11"/>
  <c r="DG33" i="27"/>
  <c r="C438" i="23"/>
  <c r="I591" i="23" s="1"/>
  <c r="AW482" i="23"/>
  <c r="AX482" i="23" s="1"/>
  <c r="AW484" i="23"/>
  <c r="AX484" i="23" s="1"/>
  <c r="AW475" i="23"/>
  <c r="AX475" i="23" s="1"/>
  <c r="AW476" i="23"/>
  <c r="AX476" i="23" s="1"/>
  <c r="AW485" i="23"/>
  <c r="AX485" i="23" s="1"/>
  <c r="O178" i="26"/>
  <c r="AZ426" i="26"/>
  <c r="BA426" i="26" s="1"/>
  <c r="H422" i="23"/>
  <c r="AY472" i="23"/>
  <c r="AP472" i="23" s="1"/>
  <c r="L98" i="27"/>
  <c r="H98" i="27"/>
  <c r="P94" i="27"/>
  <c r="Q94" i="27" s="1"/>
  <c r="R94" i="27" s="1"/>
  <c r="S94" i="27" s="1"/>
  <c r="T94" i="27" s="1"/>
  <c r="U94" i="27" s="1"/>
  <c r="V94" i="27" s="1"/>
  <c r="V98" i="27" s="1"/>
  <c r="AY473" i="23"/>
  <c r="BN470" i="23" s="1"/>
  <c r="DR33" i="27"/>
  <c r="EB33" i="27"/>
  <c r="AY483" i="23"/>
  <c r="BN476" i="23" s="1"/>
  <c r="GZ37" i="27"/>
  <c r="GE33" i="27"/>
  <c r="EA33" i="27"/>
  <c r="FR33" i="27"/>
  <c r="ET33" i="27"/>
  <c r="DE33" i="27"/>
  <c r="DX33" i="27"/>
  <c r="FE33" i="27"/>
  <c r="CU33" i="27"/>
  <c r="CM33" i="27"/>
  <c r="BS35" i="27"/>
  <c r="GY33" i="27"/>
  <c r="CG33" i="27"/>
  <c r="GW33" i="27"/>
  <c r="IA33" i="27"/>
  <c r="IE37" i="27"/>
  <c r="DA37" i="27"/>
  <c r="Y35" i="27"/>
  <c r="CW37" i="27"/>
  <c r="R37" i="27"/>
  <c r="AE35" i="27"/>
  <c r="AC37" i="27"/>
  <c r="AT35" i="27"/>
  <c r="Q37" i="27"/>
  <c r="HU37" i="27"/>
  <c r="DA35" i="27"/>
  <c r="HL35" i="27"/>
  <c r="AM35" i="27"/>
  <c r="BH35" i="27"/>
  <c r="BX35" i="27"/>
  <c r="EW37" i="27"/>
  <c r="CB37" i="27"/>
  <c r="DE35" i="27"/>
  <c r="DY35" i="27"/>
  <c r="AJ35" i="27"/>
  <c r="ER35" i="27"/>
  <c r="CG35" i="27"/>
  <c r="HP35" i="27"/>
  <c r="CD35" i="27"/>
  <c r="CI35" i="27"/>
  <c r="IF37" i="27"/>
  <c r="AV37" i="27"/>
  <c r="GV37" i="27"/>
  <c r="GC37" i="27"/>
  <c r="CL35" i="27"/>
  <c r="FU37" i="27"/>
  <c r="BL35" i="27"/>
  <c r="HE35" i="27"/>
  <c r="DC37" i="27"/>
  <c r="EQ35" i="27"/>
  <c r="HO35" i="27"/>
  <c r="HF35" i="27"/>
  <c r="EL35" i="27"/>
  <c r="DV37" i="27"/>
  <c r="GE35" i="27"/>
  <c r="DH37" i="27"/>
  <c r="AV35" i="27"/>
  <c r="IH37" i="27"/>
  <c r="CT37" i="27"/>
  <c r="FE35" i="27"/>
  <c r="DO35" i="27"/>
  <c r="AH35" i="27"/>
  <c r="J37" i="27"/>
  <c r="FK37" i="27"/>
  <c r="CH37" i="27"/>
  <c r="EA37" i="27"/>
  <c r="HW37" i="27"/>
  <c r="HZ35" i="27"/>
  <c r="EN35" i="27"/>
  <c r="DU35" i="27"/>
  <c r="DG35" i="27"/>
  <c r="EO35" i="27"/>
  <c r="DD37" i="27"/>
  <c r="CE37" i="27"/>
  <c r="GJ35" i="27"/>
  <c r="O37" i="27"/>
  <c r="HS35" i="27"/>
  <c r="HK37" i="27"/>
  <c r="CQ35" i="27"/>
  <c r="HB37" i="27"/>
  <c r="FA37" i="27"/>
  <c r="EH35" i="27"/>
  <c r="IF35" i="27"/>
  <c r="CJ35" i="27"/>
  <c r="FF35" i="27"/>
  <c r="U35" i="27"/>
  <c r="M35" i="27"/>
  <c r="GR35" i="27"/>
  <c r="GF37" i="27"/>
  <c r="HN37" i="27"/>
  <c r="GB37" i="27"/>
  <c r="CB35" i="27"/>
  <c r="HK35" i="27"/>
  <c r="GP37" i="27"/>
  <c r="BW35" i="27"/>
  <c r="FS37" i="27"/>
  <c r="BR35" i="27"/>
  <c r="W35" i="27"/>
  <c r="FW37" i="27"/>
  <c r="DF37" i="27"/>
  <c r="BO35" i="27"/>
  <c r="IJ35" i="27"/>
  <c r="CN35" i="27"/>
  <c r="DW35" i="27"/>
  <c r="BT35" i="27"/>
  <c r="Q35" i="27"/>
  <c r="AW477" i="23"/>
  <c r="AX477" i="23" s="1"/>
  <c r="HC37" i="27"/>
  <c r="HI35" i="27"/>
  <c r="AU37" i="27"/>
  <c r="IJ37" i="27"/>
  <c r="IK37" i="27"/>
  <c r="HP37" i="27"/>
  <c r="DQ37" i="27"/>
  <c r="BN37" i="27"/>
  <c r="CP35" i="27"/>
  <c r="DE37" i="27"/>
  <c r="FP37" i="27"/>
  <c r="EF35" i="27"/>
  <c r="AD37" i="27"/>
  <c r="P37" i="27"/>
  <c r="GA37" i="27"/>
  <c r="EK35" i="27"/>
  <c r="DB35" i="27"/>
  <c r="GN35" i="27"/>
  <c r="FV35" i="27"/>
  <c r="GU37" i="27"/>
  <c r="HV37" i="27"/>
  <c r="Y37" i="27"/>
  <c r="CN37" i="27"/>
  <c r="AZ37" i="27"/>
  <c r="GG37" i="27"/>
  <c r="CA35" i="27"/>
  <c r="EU37" i="27"/>
  <c r="DG37" i="27"/>
  <c r="HS37" i="27"/>
  <c r="EK37" i="27"/>
  <c r="BP37" i="27"/>
  <c r="DK37" i="27"/>
  <c r="AN35" i="27"/>
  <c r="BE37" i="27"/>
  <c r="HM37" i="27"/>
  <c r="DN35" i="27"/>
  <c r="BK37" i="27"/>
  <c r="CF37" i="27"/>
  <c r="CO35" i="27"/>
  <c r="AY37" i="27"/>
  <c r="CU37" i="27"/>
  <c r="GD37" i="27"/>
  <c r="DO37" i="27"/>
  <c r="N35" i="27"/>
  <c r="BN35" i="27"/>
  <c r="BG35" i="27"/>
  <c r="L266" i="27"/>
  <c r="AY35" i="27"/>
  <c r="FQ37" i="27"/>
  <c r="GE37" i="27"/>
  <c r="HN35" i="27"/>
  <c r="CM35" i="27"/>
  <c r="BB35" i="27"/>
  <c r="ED37" i="27"/>
  <c r="CK35" i="27"/>
  <c r="GY37" i="27"/>
  <c r="ER37" i="27"/>
  <c r="FT35" i="27"/>
  <c r="HW35" i="27"/>
  <c r="FN37" i="27"/>
  <c r="GS37" i="27"/>
  <c r="CW35" i="27"/>
  <c r="GJ37" i="27"/>
  <c r="GM37" i="27"/>
  <c r="BF37" i="27"/>
  <c r="EY37" i="27"/>
  <c r="HY35" i="27"/>
  <c r="CZ37" i="27"/>
  <c r="DJ35" i="27"/>
  <c r="AL37" i="27"/>
  <c r="CK37" i="27"/>
  <c r="CS37" i="27"/>
  <c r="GQ37" i="27"/>
  <c r="EE35" i="27"/>
  <c r="Z37" i="27"/>
  <c r="AI37" i="27"/>
  <c r="GO35" i="27"/>
  <c r="BO37" i="27"/>
  <c r="FV37" i="27"/>
  <c r="ES37" i="27"/>
  <c r="AX35" i="27"/>
  <c r="BQ35" i="27"/>
  <c r="FL37" i="27"/>
  <c r="BP35" i="27"/>
  <c r="DR37" i="27"/>
  <c r="CO37" i="27"/>
  <c r="FA35" i="27"/>
  <c r="AJ37" i="27"/>
  <c r="GL35" i="27"/>
  <c r="DM37" i="27"/>
  <c r="AZ35" i="27"/>
  <c r="S182" i="27"/>
  <c r="O266" i="27"/>
  <c r="P262" i="27"/>
  <c r="Q262" i="27" s="1"/>
  <c r="R262" i="27" s="1"/>
  <c r="S262" i="27" s="1"/>
  <c r="T262" i="27" s="1"/>
  <c r="U262" i="27" s="1"/>
  <c r="V262" i="27" s="1"/>
  <c r="V266" i="27" s="1"/>
  <c r="AD35" i="27"/>
  <c r="BJ37" i="27"/>
  <c r="HJ37" i="27"/>
  <c r="EJ37" i="27"/>
  <c r="BC37" i="27"/>
  <c r="DL37" i="27"/>
  <c r="AG35" i="27"/>
  <c r="HJ35" i="27"/>
  <c r="II37" i="27"/>
  <c r="GS35" i="27"/>
  <c r="IA37" i="27"/>
  <c r="HE37" i="27"/>
  <c r="HD37" i="27"/>
  <c r="FJ37" i="27"/>
  <c r="BW37" i="27"/>
  <c r="FO37" i="27"/>
  <c r="DT37" i="27"/>
  <c r="BB37" i="27"/>
  <c r="EG35" i="27"/>
  <c r="CR37" i="27"/>
  <c r="GX35" i="27"/>
  <c r="CT35" i="27"/>
  <c r="IG35" i="27"/>
  <c r="X35" i="27"/>
  <c r="GD35" i="27"/>
  <c r="EC35" i="27"/>
  <c r="ET35" i="27"/>
  <c r="AL35" i="27"/>
  <c r="L35" i="27"/>
  <c r="FZ37" i="27"/>
  <c r="GU35" i="27"/>
  <c r="DI35" i="27"/>
  <c r="EL37" i="27"/>
  <c r="AR37" i="27"/>
  <c r="FX35" i="27"/>
  <c r="EZ37" i="27"/>
  <c r="FJ35" i="27"/>
  <c r="EW35" i="27"/>
  <c r="BI37" i="27"/>
  <c r="EB35" i="27"/>
  <c r="FY35" i="27"/>
  <c r="R35" i="27"/>
  <c r="EE37" i="27"/>
  <c r="ED35" i="27"/>
  <c r="EA35" i="27"/>
  <c r="N37" i="27"/>
  <c r="BL37" i="27"/>
  <c r="AU35" i="27"/>
  <c r="AM37" i="27"/>
  <c r="IB35" i="27"/>
  <c r="ES35" i="27"/>
  <c r="BS37" i="27"/>
  <c r="GK37" i="27"/>
  <c r="FW35" i="27"/>
  <c r="DP35" i="27"/>
  <c r="IA35" i="27"/>
  <c r="HO37" i="27"/>
  <c r="BA37" i="27"/>
  <c r="AB35" i="27"/>
  <c r="FD35" i="27"/>
  <c r="HR37" i="27"/>
  <c r="EY35" i="27"/>
  <c r="FI37" i="27"/>
  <c r="EQ37" i="27"/>
  <c r="HD35" i="27"/>
  <c r="BJ35" i="27"/>
  <c r="DX37" i="27"/>
  <c r="L37" i="27"/>
  <c r="S37" i="27"/>
  <c r="EH37" i="27"/>
  <c r="FM37" i="27"/>
  <c r="FF37" i="27"/>
  <c r="FR37" i="27"/>
  <c r="AG37" i="27"/>
  <c r="FI35" i="27"/>
  <c r="FM35" i="27"/>
  <c r="DI37" i="27"/>
  <c r="DD35" i="27"/>
  <c r="FT37" i="27"/>
  <c r="CU35" i="27"/>
  <c r="HB35" i="27"/>
  <c r="HT37" i="27"/>
  <c r="ID35" i="27"/>
  <c r="IC37" i="27"/>
  <c r="FU35" i="27"/>
  <c r="AF37" i="27"/>
  <c r="GW35" i="27"/>
  <c r="HQ35" i="27"/>
  <c r="EX35" i="27"/>
  <c r="AK35" i="27"/>
  <c r="AS35" i="27"/>
  <c r="U37" i="27"/>
  <c r="DH35" i="27"/>
  <c r="FH37" i="27"/>
  <c r="CJ37" i="27"/>
  <c r="BR37" i="27"/>
  <c r="CD37" i="27"/>
  <c r="BZ35" i="27"/>
  <c r="BF35" i="27"/>
  <c r="EM37" i="27"/>
  <c r="BD35" i="27"/>
  <c r="FY37" i="27"/>
  <c r="FD37" i="27"/>
  <c r="FL35" i="27"/>
  <c r="DX35" i="27"/>
  <c r="IH35" i="27"/>
  <c r="GQ35" i="27"/>
  <c r="HF37" i="27"/>
  <c r="FC35" i="27"/>
  <c r="GH37" i="27"/>
  <c r="GF35" i="27"/>
  <c r="GC35" i="27"/>
  <c r="AW35" i="27"/>
  <c r="GG35" i="27"/>
  <c r="FG35" i="27"/>
  <c r="E21" i="27"/>
  <c r="BD37" i="27"/>
  <c r="HG37" i="27"/>
  <c r="HV35" i="27"/>
  <c r="AN37" i="27"/>
  <c r="GV35" i="27"/>
  <c r="AO35" i="27"/>
  <c r="HL37" i="27"/>
  <c r="CQ37" i="27"/>
  <c r="EP37" i="27"/>
  <c r="IK35" i="27"/>
  <c r="FB35" i="27"/>
  <c r="BV37" i="27"/>
  <c r="I37" i="27"/>
  <c r="HY37" i="27"/>
  <c r="V35" i="27"/>
  <c r="K37" i="27"/>
  <c r="DZ37" i="27"/>
  <c r="HZ37" i="27"/>
  <c r="BY35" i="27"/>
  <c r="DN37" i="27"/>
  <c r="DY37" i="27"/>
  <c r="EJ35" i="27"/>
  <c r="GP35" i="27"/>
  <c r="HH37" i="27"/>
  <c r="IC35" i="27"/>
  <c r="IE35" i="27"/>
  <c r="DV35" i="27"/>
  <c r="BT37" i="27"/>
  <c r="GR37" i="27"/>
  <c r="CX35" i="27"/>
  <c r="EI35" i="27"/>
  <c r="GO37" i="27"/>
  <c r="FG37" i="27"/>
  <c r="DF35" i="27"/>
  <c r="T37" i="27"/>
  <c r="AB37" i="27"/>
  <c r="HG35" i="27"/>
  <c r="CA37" i="27"/>
  <c r="ET37" i="27"/>
  <c r="EV35" i="27"/>
  <c r="AT37" i="27"/>
  <c r="AE37" i="27"/>
  <c r="CX37" i="27"/>
  <c r="DZ35" i="27"/>
  <c r="GM35" i="27"/>
  <c r="EI37" i="27"/>
  <c r="IG37" i="27"/>
  <c r="BZ37" i="27"/>
  <c r="EG37" i="27"/>
  <c r="HT35" i="27"/>
  <c r="HR35" i="27"/>
  <c r="K35" i="27"/>
  <c r="AI35" i="27"/>
  <c r="CR35" i="27"/>
  <c r="EP35" i="27"/>
  <c r="EZ35" i="27"/>
  <c r="CI37" i="27"/>
  <c r="EM35" i="27"/>
  <c r="V37" i="27"/>
  <c r="DK35" i="27"/>
  <c r="ID37" i="27"/>
  <c r="AF35" i="27"/>
  <c r="S35" i="27"/>
  <c r="EN37" i="27"/>
  <c r="FX37" i="27"/>
  <c r="CS35" i="27"/>
  <c r="DW37" i="27"/>
  <c r="Z35" i="27"/>
  <c r="EU35" i="27"/>
  <c r="CF35" i="27"/>
  <c r="GI37" i="27"/>
  <c r="HU35" i="27"/>
  <c r="DQ35" i="27"/>
  <c r="I35" i="27"/>
  <c r="X37" i="27"/>
  <c r="FN35" i="27"/>
  <c r="GT37" i="27"/>
  <c r="BQ37" i="27"/>
  <c r="EX37" i="27"/>
  <c r="CP37" i="27"/>
  <c r="BK35" i="27"/>
  <c r="GX37" i="27"/>
  <c r="EC37" i="27"/>
  <c r="BE35" i="27"/>
  <c r="EV37" i="27"/>
  <c r="AW37" i="27"/>
  <c r="DR35" i="27"/>
  <c r="AC35" i="27"/>
  <c r="GN37" i="27"/>
  <c r="DS35" i="27"/>
  <c r="FP35" i="27"/>
  <c r="FO35" i="27"/>
  <c r="HQ37" i="27"/>
  <c r="CM37" i="27"/>
  <c r="CL37" i="27"/>
  <c r="AK37" i="27"/>
  <c r="BI35" i="27"/>
  <c r="CE35" i="27"/>
  <c r="FR35" i="27"/>
  <c r="BX37" i="27"/>
  <c r="J35" i="27"/>
  <c r="FZ35" i="27"/>
  <c r="M37" i="27"/>
  <c r="BA35" i="27"/>
  <c r="IB37" i="27"/>
  <c r="FH35" i="27"/>
  <c r="DB37" i="27"/>
  <c r="AS37" i="27"/>
  <c r="AA35" i="27"/>
  <c r="EB37" i="27"/>
  <c r="AA37" i="27"/>
  <c r="CV35" i="27"/>
  <c r="HC35" i="27"/>
  <c r="DS37" i="27"/>
  <c r="AP37" i="27"/>
  <c r="AR35" i="27"/>
  <c r="DT35" i="27"/>
  <c r="AX37" i="27"/>
  <c r="CZ35" i="27"/>
  <c r="GZ35" i="27"/>
  <c r="GB35" i="27"/>
  <c r="DP37" i="27"/>
  <c r="GY35" i="27"/>
  <c r="DL35" i="27"/>
  <c r="AQ35" i="27"/>
  <c r="BU37" i="27"/>
  <c r="GW37" i="27"/>
  <c r="HI37" i="27"/>
  <c r="HX35" i="27"/>
  <c r="GK35" i="27"/>
  <c r="GI35" i="27"/>
  <c r="GA35" i="27"/>
  <c r="DU37" i="27"/>
  <c r="AQ37" i="27"/>
  <c r="G10" i="22"/>
  <c r="E10" i="22"/>
  <c r="AW474" i="23"/>
  <c r="AX474" i="23" s="1"/>
  <c r="FK35" i="27"/>
  <c r="BU35" i="27"/>
  <c r="HA35" i="27"/>
  <c r="DM35" i="27"/>
  <c r="HX37" i="27"/>
  <c r="BC35" i="27"/>
  <c r="CC37" i="27"/>
  <c r="O35" i="27"/>
  <c r="BH37" i="27"/>
  <c r="FE37" i="27"/>
  <c r="FC37" i="27"/>
  <c r="FQ35" i="27"/>
  <c r="W37" i="27"/>
  <c r="FS35" i="27"/>
  <c r="CG37" i="27"/>
  <c r="GT35" i="27"/>
  <c r="DC35" i="27"/>
  <c r="AO37" i="27"/>
  <c r="AA157" i="11"/>
  <c r="AA158" i="11" s="1"/>
  <c r="AA163" i="11" s="1"/>
  <c r="EF37" i="27"/>
  <c r="P35" i="27"/>
  <c r="GL37" i="27"/>
  <c r="CH35" i="27"/>
  <c r="BM35" i="27"/>
  <c r="FB37" i="27"/>
  <c r="BY37" i="27"/>
  <c r="AH37" i="27"/>
  <c r="GH35" i="27"/>
  <c r="CY37" i="27"/>
  <c r="CV37" i="27"/>
  <c r="II35" i="27"/>
  <c r="BG37" i="27"/>
  <c r="HH35" i="27"/>
  <c r="EO37" i="27"/>
  <c r="CY35" i="27"/>
  <c r="BM37" i="27"/>
  <c r="T35" i="27"/>
  <c r="HA37" i="27"/>
  <c r="HM35" i="27"/>
  <c r="DJ37" i="27"/>
  <c r="BV35" i="27"/>
  <c r="AP35" i="27"/>
  <c r="CN121" i="27"/>
  <c r="HD285" i="27"/>
  <c r="M121" i="27"/>
  <c r="HB119" i="27"/>
  <c r="DG119" i="27"/>
  <c r="HW119" i="27"/>
  <c r="CS119" i="27"/>
  <c r="BL287" i="27"/>
  <c r="HY119" i="27"/>
  <c r="GP121" i="27"/>
  <c r="II119" i="27"/>
  <c r="DV121" i="27"/>
  <c r="Q121" i="27"/>
  <c r="CT119" i="27"/>
  <c r="FE121" i="27"/>
  <c r="EJ119" i="27"/>
  <c r="GI117" i="27"/>
  <c r="DT121" i="27"/>
  <c r="EQ117" i="27"/>
  <c r="DS119" i="27"/>
  <c r="AV117" i="27"/>
  <c r="FC117" i="27"/>
  <c r="S119" i="27"/>
  <c r="ID285" i="27"/>
  <c r="CK117" i="27"/>
  <c r="HZ117" i="27"/>
  <c r="HS117" i="27"/>
  <c r="GL121" i="27"/>
  <c r="HY121" i="27"/>
  <c r="IC121" i="27"/>
  <c r="FY117" i="27"/>
  <c r="AT117" i="27"/>
  <c r="HT119" i="27"/>
  <c r="CR121" i="27"/>
  <c r="EM119" i="27"/>
  <c r="IA121" i="27"/>
  <c r="EQ119" i="27"/>
  <c r="FU287" i="27"/>
  <c r="DQ289" i="27"/>
  <c r="HN285" i="27"/>
  <c r="H184" i="23"/>
  <c r="J186" i="23" s="1"/>
  <c r="FF119" i="27"/>
  <c r="EV121" i="27"/>
  <c r="DF121" i="27"/>
  <c r="BH121" i="27"/>
  <c r="HG121" i="27"/>
  <c r="FM289" i="27"/>
  <c r="BQ117" i="27"/>
  <c r="GB121" i="27"/>
  <c r="AH121" i="27"/>
  <c r="GT117" i="27"/>
  <c r="EC121" i="27"/>
  <c r="GQ121" i="27"/>
  <c r="CL119" i="27"/>
  <c r="ID117" i="27"/>
  <c r="DU117" i="27"/>
  <c r="DA117" i="27"/>
  <c r="DT119" i="27"/>
  <c r="DO119" i="27"/>
  <c r="FQ117" i="27"/>
  <c r="GX289" i="27"/>
  <c r="CW285" i="27"/>
  <c r="HJ289" i="27"/>
  <c r="CR287" i="27"/>
  <c r="IA285" i="27"/>
  <c r="HE289" i="27"/>
  <c r="HG285" i="27"/>
  <c r="FB285" i="27"/>
  <c r="GS285" i="27"/>
  <c r="CP289" i="27"/>
  <c r="U287" i="27"/>
  <c r="HP289" i="27"/>
  <c r="BW287" i="27"/>
  <c r="IK287" i="27"/>
  <c r="FX289" i="27"/>
  <c r="P289" i="27"/>
  <c r="BJ289" i="27"/>
  <c r="BM285" i="27"/>
  <c r="T289" i="27"/>
  <c r="FI285" i="27"/>
  <c r="EU287" i="27"/>
  <c r="GG289" i="27"/>
  <c r="HO289" i="27"/>
  <c r="EY287" i="27"/>
  <c r="DD289" i="27"/>
  <c r="EK289" i="27"/>
  <c r="AF287" i="27"/>
  <c r="DP285" i="27"/>
  <c r="BS285" i="27"/>
  <c r="ER285" i="27"/>
  <c r="BX287" i="27"/>
  <c r="BH287" i="27"/>
  <c r="EF289" i="27"/>
  <c r="EJ289" i="27"/>
  <c r="AN287" i="27"/>
  <c r="BH285" i="27"/>
  <c r="BP285" i="27"/>
  <c r="CW287" i="27"/>
  <c r="BZ289" i="27"/>
  <c r="BI289" i="27"/>
  <c r="GH289" i="27"/>
  <c r="DN285" i="27"/>
  <c r="AM289" i="27"/>
  <c r="AL287" i="27"/>
  <c r="DS287" i="27"/>
  <c r="BP289" i="27"/>
  <c r="CM285" i="27"/>
  <c r="CC285" i="27"/>
  <c r="GB289" i="27"/>
  <c r="HT285" i="27"/>
  <c r="GE285" i="27"/>
  <c r="H289" i="27"/>
  <c r="CE287" i="27"/>
  <c r="GV287" i="27"/>
  <c r="DR285" i="27"/>
  <c r="CH285" i="27"/>
  <c r="EU285" i="27"/>
  <c r="GY285" i="27"/>
  <c r="CD289" i="27"/>
  <c r="AV289" i="27"/>
  <c r="GU287" i="27"/>
  <c r="HS289" i="27"/>
  <c r="BR289" i="27"/>
  <c r="AA287" i="27"/>
  <c r="CL289" i="27"/>
  <c r="AA285" i="27"/>
  <c r="BY285" i="27"/>
  <c r="EW289" i="27"/>
  <c r="GI285" i="27"/>
  <c r="AV285" i="27"/>
  <c r="IH285" i="27"/>
  <c r="IJ287" i="27"/>
  <c r="FP285" i="27"/>
  <c r="CH287" i="27"/>
  <c r="GD287" i="27"/>
  <c r="EO289" i="27"/>
  <c r="HN289" i="27"/>
  <c r="EN289" i="27"/>
  <c r="FF289" i="27"/>
  <c r="HQ289" i="27"/>
  <c r="BU287" i="27"/>
  <c r="HW285" i="27"/>
  <c r="U289" i="27"/>
  <c r="HO287" i="27"/>
  <c r="ET289" i="27"/>
  <c r="AX289" i="27"/>
  <c r="DO285" i="27"/>
  <c r="GR285" i="27"/>
  <c r="ET285" i="27"/>
  <c r="BM287" i="27"/>
  <c r="EC287" i="27"/>
  <c r="AR287" i="27"/>
  <c r="AB289" i="27"/>
  <c r="FK289" i="27"/>
  <c r="BT289" i="27"/>
  <c r="GO285" i="27"/>
  <c r="EP289" i="27"/>
  <c r="GO289" i="27"/>
  <c r="GS289" i="27"/>
  <c r="IC287" i="27"/>
  <c r="FD289" i="27"/>
  <c r="GC285" i="27"/>
  <c r="HD287" i="27"/>
  <c r="GE287" i="27"/>
  <c r="EG285" i="27"/>
  <c r="GB287" i="27"/>
  <c r="FB289" i="27"/>
  <c r="AL289" i="27"/>
  <c r="IK289" i="27"/>
  <c r="O289" i="27"/>
  <c r="CZ289" i="27"/>
  <c r="ET287" i="27"/>
  <c r="BC285" i="27"/>
  <c r="FE285" i="27"/>
  <c r="BL289" i="27"/>
  <c r="DX285" i="27"/>
  <c r="FB287" i="27"/>
  <c r="EF287" i="27"/>
  <c r="GJ287" i="27"/>
  <c r="CV285" i="27"/>
  <c r="GU289" i="27"/>
  <c r="HH285" i="27"/>
  <c r="EH289" i="27"/>
  <c r="HF289" i="27"/>
  <c r="IC289" i="27"/>
  <c r="GA289" i="27"/>
  <c r="EI285" i="27"/>
  <c r="EV285" i="27"/>
  <c r="CP285" i="27"/>
  <c r="ED289" i="27"/>
  <c r="N287" i="27"/>
  <c r="GN287" i="27"/>
  <c r="GK285" i="27"/>
  <c r="CC287" i="27"/>
  <c r="CK289" i="27"/>
  <c r="GR289" i="27"/>
  <c r="HR285" i="27"/>
  <c r="FM287" i="27"/>
  <c r="GQ287" i="27"/>
  <c r="AF285" i="27"/>
  <c r="BO285" i="27"/>
  <c r="DY289" i="27"/>
  <c r="BS289" i="27"/>
  <c r="FX287" i="27"/>
  <c r="R287" i="27"/>
  <c r="EH285" i="27"/>
  <c r="BW289" i="27"/>
  <c r="CS285" i="27"/>
  <c r="EP285" i="27"/>
  <c r="FO287" i="27"/>
  <c r="X285" i="27"/>
  <c r="DT289" i="27"/>
  <c r="CA285" i="27"/>
  <c r="GP285" i="27"/>
  <c r="CT289" i="27"/>
  <c r="FQ289" i="27"/>
  <c r="AO285" i="27"/>
  <c r="GW289" i="27"/>
  <c r="CF287" i="27"/>
  <c r="CI287" i="27"/>
  <c r="CC289" i="27"/>
  <c r="GT289" i="27"/>
  <c r="ES287" i="27"/>
  <c r="FU285" i="27"/>
  <c r="HJ285" i="27"/>
  <c r="HE287" i="27"/>
  <c r="AY289" i="27"/>
  <c r="AQ289" i="27"/>
  <c r="EY285" i="27"/>
  <c r="CF285" i="27"/>
  <c r="BE285" i="27"/>
  <c r="FX285" i="27"/>
  <c r="BS287" i="27"/>
  <c r="AE289" i="27"/>
  <c r="AO287" i="27"/>
  <c r="CK285" i="27"/>
  <c r="BB285" i="27"/>
  <c r="EM287" i="27"/>
  <c r="N289" i="27"/>
  <c r="DB285" i="27"/>
  <c r="DI289" i="27"/>
  <c r="HU285" i="27"/>
  <c r="CO289" i="27"/>
  <c r="BG289" i="27"/>
  <c r="EO287" i="27"/>
  <c r="GP289" i="27"/>
  <c r="DL289" i="27"/>
  <c r="GZ289" i="27"/>
  <c r="IE285" i="27"/>
  <c r="DX287" i="27"/>
  <c r="HW287" i="27"/>
  <c r="DH289" i="27"/>
  <c r="CR289" i="27"/>
  <c r="HP285" i="27"/>
  <c r="HK285" i="27"/>
  <c r="FM285" i="27"/>
  <c r="GD289" i="27"/>
  <c r="BX289" i="27"/>
  <c r="S289" i="27"/>
  <c r="IE289" i="27"/>
  <c r="DB289" i="27"/>
  <c r="DS285" i="27"/>
  <c r="BZ287" i="27"/>
  <c r="GG287" i="27"/>
  <c r="EK287" i="27"/>
  <c r="HV289" i="27"/>
  <c r="BD289" i="27"/>
  <c r="DM287" i="27"/>
  <c r="AU285" i="27"/>
  <c r="EM289" i="27"/>
  <c r="DO289" i="27"/>
  <c r="HU287" i="27"/>
  <c r="FH289" i="27"/>
  <c r="AR289" i="27"/>
  <c r="HL289" i="27"/>
  <c r="BK285" i="27"/>
  <c r="DY287" i="27"/>
  <c r="AK285" i="27"/>
  <c r="HW289" i="27"/>
  <c r="HA289" i="27"/>
  <c r="O287" i="27"/>
  <c r="T285" i="27"/>
  <c r="DZ285" i="27"/>
  <c r="DS289" i="27"/>
  <c r="BK289" i="27"/>
  <c r="BT285" i="27"/>
  <c r="DL285" i="27"/>
  <c r="N285" i="27"/>
  <c r="W285" i="27"/>
  <c r="DO287" i="27"/>
  <c r="GW285" i="27"/>
  <c r="GY287" i="27"/>
  <c r="GC289" i="27"/>
  <c r="DW289" i="27"/>
  <c r="AU289" i="27"/>
  <c r="W287" i="27"/>
  <c r="X287" i="27"/>
  <c r="HV287" i="27"/>
  <c r="FS285" i="27"/>
  <c r="FI289" i="27"/>
  <c r="CZ287" i="27"/>
  <c r="AI285" i="27"/>
  <c r="CQ285" i="27"/>
  <c r="DT285" i="27"/>
  <c r="EU289" i="27"/>
  <c r="CT287" i="27"/>
  <c r="CG287" i="27"/>
  <c r="HC285" i="27"/>
  <c r="FP289" i="27"/>
  <c r="HS285" i="27"/>
  <c r="CL285" i="27"/>
  <c r="BA289" i="27"/>
  <c r="FR289" i="27"/>
  <c r="HR287" i="27"/>
  <c r="AG285" i="27"/>
  <c r="AG289" i="27"/>
  <c r="BF287" i="27"/>
  <c r="DA285" i="27"/>
  <c r="IE287" i="27"/>
  <c r="GF289" i="27"/>
  <c r="HJ287" i="27"/>
  <c r="HU289" i="27"/>
  <c r="FV287" i="27"/>
  <c r="FV285" i="27"/>
  <c r="CX287" i="27"/>
  <c r="HR289" i="27"/>
  <c r="BE289" i="27"/>
  <c r="BJ287" i="27"/>
  <c r="GQ285" i="27"/>
  <c r="DU289" i="27"/>
  <c r="IJ289" i="27"/>
  <c r="DZ287" i="27"/>
  <c r="FW289" i="27"/>
  <c r="FY285" i="27"/>
  <c r="HE285" i="27"/>
  <c r="CB289" i="27"/>
  <c r="HM287" i="27"/>
  <c r="DH287" i="27"/>
  <c r="DI287" i="27"/>
  <c r="M287" i="27"/>
  <c r="EO285" i="27"/>
  <c r="AL285" i="27"/>
  <c r="V287" i="27"/>
  <c r="II289" i="27"/>
  <c r="BA285" i="27"/>
  <c r="BG285" i="27"/>
  <c r="CM287" i="27"/>
  <c r="EV289" i="27"/>
  <c r="AU287" i="27"/>
  <c r="FG289" i="27"/>
  <c r="HQ285" i="27"/>
  <c r="DW287" i="27"/>
  <c r="HO285" i="27"/>
  <c r="EQ289" i="27"/>
  <c r="CR285" i="27"/>
  <c r="AW285" i="27"/>
  <c r="AM287" i="27"/>
  <c r="HI287" i="27"/>
  <c r="BF289" i="27"/>
  <c r="IK285" i="27"/>
  <c r="AD289" i="27"/>
  <c r="I287" i="27"/>
  <c r="FT287" i="27"/>
  <c r="Z287" i="27"/>
  <c r="ED285" i="27"/>
  <c r="HB285" i="27"/>
  <c r="EP287" i="27"/>
  <c r="DV287" i="27"/>
  <c r="Q289" i="27"/>
  <c r="CJ287" i="27"/>
  <c r="AB287" i="27"/>
  <c r="CA287" i="27"/>
  <c r="GT287" i="27"/>
  <c r="J285" i="27"/>
  <c r="EB289" i="27"/>
  <c r="BP287" i="27"/>
  <c r="CT285" i="27"/>
  <c r="CN287" i="27"/>
  <c r="AP285" i="27"/>
  <c r="BJ285" i="27"/>
  <c r="GQ289" i="27"/>
  <c r="AI287" i="27"/>
  <c r="BA287" i="27"/>
  <c r="BV289" i="27"/>
  <c r="EC285" i="27"/>
  <c r="P285" i="27"/>
  <c r="AA289" i="27"/>
  <c r="AN289" i="27"/>
  <c r="K287" i="27"/>
  <c r="GK287" i="27"/>
  <c r="EQ285" i="27"/>
  <c r="GV289" i="27"/>
  <c r="FL285" i="27"/>
  <c r="FZ287" i="27"/>
  <c r="EN285" i="27"/>
  <c r="EE285" i="27"/>
  <c r="FG287" i="27"/>
  <c r="AH287" i="27"/>
  <c r="DQ287" i="27"/>
  <c r="CQ287" i="27"/>
  <c r="AS289" i="27"/>
  <c r="CN285" i="27"/>
  <c r="EL287" i="27"/>
  <c r="BN287" i="27"/>
  <c r="BK287" i="27"/>
  <c r="BX285" i="27"/>
  <c r="AQ287" i="27"/>
  <c r="BF285" i="27"/>
  <c r="HY285" i="27"/>
  <c r="HK289" i="27"/>
  <c r="BR285" i="27"/>
  <c r="CU289" i="27"/>
  <c r="FO285" i="27"/>
  <c r="DG287" i="27"/>
  <c r="CV289" i="27"/>
  <c r="FR287" i="27"/>
  <c r="DK289" i="27"/>
  <c r="EB285" i="27"/>
  <c r="FD285" i="27"/>
  <c r="J289" i="27"/>
  <c r="HQ287" i="27"/>
  <c r="CE285" i="27"/>
  <c r="GA285" i="27"/>
  <c r="IA287" i="27"/>
  <c r="BR287" i="27"/>
  <c r="FD287" i="27"/>
  <c r="GU285" i="27"/>
  <c r="EQ287" i="27"/>
  <c r="HZ287" i="27"/>
  <c r="CZ285" i="27"/>
  <c r="FF287" i="27"/>
  <c r="BQ285" i="27"/>
  <c r="CO287" i="27"/>
  <c r="GF285" i="27"/>
  <c r="DH285" i="27"/>
  <c r="AZ287" i="27"/>
  <c r="BO287" i="27"/>
  <c r="EK285" i="27"/>
  <c r="DK287" i="27"/>
  <c r="BO289" i="27"/>
  <c r="DB287" i="27"/>
  <c r="K289" i="27"/>
  <c r="S285" i="27"/>
  <c r="EB287" i="27"/>
  <c r="DZ289" i="27"/>
  <c r="AP287" i="27"/>
  <c r="EI289" i="27"/>
  <c r="AH289" i="27"/>
  <c r="BQ287" i="27"/>
  <c r="HC289" i="27"/>
  <c r="BC287" i="27"/>
  <c r="EG287" i="27"/>
  <c r="GG285" i="27"/>
  <c r="K285" i="27"/>
  <c r="CG285" i="27"/>
  <c r="IC285" i="27"/>
  <c r="Y287" i="27"/>
  <c r="DD285" i="27"/>
  <c r="DM289" i="27"/>
  <c r="GX285" i="27"/>
  <c r="CF289" i="27"/>
  <c r="FY287" i="27"/>
  <c r="BI285" i="27"/>
  <c r="AI289" i="27"/>
  <c r="DC287" i="27"/>
  <c r="FC287" i="27"/>
  <c r="GI287" i="27"/>
  <c r="HL287" i="27"/>
  <c r="DJ289" i="27"/>
  <c r="CH289" i="27"/>
  <c r="CY287" i="27"/>
  <c r="HT287" i="27"/>
  <c r="GM285" i="27"/>
  <c r="CO285" i="27"/>
  <c r="GE289" i="27"/>
  <c r="FT289" i="27"/>
  <c r="GL285" i="27"/>
  <c r="DC285" i="27"/>
  <c r="HX289" i="27"/>
  <c r="H287" i="27"/>
  <c r="BI287" i="27"/>
  <c r="BN285" i="27"/>
  <c r="HZ289" i="27"/>
  <c r="CQ289" i="27"/>
  <c r="IG289" i="27"/>
  <c r="IB287" i="27"/>
  <c r="FJ289" i="27"/>
  <c r="R289" i="27"/>
  <c r="EJ285" i="27"/>
  <c r="DV289" i="27"/>
  <c r="HP287" i="27"/>
  <c r="HI285" i="27"/>
  <c r="DK285" i="27"/>
  <c r="EF285" i="27"/>
  <c r="FN285" i="27"/>
  <c r="GM287" i="27"/>
  <c r="EH287" i="27"/>
  <c r="AS287" i="27"/>
  <c r="GN289" i="27"/>
  <c r="GB285" i="27"/>
  <c r="AK287" i="27"/>
  <c r="CX289" i="27"/>
  <c r="H285" i="27"/>
  <c r="FV289" i="27"/>
  <c r="FQ285" i="27"/>
  <c r="M285" i="27"/>
  <c r="ES289" i="27"/>
  <c r="IF285" i="27"/>
  <c r="L289" i="27"/>
  <c r="FF285" i="27"/>
  <c r="DJ287" i="27"/>
  <c r="S287" i="27"/>
  <c r="FK287" i="27"/>
  <c r="IB289" i="27"/>
  <c r="DU285" i="27"/>
  <c r="GD285" i="27"/>
  <c r="HV285" i="27"/>
  <c r="CY289" i="27"/>
  <c r="Q285" i="27"/>
  <c r="IF289" i="27"/>
  <c r="CN289" i="27"/>
  <c r="DR287" i="27"/>
  <c r="BC289" i="27"/>
  <c r="HF287" i="27"/>
  <c r="HT289" i="27"/>
  <c r="CG289" i="27"/>
  <c r="DN289" i="27"/>
  <c r="Z289" i="27"/>
  <c r="U285" i="27"/>
  <c r="AX287" i="27"/>
  <c r="AM285" i="27"/>
  <c r="DQ285" i="27"/>
  <c r="BB287" i="27"/>
  <c r="FP287" i="27"/>
  <c r="GJ285" i="27"/>
  <c r="FA287" i="27"/>
  <c r="DA289" i="27"/>
  <c r="DT287" i="27"/>
  <c r="AD285" i="27"/>
  <c r="Q287" i="27"/>
  <c r="ED287" i="27"/>
  <c r="CS287" i="27"/>
  <c r="DC289" i="27"/>
  <c r="DF289" i="27"/>
  <c r="ER287" i="27"/>
  <c r="BL285" i="27"/>
  <c r="DE287" i="27"/>
  <c r="BY287" i="27"/>
  <c r="DX289" i="27"/>
  <c r="GL287" i="27"/>
  <c r="AR285" i="27"/>
  <c r="FJ285" i="27"/>
  <c r="BB289" i="27"/>
  <c r="AW289" i="27"/>
  <c r="Z285" i="27"/>
  <c r="CA289" i="27"/>
  <c r="CV287" i="27"/>
  <c r="FK285" i="27"/>
  <c r="AZ285" i="27"/>
  <c r="DU287" i="27"/>
  <c r="CY285" i="27"/>
  <c r="AN285" i="27"/>
  <c r="BV287" i="27"/>
  <c r="CB285" i="27"/>
  <c r="HM289" i="27"/>
  <c r="FR285" i="27"/>
  <c r="GT285" i="27"/>
  <c r="EE287" i="27"/>
  <c r="IH287" i="27"/>
  <c r="CD287" i="27"/>
  <c r="GK289" i="27"/>
  <c r="AB285" i="27"/>
  <c r="GO287" i="27"/>
  <c r="HL285" i="27"/>
  <c r="GY289" i="27"/>
  <c r="Y289" i="27"/>
  <c r="AT287" i="27"/>
  <c r="CW289" i="27"/>
  <c r="CX285" i="27"/>
  <c r="EX289" i="27"/>
  <c r="R285" i="27"/>
  <c r="DA287" i="27"/>
  <c r="HH287" i="27"/>
  <c r="AT285" i="27"/>
  <c r="V285" i="27"/>
  <c r="DE289" i="27"/>
  <c r="CS289" i="27"/>
  <c r="EY289" i="27"/>
  <c r="P287" i="27"/>
  <c r="HB289" i="27"/>
  <c r="L285" i="27"/>
  <c r="BY289" i="27"/>
  <c r="II285" i="27"/>
  <c r="FS289" i="27"/>
  <c r="CJ285" i="27"/>
  <c r="HB287" i="27"/>
  <c r="ER289" i="27"/>
  <c r="CP287" i="27"/>
  <c r="HN287" i="27"/>
  <c r="HK287" i="27"/>
  <c r="EW287" i="27"/>
  <c r="AT289" i="27"/>
  <c r="EA287" i="27"/>
  <c r="FW285" i="27"/>
  <c r="FS287" i="27"/>
  <c r="BD285" i="27"/>
  <c r="HX285" i="27"/>
  <c r="FL289" i="27"/>
  <c r="AJ285" i="27"/>
  <c r="AZ289" i="27"/>
  <c r="EX285" i="27"/>
  <c r="AY287" i="27"/>
  <c r="BN289" i="27"/>
  <c r="AK289" i="27"/>
  <c r="I289" i="27"/>
  <c r="EZ285" i="27"/>
  <c r="BE287" i="27"/>
  <c r="AC285" i="27"/>
  <c r="FI287" i="27"/>
  <c r="FO289" i="27"/>
  <c r="CB287" i="27"/>
  <c r="DL287" i="27"/>
  <c r="HA287" i="27"/>
  <c r="AJ287" i="27"/>
  <c r="DG285" i="27"/>
  <c r="HG289" i="27"/>
  <c r="EM285" i="27"/>
  <c r="EJ287" i="27"/>
  <c r="EZ287" i="27"/>
  <c r="Y285" i="27"/>
  <c r="W289" i="27"/>
  <c r="M289" i="27"/>
  <c r="CK287" i="27"/>
  <c r="IB285" i="27"/>
  <c r="DF287" i="27"/>
  <c r="CE289" i="27"/>
  <c r="AF289" i="27"/>
  <c r="HH289" i="27"/>
  <c r="DP289" i="27"/>
  <c r="ID287" i="27"/>
  <c r="DN287" i="27"/>
  <c r="IG287" i="27"/>
  <c r="FJ287" i="27"/>
  <c r="BH289" i="27"/>
  <c r="FA285" i="27"/>
  <c r="AX285" i="27"/>
  <c r="IH289" i="27"/>
  <c r="EC289" i="27"/>
  <c r="DM285" i="27"/>
  <c r="GJ289" i="27"/>
  <c r="HA285" i="27"/>
  <c r="FE287" i="27"/>
  <c r="EX287" i="27"/>
  <c r="BV285" i="27"/>
  <c r="BU289" i="27"/>
  <c r="GI289" i="27"/>
  <c r="EZ289" i="27"/>
  <c r="HY287" i="27"/>
  <c r="GX287" i="27"/>
  <c r="FC289" i="27"/>
  <c r="DV285" i="27"/>
  <c r="BG287" i="27"/>
  <c r="AG287" i="27"/>
  <c r="EA289" i="27"/>
  <c r="BD287" i="27"/>
  <c r="HM285" i="27"/>
  <c r="HC287" i="27"/>
  <c r="CM289" i="27"/>
  <c r="GL289" i="27"/>
  <c r="L287" i="27"/>
  <c r="GH287" i="27"/>
  <c r="GR287" i="27"/>
  <c r="DI285" i="27"/>
  <c r="FU289" i="27"/>
  <c r="EV287" i="27"/>
  <c r="FW287" i="27"/>
  <c r="CD285" i="27"/>
  <c r="IA289" i="27"/>
  <c r="EA285" i="27"/>
  <c r="FG285" i="27"/>
  <c r="CL287" i="27"/>
  <c r="AC289" i="27"/>
  <c r="FN289" i="27"/>
  <c r="DR289" i="27"/>
  <c r="GS287" i="27"/>
  <c r="GZ285" i="27"/>
  <c r="HS287" i="27"/>
  <c r="AO289" i="27"/>
  <c r="HF285" i="27"/>
  <c r="HI289" i="27"/>
  <c r="DJ285" i="27"/>
  <c r="GV285" i="27"/>
  <c r="AS285" i="27"/>
  <c r="EL285" i="27"/>
  <c r="FZ289" i="27"/>
  <c r="AJ289" i="27"/>
  <c r="DG289" i="27"/>
  <c r="BU285" i="27"/>
  <c r="FZ285" i="27"/>
  <c r="CJ289" i="27"/>
  <c r="HZ285" i="27"/>
  <c r="EI287" i="27"/>
  <c r="AQ285" i="27"/>
  <c r="GC287" i="27"/>
  <c r="EE289" i="27"/>
  <c r="GZ287" i="27"/>
  <c r="FE289" i="27"/>
  <c r="FC285" i="27"/>
  <c r="AE285" i="27"/>
  <c r="AW287" i="27"/>
  <c r="DK119" i="27"/>
  <c r="FQ121" i="27"/>
  <c r="HT117" i="27"/>
  <c r="CT117" i="27"/>
  <c r="ER121" i="27"/>
  <c r="GZ119" i="27"/>
  <c r="FX121" i="27"/>
  <c r="DX117" i="27"/>
  <c r="CD121" i="27"/>
  <c r="GL119" i="27"/>
  <c r="AR121" i="27"/>
  <c r="AX119" i="27"/>
  <c r="GT121" i="27"/>
  <c r="K119" i="27"/>
  <c r="CV117" i="27"/>
  <c r="DN121" i="27"/>
  <c r="GD121" i="27"/>
  <c r="AY117" i="27"/>
  <c r="EU119" i="27"/>
  <c r="CN119" i="27"/>
  <c r="GH117" i="27"/>
  <c r="GH121" i="27"/>
  <c r="FK119" i="27"/>
  <c r="HW121" i="27"/>
  <c r="DU119" i="27"/>
  <c r="DU121" i="27"/>
  <c r="ER119" i="27"/>
  <c r="BP117" i="27"/>
  <c r="BI121" i="27"/>
  <c r="EG121" i="27"/>
  <c r="ID289" i="27"/>
  <c r="GH285" i="27"/>
  <c r="HD289" i="27"/>
  <c r="HG287" i="27"/>
  <c r="EL289" i="27"/>
  <c r="DF285" i="27"/>
  <c r="FN287" i="27"/>
  <c r="IG285" i="27"/>
  <c r="DY285" i="27"/>
  <c r="M119" i="27"/>
  <c r="HE121" i="27"/>
  <c r="IJ119" i="27"/>
  <c r="X117" i="27"/>
  <c r="EA117" i="27"/>
  <c r="EI117" i="27"/>
  <c r="V117" i="27"/>
  <c r="CU119" i="27"/>
  <c r="EG119" i="27"/>
  <c r="EK117" i="27"/>
  <c r="HL117" i="27"/>
  <c r="FP119" i="27"/>
  <c r="BK117" i="27"/>
  <c r="HG117" i="27"/>
  <c r="EW121" i="27"/>
  <c r="AZ117" i="27"/>
  <c r="EL117" i="27"/>
  <c r="FZ119" i="27"/>
  <c r="BE121" i="27"/>
  <c r="AM121" i="27"/>
  <c r="T119" i="27"/>
  <c r="K121" i="27"/>
  <c r="O117" i="27"/>
  <c r="DR117" i="27"/>
  <c r="BT119" i="27"/>
  <c r="IB117" i="27"/>
  <c r="AB117" i="27"/>
  <c r="CZ117" i="27"/>
  <c r="FY121" i="27"/>
  <c r="HP117" i="27"/>
  <c r="HS121" i="27"/>
  <c r="CC117" i="27"/>
  <c r="BT121" i="27"/>
  <c r="GX119" i="27"/>
  <c r="AP117" i="27"/>
  <c r="Y117" i="27"/>
  <c r="GI121" i="27"/>
  <c r="AA119" i="27"/>
  <c r="IH117" i="27"/>
  <c r="GS119" i="27"/>
  <c r="AW121" i="27"/>
  <c r="FD117" i="27"/>
  <c r="AU117" i="27"/>
  <c r="HO117" i="27"/>
  <c r="AW117" i="27"/>
  <c r="EK121" i="27"/>
  <c r="AB119" i="27"/>
  <c r="DM117" i="27"/>
  <c r="Q117" i="27"/>
  <c r="GF119" i="27"/>
  <c r="AJ119" i="27"/>
  <c r="BS121" i="27"/>
  <c r="IF287" i="27"/>
  <c r="ES285" i="27"/>
  <c r="IJ285" i="27"/>
  <c r="FQ287" i="27"/>
  <c r="FL287" i="27"/>
  <c r="V289" i="27"/>
  <c r="FH285" i="27"/>
  <c r="BT287" i="27"/>
  <c r="AC287" i="27"/>
  <c r="AL121" i="27"/>
  <c r="GD117" i="27"/>
  <c r="CK121" i="27"/>
  <c r="GO121" i="27"/>
  <c r="IK121" i="27"/>
  <c r="AA121" i="27"/>
  <c r="FU121" i="27"/>
  <c r="GJ121" i="27"/>
  <c r="AI121" i="27"/>
  <c r="FH121" i="27"/>
  <c r="DX121" i="27"/>
  <c r="N119" i="27"/>
  <c r="EW119" i="27"/>
  <c r="BN121" i="27"/>
  <c r="DL121" i="27"/>
  <c r="FW119" i="27"/>
  <c r="BJ121" i="27"/>
  <c r="IF117" i="27"/>
  <c r="BH117" i="27"/>
  <c r="GM119" i="27"/>
  <c r="BJ119" i="27"/>
  <c r="EU117" i="27"/>
  <c r="BY119" i="27"/>
  <c r="CU117" i="27"/>
  <c r="HH117" i="27"/>
  <c r="DI119" i="27"/>
  <c r="DY117" i="27"/>
  <c r="GU117" i="27"/>
  <c r="EA121" i="27"/>
  <c r="HC121" i="27"/>
  <c r="DH121" i="27"/>
  <c r="FG119" i="27"/>
  <c r="IH121" i="27"/>
  <c r="DZ119" i="27"/>
  <c r="FC121" i="27"/>
  <c r="FA119" i="27"/>
  <c r="EO117" i="27"/>
  <c r="HD117" i="27"/>
  <c r="HB121" i="27"/>
  <c r="BF117" i="27"/>
  <c r="BC119" i="27"/>
  <c r="AV119" i="27"/>
  <c r="AP119" i="27"/>
  <c r="FX119" i="27"/>
  <c r="EB121" i="27"/>
  <c r="AC121" i="27"/>
  <c r="CF119" i="27"/>
  <c r="EY121" i="27"/>
  <c r="EW117" i="27"/>
  <c r="T121" i="27"/>
  <c r="X121" i="27"/>
  <c r="BB119" i="27"/>
  <c r="FM119" i="27"/>
  <c r="BB121" i="27"/>
  <c r="R121" i="27"/>
  <c r="II117" i="27"/>
  <c r="P119" i="27"/>
  <c r="U117" i="27"/>
  <c r="HK119" i="27"/>
  <c r="HH121" i="27"/>
  <c r="ED119" i="27"/>
  <c r="CK119" i="27"/>
  <c r="DH119" i="27"/>
  <c r="GA117" i="27"/>
  <c r="W119" i="27"/>
  <c r="DC119" i="27"/>
  <c r="DP119" i="27"/>
  <c r="N121" i="27"/>
  <c r="GK117" i="27"/>
  <c r="CD117" i="27"/>
  <c r="GM121" i="27"/>
  <c r="EX117" i="27"/>
  <c r="DG121" i="27"/>
  <c r="GE121" i="27"/>
  <c r="AM119" i="27"/>
  <c r="EP117" i="27"/>
  <c r="HJ121" i="27"/>
  <c r="Z119" i="27"/>
  <c r="AS121" i="27"/>
  <c r="S121" i="27"/>
  <c r="BM119" i="27"/>
  <c r="DX119" i="27"/>
  <c r="DT117" i="27"/>
  <c r="CG117" i="27"/>
  <c r="FL121" i="27"/>
  <c r="DN117" i="27"/>
  <c r="EY119" i="27"/>
  <c r="CI121" i="27"/>
  <c r="GQ119" i="27"/>
  <c r="FX117" i="27"/>
  <c r="HR117" i="27"/>
  <c r="FV119" i="27"/>
  <c r="BW119" i="27"/>
  <c r="EO121" i="27"/>
  <c r="AJ121" i="27"/>
  <c r="I117" i="27"/>
  <c r="AM117" i="27"/>
  <c r="IB121" i="27"/>
  <c r="CW121" i="27"/>
  <c r="DZ121" i="27"/>
  <c r="AK121" i="27"/>
  <c r="BZ119" i="27"/>
  <c r="GC119" i="27"/>
  <c r="HL119" i="27"/>
  <c r="AU119" i="27"/>
  <c r="AD119" i="27"/>
  <c r="GQ117" i="27"/>
  <c r="BD119" i="27"/>
  <c r="AD117" i="27"/>
  <c r="Q119" i="27"/>
  <c r="IG119" i="27"/>
  <c r="DC121" i="27"/>
  <c r="AN117" i="27"/>
  <c r="GX117" i="27"/>
  <c r="FD119" i="27"/>
  <c r="L121" i="27"/>
  <c r="CD119" i="27"/>
  <c r="GA119" i="27"/>
  <c r="DO117" i="27"/>
  <c r="FE117" i="27"/>
  <c r="DD119" i="27"/>
  <c r="CJ119" i="27"/>
  <c r="IE117" i="27"/>
  <c r="DP121" i="27"/>
  <c r="Y119" i="27"/>
  <c r="HE117" i="27"/>
  <c r="HF117" i="27"/>
  <c r="AL117" i="27"/>
  <c r="AA117" i="27"/>
  <c r="AW119" i="27"/>
  <c r="DE119" i="27"/>
  <c r="DS117" i="27"/>
  <c r="BO117" i="27"/>
  <c r="BB117" i="27"/>
  <c r="FR119" i="27"/>
  <c r="GU119" i="27"/>
  <c r="AS117" i="27"/>
  <c r="FR117" i="27"/>
  <c r="DO121" i="27"/>
  <c r="DR119" i="27"/>
  <c r="HZ121" i="27"/>
  <c r="GC121" i="27"/>
  <c r="HP121" i="27"/>
  <c r="HZ119" i="27"/>
  <c r="BD121" i="27"/>
  <c r="DM119" i="27"/>
  <c r="FS119" i="27"/>
  <c r="EN117" i="27"/>
  <c r="BV121" i="27"/>
  <c r="CO121" i="27"/>
  <c r="O121" i="27"/>
  <c r="FZ117" i="27"/>
  <c r="HQ121" i="27"/>
  <c r="HO121" i="27"/>
  <c r="FP117" i="27"/>
  <c r="IK117" i="27"/>
  <c r="EM121" i="27"/>
  <c r="DH117" i="27"/>
  <c r="L117" i="27"/>
  <c r="IE121" i="27"/>
  <c r="DN119" i="27"/>
  <c r="DA121" i="27"/>
  <c r="ER117" i="27"/>
  <c r="EH119" i="27"/>
  <c r="DP117" i="27"/>
  <c r="BK119" i="27"/>
  <c r="FP121" i="27"/>
  <c r="AE117" i="27"/>
  <c r="EL119" i="27"/>
  <c r="GW117" i="27"/>
  <c r="IJ117" i="27"/>
  <c r="GO119" i="27"/>
  <c r="DK121" i="27"/>
  <c r="HI117" i="27"/>
  <c r="Z117" i="27"/>
  <c r="DW117" i="27"/>
  <c r="ED117" i="27"/>
  <c r="GZ117" i="27"/>
  <c r="AD121" i="27"/>
  <c r="FG117" i="27"/>
  <c r="FM121" i="27"/>
  <c r="AG121" i="27"/>
  <c r="FJ117" i="27"/>
  <c r="BR121" i="27"/>
  <c r="CS117" i="27"/>
  <c r="GK121" i="27"/>
  <c r="FO117" i="27"/>
  <c r="FV121" i="27"/>
  <c r="FO119" i="27"/>
  <c r="CZ119" i="27"/>
  <c r="CY117" i="27"/>
  <c r="FS117" i="27"/>
  <c r="DI117" i="27"/>
  <c r="HS119" i="27"/>
  <c r="DQ119" i="27"/>
  <c r="DB119" i="27"/>
  <c r="CC119" i="27"/>
  <c r="DB117" i="27"/>
  <c r="HM119" i="27"/>
  <c r="EU121" i="27"/>
  <c r="FN117" i="27"/>
  <c r="EX119" i="27"/>
  <c r="BO119" i="27"/>
  <c r="GK119" i="27"/>
  <c r="AO121" i="27"/>
  <c r="FW117" i="27"/>
  <c r="BS117" i="27"/>
  <c r="BW121" i="27"/>
  <c r="BM117" i="27"/>
  <c r="AE121" i="27"/>
  <c r="N117" i="27"/>
  <c r="BU121" i="27"/>
  <c r="EZ119" i="27"/>
  <c r="CE121" i="27"/>
  <c r="EE119" i="27"/>
  <c r="BS119" i="27"/>
  <c r="FN119" i="27"/>
  <c r="V121" i="27"/>
  <c r="HF121" i="27"/>
  <c r="AC117" i="27"/>
  <c r="DB121" i="27"/>
  <c r="ET119" i="27"/>
  <c r="AO119" i="27"/>
  <c r="CO117" i="27"/>
  <c r="W121" i="27"/>
  <c r="FL117" i="27"/>
  <c r="DJ119" i="27"/>
  <c r="EP119" i="27"/>
  <c r="GC117" i="27"/>
  <c r="L119" i="27"/>
  <c r="DI121" i="27"/>
  <c r="HG119" i="27"/>
  <c r="FR121" i="27"/>
  <c r="EY117" i="27"/>
  <c r="EA119" i="27"/>
  <c r="BC121" i="27"/>
  <c r="AN119" i="27"/>
  <c r="BU117" i="27"/>
  <c r="FD121" i="27"/>
  <c r="DQ117" i="27"/>
  <c r="HM121" i="27"/>
  <c r="DM121" i="27"/>
  <c r="HR119" i="27"/>
  <c r="IJ121" i="27"/>
  <c r="IG117" i="27"/>
  <c r="AQ117" i="27"/>
  <c r="EH117" i="27"/>
  <c r="FB119" i="27"/>
  <c r="BW117" i="27"/>
  <c r="BV117" i="27"/>
  <c r="AQ119" i="27"/>
  <c r="AK117" i="27"/>
  <c r="GR117" i="27"/>
  <c r="GU121" i="27"/>
  <c r="DV119" i="27"/>
  <c r="DF117" i="27"/>
  <c r="HX119" i="27"/>
  <c r="IC119" i="27"/>
  <c r="Y121" i="27"/>
  <c r="CZ121" i="27"/>
  <c r="O119" i="27"/>
  <c r="EB117" i="27"/>
  <c r="GN117" i="27"/>
  <c r="BA117" i="27"/>
  <c r="GP117" i="27"/>
  <c r="CF121" i="27"/>
  <c r="HV117" i="27"/>
  <c r="HU119" i="27"/>
  <c r="Z121" i="27"/>
  <c r="CX119" i="27"/>
  <c r="HR121" i="27"/>
  <c r="DQ121" i="27"/>
  <c r="AX121" i="27"/>
  <c r="J121" i="27"/>
  <c r="I121" i="27"/>
  <c r="GY119" i="27"/>
  <c r="EF119" i="27"/>
  <c r="BP121" i="27"/>
  <c r="HX121" i="27"/>
  <c r="DL119" i="27"/>
  <c r="BG117" i="27"/>
  <c r="BA121" i="27"/>
  <c r="BT117" i="27"/>
  <c r="DY119" i="27"/>
  <c r="HO119" i="27"/>
  <c r="AO117" i="27"/>
  <c r="BD117" i="27"/>
  <c r="GX121" i="27"/>
  <c r="AB121" i="27"/>
  <c r="ET117" i="27"/>
  <c r="GP119" i="27"/>
  <c r="GJ117" i="27"/>
  <c r="GF121" i="27"/>
  <c r="AH119" i="27"/>
  <c r="DC117" i="27"/>
  <c r="FT117" i="27"/>
  <c r="EE121" i="27"/>
  <c r="DG117" i="27"/>
  <c r="EJ121" i="27"/>
  <c r="HV119" i="27"/>
  <c r="FN121" i="27"/>
  <c r="FF121" i="27"/>
  <c r="DS121" i="27"/>
  <c r="EB119" i="27"/>
  <c r="FE119" i="27"/>
  <c r="CQ119" i="27"/>
  <c r="HJ119" i="27"/>
  <c r="CF117" i="27"/>
  <c r="CQ117" i="27"/>
  <c r="ID119" i="27"/>
  <c r="IF119" i="27"/>
  <c r="GD119" i="27"/>
  <c r="AV121" i="27"/>
  <c r="IA119" i="27"/>
  <c r="EO119" i="27"/>
  <c r="BQ119" i="27"/>
  <c r="EH121" i="27"/>
  <c r="CW117" i="27"/>
  <c r="EC117" i="27"/>
  <c r="EQ121" i="27"/>
  <c r="IB119" i="27"/>
  <c r="FB117" i="27"/>
  <c r="HM117" i="27"/>
  <c r="GY117" i="27"/>
  <c r="CE117" i="27"/>
  <c r="GG121" i="27"/>
  <c r="GT119" i="27"/>
  <c r="GB117" i="27"/>
  <c r="U121" i="27"/>
  <c r="GN119" i="27"/>
  <c r="ES119" i="27"/>
  <c r="BK121" i="27"/>
  <c r="DY121" i="27"/>
  <c r="BN117" i="27"/>
  <c r="R119" i="27"/>
  <c r="ES121" i="27"/>
  <c r="CA119" i="27"/>
  <c r="AT121" i="27"/>
  <c r="ED121" i="27"/>
  <c r="CV119" i="27"/>
  <c r="BG119" i="27"/>
  <c r="FU117" i="27"/>
  <c r="CM119" i="27"/>
  <c r="GN121" i="27"/>
  <c r="DR121" i="27"/>
  <c r="II121" i="27"/>
  <c r="BH119" i="27"/>
  <c r="EC119" i="27"/>
  <c r="EF117" i="27"/>
  <c r="M117" i="27"/>
  <c r="FH119" i="27"/>
  <c r="HW117" i="27"/>
  <c r="GV119" i="27"/>
  <c r="X119" i="27"/>
  <c r="CP117" i="27"/>
  <c r="HF119" i="27"/>
  <c r="GS121" i="27"/>
  <c r="BX119" i="27"/>
  <c r="DV117" i="27"/>
  <c r="BY121" i="27"/>
  <c r="GW119" i="27"/>
  <c r="HN119" i="27"/>
  <c r="AU121" i="27"/>
  <c r="CH117" i="27"/>
  <c r="BR117" i="27"/>
  <c r="EI119" i="27"/>
  <c r="FA117" i="27"/>
  <c r="FH117" i="27"/>
  <c r="FO121" i="27"/>
  <c r="HK121" i="27"/>
  <c r="DE117" i="27"/>
  <c r="BC117" i="27"/>
  <c r="GV121" i="27"/>
  <c r="GY121" i="27"/>
  <c r="AN121" i="27"/>
  <c r="BM121" i="27"/>
  <c r="AF119" i="27"/>
  <c r="EZ117" i="27"/>
  <c r="CI119" i="27"/>
  <c r="CQ121" i="27"/>
  <c r="BX121" i="27"/>
  <c r="BF119" i="27"/>
  <c r="CB119" i="27"/>
  <c r="GR121" i="27"/>
  <c r="FI119" i="27"/>
  <c r="W117" i="27"/>
  <c r="BI119" i="27"/>
  <c r="S117" i="27"/>
  <c r="CM117" i="27"/>
  <c r="HJ117" i="27"/>
  <c r="EZ121" i="27"/>
  <c r="DA119" i="27"/>
  <c r="AJ117" i="27"/>
  <c r="HY117" i="27"/>
  <c r="FW121" i="27"/>
  <c r="EK119" i="27"/>
  <c r="BQ121" i="27"/>
  <c r="CL117" i="27"/>
  <c r="K117" i="27"/>
  <c r="HV121" i="27"/>
  <c r="AI117" i="27"/>
  <c r="DF119" i="27"/>
  <c r="AZ119" i="27"/>
  <c r="BN119" i="27"/>
  <c r="AX117" i="27"/>
  <c r="CE119" i="27"/>
  <c r="EV117" i="27"/>
  <c r="H121" i="27"/>
  <c r="BR119" i="27"/>
  <c r="HC117" i="27"/>
  <c r="DD121" i="27"/>
  <c r="BX117" i="27"/>
  <c r="HX117" i="27"/>
  <c r="IE119" i="27"/>
  <c r="EG117" i="27"/>
  <c r="HA121" i="27"/>
  <c r="CR119" i="27"/>
  <c r="HQ119" i="27"/>
  <c r="CO119" i="27"/>
  <c r="CA121" i="27"/>
  <c r="FC119" i="27"/>
  <c r="GO117" i="27"/>
  <c r="EN119" i="27"/>
  <c r="BA119" i="27"/>
  <c r="AC119" i="27"/>
  <c r="H117" i="27"/>
  <c r="GS117" i="27"/>
  <c r="HD119" i="27"/>
  <c r="ET121" i="27"/>
  <c r="BL121" i="27"/>
  <c r="FK117" i="27"/>
  <c r="GJ119" i="27"/>
  <c r="U119" i="27"/>
  <c r="CP119" i="27"/>
  <c r="BU119" i="27"/>
  <c r="IC117" i="27"/>
  <c r="GG119" i="27"/>
  <c r="HN117" i="27"/>
  <c r="BZ121" i="27"/>
  <c r="EN121" i="27"/>
  <c r="HE119" i="27"/>
  <c r="FT121" i="27"/>
  <c r="GL117" i="27"/>
  <c r="GA121" i="27"/>
  <c r="DZ117" i="27"/>
  <c r="CR117" i="27"/>
  <c r="GR119" i="27"/>
  <c r="GH119" i="27"/>
  <c r="CT121" i="27"/>
  <c r="CA117" i="27"/>
  <c r="R117" i="27"/>
  <c r="DE121" i="27"/>
  <c r="EI121" i="27"/>
  <c r="GI119" i="27"/>
  <c r="FA121" i="27"/>
  <c r="EP121" i="27"/>
  <c r="CL121" i="27"/>
  <c r="FT119" i="27"/>
  <c r="AG117" i="27"/>
  <c r="CU121" i="27"/>
  <c r="I119" i="27"/>
  <c r="HQ117" i="27"/>
  <c r="HD121" i="27"/>
  <c r="AR117" i="27"/>
  <c r="BV119" i="27"/>
  <c r="CX117" i="27"/>
  <c r="AE119" i="27"/>
  <c r="EF121" i="27"/>
  <c r="EV119" i="27"/>
  <c r="AZ121" i="27"/>
  <c r="DW121" i="27"/>
  <c r="P121" i="27"/>
  <c r="CV121" i="27"/>
  <c r="HC119" i="27"/>
  <c r="FU119" i="27"/>
  <c r="BI117" i="27"/>
  <c r="CI117" i="27"/>
  <c r="GE117" i="27"/>
  <c r="HK117" i="27"/>
  <c r="BZ117" i="27"/>
  <c r="CJ121" i="27"/>
  <c r="FI121" i="27"/>
  <c r="J119" i="27"/>
  <c r="FG121" i="27"/>
  <c r="J117" i="27"/>
  <c r="HB117" i="27"/>
  <c r="FS121" i="27"/>
  <c r="HU121" i="27"/>
  <c r="CG121" i="27"/>
  <c r="HL121" i="27"/>
  <c r="IF121" i="27"/>
  <c r="BO121" i="27"/>
  <c r="AS119" i="27"/>
  <c r="IK119" i="27"/>
  <c r="FQ119" i="27"/>
  <c r="AY119" i="27"/>
  <c r="IH119" i="27"/>
  <c r="CH119" i="27"/>
  <c r="AL119" i="27"/>
  <c r="CJ117" i="27"/>
  <c r="ID121" i="27"/>
  <c r="CX121" i="27"/>
  <c r="AP121" i="27"/>
  <c r="FF117" i="27"/>
  <c r="HI121" i="27"/>
  <c r="CN117" i="27"/>
  <c r="AT119" i="27"/>
  <c r="FH287" i="27"/>
  <c r="EE117" i="27"/>
  <c r="GM117" i="27"/>
  <c r="CM121" i="27"/>
  <c r="HI119" i="27"/>
  <c r="FK121" i="27"/>
  <c r="BJ117" i="27"/>
  <c r="DD117" i="27"/>
  <c r="GF117" i="27"/>
  <c r="FJ121" i="27"/>
  <c r="AH117" i="27"/>
  <c r="CC121" i="27"/>
  <c r="CS121" i="27"/>
  <c r="EM117" i="27"/>
  <c r="CG119" i="27"/>
  <c r="CW119" i="27"/>
  <c r="BE119" i="27"/>
  <c r="FZ121" i="27"/>
  <c r="DJ121" i="27"/>
  <c r="BL117" i="27"/>
  <c r="BL119" i="27"/>
  <c r="AF117" i="27"/>
  <c r="V119" i="27"/>
  <c r="AR119" i="27"/>
  <c r="CH121" i="27"/>
  <c r="FL119" i="27"/>
  <c r="DW119" i="27"/>
  <c r="FJ119" i="27"/>
  <c r="BP119" i="27"/>
  <c r="IG121" i="27"/>
  <c r="AK119" i="27"/>
  <c r="HH119" i="27"/>
  <c r="FY119" i="27"/>
  <c r="AQ121" i="27"/>
  <c r="FM117" i="27"/>
  <c r="IA117" i="27"/>
  <c r="P117" i="27"/>
  <c r="FV117" i="27"/>
  <c r="CY121" i="27"/>
  <c r="GG117" i="27"/>
  <c r="FB121" i="27"/>
  <c r="ES117" i="27"/>
  <c r="GE119" i="27"/>
  <c r="HA117" i="27"/>
  <c r="DL117" i="27"/>
  <c r="AY121" i="27"/>
  <c r="GW121" i="27"/>
  <c r="DJ117" i="27"/>
  <c r="AI119" i="27"/>
  <c r="AF121" i="27"/>
  <c r="CY119" i="27"/>
  <c r="BG121" i="27"/>
  <c r="GV117" i="27"/>
  <c r="CU287" i="27"/>
  <c r="GP287" i="27"/>
  <c r="EG289" i="27"/>
  <c r="AE287" i="27"/>
  <c r="AD287" i="27"/>
  <c r="AH285" i="27"/>
  <c r="EN287" i="27"/>
  <c r="GA287" i="27"/>
  <c r="GW287" i="27"/>
  <c r="EJ117" i="27"/>
  <c r="H182" i="27"/>
  <c r="H266" i="27"/>
  <c r="O182" i="27"/>
  <c r="L182" i="27"/>
  <c r="HA119" i="27"/>
  <c r="EL121" i="27"/>
  <c r="BE117" i="27"/>
  <c r="CB121" i="27"/>
  <c r="BF121" i="27"/>
  <c r="HU117" i="27"/>
  <c r="FI117" i="27"/>
  <c r="AG119" i="27"/>
  <c r="CP121" i="27"/>
  <c r="HX287" i="27"/>
  <c r="FA289" i="27"/>
  <c r="GM289" i="27"/>
  <c r="DW285" i="27"/>
  <c r="FT285" i="27"/>
  <c r="II287" i="27"/>
  <c r="X289" i="27"/>
  <c r="DD287" i="27"/>
  <c r="CI289" i="27"/>
  <c r="HY289" i="27"/>
  <c r="FY289" i="27"/>
  <c r="CI285" i="27"/>
  <c r="BW285" i="27"/>
  <c r="EW285" i="27"/>
  <c r="W178" i="27"/>
  <c r="X178" i="27" s="1"/>
  <c r="Y178" i="27" s="1"/>
  <c r="Z178" i="27" s="1"/>
  <c r="AA178" i="27" s="1"/>
  <c r="AB178" i="27" s="1"/>
  <c r="AC178" i="27" s="1"/>
  <c r="AC182" i="27" s="1"/>
  <c r="DK117" i="27"/>
  <c r="HT121" i="27"/>
  <c r="GZ121" i="27"/>
  <c r="CB117" i="27"/>
  <c r="HN121" i="27"/>
  <c r="T117" i="27"/>
  <c r="BY117" i="27"/>
  <c r="HP119" i="27"/>
  <c r="EX121" i="27"/>
  <c r="T287" i="27"/>
  <c r="CU285" i="27"/>
  <c r="DP287" i="27"/>
  <c r="DE285" i="27"/>
  <c r="BM289" i="27"/>
  <c r="AP289" i="27"/>
  <c r="BQ289" i="27"/>
  <c r="I285" i="27"/>
  <c r="GF287" i="27"/>
  <c r="GN285" i="27"/>
  <c r="BZ285" i="27"/>
  <c r="AY285" i="27"/>
  <c r="J287" i="27"/>
  <c r="AV287" i="27"/>
  <c r="F275" i="11"/>
  <c r="G309" i="14" s="1"/>
  <c r="I596" i="23"/>
  <c r="J596" i="23" s="1"/>
  <c r="AB685" i="11"/>
  <c r="H13" i="27"/>
  <c r="DV205" i="27"/>
  <c r="FV205" i="27"/>
  <c r="CF201" i="27"/>
  <c r="I201" i="27"/>
  <c r="GU201" i="27"/>
  <c r="BO201" i="27"/>
  <c r="BG205" i="27"/>
  <c r="EO201" i="27"/>
  <c r="L205" i="27"/>
  <c r="O201" i="27"/>
  <c r="ER203" i="27"/>
  <c r="GK205" i="27"/>
  <c r="FZ205" i="27"/>
  <c r="P203" i="27"/>
  <c r="GS203" i="27"/>
  <c r="GJ205" i="27"/>
  <c r="CR205" i="27"/>
  <c r="GV201" i="27"/>
  <c r="II201" i="27"/>
  <c r="GB205" i="27"/>
  <c r="HJ201" i="27"/>
  <c r="CO201" i="27"/>
  <c r="Z203" i="27"/>
  <c r="BG201" i="27"/>
  <c r="AI201" i="27"/>
  <c r="FF201" i="27"/>
  <c r="DO205" i="27"/>
  <c r="EQ201" i="27"/>
  <c r="HI205" i="27"/>
  <c r="HA201" i="27"/>
  <c r="R203" i="27"/>
  <c r="EO205" i="27"/>
  <c r="EF205" i="27"/>
  <c r="BB205" i="27"/>
  <c r="HL205" i="27"/>
  <c r="DC205" i="27"/>
  <c r="IA201" i="27"/>
  <c r="FF203" i="27"/>
  <c r="R205" i="27"/>
  <c r="HF205" i="27"/>
  <c r="BM203" i="27"/>
  <c r="M203" i="27"/>
  <c r="BX205" i="27"/>
  <c r="GM201" i="27"/>
  <c r="FQ205" i="27"/>
  <c r="HZ201" i="27"/>
  <c r="HS205" i="27"/>
  <c r="IJ203" i="27"/>
  <c r="AQ203" i="27"/>
  <c r="AH205" i="27"/>
  <c r="AN201" i="27"/>
  <c r="FR203" i="27"/>
  <c r="DD201" i="27"/>
  <c r="AA205" i="27"/>
  <c r="HL201" i="27"/>
  <c r="FM205" i="27"/>
  <c r="GY205" i="27"/>
  <c r="IB203" i="27"/>
  <c r="Z201" i="27"/>
  <c r="FT203" i="27"/>
  <c r="CC203" i="27"/>
  <c r="DA201" i="27"/>
  <c r="BS201" i="27"/>
  <c r="HW203" i="27"/>
  <c r="AJ201" i="27"/>
  <c r="FN205" i="27"/>
  <c r="CU203" i="27"/>
  <c r="GH203" i="27"/>
  <c r="GD205" i="27"/>
  <c r="HJ203" i="27"/>
  <c r="Z205" i="27"/>
  <c r="AQ201" i="27"/>
  <c r="GR201" i="27"/>
  <c r="DS203" i="27"/>
  <c r="BI203" i="27"/>
  <c r="DB201" i="27"/>
  <c r="AK203" i="27"/>
  <c r="M201" i="27"/>
  <c r="GN201" i="27"/>
  <c r="HB201" i="27"/>
  <c r="IF203" i="27"/>
  <c r="DV203" i="27"/>
  <c r="GN205" i="27"/>
  <c r="CP201" i="27"/>
  <c r="FO203" i="27"/>
  <c r="FY205" i="27"/>
  <c r="CO203" i="27"/>
  <c r="DD205" i="27"/>
  <c r="Y203" i="27"/>
  <c r="FL205" i="27"/>
  <c r="DQ203" i="27"/>
  <c r="FO201" i="27"/>
  <c r="BA205" i="27"/>
  <c r="GG201" i="27"/>
  <c r="DX205" i="27"/>
  <c r="GM205" i="27"/>
  <c r="BP201" i="27"/>
  <c r="AP203" i="27"/>
  <c r="IH203" i="27"/>
  <c r="BH205" i="27"/>
  <c r="HA205" i="27"/>
  <c r="DE203" i="27"/>
  <c r="DY205" i="27"/>
  <c r="HY205" i="27"/>
  <c r="AD203" i="27"/>
  <c r="FE205" i="27"/>
  <c r="CD205" i="27"/>
  <c r="BT205" i="27"/>
  <c r="HE205" i="27"/>
  <c r="N203" i="27"/>
  <c r="AX203" i="27"/>
  <c r="HL203" i="27"/>
  <c r="HM205" i="27"/>
  <c r="IK203" i="27"/>
  <c r="DY203" i="27"/>
  <c r="HC201" i="27"/>
  <c r="GR203" i="27"/>
  <c r="J203" i="27"/>
  <c r="S205" i="27"/>
  <c r="CR203" i="27"/>
  <c r="HE203" i="27"/>
  <c r="GR205" i="27"/>
  <c r="IK205" i="27"/>
  <c r="BP205" i="27"/>
  <c r="DP201" i="27"/>
  <c r="FG203" i="27"/>
  <c r="DB205" i="27"/>
  <c r="FB203" i="27"/>
  <c r="BM201" i="27"/>
  <c r="HK203" i="27"/>
  <c r="DM205" i="27"/>
  <c r="DF201" i="27"/>
  <c r="BR201" i="27"/>
  <c r="CE201" i="27"/>
  <c r="CX203" i="27"/>
  <c r="FY203" i="27"/>
  <c r="P205" i="27"/>
  <c r="GY203" i="27"/>
  <c r="CG201" i="27"/>
  <c r="HN201" i="27"/>
  <c r="AV201" i="27"/>
  <c r="GI203" i="27"/>
  <c r="EY201" i="27"/>
  <c r="AC201" i="27"/>
  <c r="FC203" i="27"/>
  <c r="GA203" i="27"/>
  <c r="AH203" i="27"/>
  <c r="FH205" i="27"/>
  <c r="V203" i="27"/>
  <c r="Q203" i="27"/>
  <c r="HK201" i="27"/>
  <c r="FX205" i="27"/>
  <c r="HX203" i="27"/>
  <c r="GE205" i="27"/>
  <c r="IA205" i="27"/>
  <c r="GL201" i="27"/>
  <c r="GC201" i="27"/>
  <c r="BS203" i="27"/>
  <c r="DM203" i="27"/>
  <c r="GP203" i="27"/>
  <c r="FH203" i="27"/>
  <c r="HP203" i="27"/>
  <c r="ED201" i="27"/>
  <c r="CQ205" i="27"/>
  <c r="BI201" i="27"/>
  <c r="AD201" i="27"/>
  <c r="AX205" i="27"/>
  <c r="BO205" i="27"/>
  <c r="BE203" i="27"/>
  <c r="CA205" i="27"/>
  <c r="CP205" i="27"/>
  <c r="AP201" i="27"/>
  <c r="HU203" i="27"/>
  <c r="EP205" i="27"/>
  <c r="CI203" i="27"/>
  <c r="EI203" i="27"/>
  <c r="GU203" i="27"/>
  <c r="DJ201" i="27"/>
  <c r="GE203" i="27"/>
  <c r="CL205" i="27"/>
  <c r="O203" i="27"/>
  <c r="DV201" i="27"/>
  <c r="CQ203" i="27"/>
  <c r="FP205" i="27"/>
  <c r="GD201" i="27"/>
  <c r="CW203" i="27"/>
  <c r="CD201" i="27"/>
  <c r="Y205" i="27"/>
  <c r="FD201" i="27"/>
  <c r="GX205" i="27"/>
  <c r="X203" i="27"/>
  <c r="BU201" i="27"/>
  <c r="CV205" i="27"/>
  <c r="EE201" i="27"/>
  <c r="ET205" i="27"/>
  <c r="BW201" i="27"/>
  <c r="GC205" i="27"/>
  <c r="EB201" i="27"/>
  <c r="HC203" i="27"/>
  <c r="S201" i="27"/>
  <c r="BY203" i="27"/>
  <c r="BJ205" i="27"/>
  <c r="EY203" i="27"/>
  <c r="EZ201" i="27"/>
  <c r="IB201" i="27"/>
  <c r="HO201" i="27"/>
  <c r="IE205" i="27"/>
  <c r="BC205" i="27"/>
  <c r="GV205" i="27"/>
  <c r="BW203" i="27"/>
  <c r="AS205" i="27"/>
  <c r="FI201" i="27"/>
  <c r="DI201" i="27"/>
  <c r="AL205" i="27"/>
  <c r="GN203" i="27"/>
  <c r="CC205" i="27"/>
  <c r="BV205" i="27"/>
  <c r="GL203" i="27"/>
  <c r="CH201" i="27"/>
  <c r="HD201" i="27"/>
  <c r="T205" i="27"/>
  <c r="DR205" i="27"/>
  <c r="DS205" i="27"/>
  <c r="HH203" i="27"/>
  <c r="EA201" i="27"/>
  <c r="GT201" i="27"/>
  <c r="FE203" i="27"/>
  <c r="AO201" i="27"/>
  <c r="AA203" i="27"/>
  <c r="CV203" i="27"/>
  <c r="DY201" i="27"/>
  <c r="CD203" i="27"/>
  <c r="EG203" i="27"/>
  <c r="DX201" i="27"/>
  <c r="M205" i="27"/>
  <c r="DG205" i="27"/>
  <c r="DR201" i="27"/>
  <c r="GB203" i="27"/>
  <c r="AH201" i="27"/>
  <c r="BB201" i="27"/>
  <c r="IH205" i="27"/>
  <c r="AG203" i="27"/>
  <c r="AI203" i="27"/>
  <c r="BX201" i="27"/>
  <c r="DK205" i="27"/>
  <c r="CB203" i="27"/>
  <c r="CI205" i="27"/>
  <c r="HX205" i="27"/>
  <c r="HK205" i="27"/>
  <c r="W205" i="27"/>
  <c r="EK205" i="27"/>
  <c r="FU201" i="27"/>
  <c r="DA203" i="27"/>
  <c r="HV205" i="27"/>
  <c r="R201" i="27"/>
  <c r="DT203" i="27"/>
  <c r="BL205" i="27"/>
  <c r="CF205" i="27"/>
  <c r="K203" i="27"/>
  <c r="IK201" i="27"/>
  <c r="BS205" i="27"/>
  <c r="HV201" i="27"/>
  <c r="BH201" i="27"/>
  <c r="BE205" i="27"/>
  <c r="CT205" i="27"/>
  <c r="BU203" i="27"/>
  <c r="FI205" i="27"/>
  <c r="T203" i="27"/>
  <c r="GI201" i="27"/>
  <c r="HS201" i="27"/>
  <c r="FQ201" i="27"/>
  <c r="GQ205" i="27"/>
  <c r="AC205" i="27"/>
  <c r="EM203" i="27"/>
  <c r="FM201" i="27"/>
  <c r="FI203" i="27"/>
  <c r="DZ201" i="27"/>
  <c r="HG201" i="27"/>
  <c r="IH201" i="27"/>
  <c r="AW203" i="27"/>
  <c r="FQ203" i="27"/>
  <c r="AL201" i="27"/>
  <c r="FD203" i="27"/>
  <c r="GK201" i="27"/>
  <c r="BE201" i="27"/>
  <c r="HM201" i="27"/>
  <c r="DE205" i="27"/>
  <c r="CX205" i="27"/>
  <c r="EW201" i="27"/>
  <c r="DP205" i="27"/>
  <c r="GW201" i="27"/>
  <c r="AF203" i="27"/>
  <c r="EY205" i="27"/>
  <c r="HH205" i="27"/>
  <c r="GY201" i="27"/>
  <c r="AT205" i="27"/>
  <c r="FU203" i="27"/>
  <c r="EP201" i="27"/>
  <c r="GG203" i="27"/>
  <c r="AM205" i="27"/>
  <c r="EQ203" i="27"/>
  <c r="BQ201" i="27"/>
  <c r="HN203" i="27"/>
  <c r="EQ205" i="27"/>
  <c r="FL203" i="27"/>
  <c r="DL201" i="27"/>
  <c r="DG203" i="27"/>
  <c r="AJ205" i="27"/>
  <c r="DL203" i="27"/>
  <c r="BJ203" i="27"/>
  <c r="EB205" i="27"/>
  <c r="HQ205" i="27"/>
  <c r="CC201" i="27"/>
  <c r="EV205" i="27"/>
  <c r="ER205" i="27"/>
  <c r="GK203" i="27"/>
  <c r="AE203" i="27"/>
  <c r="FT201" i="27"/>
  <c r="AY205" i="27"/>
  <c r="AK201" i="27"/>
  <c r="DF205" i="27"/>
  <c r="AZ205" i="27"/>
  <c r="DH205" i="27"/>
  <c r="W201" i="27"/>
  <c r="FG205" i="27"/>
  <c r="CY203" i="27"/>
  <c r="FR201" i="27"/>
  <c r="CA201" i="27"/>
  <c r="EK201" i="27"/>
  <c r="CJ203" i="27"/>
  <c r="FJ203" i="27"/>
  <c r="AB205" i="27"/>
  <c r="AA201" i="27"/>
  <c r="AY203" i="27"/>
  <c r="DJ205" i="27"/>
  <c r="BM205" i="27"/>
  <c r="DN201" i="27"/>
  <c r="FS201" i="27"/>
  <c r="GO201" i="27"/>
  <c r="DE201" i="27"/>
  <c r="ER201" i="27"/>
  <c r="GT205" i="27"/>
  <c r="IG203" i="27"/>
  <c r="FD205" i="27"/>
  <c r="BN203" i="27"/>
  <c r="EU205" i="27"/>
  <c r="EA203" i="27"/>
  <c r="DH203" i="27"/>
  <c r="BL203" i="27"/>
  <c r="S203" i="27"/>
  <c r="CN205" i="27"/>
  <c r="DO201" i="27"/>
  <c r="BZ203" i="27"/>
  <c r="EI205" i="27"/>
  <c r="FA205" i="27"/>
  <c r="H201" i="27"/>
  <c r="BI205" i="27"/>
  <c r="II205" i="27"/>
  <c r="HW205" i="27"/>
  <c r="GW205" i="27"/>
  <c r="HP201" i="27"/>
  <c r="DK201" i="27"/>
  <c r="GJ203" i="27"/>
  <c r="H203" i="27"/>
  <c r="GP201" i="27"/>
  <c r="GX203" i="27"/>
  <c r="BA203" i="27"/>
  <c r="BJ201" i="27"/>
  <c r="AV205" i="27"/>
  <c r="DK203" i="27"/>
  <c r="DZ203" i="27"/>
  <c r="FV203" i="27"/>
  <c r="DT201" i="27"/>
  <c r="ED203" i="27"/>
  <c r="J201" i="27"/>
  <c r="EV203" i="27"/>
  <c r="AN203" i="27"/>
  <c r="K205" i="27"/>
  <c r="DN205" i="27"/>
  <c r="BV203" i="27"/>
  <c r="CB201" i="27"/>
  <c r="EO203" i="27"/>
  <c r="X205" i="27"/>
  <c r="CV201" i="27"/>
  <c r="AD205" i="27"/>
  <c r="DN203" i="27"/>
  <c r="IB205" i="27"/>
  <c r="GG205" i="27"/>
  <c r="FF205" i="27"/>
  <c r="IG201" i="27"/>
  <c r="EA205" i="27"/>
  <c r="CK203" i="27"/>
  <c r="FC201" i="27"/>
  <c r="HG205" i="27"/>
  <c r="FX203" i="27"/>
  <c r="AT201" i="27"/>
  <c r="BR205" i="27"/>
  <c r="FZ201" i="27"/>
  <c r="GX201" i="27"/>
  <c r="GZ201" i="27"/>
  <c r="FX201" i="27"/>
  <c r="EZ205" i="27"/>
  <c r="BW205" i="27"/>
  <c r="GI205" i="27"/>
  <c r="BN201" i="27"/>
  <c r="BC201" i="27"/>
  <c r="HM203" i="27"/>
  <c r="CL201" i="27"/>
  <c r="HD203" i="27"/>
  <c r="EB203" i="27"/>
  <c r="HR203" i="27"/>
  <c r="AS203" i="27"/>
  <c r="HR201" i="27"/>
  <c r="AG205" i="27"/>
  <c r="EJ203" i="27"/>
  <c r="HY203" i="27"/>
  <c r="EE203" i="27"/>
  <c r="DW205" i="27"/>
  <c r="GF203" i="27"/>
  <c r="HI203" i="27"/>
  <c r="ES203" i="27"/>
  <c r="AY201" i="27"/>
  <c r="EJ205" i="27"/>
  <c r="AM203" i="27"/>
  <c r="AJ203" i="27"/>
  <c r="AI205" i="27"/>
  <c r="DZ205" i="27"/>
  <c r="BA201" i="27"/>
  <c r="EC201" i="27"/>
  <c r="EV201" i="27"/>
  <c r="GQ201" i="27"/>
  <c r="IJ201" i="27"/>
  <c r="ES201" i="27"/>
  <c r="BF205" i="27"/>
  <c r="I203" i="27"/>
  <c r="IE201" i="27"/>
  <c r="BL201" i="27"/>
  <c r="GC203" i="27"/>
  <c r="HH201" i="27"/>
  <c r="FC205" i="27"/>
  <c r="FH201" i="27"/>
  <c r="EZ203" i="27"/>
  <c r="BH203" i="27"/>
  <c r="EJ201" i="27"/>
  <c r="IA203" i="27"/>
  <c r="P201" i="27"/>
  <c r="DL205" i="27"/>
  <c r="IC205" i="27"/>
  <c r="HN205" i="27"/>
  <c r="EN205" i="27"/>
  <c r="AE205" i="27"/>
  <c r="DS201" i="27"/>
  <c r="HQ203" i="27"/>
  <c r="HB203" i="27"/>
  <c r="GT203" i="27"/>
  <c r="ID205" i="27"/>
  <c r="GW203" i="27"/>
  <c r="EN203" i="27"/>
  <c r="U205" i="27"/>
  <c r="DD203" i="27"/>
  <c r="FJ201" i="27"/>
  <c r="EH201" i="27"/>
  <c r="BD201" i="27"/>
  <c r="CB205" i="27"/>
  <c r="FE201" i="27"/>
  <c r="EX205" i="27"/>
  <c r="U203" i="27"/>
  <c r="GH205" i="27"/>
  <c r="CE203" i="27"/>
  <c r="FK203" i="27"/>
  <c r="FR205" i="27"/>
  <c r="X201" i="27"/>
  <c r="FW205" i="27"/>
  <c r="AB201" i="27"/>
  <c r="AW205" i="27"/>
  <c r="BN205" i="27"/>
  <c r="CI201" i="27"/>
  <c r="DW203" i="27"/>
  <c r="AM201" i="27"/>
  <c r="DU201" i="27"/>
  <c r="DR203" i="27"/>
  <c r="DQ205" i="27"/>
  <c r="CG203" i="27"/>
  <c r="H205" i="27"/>
  <c r="EL203" i="27"/>
  <c r="V201" i="27"/>
  <c r="ID201" i="27"/>
  <c r="FL201" i="27"/>
  <c r="EH205" i="27"/>
  <c r="BQ205" i="27"/>
  <c r="EU203" i="27"/>
  <c r="AN205" i="27"/>
  <c r="CK201" i="27"/>
  <c r="IG205" i="27"/>
  <c r="HU205" i="27"/>
  <c r="CS205" i="27"/>
  <c r="HT203" i="27"/>
  <c r="CT201" i="27"/>
  <c r="FJ205" i="27"/>
  <c r="AG201" i="27"/>
  <c r="EI201" i="27"/>
  <c r="FW201" i="27"/>
  <c r="HT201" i="27"/>
  <c r="EN201" i="27"/>
  <c r="CY205" i="27"/>
  <c r="HY201" i="27"/>
  <c r="HT205" i="27"/>
  <c r="CL203" i="27"/>
  <c r="FA203" i="27"/>
  <c r="W203" i="27"/>
  <c r="GP205" i="27"/>
  <c r="FB205" i="27"/>
  <c r="BU205" i="27"/>
  <c r="AW201" i="27"/>
  <c r="CZ203" i="27"/>
  <c r="AB203" i="27"/>
  <c r="AU205" i="27"/>
  <c r="CE205" i="27"/>
  <c r="GF201" i="27"/>
  <c r="CA203" i="27"/>
  <c r="K201" i="27"/>
  <c r="FY201" i="27"/>
  <c r="FU205" i="27"/>
  <c r="HB205" i="27"/>
  <c r="GO203" i="27"/>
  <c r="BG203" i="27"/>
  <c r="BO203" i="27"/>
  <c r="EF201" i="27"/>
  <c r="EX201" i="27"/>
  <c r="BY205" i="27"/>
  <c r="DX203" i="27"/>
  <c r="AU203" i="27"/>
  <c r="AU201" i="27"/>
  <c r="GA205" i="27"/>
  <c r="GQ203" i="27"/>
  <c r="GO205" i="27"/>
  <c r="CS201" i="27"/>
  <c r="FN201" i="27"/>
  <c r="HS203" i="27"/>
  <c r="I205" i="27"/>
  <c r="II203" i="27"/>
  <c r="HQ201" i="27"/>
  <c r="AL203" i="27"/>
  <c r="FN203" i="27"/>
  <c r="GF205" i="27"/>
  <c r="EF203" i="27"/>
  <c r="CS203" i="27"/>
  <c r="HF201" i="27"/>
  <c r="BD203" i="27"/>
  <c r="AE201" i="27"/>
  <c r="CW201" i="27"/>
  <c r="ET201" i="27"/>
  <c r="GA201" i="27"/>
  <c r="DC203" i="27"/>
  <c r="EP203" i="27"/>
  <c r="AZ201" i="27"/>
  <c r="AQ205" i="27"/>
  <c r="CT203" i="27"/>
  <c r="AR203" i="27"/>
  <c r="FB201" i="27"/>
  <c r="L201" i="27"/>
  <c r="FO205" i="27"/>
  <c r="FS203" i="27"/>
  <c r="GS205" i="27"/>
  <c r="HD205" i="27"/>
  <c r="BT201" i="27"/>
  <c r="AS201" i="27"/>
  <c r="GU205" i="27"/>
  <c r="HZ205" i="27"/>
  <c r="BK205" i="27"/>
  <c r="HU201" i="27"/>
  <c r="CX201" i="27"/>
  <c r="EH203" i="27"/>
  <c r="ED205" i="27"/>
  <c r="EL205" i="27"/>
  <c r="DQ201" i="27"/>
  <c r="T201" i="27"/>
  <c r="L203" i="27"/>
  <c r="CH203" i="27"/>
  <c r="N205" i="27"/>
  <c r="CY201" i="27"/>
  <c r="CQ201" i="27"/>
  <c r="FM203" i="27"/>
  <c r="AZ203" i="27"/>
  <c r="AC203" i="27"/>
  <c r="DC201" i="27"/>
  <c r="Q201" i="27"/>
  <c r="EW205" i="27"/>
  <c r="CH205" i="27"/>
  <c r="AF201" i="27"/>
  <c r="DU203" i="27"/>
  <c r="BX203" i="27"/>
  <c r="Y201" i="27"/>
  <c r="HJ205" i="27"/>
  <c r="CG205" i="27"/>
  <c r="BB203" i="27"/>
  <c r="DU205" i="27"/>
  <c r="DH201" i="27"/>
  <c r="FS205" i="27"/>
  <c r="CR201" i="27"/>
  <c r="FV201" i="27"/>
  <c r="IF201" i="27"/>
  <c r="HC205" i="27"/>
  <c r="ID203" i="27"/>
  <c r="FK201" i="27"/>
  <c r="GH201" i="27"/>
  <c r="J205" i="27"/>
  <c r="HZ203" i="27"/>
  <c r="HF203" i="27"/>
  <c r="FT205" i="27"/>
  <c r="FA201" i="27"/>
  <c r="BV201" i="27"/>
  <c r="DF203" i="27"/>
  <c r="DB203" i="27"/>
  <c r="HO203" i="27"/>
  <c r="IF205" i="27"/>
  <c r="CU205" i="27"/>
  <c r="IJ205" i="27"/>
  <c r="HV203" i="27"/>
  <c r="AR205" i="27"/>
  <c r="FP201" i="27"/>
  <c r="DI203" i="27"/>
  <c r="BZ201" i="27"/>
  <c r="BD205" i="27"/>
  <c r="ES205" i="27"/>
  <c r="EC203" i="27"/>
  <c r="BP203" i="27"/>
  <c r="BF203" i="27"/>
  <c r="EE205" i="27"/>
  <c r="HA203" i="27"/>
  <c r="IC203" i="27"/>
  <c r="IC201" i="27"/>
  <c r="HR205" i="27"/>
  <c r="CW205" i="27"/>
  <c r="GV203" i="27"/>
  <c r="AR201" i="27"/>
  <c r="FP203" i="27"/>
  <c r="HE201" i="27"/>
  <c r="DI205" i="27"/>
  <c r="CO205" i="27"/>
  <c r="CZ201" i="27"/>
  <c r="BF201" i="27"/>
  <c r="FZ203" i="27"/>
  <c r="BR203" i="27"/>
  <c r="DG201" i="27"/>
  <c r="EC205" i="27"/>
  <c r="HP205" i="27"/>
  <c r="V205" i="27"/>
  <c r="BK203" i="27"/>
  <c r="CM203" i="27"/>
  <c r="HG203" i="27"/>
  <c r="DP203" i="27"/>
  <c r="GL205" i="27"/>
  <c r="EX203" i="27"/>
  <c r="EG205" i="27"/>
  <c r="GZ203" i="27"/>
  <c r="CK205" i="27"/>
  <c r="GB201" i="27"/>
  <c r="EL201" i="27"/>
  <c r="CN203" i="27"/>
  <c r="FW203" i="27"/>
  <c r="CJ201" i="27"/>
  <c r="AT203" i="27"/>
  <c r="CM201" i="27"/>
  <c r="HI201" i="27"/>
  <c r="IE203" i="27"/>
  <c r="EM205" i="27"/>
  <c r="AO205" i="27"/>
  <c r="DO203" i="27"/>
  <c r="CP203" i="27"/>
  <c r="CJ205" i="27"/>
  <c r="AF205" i="27"/>
  <c r="AV203" i="27"/>
  <c r="BZ205" i="27"/>
  <c r="DM201" i="27"/>
  <c r="ET203" i="27"/>
  <c r="O205" i="27"/>
  <c r="CZ205" i="27"/>
  <c r="AX201" i="27"/>
  <c r="GJ201" i="27"/>
  <c r="AO203" i="27"/>
  <c r="GM203" i="27"/>
  <c r="HX201" i="27"/>
  <c r="DJ203" i="27"/>
  <c r="FK205" i="27"/>
  <c r="CF203" i="27"/>
  <c r="GZ205" i="27"/>
  <c r="AP205" i="27"/>
  <c r="EM201" i="27"/>
  <c r="GD203" i="27"/>
  <c r="BY201" i="27"/>
  <c r="N201" i="27"/>
  <c r="FG201" i="27"/>
  <c r="BQ203" i="27"/>
  <c r="AK205" i="27"/>
  <c r="EW203" i="27"/>
  <c r="EU201" i="27"/>
  <c r="DA205" i="27"/>
  <c r="U201" i="27"/>
  <c r="DT205" i="27"/>
  <c r="GE201" i="27"/>
  <c r="BT203" i="27"/>
  <c r="Q205" i="27"/>
  <c r="CN201" i="27"/>
  <c r="DW201" i="27"/>
  <c r="CM205" i="27"/>
  <c r="BC203" i="27"/>
  <c r="HO205" i="27"/>
  <c r="CU201" i="27"/>
  <c r="EK203" i="27"/>
  <c r="EG201" i="27"/>
  <c r="GS201" i="27"/>
  <c r="BK201" i="27"/>
  <c r="HW201" i="27"/>
  <c r="AE33" i="27"/>
  <c r="EQ33" i="27"/>
  <c r="GN33" i="27"/>
  <c r="AF33" i="27"/>
  <c r="GQ33" i="27"/>
  <c r="DA33" i="27"/>
  <c r="EW33" i="27"/>
  <c r="DB33" i="27"/>
  <c r="EI33" i="27"/>
  <c r="FZ33" i="27"/>
  <c r="BA33" i="27"/>
  <c r="P33" i="27"/>
  <c r="HA33" i="27"/>
  <c r="EK33" i="27"/>
  <c r="CV33" i="27"/>
  <c r="C19" i="11"/>
  <c r="HN33" i="27"/>
  <c r="BT33" i="27"/>
  <c r="AS33" i="27"/>
  <c r="EP33" i="27"/>
  <c r="CE33" i="27"/>
  <c r="X33" i="27"/>
  <c r="R33" i="27"/>
  <c r="DS33" i="27"/>
  <c r="CP33" i="27"/>
  <c r="HG33" i="27"/>
  <c r="CB33" i="27"/>
  <c r="I33" i="27"/>
  <c r="AI33" i="27"/>
  <c r="BB33" i="27"/>
  <c r="BZ33" i="27"/>
  <c r="FL33" i="27"/>
  <c r="DC33" i="27"/>
  <c r="IG33" i="27"/>
  <c r="BE33" i="27"/>
  <c r="CL33" i="27"/>
  <c r="GS33" i="27"/>
  <c r="HR33" i="27"/>
  <c r="CZ33" i="27"/>
  <c r="T33" i="27"/>
  <c r="DO33" i="27"/>
  <c r="HV33" i="27"/>
  <c r="FY33" i="27"/>
  <c r="AK33" i="27"/>
  <c r="BD33" i="27"/>
  <c r="AT477" i="23"/>
  <c r="AP33" i="27"/>
  <c r="HT33" i="27"/>
  <c r="AD33" i="27"/>
  <c r="DH33" i="27"/>
  <c r="CF33" i="27"/>
  <c r="DL33" i="27"/>
  <c r="K33" i="27"/>
  <c r="EF33" i="27"/>
  <c r="HZ33" i="27"/>
  <c r="AG33" i="27"/>
  <c r="GT33" i="27"/>
  <c r="DN33" i="27"/>
  <c r="GJ33" i="27"/>
  <c r="V33" i="27"/>
  <c r="ID33" i="27"/>
  <c r="GU33" i="27"/>
  <c r="AA33" i="27"/>
  <c r="IF33" i="27"/>
  <c r="EG33" i="27"/>
  <c r="FU33" i="27"/>
  <c r="BK33" i="27"/>
  <c r="DU33" i="27"/>
  <c r="HD33" i="27"/>
  <c r="EH33" i="27"/>
  <c r="BI33" i="27"/>
  <c r="HP33" i="27"/>
  <c r="FD33" i="27"/>
  <c r="FF33" i="27"/>
  <c r="AO33" i="27"/>
  <c r="AL33" i="27"/>
  <c r="Q33" i="27"/>
  <c r="FQ33" i="27"/>
  <c r="FB33" i="27"/>
  <c r="W33" i="27"/>
  <c r="DD33" i="27"/>
  <c r="CD33" i="27"/>
  <c r="FO33" i="27"/>
  <c r="GM33" i="27"/>
  <c r="FX33" i="27"/>
  <c r="CI33" i="27"/>
  <c r="GH33" i="27"/>
  <c r="AM33" i="27"/>
  <c r="EJ33" i="27"/>
  <c r="GG33" i="27"/>
  <c r="AY33" i="27"/>
  <c r="FT33" i="27"/>
  <c r="HS33" i="27"/>
  <c r="BO33" i="27"/>
  <c r="GF33" i="27"/>
  <c r="FI33" i="27"/>
  <c r="DY33" i="27"/>
  <c r="AV33" i="27"/>
  <c r="GB33" i="27"/>
  <c r="FV33" i="27"/>
  <c r="EY33" i="27"/>
  <c r="CQ33" i="27"/>
  <c r="AZ33" i="27"/>
  <c r="EE33" i="27"/>
  <c r="BY33" i="27"/>
  <c r="IH33" i="27"/>
  <c r="AT466" i="23"/>
  <c r="AT472" i="23"/>
  <c r="CT33" i="27"/>
  <c r="BL33" i="27"/>
  <c r="CN33" i="27"/>
  <c r="M33" i="27"/>
  <c r="DQ33" i="27"/>
  <c r="CK33" i="27"/>
  <c r="GO33" i="27"/>
  <c r="DT33" i="27"/>
  <c r="DF33" i="27"/>
  <c r="AQ33" i="27"/>
  <c r="AC33" i="27"/>
  <c r="ED33" i="27"/>
  <c r="HH33" i="27"/>
  <c r="DI33" i="27"/>
  <c r="HM33" i="27"/>
  <c r="HB33" i="27"/>
  <c r="O33" i="27"/>
  <c r="GZ33" i="27"/>
  <c r="FP33" i="27"/>
  <c r="BF33" i="27"/>
  <c r="CR33" i="27"/>
  <c r="HJ33" i="27"/>
  <c r="AJ33" i="27"/>
  <c r="BM33" i="27"/>
  <c r="CC33" i="27"/>
  <c r="HU33" i="27"/>
  <c r="HW33" i="27"/>
  <c r="EX33" i="27"/>
  <c r="EV33" i="27"/>
  <c r="BP33" i="27"/>
  <c r="IJ33" i="27"/>
  <c r="DZ33" i="27"/>
  <c r="J33" i="27"/>
  <c r="EN33" i="27"/>
  <c r="AR33" i="27"/>
  <c r="GX33" i="27"/>
  <c r="DM33" i="27"/>
  <c r="ES33" i="27"/>
  <c r="GK33" i="27"/>
  <c r="HF33" i="27"/>
  <c r="IK33" i="27"/>
  <c r="N33" i="27"/>
  <c r="DV33" i="27"/>
  <c r="BW33" i="27"/>
  <c r="ER33" i="27"/>
  <c r="CW33" i="27"/>
  <c r="S33" i="27"/>
  <c r="BS33" i="27"/>
  <c r="CY33" i="27"/>
  <c r="DP33" i="27"/>
  <c r="HE33" i="27"/>
  <c r="O218" i="23"/>
  <c r="Y204" i="23"/>
  <c r="AE204" i="23" s="1"/>
  <c r="AD204" i="23" s="1"/>
  <c r="AT485" i="23"/>
  <c r="AT468" i="23"/>
  <c r="AT465" i="23"/>
  <c r="FG33" i="27"/>
  <c r="HQ33" i="27"/>
  <c r="HI33" i="27"/>
  <c r="EZ33" i="27"/>
  <c r="CO33" i="27"/>
  <c r="EM33" i="27"/>
  <c r="Y33" i="27"/>
  <c r="FN33" i="27"/>
  <c r="BC33" i="27"/>
  <c r="GP33" i="27"/>
  <c r="IC33" i="27"/>
  <c r="AW33" i="27"/>
  <c r="IE33" i="27"/>
  <c r="BV33" i="27"/>
  <c r="DK33" i="27"/>
  <c r="GA33" i="27"/>
  <c r="CH33" i="27"/>
  <c r="BH33" i="27"/>
  <c r="FC33" i="27"/>
  <c r="FJ33" i="27"/>
  <c r="FK33" i="27"/>
  <c r="GC33" i="27"/>
  <c r="DW33" i="27"/>
  <c r="BJ33" i="27"/>
  <c r="DJ33" i="27"/>
  <c r="GI33" i="27"/>
  <c r="GV33" i="27"/>
  <c r="EL33" i="27"/>
  <c r="HK33" i="27"/>
  <c r="AT33" i="27"/>
  <c r="CA33" i="27"/>
  <c r="Z33" i="27"/>
  <c r="L33" i="27"/>
  <c r="HO33" i="27"/>
  <c r="GR33" i="27"/>
  <c r="BR33" i="27"/>
  <c r="FW33" i="27"/>
  <c r="GD33" i="27"/>
  <c r="HX33" i="27"/>
  <c r="EC33" i="27"/>
  <c r="EO33" i="27"/>
  <c r="EU33" i="27"/>
  <c r="HC33" i="27"/>
  <c r="CJ33" i="27"/>
  <c r="AN33" i="27"/>
  <c r="GL33" i="27"/>
  <c r="FH33" i="27"/>
  <c r="FS33" i="27"/>
  <c r="IB33" i="27"/>
  <c r="FA33" i="27"/>
  <c r="CS33" i="27"/>
  <c r="HY33" i="27"/>
  <c r="AB33" i="27"/>
  <c r="II33" i="27"/>
  <c r="CX33" i="27"/>
  <c r="BQ33" i="27"/>
  <c r="HL33" i="27"/>
  <c r="FM33" i="27"/>
  <c r="U33" i="27"/>
  <c r="BX33" i="27"/>
  <c r="AX33" i="27"/>
  <c r="AH33" i="27"/>
  <c r="BU33" i="27"/>
  <c r="BN33" i="27"/>
  <c r="AU33" i="27"/>
  <c r="BG33" i="27"/>
  <c r="AE215" i="23"/>
  <c r="AE218" i="23" s="1"/>
  <c r="Y203" i="23"/>
  <c r="AE203" i="23" s="1"/>
  <c r="AD203" i="23" s="1"/>
  <c r="H186" i="23"/>
  <c r="AT475" i="23"/>
  <c r="C548" i="23"/>
  <c r="AE217" i="23"/>
  <c r="AE219" i="23" s="1"/>
  <c r="AT473" i="23"/>
  <c r="AT476" i="23"/>
  <c r="Y206" i="23"/>
  <c r="AT467" i="23"/>
  <c r="AT484" i="23"/>
  <c r="AE231" i="23"/>
  <c r="AE248" i="23" s="1"/>
  <c r="Y207" i="23"/>
  <c r="AT483" i="23"/>
  <c r="AT469" i="23"/>
  <c r="AT482" i="23"/>
  <c r="AE232" i="23"/>
  <c r="AE249" i="23" s="1"/>
  <c r="AT474" i="23"/>
  <c r="A276" i="27"/>
  <c r="A275" i="27"/>
  <c r="A274" i="27"/>
  <c r="A273" i="27"/>
  <c r="I595" i="23"/>
  <c r="I187" i="26"/>
  <c r="I1102" i="23" s="1"/>
  <c r="D187" i="26"/>
  <c r="D1102" i="23" s="1"/>
  <c r="F188" i="26"/>
  <c r="F1103" i="23" s="1"/>
  <c r="H1102" i="23"/>
  <c r="AZ421" i="26"/>
  <c r="BA421" i="26" s="1"/>
  <c r="O169" i="26"/>
  <c r="BA274" i="26"/>
  <c r="D202" i="26"/>
  <c r="D1117" i="23" s="1"/>
  <c r="H1117" i="23"/>
  <c r="F203" i="26"/>
  <c r="F1118" i="23" s="1"/>
  <c r="I202" i="26"/>
  <c r="I1117" i="23" s="1"/>
  <c r="AZ432" i="26"/>
  <c r="BA432" i="26" s="1"/>
  <c r="AZ429" i="26"/>
  <c r="BA429" i="26" s="1"/>
  <c r="D193" i="26"/>
  <c r="D1108" i="23" s="1"/>
  <c r="F194" i="26"/>
  <c r="F1109" i="23" s="1"/>
  <c r="I193" i="26"/>
  <c r="I1108" i="23" s="1"/>
  <c r="H1108" i="23"/>
  <c r="BN484" i="23"/>
  <c r="AP484" i="23"/>
  <c r="AP475" i="23"/>
  <c r="BN472" i="23"/>
  <c r="BN475" i="23"/>
  <c r="AP482" i="23"/>
  <c r="BN471" i="23"/>
  <c r="AP474" i="23"/>
  <c r="AP485" i="23"/>
  <c r="BN485" i="23"/>
  <c r="AP476" i="23"/>
  <c r="BN473" i="23"/>
  <c r="AP477" i="23"/>
  <c r="BN474" i="23"/>
  <c r="P280" i="11" l="1"/>
  <c r="P279" i="11"/>
  <c r="A2" i="12"/>
  <c r="Z685" i="11"/>
  <c r="AA684" i="11" s="1"/>
  <c r="Z684" i="11" s="1"/>
  <c r="P9" i="27"/>
  <c r="Q9" i="27" s="1"/>
  <c r="R9" i="27" s="1"/>
  <c r="S9" i="27" s="1"/>
  <c r="T9" i="27" s="1"/>
  <c r="U9" i="27" s="1"/>
  <c r="V9" i="27" s="1"/>
  <c r="W9" i="27" s="1"/>
  <c r="X9" i="27" s="1"/>
  <c r="Y9" i="27" s="1"/>
  <c r="Z9" i="27" s="1"/>
  <c r="AA9" i="27" s="1"/>
  <c r="AB9" i="27" s="1"/>
  <c r="AC9" i="27" s="1"/>
  <c r="AC13" i="27" s="1"/>
  <c r="L13" i="27"/>
  <c r="I592" i="23"/>
  <c r="C592" i="23" s="1"/>
  <c r="AI203" i="23"/>
  <c r="AH203" i="23" s="1"/>
  <c r="AG203" i="23" s="1"/>
  <c r="AF203" i="23" s="1"/>
  <c r="W94" i="27"/>
  <c r="X94" i="27" s="1"/>
  <c r="Y94" i="27" s="1"/>
  <c r="Z94" i="27" s="1"/>
  <c r="AA94" i="27" s="1"/>
  <c r="AB94" i="27" s="1"/>
  <c r="AC94" i="27" s="1"/>
  <c r="AC98" i="27" s="1"/>
  <c r="BN469" i="23"/>
  <c r="BO469" i="23" s="1"/>
  <c r="S98" i="27"/>
  <c r="AP473" i="23"/>
  <c r="AP483" i="23"/>
  <c r="F58" i="22"/>
  <c r="E59" i="22" s="1"/>
  <c r="E76" i="22"/>
  <c r="F38" i="22"/>
  <c r="E53" i="22"/>
  <c r="D99" i="22"/>
  <c r="AH204" i="23"/>
  <c r="AG204" i="23" s="1"/>
  <c r="AF204" i="23" s="1"/>
  <c r="W262" i="27"/>
  <c r="X262" i="27" s="1"/>
  <c r="Y262" i="27" s="1"/>
  <c r="Z262" i="27" s="1"/>
  <c r="AA262" i="27" s="1"/>
  <c r="AB262" i="27" s="1"/>
  <c r="AC262" i="27" s="1"/>
  <c r="AD262" i="27" s="1"/>
  <c r="AE262" i="27" s="1"/>
  <c r="AF262" i="27" s="1"/>
  <c r="AG262" i="27" s="1"/>
  <c r="AH262" i="27" s="1"/>
  <c r="AI262" i="27" s="1"/>
  <c r="AJ262" i="27" s="1"/>
  <c r="S266" i="27"/>
  <c r="AI207" i="23"/>
  <c r="AH207" i="23" s="1"/>
  <c r="AG207" i="23" s="1"/>
  <c r="AF207" i="23" s="1"/>
  <c r="D160" i="22"/>
  <c r="D183" i="22"/>
  <c r="D180" i="22"/>
  <c r="H99" i="22"/>
  <c r="F162" i="22"/>
  <c r="H162" i="22" s="1"/>
  <c r="G59" i="22"/>
  <c r="U61" i="22"/>
  <c r="T61" i="22" s="1"/>
  <c r="S61" i="22" s="1"/>
  <c r="R61" i="22" s="1"/>
  <c r="Q61" i="22" s="1"/>
  <c r="M63" i="22" s="1"/>
  <c r="E34" i="16"/>
  <c r="W180" i="11"/>
  <c r="O622" i="11"/>
  <c r="D154" i="22"/>
  <c r="D157" i="22"/>
  <c r="D151" i="22"/>
  <c r="H101" i="22"/>
  <c r="D101" i="22"/>
  <c r="AK215" i="23"/>
  <c r="AJ215" i="23" s="1"/>
  <c r="AI215" i="23" s="1"/>
  <c r="J184" i="23"/>
  <c r="O621" i="11"/>
  <c r="AI206" i="23"/>
  <c r="AH206" i="23" s="1"/>
  <c r="AG206" i="23" s="1"/>
  <c r="AF206" i="23" s="1"/>
  <c r="N233" i="11"/>
  <c r="W179" i="11"/>
  <c r="AK218" i="23"/>
  <c r="AJ218" i="23" s="1"/>
  <c r="AI218" i="23" s="1"/>
  <c r="W174" i="11"/>
  <c r="W172" i="11"/>
  <c r="AK249" i="23"/>
  <c r="AJ249" i="23" s="1"/>
  <c r="AI249" i="23" s="1"/>
  <c r="AK232" i="23"/>
  <c r="AJ232" i="23" s="1"/>
  <c r="AI232" i="23" s="1"/>
  <c r="Z182" i="27"/>
  <c r="AD178" i="27"/>
  <c r="AE178" i="27" s="1"/>
  <c r="AF178" i="27" s="1"/>
  <c r="AG178" i="27" s="1"/>
  <c r="AH178" i="27" s="1"/>
  <c r="AI178" i="27" s="1"/>
  <c r="AJ178" i="27" s="1"/>
  <c r="AK178" i="27" s="1"/>
  <c r="AL178" i="27" s="1"/>
  <c r="AM178" i="27" s="1"/>
  <c r="AN178" i="27" s="1"/>
  <c r="AO178" i="27" s="1"/>
  <c r="AP178" i="27" s="1"/>
  <c r="AQ178" i="27" s="1"/>
  <c r="AC203" i="23"/>
  <c r="W170" i="11"/>
  <c r="W181" i="11"/>
  <c r="W171" i="11"/>
  <c r="W178" i="11"/>
  <c r="AN215" i="23"/>
  <c r="AM215" i="23" s="1"/>
  <c r="AL215" i="23" s="1"/>
  <c r="W176" i="11"/>
  <c r="W168" i="11"/>
  <c r="W183" i="11"/>
  <c r="W169" i="11"/>
  <c r="AN218" i="23"/>
  <c r="AM218" i="23" s="1"/>
  <c r="AL218" i="23" s="1"/>
  <c r="H587" i="11"/>
  <c r="W175" i="11"/>
  <c r="W173" i="11"/>
  <c r="W182" i="11"/>
  <c r="W177" i="11"/>
  <c r="H589" i="11"/>
  <c r="O623" i="11"/>
  <c r="AC204" i="23"/>
  <c r="AN249" i="23"/>
  <c r="AM249" i="23" s="1"/>
  <c r="AL249" i="23" s="1"/>
  <c r="AE207" i="23"/>
  <c r="AD207" i="23" s="1"/>
  <c r="AC207" i="23" s="1"/>
  <c r="AK231" i="23"/>
  <c r="AJ231" i="23" s="1"/>
  <c r="AI231" i="23" s="1"/>
  <c r="AN248" i="23"/>
  <c r="AM248" i="23" s="1"/>
  <c r="AL248" i="23" s="1"/>
  <c r="AK217" i="23"/>
  <c r="AJ217" i="23" s="1"/>
  <c r="AI217" i="23" s="1"/>
  <c r="AN217" i="23"/>
  <c r="AM217" i="23" s="1"/>
  <c r="AL217" i="23" s="1"/>
  <c r="AK219" i="23"/>
  <c r="AJ219" i="23" s="1"/>
  <c r="AI219" i="23" s="1"/>
  <c r="AE206" i="23"/>
  <c r="AD206" i="23" s="1"/>
  <c r="AC206" i="23" s="1"/>
  <c r="AK248" i="23"/>
  <c r="AJ248" i="23" s="1"/>
  <c r="AI248" i="23" s="1"/>
  <c r="AN232" i="23"/>
  <c r="AM232" i="23" s="1"/>
  <c r="AL232" i="23" s="1"/>
  <c r="AN219" i="23"/>
  <c r="AM219" i="23" s="1"/>
  <c r="AL219" i="23" s="1"/>
  <c r="AN231" i="23"/>
  <c r="AM231" i="23" s="1"/>
  <c r="AL231" i="23" s="1"/>
  <c r="BO474" i="23"/>
  <c r="BM474" i="23"/>
  <c r="BM473" i="23"/>
  <c r="BO473" i="23"/>
  <c r="BM472" i="23"/>
  <c r="BO472" i="23"/>
  <c r="BO485" i="23"/>
  <c r="BM485" i="23"/>
  <c r="BO476" i="23"/>
  <c r="BM476" i="23"/>
  <c r="BM471" i="23"/>
  <c r="BO471" i="23"/>
  <c r="BM484" i="23"/>
  <c r="BO484" i="23"/>
  <c r="BO470" i="23"/>
  <c r="BM470" i="23"/>
  <c r="BM475" i="23"/>
  <c r="BO475" i="23"/>
  <c r="E2" i="26" l="1"/>
  <c r="AK31" i="26" s="1"/>
  <c r="C87" i="23"/>
  <c r="AB684" i="11"/>
  <c r="O33" i="23"/>
  <c r="AA204" i="11"/>
  <c r="AD9" i="27"/>
  <c r="AE9" i="27" s="1"/>
  <c r="AF9" i="27" s="1"/>
  <c r="AG9" i="27" s="1"/>
  <c r="AH9" i="27" s="1"/>
  <c r="AI9" i="27" s="1"/>
  <c r="AJ9" i="27" s="1"/>
  <c r="AK9" i="27" s="1"/>
  <c r="AL9" i="27" s="1"/>
  <c r="AM9" i="27" s="1"/>
  <c r="AN9" i="27" s="1"/>
  <c r="AO9" i="27" s="1"/>
  <c r="AP9" i="27" s="1"/>
  <c r="AQ9" i="27" s="1"/>
  <c r="S13" i="27"/>
  <c r="Z13" i="27"/>
  <c r="V13" i="27"/>
  <c r="E596" i="23"/>
  <c r="AB203" i="23"/>
  <c r="H203" i="23" s="1"/>
  <c r="Z204" i="11"/>
  <c r="C596" i="23"/>
  <c r="C594" i="23"/>
  <c r="M594" i="23" s="1"/>
  <c r="J592" i="23"/>
  <c r="E592" i="23"/>
  <c r="BM469" i="23"/>
  <c r="AD94" i="27"/>
  <c r="AE94" i="27" s="1"/>
  <c r="AF94" i="27" s="1"/>
  <c r="AG94" i="27" s="1"/>
  <c r="AH94" i="27" s="1"/>
  <c r="AI94" i="27" s="1"/>
  <c r="AJ94" i="27" s="1"/>
  <c r="AK94" i="27" s="1"/>
  <c r="AL94" i="27" s="1"/>
  <c r="AM94" i="27" s="1"/>
  <c r="AN94" i="27" s="1"/>
  <c r="AO94" i="27" s="1"/>
  <c r="AP94" i="27" s="1"/>
  <c r="AQ94" i="27" s="1"/>
  <c r="Z98" i="27"/>
  <c r="E78" i="22"/>
  <c r="E55" i="22"/>
  <c r="F103" i="22"/>
  <c r="AB207" i="23"/>
  <c r="H206" i="23" s="1"/>
  <c r="AC266" i="27"/>
  <c r="Z266" i="27"/>
  <c r="AH215" i="23"/>
  <c r="G205" i="23" s="1"/>
  <c r="AH249" i="23"/>
  <c r="AJ182" i="27"/>
  <c r="AJ695" i="11"/>
  <c r="AH248" i="23"/>
  <c r="AH232" i="23"/>
  <c r="G204" i="23" s="1"/>
  <c r="AH218" i="23"/>
  <c r="AB204" i="23"/>
  <c r="H204" i="23" s="1"/>
  <c r="C2" i="12"/>
  <c r="I26" i="11" s="1"/>
  <c r="AG182" i="27"/>
  <c r="AJ699" i="11"/>
  <c r="AH217" i="23"/>
  <c r="G206" i="23" s="1"/>
  <c r="AB206" i="23"/>
  <c r="H205" i="23" s="1"/>
  <c r="AH219" i="23"/>
  <c r="AH231" i="23"/>
  <c r="G203" i="23" s="1"/>
  <c r="D2" i="12"/>
  <c r="K2" i="12" s="1"/>
  <c r="O35" i="23"/>
  <c r="O32" i="23"/>
  <c r="I2" i="12"/>
  <c r="AJ698" i="11"/>
  <c r="D144" i="22"/>
  <c r="P63" i="22"/>
  <c r="Q63" i="22"/>
  <c r="E63" i="22" s="1"/>
  <c r="AN182" i="27"/>
  <c r="AG266" i="27"/>
  <c r="AQ182" i="27"/>
  <c r="AR178" i="27"/>
  <c r="AS178" i="27" s="1"/>
  <c r="AT178" i="27" s="1"/>
  <c r="AU178" i="27" s="1"/>
  <c r="AV178" i="27" s="1"/>
  <c r="AW178" i="27" s="1"/>
  <c r="AX178" i="27" s="1"/>
  <c r="AJ266" i="27"/>
  <c r="AK262" i="27"/>
  <c r="AL262" i="27" s="1"/>
  <c r="AM262" i="27" s="1"/>
  <c r="AN262" i="27" s="1"/>
  <c r="AO262" i="27" s="1"/>
  <c r="AP262" i="27" s="1"/>
  <c r="AQ262" i="27" s="1"/>
  <c r="AK29" i="26" l="1"/>
  <c r="AL6" i="26"/>
  <c r="I2" i="26"/>
  <c r="Z682" i="11"/>
  <c r="Z683" i="11"/>
  <c r="AJ13" i="27"/>
  <c r="AG13" i="27"/>
  <c r="AG98" i="27"/>
  <c r="AJ98" i="27"/>
  <c r="F85" i="22"/>
  <c r="E82" i="22"/>
  <c r="I27" i="11"/>
  <c r="I23" i="11"/>
  <c r="I33" i="23"/>
  <c r="C32" i="23"/>
  <c r="H34" i="11"/>
  <c r="H41" i="23"/>
  <c r="L2" i="12"/>
  <c r="F140" i="12" s="1"/>
  <c r="N2" i="12"/>
  <c r="AU182" i="27"/>
  <c r="AN98" i="27"/>
  <c r="AQ13" i="27"/>
  <c r="AR9" i="27"/>
  <c r="AS9" i="27" s="1"/>
  <c r="AT9" i="27" s="1"/>
  <c r="AU9" i="27" s="1"/>
  <c r="AV9" i="27" s="1"/>
  <c r="AW9" i="27" s="1"/>
  <c r="AX9" i="27" s="1"/>
  <c r="AN266" i="27"/>
  <c r="AX182" i="27"/>
  <c r="AY178" i="27"/>
  <c r="AZ178" i="27" s="1"/>
  <c r="BA178" i="27" s="1"/>
  <c r="BB178" i="27" s="1"/>
  <c r="BC178" i="27" s="1"/>
  <c r="BD178" i="27" s="1"/>
  <c r="BE178" i="27" s="1"/>
  <c r="AQ266" i="27"/>
  <c r="AR262" i="27"/>
  <c r="AS262" i="27" s="1"/>
  <c r="AT262" i="27" s="1"/>
  <c r="AU262" i="27" s="1"/>
  <c r="AV262" i="27" s="1"/>
  <c r="AW262" i="27" s="1"/>
  <c r="AX262" i="27" s="1"/>
  <c r="AQ98" i="27"/>
  <c r="AR94" i="27"/>
  <c r="AS94" i="27" s="1"/>
  <c r="AT94" i="27" s="1"/>
  <c r="AU94" i="27" s="1"/>
  <c r="AV94" i="27" s="1"/>
  <c r="AW94" i="27" s="1"/>
  <c r="AX94" i="27" s="1"/>
  <c r="AN13" i="27"/>
  <c r="AD686" i="11" l="1"/>
  <c r="Z686" i="11" s="1"/>
  <c r="W34" i="25"/>
  <c r="F86" i="22"/>
  <c r="F84" i="22" s="1"/>
  <c r="D26" i="11"/>
  <c r="I35" i="23"/>
  <c r="I32" i="23"/>
  <c r="BF32" i="23" s="1"/>
  <c r="J2" i="12"/>
  <c r="N41" i="23"/>
  <c r="N43" i="23" s="1"/>
  <c r="N34" i="11"/>
  <c r="AU266" i="27"/>
  <c r="BB182" i="27"/>
  <c r="AU98" i="27"/>
  <c r="AX266" i="27"/>
  <c r="AY262" i="27"/>
  <c r="AZ262" i="27" s="1"/>
  <c r="BA262" i="27" s="1"/>
  <c r="BB262" i="27" s="1"/>
  <c r="BC262" i="27" s="1"/>
  <c r="BD262" i="27" s="1"/>
  <c r="BE262" i="27" s="1"/>
  <c r="BE182" i="27"/>
  <c r="BF178" i="27"/>
  <c r="BG178" i="27" s="1"/>
  <c r="BH178" i="27" s="1"/>
  <c r="BI178" i="27" s="1"/>
  <c r="BJ178" i="27" s="1"/>
  <c r="BK178" i="27" s="1"/>
  <c r="BL178" i="27" s="1"/>
  <c r="AU13" i="27"/>
  <c r="AX13" i="27"/>
  <c r="AY9" i="27"/>
  <c r="AZ9" i="27" s="1"/>
  <c r="BA9" i="27" s="1"/>
  <c r="BB9" i="27" s="1"/>
  <c r="BC9" i="27" s="1"/>
  <c r="BD9" i="27" s="1"/>
  <c r="BE9" i="27" s="1"/>
  <c r="AX98" i="27"/>
  <c r="AY94" i="27"/>
  <c r="AZ94" i="27" s="1"/>
  <c r="BA94" i="27" s="1"/>
  <c r="BB94" i="27" s="1"/>
  <c r="BC94" i="27" s="1"/>
  <c r="BD94" i="27" s="1"/>
  <c r="BE94" i="27" s="1"/>
  <c r="N35" i="11" l="1"/>
  <c r="F141" i="12"/>
  <c r="F143" i="12" s="1"/>
  <c r="W14" i="12"/>
  <c r="X14" i="12" s="1"/>
  <c r="Y14" i="12" s="1"/>
  <c r="W6" i="12"/>
  <c r="X6" i="12" s="1"/>
  <c r="I30" i="23"/>
  <c r="M2" i="12"/>
  <c r="N36" i="11"/>
  <c r="I35" i="11"/>
  <c r="I36" i="11"/>
  <c r="M35" i="11"/>
  <c r="O35" i="11" s="1"/>
  <c r="I43" i="23"/>
  <c r="I42" i="23"/>
  <c r="M42" i="23"/>
  <c r="O42" i="23" s="1"/>
  <c r="N42" i="23"/>
  <c r="BB13" i="27"/>
  <c r="BB98" i="27"/>
  <c r="BI182" i="27"/>
  <c r="BE266" i="27"/>
  <c r="BF262" i="27"/>
  <c r="BG262" i="27" s="1"/>
  <c r="BH262" i="27" s="1"/>
  <c r="BI262" i="27" s="1"/>
  <c r="BJ262" i="27" s="1"/>
  <c r="BK262" i="27" s="1"/>
  <c r="BL262" i="27" s="1"/>
  <c r="BL182" i="27"/>
  <c r="BM178" i="27"/>
  <c r="BN178" i="27" s="1"/>
  <c r="BO178" i="27" s="1"/>
  <c r="BP178" i="27" s="1"/>
  <c r="BQ178" i="27" s="1"/>
  <c r="BR178" i="27" s="1"/>
  <c r="BS178" i="27" s="1"/>
  <c r="BE98" i="27"/>
  <c r="BF94" i="27"/>
  <c r="BG94" i="27" s="1"/>
  <c r="BH94" i="27" s="1"/>
  <c r="BI94" i="27" s="1"/>
  <c r="BJ94" i="27" s="1"/>
  <c r="BK94" i="27" s="1"/>
  <c r="BL94" i="27" s="1"/>
  <c r="BE13" i="27"/>
  <c r="BF9" i="27"/>
  <c r="BG9" i="27" s="1"/>
  <c r="BH9" i="27" s="1"/>
  <c r="BI9" i="27" s="1"/>
  <c r="BJ9" i="27" s="1"/>
  <c r="BK9" i="27" s="1"/>
  <c r="BL9" i="27" s="1"/>
  <c r="BB266" i="27"/>
  <c r="AK691" i="11" l="1"/>
  <c r="F142" i="12"/>
  <c r="F144" i="12" s="1"/>
  <c r="Y9" i="12"/>
  <c r="Y7" i="12"/>
  <c r="Y10" i="12"/>
  <c r="Y8" i="12"/>
  <c r="Y6" i="12"/>
  <c r="Z15" i="12"/>
  <c r="Z14" i="12"/>
  <c r="H38" i="11"/>
  <c r="G46" i="11" s="1"/>
  <c r="N38" i="11"/>
  <c r="N39" i="11" s="1"/>
  <c r="N45" i="23"/>
  <c r="N47" i="23" s="1"/>
  <c r="H45" i="23"/>
  <c r="O45" i="23" s="1"/>
  <c r="BP182" i="27"/>
  <c r="BI98" i="27"/>
  <c r="BI266" i="27"/>
  <c r="BL266" i="27"/>
  <c r="BM262" i="27"/>
  <c r="BN262" i="27" s="1"/>
  <c r="BO262" i="27" s="1"/>
  <c r="BP262" i="27" s="1"/>
  <c r="BQ262" i="27" s="1"/>
  <c r="BR262" i="27" s="1"/>
  <c r="BS262" i="27" s="1"/>
  <c r="BI13" i="27"/>
  <c r="BL98" i="27"/>
  <c r="BM94" i="27"/>
  <c r="BN94" i="27" s="1"/>
  <c r="BO94" i="27" s="1"/>
  <c r="BP94" i="27" s="1"/>
  <c r="BQ94" i="27" s="1"/>
  <c r="BR94" i="27" s="1"/>
  <c r="BS94" i="27" s="1"/>
  <c r="BL13" i="27"/>
  <c r="BM9" i="27"/>
  <c r="BN9" i="27" s="1"/>
  <c r="BO9" i="27" s="1"/>
  <c r="BP9" i="27" s="1"/>
  <c r="BQ9" i="27" s="1"/>
  <c r="BR9" i="27" s="1"/>
  <c r="BS9" i="27" s="1"/>
  <c r="BS182" i="27"/>
  <c r="BT178" i="27"/>
  <c r="BU178" i="27" s="1"/>
  <c r="BV178" i="27" s="1"/>
  <c r="BW178" i="27" s="1"/>
  <c r="BX178" i="27" s="1"/>
  <c r="BY178" i="27" s="1"/>
  <c r="BZ178" i="27" s="1"/>
  <c r="O415" i="11" l="1"/>
  <c r="P415" i="11"/>
  <c r="W352" i="11"/>
  <c r="AL229" i="11"/>
  <c r="F147" i="12"/>
  <c r="Y11" i="12"/>
  <c r="Z6" i="12" s="1"/>
  <c r="O38" i="11"/>
  <c r="I45" i="23"/>
  <c r="E30" i="11"/>
  <c r="N37" i="23"/>
  <c r="H30" i="11"/>
  <c r="M76" i="11" s="1"/>
  <c r="M78" i="11" s="1"/>
  <c r="M77" i="11" s="1"/>
  <c r="N46" i="23"/>
  <c r="M39" i="11"/>
  <c r="E40" i="11" s="1"/>
  <c r="O30" i="11"/>
  <c r="H37" i="23"/>
  <c r="I30" i="11"/>
  <c r="I37" i="23"/>
  <c r="N30" i="11"/>
  <c r="E34" i="11"/>
  <c r="I39" i="11"/>
  <c r="M46" i="23"/>
  <c r="E47" i="23" s="1"/>
  <c r="I38" i="11"/>
  <c r="I40" i="11"/>
  <c r="O37" i="23"/>
  <c r="E37" i="23"/>
  <c r="I47" i="23"/>
  <c r="I46" i="23"/>
  <c r="E41" i="23"/>
  <c r="E45" i="23"/>
  <c r="E43" i="23"/>
  <c r="N40" i="11"/>
  <c r="E38" i="11"/>
  <c r="E36" i="11"/>
  <c r="BW182" i="27"/>
  <c r="BP13" i="27"/>
  <c r="BZ182" i="27"/>
  <c r="CA178" i="27"/>
  <c r="CB178" i="27" s="1"/>
  <c r="CC178" i="27" s="1"/>
  <c r="CD178" i="27" s="1"/>
  <c r="CE178" i="27" s="1"/>
  <c r="CF178" i="27" s="1"/>
  <c r="CG178" i="27" s="1"/>
  <c r="BP98" i="27"/>
  <c r="BP266" i="27"/>
  <c r="BS98" i="27"/>
  <c r="BT94" i="27"/>
  <c r="BU94" i="27" s="1"/>
  <c r="BV94" i="27" s="1"/>
  <c r="BW94" i="27" s="1"/>
  <c r="BX94" i="27" s="1"/>
  <c r="BY94" i="27" s="1"/>
  <c r="BZ94" i="27" s="1"/>
  <c r="BS266" i="27"/>
  <c r="BT262" i="27"/>
  <c r="BU262" i="27" s="1"/>
  <c r="BV262" i="27" s="1"/>
  <c r="BW262" i="27" s="1"/>
  <c r="BX262" i="27" s="1"/>
  <c r="BY262" i="27" s="1"/>
  <c r="BZ262" i="27" s="1"/>
  <c r="BS13" i="27"/>
  <c r="BT9" i="27"/>
  <c r="BU9" i="27" s="1"/>
  <c r="BV9" i="27" s="1"/>
  <c r="BW9" i="27" s="1"/>
  <c r="BX9" i="27" s="1"/>
  <c r="BY9" i="27" s="1"/>
  <c r="BZ9" i="27" s="1"/>
  <c r="H313" i="11" l="1"/>
  <c r="H315" i="11" s="1"/>
  <c r="AC13" i="12"/>
  <c r="AA9" i="12"/>
  <c r="AB10" i="12"/>
  <c r="AB9" i="12"/>
  <c r="AA10" i="12"/>
  <c r="J125" i="23"/>
  <c r="J132" i="23" s="1"/>
  <c r="J126" i="23"/>
  <c r="J76" i="11"/>
  <c r="J83" i="11" s="1"/>
  <c r="J77" i="11"/>
  <c r="L77" i="11"/>
  <c r="L76" i="11"/>
  <c r="O23" i="11"/>
  <c r="L126" i="23"/>
  <c r="L125" i="23"/>
  <c r="L132" i="23" s="1"/>
  <c r="H625" i="23"/>
  <c r="H627" i="23" s="1"/>
  <c r="H631" i="23" s="1"/>
  <c r="J660" i="23" s="1"/>
  <c r="G26" i="23"/>
  <c r="AL228" i="11"/>
  <c r="M414" i="11"/>
  <c r="L240" i="11"/>
  <c r="K47" i="14" s="1"/>
  <c r="Z701" i="11"/>
  <c r="G50" i="11"/>
  <c r="M290" i="11" s="1"/>
  <c r="N412" i="11"/>
  <c r="J412" i="11" s="1"/>
  <c r="AL225" i="11"/>
  <c r="G93" i="23"/>
  <c r="J19" i="25"/>
  <c r="F26" i="25" s="1"/>
  <c r="AL226" i="11"/>
  <c r="N414" i="11"/>
  <c r="AL227" i="11"/>
  <c r="E8" i="22"/>
  <c r="L611" i="11"/>
  <c r="K146" i="14" s="1"/>
  <c r="M412" i="11"/>
  <c r="I38" i="23"/>
  <c r="M38" i="23"/>
  <c r="E39" i="23" s="1"/>
  <c r="I39" i="23"/>
  <c r="N38" i="23"/>
  <c r="N39" i="23"/>
  <c r="M31" i="11"/>
  <c r="E32" i="11" s="1"/>
  <c r="N32" i="11"/>
  <c r="I31" i="11"/>
  <c r="I32" i="11"/>
  <c r="N31" i="11"/>
  <c r="M79" i="11"/>
  <c r="BW266" i="27"/>
  <c r="CD182" i="27"/>
  <c r="BZ13" i="27"/>
  <c r="CA9" i="27"/>
  <c r="CB9" i="27" s="1"/>
  <c r="CC9" i="27" s="1"/>
  <c r="CD9" i="27" s="1"/>
  <c r="CE9" i="27" s="1"/>
  <c r="CF9" i="27" s="1"/>
  <c r="CG9" i="27" s="1"/>
  <c r="CA94" i="27"/>
  <c r="CB94" i="27" s="1"/>
  <c r="CC94" i="27" s="1"/>
  <c r="CD94" i="27" s="1"/>
  <c r="CE94" i="27" s="1"/>
  <c r="CF94" i="27" s="1"/>
  <c r="CG94" i="27" s="1"/>
  <c r="BZ98" i="27"/>
  <c r="CG182" i="27"/>
  <c r="CH178" i="27"/>
  <c r="CI178" i="27" s="1"/>
  <c r="CJ178" i="27" s="1"/>
  <c r="CK178" i="27" s="1"/>
  <c r="CL178" i="27" s="1"/>
  <c r="CM178" i="27" s="1"/>
  <c r="CN178" i="27" s="1"/>
  <c r="BW13" i="27"/>
  <c r="CA262" i="27"/>
  <c r="CB262" i="27" s="1"/>
  <c r="CC262" i="27" s="1"/>
  <c r="CD262" i="27" s="1"/>
  <c r="CE262" i="27" s="1"/>
  <c r="CF262" i="27" s="1"/>
  <c r="CG262" i="27" s="1"/>
  <c r="BZ266" i="27"/>
  <c r="BW98" i="27"/>
  <c r="J372" i="11" l="1"/>
  <c r="K105" i="14" s="1"/>
  <c r="R105" i="14" s="1"/>
  <c r="N290" i="11"/>
  <c r="N317" i="11"/>
  <c r="H321" i="11"/>
  <c r="N319" i="11"/>
  <c r="L245" i="11"/>
  <c r="M54" i="11"/>
  <c r="M55" i="11" s="1"/>
  <c r="AV469" i="23"/>
  <c r="AW469" i="23" s="1"/>
  <c r="AX469" i="23" s="1"/>
  <c r="L246" i="11"/>
  <c r="K53" i="14" s="1"/>
  <c r="R53" i="14" s="1"/>
  <c r="L628" i="11"/>
  <c r="K166" i="14" s="1"/>
  <c r="L579" i="11"/>
  <c r="H20" i="17" s="1"/>
  <c r="L572" i="11"/>
  <c r="H13" i="17" s="1"/>
  <c r="L575" i="11"/>
  <c r="H16" i="17" s="1"/>
  <c r="L571" i="11"/>
  <c r="H12" i="17" s="1"/>
  <c r="L567" i="11"/>
  <c r="H8" i="17" s="1"/>
  <c r="L578" i="11"/>
  <c r="H19" i="17" s="1"/>
  <c r="L580" i="11"/>
  <c r="H21" i="17" s="1"/>
  <c r="L568" i="11"/>
  <c r="H9" i="17" s="1"/>
  <c r="L574" i="11"/>
  <c r="H15" i="17" s="1"/>
  <c r="L570" i="11"/>
  <c r="H11" i="17" s="1"/>
  <c r="L566" i="11"/>
  <c r="L576" i="11"/>
  <c r="H17" i="17" s="1"/>
  <c r="L569" i="11"/>
  <c r="H10" i="17" s="1"/>
  <c r="L573" i="11"/>
  <c r="H14" i="17" s="1"/>
  <c r="L577" i="11"/>
  <c r="H18" i="17" s="1"/>
  <c r="L631" i="11"/>
  <c r="K169" i="14" s="1"/>
  <c r="R169" i="14" s="1"/>
  <c r="D37" i="35" s="1"/>
  <c r="E37" i="35" s="1"/>
  <c r="L630" i="11"/>
  <c r="K168" i="14" s="1"/>
  <c r="L626" i="11"/>
  <c r="L399" i="11"/>
  <c r="L400" i="11" s="1"/>
  <c r="L401" i="11" s="1"/>
  <c r="K112" i="14" s="1"/>
  <c r="R112" i="14" s="1"/>
  <c r="L402" i="11"/>
  <c r="K113" i="14" s="1"/>
  <c r="R113" i="14" s="1"/>
  <c r="E5" i="26"/>
  <c r="O233" i="11"/>
  <c r="P233" i="11" s="1"/>
  <c r="M340" i="11"/>
  <c r="H317" i="11"/>
  <c r="AC9" i="12"/>
  <c r="AB12" i="12" s="1"/>
  <c r="AC10" i="12"/>
  <c r="AB13" i="12" s="1"/>
  <c r="S326" i="11"/>
  <c r="J127" i="23"/>
  <c r="J128" i="23" s="1"/>
  <c r="J129" i="23" s="1"/>
  <c r="J78" i="11"/>
  <c r="J79" i="11" s="1"/>
  <c r="J80" i="11" s="1"/>
  <c r="J82" i="11" s="1"/>
  <c r="F77" i="11"/>
  <c r="J373" i="11" s="1"/>
  <c r="L206" i="23"/>
  <c r="H633" i="23"/>
  <c r="J654" i="23" s="1"/>
  <c r="L221" i="23"/>
  <c r="L127" i="23"/>
  <c r="L128" i="23" s="1"/>
  <c r="L129" i="23" s="1"/>
  <c r="L131" i="23" s="1"/>
  <c r="S325" i="11"/>
  <c r="L244" i="11"/>
  <c r="K51" i="14" s="1"/>
  <c r="R51" i="14" s="1"/>
  <c r="W7" i="25"/>
  <c r="H26" i="23"/>
  <c r="L83" i="11"/>
  <c r="L78" i="11"/>
  <c r="J414" i="11"/>
  <c r="K414" i="11" s="1"/>
  <c r="J415" i="11"/>
  <c r="J652" i="23"/>
  <c r="J656" i="23" s="1"/>
  <c r="E129" i="22"/>
  <c r="F129" i="22" s="1"/>
  <c r="F137" i="22"/>
  <c r="H137" i="22" s="1"/>
  <c r="F153" i="22"/>
  <c r="H153" i="22" s="1"/>
  <c r="E177" i="22"/>
  <c r="F177" i="22" s="1"/>
  <c r="F159" i="22"/>
  <c r="H159" i="22" s="1"/>
  <c r="E114" i="22"/>
  <c r="F156" i="22"/>
  <c r="H156" i="22" s="1"/>
  <c r="K412" i="11"/>
  <c r="S193" i="25"/>
  <c r="E4" i="26"/>
  <c r="L241" i="11"/>
  <c r="K48" i="14" s="1"/>
  <c r="R48" i="14" s="1"/>
  <c r="L404" i="11"/>
  <c r="C681" i="11"/>
  <c r="C322" i="23" s="1"/>
  <c r="F84" i="11"/>
  <c r="W13" i="25" s="1"/>
  <c r="N291" i="11"/>
  <c r="M291" i="11"/>
  <c r="L623" i="11"/>
  <c r="L627" i="11"/>
  <c r="N413" i="11"/>
  <c r="J17" i="25"/>
  <c r="Z687" i="11"/>
  <c r="L233" i="11"/>
  <c r="K40" i="14" s="1"/>
  <c r="N294" i="11"/>
  <c r="J294" i="11" s="1"/>
  <c r="M413" i="11"/>
  <c r="L612" i="11"/>
  <c r="K147" i="14" s="1"/>
  <c r="R147" i="14" s="1"/>
  <c r="D17" i="35" s="1"/>
  <c r="E17" i="35" s="1"/>
  <c r="N364" i="11"/>
  <c r="L234" i="11"/>
  <c r="L614" i="11"/>
  <c r="K149" i="14" s="1"/>
  <c r="R149" i="14" s="1"/>
  <c r="D19" i="35" s="1"/>
  <c r="E19" i="35" s="1"/>
  <c r="K44" i="14"/>
  <c r="R44" i="14" s="1"/>
  <c r="J351" i="11"/>
  <c r="K96" i="14" s="1"/>
  <c r="R96" i="14" s="1"/>
  <c r="L239" i="11"/>
  <c r="K46" i="14" s="1"/>
  <c r="M294" i="11"/>
  <c r="L581" i="11"/>
  <c r="H22" i="17" s="1"/>
  <c r="L613" i="11"/>
  <c r="K148" i="14" s="1"/>
  <c r="M364" i="11"/>
  <c r="E7" i="22"/>
  <c r="Z718" i="11"/>
  <c r="Z719" i="11" s="1"/>
  <c r="AV466" i="23"/>
  <c r="AW466" i="23" s="1"/>
  <c r="AX466" i="23" s="1"/>
  <c r="J722" i="23"/>
  <c r="L204" i="23"/>
  <c r="J724" i="23"/>
  <c r="K724" i="23" s="1"/>
  <c r="AV467" i="23"/>
  <c r="AW467" i="23" s="1"/>
  <c r="AX467" i="23" s="1"/>
  <c r="AV468" i="23"/>
  <c r="AW468" i="23" s="1"/>
  <c r="AX468" i="23" s="1"/>
  <c r="AV465" i="23"/>
  <c r="AW465" i="23" s="1"/>
  <c r="AX465" i="23" s="1"/>
  <c r="G97" i="23"/>
  <c r="AO158" i="26" s="1"/>
  <c r="Z705" i="11"/>
  <c r="Z704" i="11"/>
  <c r="Z702" i="11"/>
  <c r="AB705" i="11"/>
  <c r="AB704" i="11"/>
  <c r="M80" i="11"/>
  <c r="M82" i="11" s="1"/>
  <c r="M83" i="11"/>
  <c r="F68" i="11"/>
  <c r="CD266" i="27"/>
  <c r="CG266" i="27"/>
  <c r="CH262" i="27"/>
  <c r="CI262" i="27" s="1"/>
  <c r="CJ262" i="27" s="1"/>
  <c r="CK262" i="27" s="1"/>
  <c r="CL262" i="27" s="1"/>
  <c r="CM262" i="27" s="1"/>
  <c r="CN262" i="27" s="1"/>
  <c r="CK182" i="27"/>
  <c r="CG98" i="27"/>
  <c r="CH94" i="27"/>
  <c r="CD13" i="27"/>
  <c r="CN182" i="27"/>
  <c r="CO178" i="27"/>
  <c r="CP178" i="27" s="1"/>
  <c r="CQ178" i="27" s="1"/>
  <c r="CR178" i="27" s="1"/>
  <c r="CS178" i="27" s="1"/>
  <c r="CT178" i="27" s="1"/>
  <c r="CU178" i="27" s="1"/>
  <c r="CG13" i="27"/>
  <c r="CH9" i="27"/>
  <c r="CI9" i="27" s="1"/>
  <c r="CJ9" i="27" s="1"/>
  <c r="CK9" i="27" s="1"/>
  <c r="CL9" i="27" s="1"/>
  <c r="CM9" i="27" s="1"/>
  <c r="CN9" i="27" s="1"/>
  <c r="CD98" i="27"/>
  <c r="J349" i="11" l="1"/>
  <c r="K94" i="14" s="1"/>
  <c r="R94" i="14" s="1"/>
  <c r="M219" i="25"/>
  <c r="J342" i="11"/>
  <c r="K87" i="14" s="1"/>
  <c r="R87" i="14" s="1"/>
  <c r="N362" i="11"/>
  <c r="J362" i="11" s="1"/>
  <c r="J350" i="11"/>
  <c r="K95" i="14" s="1"/>
  <c r="R95" i="14" s="1"/>
  <c r="M339" i="11"/>
  <c r="J347" i="11"/>
  <c r="K92" i="14" s="1"/>
  <c r="R92" i="14" s="1"/>
  <c r="J346" i="11"/>
  <c r="K346" i="11" s="1"/>
  <c r="O91" i="14" s="1"/>
  <c r="M363" i="11"/>
  <c r="M362" i="11"/>
  <c r="N363" i="11"/>
  <c r="J363" i="11" s="1"/>
  <c r="K363" i="11" s="1"/>
  <c r="Q40" i="14"/>
  <c r="AC40" i="14" s="1"/>
  <c r="H319" i="11"/>
  <c r="AO154" i="26"/>
  <c r="AO155" i="26"/>
  <c r="O55" i="11"/>
  <c r="F66" i="11" s="1"/>
  <c r="J591" i="11" s="1"/>
  <c r="AO156" i="26"/>
  <c r="BX7" i="26"/>
  <c r="E9" i="26"/>
  <c r="AK24" i="26"/>
  <c r="AM24" i="26" s="1"/>
  <c r="AK25" i="26"/>
  <c r="AA228" i="11"/>
  <c r="Z228" i="11"/>
  <c r="AY469" i="23"/>
  <c r="J325" i="11"/>
  <c r="N341" i="11" s="1"/>
  <c r="M350" i="11" s="1"/>
  <c r="J339" i="11" s="1"/>
  <c r="C233" i="11"/>
  <c r="D40" i="14" s="1"/>
  <c r="K110" i="14"/>
  <c r="R110" i="14" s="1"/>
  <c r="K111" i="14"/>
  <c r="R111" i="14" s="1"/>
  <c r="K289" i="26"/>
  <c r="K213" i="14" s="1"/>
  <c r="R213" i="14" s="1"/>
  <c r="D77" i="26"/>
  <c r="I267" i="26" s="1"/>
  <c r="K52" i="14" s="1"/>
  <c r="R52" i="14" s="1"/>
  <c r="J290" i="11"/>
  <c r="N370" i="11"/>
  <c r="AB228" i="11"/>
  <c r="AC228" i="11"/>
  <c r="D55" i="23"/>
  <c r="D54" i="23"/>
  <c r="D57" i="23"/>
  <c r="C54" i="23"/>
  <c r="D56" i="23"/>
  <c r="M370" i="11"/>
  <c r="G58" i="31"/>
  <c r="J130" i="23"/>
  <c r="J131" i="23"/>
  <c r="J658" i="23"/>
  <c r="K658" i="23" s="1"/>
  <c r="M651" i="23"/>
  <c r="J369" i="11"/>
  <c r="F126" i="23"/>
  <c r="J685" i="23" s="1"/>
  <c r="K106" i="14"/>
  <c r="R106" i="14" s="1"/>
  <c r="W38" i="25"/>
  <c r="J81" i="11"/>
  <c r="K722" i="23"/>
  <c r="J661" i="23"/>
  <c r="J659" i="23"/>
  <c r="J662" i="23"/>
  <c r="D81" i="14"/>
  <c r="D82" i="14"/>
  <c r="F325" i="11"/>
  <c r="L130" i="23"/>
  <c r="F83" i="11"/>
  <c r="F132" i="23" s="1"/>
  <c r="L79" i="11"/>
  <c r="F78" i="11"/>
  <c r="S196" i="25"/>
  <c r="J364" i="11"/>
  <c r="K415" i="11"/>
  <c r="S194" i="25"/>
  <c r="J413" i="11"/>
  <c r="J291" i="11"/>
  <c r="K291" i="11" s="1"/>
  <c r="AY467" i="23"/>
  <c r="BN464" i="23" s="1"/>
  <c r="BM464" i="23" s="1"/>
  <c r="M654" i="23"/>
  <c r="L205" i="23"/>
  <c r="AY466" i="23"/>
  <c r="AP466" i="23" s="1"/>
  <c r="AY468" i="23"/>
  <c r="AP468" i="23" s="1"/>
  <c r="AB706" i="11"/>
  <c r="Z706" i="11" s="1"/>
  <c r="G730" i="11" s="1"/>
  <c r="G299" i="23" s="1"/>
  <c r="G729" i="11"/>
  <c r="G298" i="23" s="1"/>
  <c r="Z720" i="11"/>
  <c r="Z721" i="11" s="1"/>
  <c r="AB720" i="11" s="1"/>
  <c r="J721" i="11"/>
  <c r="Z688" i="11"/>
  <c r="J723" i="11"/>
  <c r="G690" i="11" s="1"/>
  <c r="J695" i="11" s="1"/>
  <c r="O669" i="11" s="1"/>
  <c r="J292" i="23"/>
  <c r="E121" i="22"/>
  <c r="F121" i="22" s="1"/>
  <c r="F143" i="22"/>
  <c r="H143" i="22" s="1"/>
  <c r="F135" i="22"/>
  <c r="H135" i="22" s="1"/>
  <c r="F146" i="22"/>
  <c r="H146" i="22" s="1"/>
  <c r="D114" i="22"/>
  <c r="F133" i="22"/>
  <c r="H133" i="22" s="1"/>
  <c r="F179" i="22"/>
  <c r="H179" i="22" s="1"/>
  <c r="F140" i="22"/>
  <c r="H140" i="22" s="1"/>
  <c r="E128" i="22"/>
  <c r="F148" i="22"/>
  <c r="H148" i="22" s="1"/>
  <c r="F182" i="22"/>
  <c r="H182" i="22" s="1"/>
  <c r="F150" i="22"/>
  <c r="H150" i="22" s="1"/>
  <c r="E176" i="22"/>
  <c r="AY465" i="23"/>
  <c r="AP465" i="23" s="1"/>
  <c r="L549" i="23"/>
  <c r="L550" i="23" s="1"/>
  <c r="L163" i="23"/>
  <c r="L713" i="23"/>
  <c r="L552" i="23"/>
  <c r="J602" i="23"/>
  <c r="L175" i="23"/>
  <c r="L215" i="23"/>
  <c r="L170" i="23"/>
  <c r="L558" i="23"/>
  <c r="L715" i="23"/>
  <c r="J603" i="23"/>
  <c r="K603" i="23" s="1"/>
  <c r="L208" i="23"/>
  <c r="L219" i="23"/>
  <c r="L716" i="23"/>
  <c r="L176" i="23"/>
  <c r="L165" i="23"/>
  <c r="J684" i="23"/>
  <c r="L169" i="23"/>
  <c r="L599" i="23"/>
  <c r="J675" i="23"/>
  <c r="K675" i="23" s="1"/>
  <c r="L714" i="23"/>
  <c r="L560" i="23"/>
  <c r="L172" i="23"/>
  <c r="J663" i="23"/>
  <c r="L555" i="23"/>
  <c r="L557" i="23"/>
  <c r="L168" i="23"/>
  <c r="L718" i="23"/>
  <c r="L223" i="23"/>
  <c r="L167" i="23"/>
  <c r="L717" i="23"/>
  <c r="J674" i="23"/>
  <c r="K674" i="23" s="1"/>
  <c r="J723" i="23"/>
  <c r="K723" i="23" s="1"/>
  <c r="L719" i="23"/>
  <c r="L203" i="23"/>
  <c r="J606" i="23"/>
  <c r="N653" i="23"/>
  <c r="J676" i="23"/>
  <c r="K676" i="23" s="1"/>
  <c r="L210" i="23"/>
  <c r="L177" i="23"/>
  <c r="L213" i="23"/>
  <c r="L222" i="23"/>
  <c r="L166" i="23"/>
  <c r="M652" i="23"/>
  <c r="L173" i="23"/>
  <c r="L207" i="23"/>
  <c r="L211" i="23"/>
  <c r="L178" i="23"/>
  <c r="L164" i="23"/>
  <c r="L171" i="23"/>
  <c r="L174" i="23"/>
  <c r="L712" i="23"/>
  <c r="L209" i="23"/>
  <c r="L548" i="23"/>
  <c r="L554" i="23"/>
  <c r="L711" i="23"/>
  <c r="H7" i="17"/>
  <c r="X207" i="14"/>
  <c r="K41" i="14"/>
  <c r="R41" i="14" s="1"/>
  <c r="L235" i="11"/>
  <c r="K42" i="14" s="1"/>
  <c r="R42" i="14" s="1"/>
  <c r="S185" i="25"/>
  <c r="K294" i="11"/>
  <c r="W32" i="25"/>
  <c r="X32" i="25" s="1"/>
  <c r="W37" i="25"/>
  <c r="F24" i="25"/>
  <c r="AL19" i="26"/>
  <c r="BW15" i="26" s="1"/>
  <c r="BT24" i="26" s="1"/>
  <c r="M662" i="23"/>
  <c r="J651" i="23" s="1"/>
  <c r="J593" i="11"/>
  <c r="AA160" i="11"/>
  <c r="AD160" i="11"/>
  <c r="Z160" i="11"/>
  <c r="AC160" i="11"/>
  <c r="AB160" i="11"/>
  <c r="AE160" i="11"/>
  <c r="M81" i="11"/>
  <c r="CK13" i="27"/>
  <c r="CN13" i="27"/>
  <c r="CO9" i="27"/>
  <c r="CP9" i="27" s="1"/>
  <c r="CQ9" i="27" s="1"/>
  <c r="CR9" i="27" s="1"/>
  <c r="CS9" i="27" s="1"/>
  <c r="CT9" i="27" s="1"/>
  <c r="CU9" i="27" s="1"/>
  <c r="CR182" i="27"/>
  <c r="CI94" i="27"/>
  <c r="CJ94" i="27" s="1"/>
  <c r="CK94" i="27" s="1"/>
  <c r="CL94" i="27" s="1"/>
  <c r="CM94" i="27" s="1"/>
  <c r="CN94" i="27" s="1"/>
  <c r="CU182" i="27"/>
  <c r="CV178" i="27"/>
  <c r="CW178" i="27" s="1"/>
  <c r="CX178" i="27" s="1"/>
  <c r="CY178" i="27" s="1"/>
  <c r="CZ178" i="27" s="1"/>
  <c r="DA178" i="27" s="1"/>
  <c r="DB178" i="27" s="1"/>
  <c r="CK266" i="27"/>
  <c r="CN266" i="27"/>
  <c r="CO262" i="27"/>
  <c r="CP262" i="27" s="1"/>
  <c r="CQ262" i="27" s="1"/>
  <c r="CR262" i="27" s="1"/>
  <c r="CS262" i="27" s="1"/>
  <c r="CT262" i="27" s="1"/>
  <c r="CU262" i="27" s="1"/>
  <c r="L27" i="24" l="1"/>
  <c r="L403" i="11"/>
  <c r="K114" i="14" s="1"/>
  <c r="R114" i="14" s="1"/>
  <c r="M218" i="25"/>
  <c r="J341" i="11"/>
  <c r="K86" i="14" s="1"/>
  <c r="K157" i="14" s="1"/>
  <c r="R157" i="14" s="1"/>
  <c r="D26" i="35" s="1"/>
  <c r="E26" i="35" s="1"/>
  <c r="L616" i="11"/>
  <c r="K151" i="14" s="1"/>
  <c r="R151" i="14" s="1"/>
  <c r="D21" i="35" s="1"/>
  <c r="E21" i="35" s="1"/>
  <c r="J343" i="11"/>
  <c r="K88" i="14" s="1"/>
  <c r="R88" i="14" s="1"/>
  <c r="L618" i="11"/>
  <c r="K153" i="14" s="1"/>
  <c r="R153" i="14" s="1"/>
  <c r="D23" i="35" s="1"/>
  <c r="E23" i="35" s="1"/>
  <c r="K91" i="14"/>
  <c r="R91" i="14" s="1"/>
  <c r="F53" i="31"/>
  <c r="L625" i="11"/>
  <c r="K163" i="14" s="1"/>
  <c r="R163" i="14" s="1"/>
  <c r="D32" i="35" s="1"/>
  <c r="E32" i="35" s="1"/>
  <c r="M342" i="11"/>
  <c r="L617" i="11"/>
  <c r="K152" i="14" s="1"/>
  <c r="R152" i="14" s="1"/>
  <c r="D22" i="35" s="1"/>
  <c r="E22" i="35" s="1"/>
  <c r="L615" i="11"/>
  <c r="K150" i="14" s="1"/>
  <c r="J340" i="11"/>
  <c r="K85" i="14" s="1"/>
  <c r="J348" i="11"/>
  <c r="K93" i="14" s="1"/>
  <c r="R93" i="14" s="1"/>
  <c r="R272" i="14"/>
  <c r="R273" i="14"/>
  <c r="G689" i="11"/>
  <c r="G695" i="11" s="1"/>
  <c r="AM703" i="11"/>
  <c r="Z159" i="11"/>
  <c r="H168" i="22" s="1"/>
  <c r="AC159" i="11"/>
  <c r="AB159" i="11"/>
  <c r="AA159" i="11"/>
  <c r="AA161" i="11" s="1"/>
  <c r="AA164" i="11" s="1"/>
  <c r="Z227" i="11"/>
  <c r="AE159" i="11"/>
  <c r="AE161" i="11" s="1"/>
  <c r="AE164" i="11" s="1"/>
  <c r="AD159" i="11"/>
  <c r="AA227" i="11"/>
  <c r="AA229" i="11" s="1"/>
  <c r="AA234" i="11" s="1"/>
  <c r="AA238" i="11" s="1"/>
  <c r="AK225" i="11" s="1"/>
  <c r="AK26" i="26"/>
  <c r="AL7" i="26" s="1"/>
  <c r="AO7" i="26" s="1"/>
  <c r="BN466" i="23"/>
  <c r="AP469" i="23"/>
  <c r="L37" i="24"/>
  <c r="M381" i="11"/>
  <c r="N381" i="11"/>
  <c r="J382" i="11" s="1"/>
  <c r="J370" i="11"/>
  <c r="J371" i="11" s="1"/>
  <c r="BW24" i="26"/>
  <c r="BX24" i="26" s="1"/>
  <c r="K7" i="26"/>
  <c r="L7" i="26"/>
  <c r="BW14" i="26"/>
  <c r="S187" i="25"/>
  <c r="D174" i="27"/>
  <c r="R40" i="14"/>
  <c r="K290" i="11"/>
  <c r="K102" i="14"/>
  <c r="R102" i="14" s="1"/>
  <c r="J681" i="23"/>
  <c r="J694" i="23" s="1"/>
  <c r="K694" i="23" s="1"/>
  <c r="J682" i="23"/>
  <c r="J683" i="23" s="1"/>
  <c r="S195" i="25"/>
  <c r="J773" i="11"/>
  <c r="C341" i="11"/>
  <c r="D86" i="14" s="1"/>
  <c r="I339" i="11"/>
  <c r="D85" i="14"/>
  <c r="C343" i="11"/>
  <c r="D88" i="14" s="1"/>
  <c r="C342" i="11"/>
  <c r="D87" i="14" s="1"/>
  <c r="W12" i="25"/>
  <c r="H16" i="19" s="1"/>
  <c r="K362" i="11"/>
  <c r="K364" i="11"/>
  <c r="S189" i="25"/>
  <c r="F127" i="23"/>
  <c r="W39" i="25"/>
  <c r="L80" i="11"/>
  <c r="L82" i="11" s="1"/>
  <c r="F79" i="11"/>
  <c r="BO464" i="23"/>
  <c r="BN462" i="23"/>
  <c r="BM462" i="23" s="1"/>
  <c r="BN465" i="23"/>
  <c r="BM465" i="23" s="1"/>
  <c r="S188" i="25"/>
  <c r="S182" i="25"/>
  <c r="D342" i="27"/>
  <c r="K413" i="11"/>
  <c r="D90" i="27"/>
  <c r="D258" i="27"/>
  <c r="S181" i="25"/>
  <c r="BP464" i="23"/>
  <c r="AP467" i="23"/>
  <c r="BN463" i="23"/>
  <c r="BP463" i="23" s="1"/>
  <c r="L216" i="23"/>
  <c r="L620" i="11"/>
  <c r="K158" i="14" s="1"/>
  <c r="R158" i="14" s="1"/>
  <c r="D27" i="35" s="1"/>
  <c r="E27" i="35" s="1"/>
  <c r="AB724" i="11"/>
  <c r="Z724" i="11" s="1"/>
  <c r="Z725" i="11" s="1"/>
  <c r="H184" i="22"/>
  <c r="G186" i="22" s="1"/>
  <c r="BT71" i="26"/>
  <c r="BT45" i="26"/>
  <c r="K606" i="23"/>
  <c r="L592" i="23"/>
  <c r="K602" i="23"/>
  <c r="L659" i="11"/>
  <c r="M659" i="11" s="1"/>
  <c r="L660" i="11"/>
  <c r="M660" i="11" s="1"/>
  <c r="J290" i="23"/>
  <c r="Z690" i="11"/>
  <c r="Z689" i="11"/>
  <c r="AF687" i="11" s="1"/>
  <c r="CY182" i="27"/>
  <c r="CU266" i="27"/>
  <c r="CV262" i="27"/>
  <c r="CW262" i="27" s="1"/>
  <c r="CX262" i="27" s="1"/>
  <c r="CY262" i="27" s="1"/>
  <c r="CZ262" i="27" s="1"/>
  <c r="DA262" i="27" s="1"/>
  <c r="DB262" i="27" s="1"/>
  <c r="CN98" i="27"/>
  <c r="CO94" i="27"/>
  <c r="CP94" i="27" s="1"/>
  <c r="CQ94" i="27" s="1"/>
  <c r="CR94" i="27" s="1"/>
  <c r="CS94" i="27" s="1"/>
  <c r="CT94" i="27" s="1"/>
  <c r="CU94" i="27" s="1"/>
  <c r="CU13" i="27"/>
  <c r="CV9" i="27"/>
  <c r="CW9" i="27" s="1"/>
  <c r="CX9" i="27" s="1"/>
  <c r="CY9" i="27" s="1"/>
  <c r="CZ9" i="27" s="1"/>
  <c r="DA9" i="27" s="1"/>
  <c r="DB9" i="27" s="1"/>
  <c r="DB182" i="27"/>
  <c r="DC178" i="27"/>
  <c r="DD178" i="27" s="1"/>
  <c r="DE178" i="27" s="1"/>
  <c r="DF178" i="27" s="1"/>
  <c r="DG178" i="27" s="1"/>
  <c r="DH178" i="27" s="1"/>
  <c r="DI178" i="27" s="1"/>
  <c r="CK98" i="27"/>
  <c r="CR266" i="27"/>
  <c r="CR13" i="27"/>
  <c r="AC271" i="14" l="1"/>
  <c r="J345" i="11"/>
  <c r="K90" i="14" s="1"/>
  <c r="R90" i="14" s="1"/>
  <c r="R86" i="14"/>
  <c r="R150" i="14"/>
  <c r="J344" i="11"/>
  <c r="K89" i="14" s="1"/>
  <c r="F165" i="22"/>
  <c r="H165" i="22" s="1"/>
  <c r="G173" i="22" s="1"/>
  <c r="K81" i="14"/>
  <c r="AC268" i="14"/>
  <c r="R85" i="14"/>
  <c r="R269" i="14"/>
  <c r="G696" i="11"/>
  <c r="G702" i="11"/>
  <c r="CF71" i="26"/>
  <c r="D106" i="25" s="1"/>
  <c r="B106" i="25" s="1"/>
  <c r="O134" i="26"/>
  <c r="G697" i="11"/>
  <c r="I695" i="11"/>
  <c r="F667" i="11" s="1"/>
  <c r="AK237" i="11"/>
  <c r="AM237" i="11" s="1"/>
  <c r="AK242" i="11"/>
  <c r="AO242" i="11" s="1"/>
  <c r="AK238" i="11"/>
  <c r="AP238" i="11" s="1"/>
  <c r="AK228" i="11"/>
  <c r="AM228" i="11" s="1"/>
  <c r="AK233" i="11"/>
  <c r="AO233" i="11" s="1"/>
  <c r="AK241" i="11"/>
  <c r="AO241" i="11" s="1"/>
  <c r="AK227" i="11"/>
  <c r="AM227" i="11" s="1"/>
  <c r="AK229" i="11"/>
  <c r="AM229" i="11" s="1"/>
  <c r="AK239" i="11"/>
  <c r="AM239" i="11" s="1"/>
  <c r="AK226" i="11"/>
  <c r="AM226" i="11" s="1"/>
  <c r="AK234" i="11"/>
  <c r="AM234" i="11" s="1"/>
  <c r="AK236" i="11"/>
  <c r="AP236" i="11" s="1"/>
  <c r="AK232" i="11"/>
  <c r="AP232" i="11" s="1"/>
  <c r="AK235" i="11"/>
  <c r="AM235" i="11" s="1"/>
  <c r="AM225" i="11"/>
  <c r="AL9" i="26"/>
  <c r="AM9" i="26" s="1"/>
  <c r="AM26" i="26"/>
  <c r="AP39" i="26"/>
  <c r="AK30" i="26" s="1"/>
  <c r="K82" i="14"/>
  <c r="R82" i="14" s="1"/>
  <c r="BP466" i="23"/>
  <c r="BM466" i="23"/>
  <c r="BO466" i="23"/>
  <c r="L30" i="24"/>
  <c r="X104" i="14"/>
  <c r="AF688" i="11"/>
  <c r="G726" i="11" s="1"/>
  <c r="G295" i="23" s="1"/>
  <c r="AJ692" i="11"/>
  <c r="AL692" i="11" s="1"/>
  <c r="AK692" i="11"/>
  <c r="AK699" i="11" s="1"/>
  <c r="AR9" i="26"/>
  <c r="BW45" i="26"/>
  <c r="BX45" i="26" s="1"/>
  <c r="S191" i="25"/>
  <c r="K382" i="11"/>
  <c r="AD720" i="11"/>
  <c r="J82" i="14"/>
  <c r="J81" i="14"/>
  <c r="H18" i="19"/>
  <c r="H45" i="19"/>
  <c r="H17" i="19"/>
  <c r="H19" i="19"/>
  <c r="H44" i="19"/>
  <c r="H43" i="19"/>
  <c r="H46" i="19"/>
  <c r="H42" i="19"/>
  <c r="H41" i="19"/>
  <c r="BO462" i="23"/>
  <c r="BP465" i="23"/>
  <c r="L81" i="11"/>
  <c r="F81" i="11" s="1"/>
  <c r="F130" i="23" s="1"/>
  <c r="F82" i="11"/>
  <c r="M40" i="11" s="1"/>
  <c r="F80" i="11"/>
  <c r="O53" i="12"/>
  <c r="Q53" i="12" s="1"/>
  <c r="R53" i="12" s="1"/>
  <c r="T53" i="12" s="1"/>
  <c r="U53" i="12" s="1"/>
  <c r="O17" i="12"/>
  <c r="Q17" i="12" s="1"/>
  <c r="R17" i="12" s="1"/>
  <c r="T17" i="12" s="1"/>
  <c r="U17" i="12" s="1"/>
  <c r="O63" i="12"/>
  <c r="Q63" i="12" s="1"/>
  <c r="R63" i="12" s="1"/>
  <c r="T63" i="12" s="1"/>
  <c r="U63" i="12" s="1"/>
  <c r="O26" i="12"/>
  <c r="Q26" i="12" s="1"/>
  <c r="R26" i="12" s="1"/>
  <c r="T26" i="12" s="1"/>
  <c r="U26" i="12" s="1"/>
  <c r="O37" i="12"/>
  <c r="Q37" i="12" s="1"/>
  <c r="R37" i="12" s="1"/>
  <c r="T37" i="12" s="1"/>
  <c r="U37" i="12" s="1"/>
  <c r="O111" i="12"/>
  <c r="Q111" i="12" s="1"/>
  <c r="R111" i="12" s="1"/>
  <c r="T111" i="12" s="1"/>
  <c r="U111" i="12" s="1"/>
  <c r="O11" i="12"/>
  <c r="Q11" i="12" s="1"/>
  <c r="R11" i="12" s="1"/>
  <c r="T11" i="12" s="1"/>
  <c r="U11" i="12" s="1"/>
  <c r="O42" i="12"/>
  <c r="Q42" i="12" s="1"/>
  <c r="R42" i="12" s="1"/>
  <c r="T42" i="12" s="1"/>
  <c r="U42" i="12" s="1"/>
  <c r="O113" i="12"/>
  <c r="Q113" i="12" s="1"/>
  <c r="R113" i="12" s="1"/>
  <c r="T113" i="12" s="1"/>
  <c r="U113" i="12" s="1"/>
  <c r="O114" i="12"/>
  <c r="Q114" i="12" s="1"/>
  <c r="R114" i="12" s="1"/>
  <c r="T114" i="12" s="1"/>
  <c r="U114" i="12" s="1"/>
  <c r="O106" i="12"/>
  <c r="Q106" i="12" s="1"/>
  <c r="R106" i="12" s="1"/>
  <c r="T106" i="12" s="1"/>
  <c r="U106" i="12" s="1"/>
  <c r="O57" i="12"/>
  <c r="Q57" i="12" s="1"/>
  <c r="R57" i="12" s="1"/>
  <c r="T57" i="12" s="1"/>
  <c r="U57" i="12" s="1"/>
  <c r="O81" i="12"/>
  <c r="Q81" i="12" s="1"/>
  <c r="R81" i="12" s="1"/>
  <c r="T81" i="12" s="1"/>
  <c r="U81" i="12" s="1"/>
  <c r="O20" i="12"/>
  <c r="Q20" i="12" s="1"/>
  <c r="R20" i="12" s="1"/>
  <c r="T20" i="12" s="1"/>
  <c r="U20" i="12" s="1"/>
  <c r="O18" i="12"/>
  <c r="Q18" i="12" s="1"/>
  <c r="R18" i="12" s="1"/>
  <c r="T18" i="12" s="1"/>
  <c r="U18" i="12" s="1"/>
  <c r="O36" i="12"/>
  <c r="Q36" i="12" s="1"/>
  <c r="R36" i="12" s="1"/>
  <c r="T36" i="12" s="1"/>
  <c r="U36" i="12" s="1"/>
  <c r="O15" i="12"/>
  <c r="Q15" i="12" s="1"/>
  <c r="R15" i="12" s="1"/>
  <c r="T15" i="12" s="1"/>
  <c r="U15" i="12" s="1"/>
  <c r="O83" i="12"/>
  <c r="Q83" i="12" s="1"/>
  <c r="R83" i="12" s="1"/>
  <c r="T83" i="12" s="1"/>
  <c r="U83" i="12" s="1"/>
  <c r="O50" i="12"/>
  <c r="Q50" i="12" s="1"/>
  <c r="R50" i="12" s="1"/>
  <c r="T50" i="12" s="1"/>
  <c r="U50" i="12" s="1"/>
  <c r="O35" i="12"/>
  <c r="Q35" i="12" s="1"/>
  <c r="R35" i="12" s="1"/>
  <c r="T35" i="12" s="1"/>
  <c r="U35" i="12" s="1"/>
  <c r="O61" i="12"/>
  <c r="Q61" i="12" s="1"/>
  <c r="R61" i="12" s="1"/>
  <c r="T61" i="12" s="1"/>
  <c r="U61" i="12" s="1"/>
  <c r="O32" i="12"/>
  <c r="Q32" i="12" s="1"/>
  <c r="R32" i="12" s="1"/>
  <c r="T32" i="12" s="1"/>
  <c r="U32" i="12" s="1"/>
  <c r="O93" i="12"/>
  <c r="Q93" i="12" s="1"/>
  <c r="R93" i="12" s="1"/>
  <c r="T93" i="12" s="1"/>
  <c r="U93" i="12" s="1"/>
  <c r="O123" i="12"/>
  <c r="Q123" i="12" s="1"/>
  <c r="R123" i="12" s="1"/>
  <c r="T123" i="12" s="1"/>
  <c r="U123" i="12" s="1"/>
  <c r="O39" i="12"/>
  <c r="Q39" i="12" s="1"/>
  <c r="R39" i="12" s="1"/>
  <c r="T39" i="12" s="1"/>
  <c r="U39" i="12" s="1"/>
  <c r="O104" i="12"/>
  <c r="Q104" i="12" s="1"/>
  <c r="R104" i="12" s="1"/>
  <c r="T104" i="12" s="1"/>
  <c r="U104" i="12" s="1"/>
  <c r="O19" i="12"/>
  <c r="Q19" i="12" s="1"/>
  <c r="R19" i="12" s="1"/>
  <c r="T19" i="12" s="1"/>
  <c r="U19" i="12" s="1"/>
  <c r="O12" i="12"/>
  <c r="Q12" i="12" s="1"/>
  <c r="R12" i="12" s="1"/>
  <c r="T12" i="12" s="1"/>
  <c r="U12" i="12" s="1"/>
  <c r="O8" i="12"/>
  <c r="Q8" i="12" s="1"/>
  <c r="R8" i="12" s="1"/>
  <c r="T8" i="12" s="1"/>
  <c r="U8" i="12" s="1"/>
  <c r="O95" i="12"/>
  <c r="Q95" i="12" s="1"/>
  <c r="R95" i="12" s="1"/>
  <c r="T95" i="12" s="1"/>
  <c r="U95" i="12" s="1"/>
  <c r="O75" i="12"/>
  <c r="Q75" i="12" s="1"/>
  <c r="R75" i="12" s="1"/>
  <c r="T75" i="12" s="1"/>
  <c r="U75" i="12" s="1"/>
  <c r="O70" i="12"/>
  <c r="Q70" i="12" s="1"/>
  <c r="R70" i="12" s="1"/>
  <c r="T70" i="12" s="1"/>
  <c r="U70" i="12" s="1"/>
  <c r="O74" i="12"/>
  <c r="Q74" i="12" s="1"/>
  <c r="R74" i="12" s="1"/>
  <c r="T74" i="12" s="1"/>
  <c r="U74" i="12" s="1"/>
  <c r="O16" i="12"/>
  <c r="Q16" i="12" s="1"/>
  <c r="R16" i="12" s="1"/>
  <c r="T16" i="12" s="1"/>
  <c r="U16" i="12" s="1"/>
  <c r="O5" i="12"/>
  <c r="Q5" i="12" s="1"/>
  <c r="R5" i="12" s="1"/>
  <c r="T5" i="12" s="1"/>
  <c r="U5" i="12" s="1"/>
  <c r="O116" i="12"/>
  <c r="Q116" i="12" s="1"/>
  <c r="R116" i="12" s="1"/>
  <c r="T116" i="12" s="1"/>
  <c r="U116" i="12" s="1"/>
  <c r="O13" i="12"/>
  <c r="Q13" i="12" s="1"/>
  <c r="R13" i="12" s="1"/>
  <c r="T13" i="12" s="1"/>
  <c r="U13" i="12" s="1"/>
  <c r="O65" i="12"/>
  <c r="Q65" i="12" s="1"/>
  <c r="R65" i="12" s="1"/>
  <c r="T65" i="12" s="1"/>
  <c r="U65" i="12" s="1"/>
  <c r="O107" i="12"/>
  <c r="Q107" i="12" s="1"/>
  <c r="R107" i="12" s="1"/>
  <c r="T107" i="12" s="1"/>
  <c r="U107" i="12" s="1"/>
  <c r="O105" i="12"/>
  <c r="Q105" i="12" s="1"/>
  <c r="R105" i="12" s="1"/>
  <c r="T105" i="12" s="1"/>
  <c r="U105" i="12" s="1"/>
  <c r="O101" i="12"/>
  <c r="Q101" i="12" s="1"/>
  <c r="R101" i="12" s="1"/>
  <c r="T101" i="12" s="1"/>
  <c r="U101" i="12" s="1"/>
  <c r="O60" i="12"/>
  <c r="Q60" i="12" s="1"/>
  <c r="R60" i="12" s="1"/>
  <c r="T60" i="12" s="1"/>
  <c r="U60" i="12" s="1"/>
  <c r="O69" i="12"/>
  <c r="Q69" i="12" s="1"/>
  <c r="R69" i="12" s="1"/>
  <c r="T69" i="12" s="1"/>
  <c r="U69" i="12" s="1"/>
  <c r="O117" i="12"/>
  <c r="Q117" i="12" s="1"/>
  <c r="R117" i="12" s="1"/>
  <c r="T117" i="12" s="1"/>
  <c r="U117" i="12" s="1"/>
  <c r="O94" i="12"/>
  <c r="Q94" i="12" s="1"/>
  <c r="R94" i="12" s="1"/>
  <c r="T94" i="12" s="1"/>
  <c r="U94" i="12" s="1"/>
  <c r="O66" i="12"/>
  <c r="Q66" i="12" s="1"/>
  <c r="R66" i="12" s="1"/>
  <c r="T66" i="12" s="1"/>
  <c r="U66" i="12" s="1"/>
  <c r="O48" i="12"/>
  <c r="Q48" i="12" s="1"/>
  <c r="R48" i="12" s="1"/>
  <c r="T48" i="12" s="1"/>
  <c r="U48" i="12" s="1"/>
  <c r="O34" i="12"/>
  <c r="Q34" i="12" s="1"/>
  <c r="R34" i="12" s="1"/>
  <c r="T34" i="12" s="1"/>
  <c r="U34" i="12" s="1"/>
  <c r="O118" i="12"/>
  <c r="Q118" i="12" s="1"/>
  <c r="R118" i="12" s="1"/>
  <c r="T118" i="12" s="1"/>
  <c r="U118" i="12" s="1"/>
  <c r="O51" i="12"/>
  <c r="Q51" i="12" s="1"/>
  <c r="R51" i="12" s="1"/>
  <c r="T51" i="12" s="1"/>
  <c r="U51" i="12" s="1"/>
  <c r="O25" i="12"/>
  <c r="Q25" i="12" s="1"/>
  <c r="R25" i="12" s="1"/>
  <c r="T25" i="12" s="1"/>
  <c r="U25" i="12" s="1"/>
  <c r="O22" i="12"/>
  <c r="Q22" i="12" s="1"/>
  <c r="R22" i="12" s="1"/>
  <c r="T22" i="12" s="1"/>
  <c r="U22" i="12" s="1"/>
  <c r="O14" i="12"/>
  <c r="Q14" i="12" s="1"/>
  <c r="R14" i="12" s="1"/>
  <c r="T14" i="12" s="1"/>
  <c r="U14" i="12" s="1"/>
  <c r="O38" i="12"/>
  <c r="Q38" i="12" s="1"/>
  <c r="R38" i="12" s="1"/>
  <c r="T38" i="12" s="1"/>
  <c r="U38" i="12" s="1"/>
  <c r="O40" i="12"/>
  <c r="Q40" i="12" s="1"/>
  <c r="R40" i="12" s="1"/>
  <c r="T40" i="12" s="1"/>
  <c r="U40" i="12" s="1"/>
  <c r="O79" i="12"/>
  <c r="Q79" i="12" s="1"/>
  <c r="R79" i="12" s="1"/>
  <c r="T79" i="12" s="1"/>
  <c r="U79" i="12" s="1"/>
  <c r="O10" i="12"/>
  <c r="Q10" i="12" s="1"/>
  <c r="R10" i="12" s="1"/>
  <c r="T10" i="12" s="1"/>
  <c r="U10" i="12" s="1"/>
  <c r="O31" i="12"/>
  <c r="Q31" i="12" s="1"/>
  <c r="R31" i="12" s="1"/>
  <c r="T31" i="12" s="1"/>
  <c r="U31" i="12" s="1"/>
  <c r="O71" i="12"/>
  <c r="Q71" i="12" s="1"/>
  <c r="R71" i="12" s="1"/>
  <c r="T71" i="12" s="1"/>
  <c r="U71" i="12" s="1"/>
  <c r="O64" i="12"/>
  <c r="Q64" i="12" s="1"/>
  <c r="R64" i="12" s="1"/>
  <c r="T64" i="12" s="1"/>
  <c r="U64" i="12" s="1"/>
  <c r="O72" i="12"/>
  <c r="Q72" i="12" s="1"/>
  <c r="R72" i="12" s="1"/>
  <c r="T72" i="12" s="1"/>
  <c r="U72" i="12" s="1"/>
  <c r="O23" i="12"/>
  <c r="Q23" i="12" s="1"/>
  <c r="R23" i="12" s="1"/>
  <c r="T23" i="12" s="1"/>
  <c r="U23" i="12" s="1"/>
  <c r="O119" i="12"/>
  <c r="Q119" i="12" s="1"/>
  <c r="R119" i="12" s="1"/>
  <c r="T119" i="12" s="1"/>
  <c r="U119" i="12" s="1"/>
  <c r="O89" i="12"/>
  <c r="Q89" i="12" s="1"/>
  <c r="R89" i="12" s="1"/>
  <c r="T89" i="12" s="1"/>
  <c r="U89" i="12" s="1"/>
  <c r="O68" i="12"/>
  <c r="Q68" i="12" s="1"/>
  <c r="R68" i="12" s="1"/>
  <c r="T68" i="12" s="1"/>
  <c r="U68" i="12" s="1"/>
  <c r="O120" i="12"/>
  <c r="Q120" i="12" s="1"/>
  <c r="R120" i="12" s="1"/>
  <c r="T120" i="12" s="1"/>
  <c r="U120" i="12" s="1"/>
  <c r="O7" i="12"/>
  <c r="Q7" i="12" s="1"/>
  <c r="R7" i="12" s="1"/>
  <c r="T7" i="12" s="1"/>
  <c r="U7" i="12" s="1"/>
  <c r="O103" i="12"/>
  <c r="Q103" i="12" s="1"/>
  <c r="R103" i="12" s="1"/>
  <c r="T103" i="12" s="1"/>
  <c r="U103" i="12" s="1"/>
  <c r="O33" i="12"/>
  <c r="Q33" i="12" s="1"/>
  <c r="R33" i="12" s="1"/>
  <c r="T33" i="12" s="1"/>
  <c r="U33" i="12" s="1"/>
  <c r="O80" i="12"/>
  <c r="Q80" i="12" s="1"/>
  <c r="R80" i="12" s="1"/>
  <c r="T80" i="12" s="1"/>
  <c r="U80" i="12" s="1"/>
  <c r="O125" i="12"/>
  <c r="Q125" i="12" s="1"/>
  <c r="R125" i="12" s="1"/>
  <c r="T125" i="12" s="1"/>
  <c r="U125" i="12" s="1"/>
  <c r="O55" i="12"/>
  <c r="Q55" i="12" s="1"/>
  <c r="R55" i="12" s="1"/>
  <c r="T55" i="12" s="1"/>
  <c r="U55" i="12" s="1"/>
  <c r="O30" i="12"/>
  <c r="Q30" i="12" s="1"/>
  <c r="R30" i="12" s="1"/>
  <c r="T30" i="12" s="1"/>
  <c r="U30" i="12" s="1"/>
  <c r="O85" i="12"/>
  <c r="Q85" i="12" s="1"/>
  <c r="R85" i="12" s="1"/>
  <c r="T85" i="12" s="1"/>
  <c r="U85" i="12" s="1"/>
  <c r="O126" i="12"/>
  <c r="Q126" i="12" s="1"/>
  <c r="R126" i="12" s="1"/>
  <c r="T126" i="12" s="1"/>
  <c r="U126" i="12" s="1"/>
  <c r="O124" i="12"/>
  <c r="Q124" i="12" s="1"/>
  <c r="R124" i="12" s="1"/>
  <c r="T124" i="12" s="1"/>
  <c r="U124" i="12" s="1"/>
  <c r="O92" i="12"/>
  <c r="Q92" i="12" s="1"/>
  <c r="R92" i="12" s="1"/>
  <c r="T92" i="12" s="1"/>
  <c r="U92" i="12" s="1"/>
  <c r="O54" i="12"/>
  <c r="Q54" i="12" s="1"/>
  <c r="R54" i="12" s="1"/>
  <c r="T54" i="12" s="1"/>
  <c r="U54" i="12" s="1"/>
  <c r="O56" i="12"/>
  <c r="Q56" i="12" s="1"/>
  <c r="R56" i="12" s="1"/>
  <c r="T56" i="12" s="1"/>
  <c r="U56" i="12" s="1"/>
  <c r="O43" i="12"/>
  <c r="Q43" i="12" s="1"/>
  <c r="R43" i="12" s="1"/>
  <c r="T43" i="12" s="1"/>
  <c r="U43" i="12" s="1"/>
  <c r="O52" i="12"/>
  <c r="Q52" i="12" s="1"/>
  <c r="R52" i="12" s="1"/>
  <c r="T52" i="12" s="1"/>
  <c r="U52" i="12" s="1"/>
  <c r="O87" i="12"/>
  <c r="Q87" i="12" s="1"/>
  <c r="R87" i="12" s="1"/>
  <c r="T87" i="12" s="1"/>
  <c r="U87" i="12" s="1"/>
  <c r="O58" i="12"/>
  <c r="Q58" i="12" s="1"/>
  <c r="R58" i="12" s="1"/>
  <c r="T58" i="12" s="1"/>
  <c r="U58" i="12" s="1"/>
  <c r="O67" i="12"/>
  <c r="Q67" i="12" s="1"/>
  <c r="R67" i="12" s="1"/>
  <c r="T67" i="12" s="1"/>
  <c r="U67" i="12" s="1"/>
  <c r="O109" i="12"/>
  <c r="Q109" i="12" s="1"/>
  <c r="R109" i="12" s="1"/>
  <c r="T109" i="12" s="1"/>
  <c r="U109" i="12" s="1"/>
  <c r="O84" i="12"/>
  <c r="Q84" i="12" s="1"/>
  <c r="R84" i="12" s="1"/>
  <c r="T84" i="12" s="1"/>
  <c r="U84" i="12" s="1"/>
  <c r="O97" i="12"/>
  <c r="Q97" i="12" s="1"/>
  <c r="R97" i="12" s="1"/>
  <c r="T97" i="12" s="1"/>
  <c r="U97" i="12" s="1"/>
  <c r="O21" i="12"/>
  <c r="Q21" i="12" s="1"/>
  <c r="R21" i="12" s="1"/>
  <c r="T21" i="12" s="1"/>
  <c r="U21" i="12" s="1"/>
  <c r="O122" i="12"/>
  <c r="Q122" i="12" s="1"/>
  <c r="R122" i="12" s="1"/>
  <c r="T122" i="12" s="1"/>
  <c r="U122" i="12" s="1"/>
  <c r="O121" i="12"/>
  <c r="Q121" i="12" s="1"/>
  <c r="R121" i="12" s="1"/>
  <c r="T121" i="12" s="1"/>
  <c r="U121" i="12" s="1"/>
  <c r="O110" i="12"/>
  <c r="Q110" i="12" s="1"/>
  <c r="R110" i="12" s="1"/>
  <c r="T110" i="12" s="1"/>
  <c r="U110" i="12" s="1"/>
  <c r="O90" i="12"/>
  <c r="Q90" i="12" s="1"/>
  <c r="R90" i="12" s="1"/>
  <c r="T90" i="12" s="1"/>
  <c r="U90" i="12" s="1"/>
  <c r="O47" i="12"/>
  <c r="Q47" i="12" s="1"/>
  <c r="R47" i="12" s="1"/>
  <c r="T47" i="12" s="1"/>
  <c r="U47" i="12" s="1"/>
  <c r="O28" i="12"/>
  <c r="Q28" i="12" s="1"/>
  <c r="R28" i="12" s="1"/>
  <c r="T28" i="12" s="1"/>
  <c r="U28" i="12" s="1"/>
  <c r="O73" i="12"/>
  <c r="Q73" i="12" s="1"/>
  <c r="R73" i="12" s="1"/>
  <c r="T73" i="12" s="1"/>
  <c r="U73" i="12" s="1"/>
  <c r="O45" i="12"/>
  <c r="Q45" i="12" s="1"/>
  <c r="R45" i="12" s="1"/>
  <c r="T45" i="12" s="1"/>
  <c r="U45" i="12" s="1"/>
  <c r="F128" i="23"/>
  <c r="O98" i="12"/>
  <c r="Q98" i="12" s="1"/>
  <c r="R98" i="12" s="1"/>
  <c r="T98" i="12" s="1"/>
  <c r="U98" i="12" s="1"/>
  <c r="O86" i="12"/>
  <c r="Q86" i="12" s="1"/>
  <c r="R86" i="12" s="1"/>
  <c r="T86" i="12" s="1"/>
  <c r="U86" i="12" s="1"/>
  <c r="O100" i="12"/>
  <c r="Q100" i="12" s="1"/>
  <c r="R100" i="12" s="1"/>
  <c r="T100" i="12" s="1"/>
  <c r="U100" i="12" s="1"/>
  <c r="O59" i="12"/>
  <c r="Q59" i="12" s="1"/>
  <c r="R59" i="12" s="1"/>
  <c r="T59" i="12" s="1"/>
  <c r="U59" i="12" s="1"/>
  <c r="W33" i="25"/>
  <c r="O76" i="12"/>
  <c r="Q76" i="12" s="1"/>
  <c r="R76" i="12" s="1"/>
  <c r="T76" i="12" s="1"/>
  <c r="U76" i="12" s="1"/>
  <c r="O49" i="12"/>
  <c r="Q49" i="12" s="1"/>
  <c r="R49" i="12" s="1"/>
  <c r="T49" i="12" s="1"/>
  <c r="U49" i="12" s="1"/>
  <c r="O96" i="12"/>
  <c r="Q96" i="12" s="1"/>
  <c r="R96" i="12" s="1"/>
  <c r="T96" i="12" s="1"/>
  <c r="U96" i="12" s="1"/>
  <c r="O112" i="12"/>
  <c r="Q112" i="12" s="1"/>
  <c r="R112" i="12" s="1"/>
  <c r="T112" i="12" s="1"/>
  <c r="U112" i="12" s="1"/>
  <c r="O9" i="12"/>
  <c r="Q9" i="12" s="1"/>
  <c r="R9" i="12" s="1"/>
  <c r="T9" i="12" s="1"/>
  <c r="U9" i="12" s="1"/>
  <c r="O46" i="12"/>
  <c r="Q46" i="12" s="1"/>
  <c r="R46" i="12" s="1"/>
  <c r="T46" i="12" s="1"/>
  <c r="U46" i="12" s="1"/>
  <c r="O102" i="12"/>
  <c r="Q102" i="12" s="1"/>
  <c r="R102" i="12" s="1"/>
  <c r="T102" i="12" s="1"/>
  <c r="U102" i="12" s="1"/>
  <c r="O108" i="12"/>
  <c r="Q108" i="12" s="1"/>
  <c r="R108" i="12" s="1"/>
  <c r="T108" i="12" s="1"/>
  <c r="U108" i="12" s="1"/>
  <c r="O44" i="12"/>
  <c r="Q44" i="12" s="1"/>
  <c r="R44" i="12" s="1"/>
  <c r="T44" i="12" s="1"/>
  <c r="U44" i="12" s="1"/>
  <c r="O78" i="12"/>
  <c r="Q78" i="12" s="1"/>
  <c r="R78" i="12" s="1"/>
  <c r="T78" i="12" s="1"/>
  <c r="U78" i="12" s="1"/>
  <c r="O62" i="12"/>
  <c r="Q62" i="12" s="1"/>
  <c r="R62" i="12" s="1"/>
  <c r="T62" i="12" s="1"/>
  <c r="U62" i="12" s="1"/>
  <c r="O27" i="12"/>
  <c r="Q27" i="12" s="1"/>
  <c r="R27" i="12" s="1"/>
  <c r="T27" i="12" s="1"/>
  <c r="U27" i="12" s="1"/>
  <c r="O41" i="12"/>
  <c r="Q41" i="12" s="1"/>
  <c r="R41" i="12" s="1"/>
  <c r="T41" i="12" s="1"/>
  <c r="U41" i="12" s="1"/>
  <c r="O99" i="12"/>
  <c r="Q99" i="12" s="1"/>
  <c r="R99" i="12" s="1"/>
  <c r="T99" i="12" s="1"/>
  <c r="U99" i="12" s="1"/>
  <c r="O24" i="12"/>
  <c r="Q24" i="12" s="1"/>
  <c r="R24" i="12" s="1"/>
  <c r="T24" i="12" s="1"/>
  <c r="U24" i="12" s="1"/>
  <c r="O88" i="12"/>
  <c r="Q88" i="12" s="1"/>
  <c r="R88" i="12" s="1"/>
  <c r="T88" i="12" s="1"/>
  <c r="U88" i="12" s="1"/>
  <c r="O29" i="12"/>
  <c r="Q29" i="12" s="1"/>
  <c r="R29" i="12" s="1"/>
  <c r="T29" i="12" s="1"/>
  <c r="U29" i="12" s="1"/>
  <c r="O6" i="12"/>
  <c r="Q6" i="12" s="1"/>
  <c r="R6" i="12" s="1"/>
  <c r="T6" i="12" s="1"/>
  <c r="U6" i="12" s="1"/>
  <c r="O82" i="12"/>
  <c r="Q82" i="12" s="1"/>
  <c r="R82" i="12" s="1"/>
  <c r="T82" i="12" s="1"/>
  <c r="U82" i="12" s="1"/>
  <c r="O115" i="12"/>
  <c r="Q115" i="12" s="1"/>
  <c r="R115" i="12" s="1"/>
  <c r="T115" i="12" s="1"/>
  <c r="U115" i="12" s="1"/>
  <c r="O91" i="12"/>
  <c r="Q91" i="12" s="1"/>
  <c r="R91" i="12" s="1"/>
  <c r="T91" i="12" s="1"/>
  <c r="U91" i="12" s="1"/>
  <c r="O77" i="12"/>
  <c r="Q77" i="12" s="1"/>
  <c r="R77" i="12" s="1"/>
  <c r="T77" i="12" s="1"/>
  <c r="U77" i="12" s="1"/>
  <c r="BO465" i="23"/>
  <c r="BP462" i="23"/>
  <c r="BO463" i="23"/>
  <c r="BM463" i="23"/>
  <c r="AD721" i="11"/>
  <c r="AF720" i="11"/>
  <c r="AJ721" i="11"/>
  <c r="AH721" i="11"/>
  <c r="AH720" i="11"/>
  <c r="AI721" i="11" s="1"/>
  <c r="K156" i="14"/>
  <c r="R156" i="14" s="1"/>
  <c r="D25" i="35" s="1"/>
  <c r="E25" i="35" s="1"/>
  <c r="G725" i="11"/>
  <c r="G294" i="23" s="1"/>
  <c r="AH687" i="11"/>
  <c r="AJ691" i="11"/>
  <c r="AM698" i="11" s="1"/>
  <c r="O217" i="23"/>
  <c r="L218" i="23" s="1"/>
  <c r="AH688" i="11"/>
  <c r="AD679" i="11" s="1"/>
  <c r="AE679" i="11" s="1"/>
  <c r="AA680" i="11" s="1"/>
  <c r="M592" i="23"/>
  <c r="L594" i="23"/>
  <c r="DK93" i="26"/>
  <c r="CA93" i="26"/>
  <c r="CR98" i="27"/>
  <c r="CY266" i="27"/>
  <c r="CY13" i="27"/>
  <c r="DB266" i="27"/>
  <c r="DC262" i="27"/>
  <c r="DD262" i="27" s="1"/>
  <c r="DE262" i="27" s="1"/>
  <c r="DF262" i="27" s="1"/>
  <c r="DG262" i="27" s="1"/>
  <c r="DH262" i="27" s="1"/>
  <c r="DI262" i="27" s="1"/>
  <c r="DF182" i="27"/>
  <c r="CV94" i="27"/>
  <c r="CW94" i="27" s="1"/>
  <c r="CX94" i="27" s="1"/>
  <c r="CY94" i="27" s="1"/>
  <c r="CZ94" i="27" s="1"/>
  <c r="DA94" i="27" s="1"/>
  <c r="DB94" i="27" s="1"/>
  <c r="CU98" i="27"/>
  <c r="DI182" i="27"/>
  <c r="DJ178" i="27"/>
  <c r="DK178" i="27" s="1"/>
  <c r="DL178" i="27" s="1"/>
  <c r="DM178" i="27" s="1"/>
  <c r="DN178" i="27" s="1"/>
  <c r="DO178" i="27" s="1"/>
  <c r="DP178" i="27" s="1"/>
  <c r="DB13" i="27"/>
  <c r="DC9" i="27"/>
  <c r="DD9" i="27" s="1"/>
  <c r="DE9" i="27" s="1"/>
  <c r="DF9" i="27" s="1"/>
  <c r="DG9" i="27" s="1"/>
  <c r="DH9" i="27" s="1"/>
  <c r="DI9" i="27" s="1"/>
  <c r="Q270" i="14" l="1"/>
  <c r="AC270" i="14" s="1"/>
  <c r="L18" i="24"/>
  <c r="D20" i="35"/>
  <c r="E20" i="35" s="1"/>
  <c r="R271" i="14"/>
  <c r="R89" i="14"/>
  <c r="L25" i="24" s="1"/>
  <c r="E83" i="14"/>
  <c r="G83" i="14" s="1"/>
  <c r="N36" i="19"/>
  <c r="M36" i="19"/>
  <c r="N38" i="19"/>
  <c r="M30" i="19"/>
  <c r="N35" i="19"/>
  <c r="N33" i="19"/>
  <c r="N30" i="19"/>
  <c r="N31" i="19"/>
  <c r="M38" i="19"/>
  <c r="M35" i="19"/>
  <c r="M31" i="19"/>
  <c r="M33" i="19"/>
  <c r="G699" i="11"/>
  <c r="G698" i="11"/>
  <c r="G701" i="11"/>
  <c r="O774" i="11" s="1"/>
  <c r="J742" i="11"/>
  <c r="AP237" i="11"/>
  <c r="BD237" i="11" s="1"/>
  <c r="AN238" i="11"/>
  <c r="AP242" i="11"/>
  <c r="AF242" i="11" s="1"/>
  <c r="AN239" i="11"/>
  <c r="AO239" i="11"/>
  <c r="AO237" i="11"/>
  <c r="AN237" i="11"/>
  <c r="AP239" i="11"/>
  <c r="AF239" i="11" s="1"/>
  <c r="AN234" i="11"/>
  <c r="AO232" i="11"/>
  <c r="AN232" i="11"/>
  <c r="AM232" i="11"/>
  <c r="AM233" i="11"/>
  <c r="AP233" i="11"/>
  <c r="BD233" i="11" s="1"/>
  <c r="AN233" i="11"/>
  <c r="AM236" i="11"/>
  <c r="AO236" i="11"/>
  <c r="AN235" i="11"/>
  <c r="AM241" i="11"/>
  <c r="AO235" i="11"/>
  <c r="AP235" i="11"/>
  <c r="AF235" i="11" s="1"/>
  <c r="AN236" i="11"/>
  <c r="AM242" i="11"/>
  <c r="AM238" i="11"/>
  <c r="AP234" i="11"/>
  <c r="AF234" i="11" s="1"/>
  <c r="AO238" i="11"/>
  <c r="AO234" i="11"/>
  <c r="AP241" i="11"/>
  <c r="AF241" i="11" s="1"/>
  <c r="AN242" i="11"/>
  <c r="AN241" i="11"/>
  <c r="F69" i="26"/>
  <c r="I538" i="26" s="1"/>
  <c r="W48" i="25" s="1"/>
  <c r="AL20" i="26"/>
  <c r="AS32" i="26" s="1"/>
  <c r="C69" i="26"/>
  <c r="I537" i="26" s="1"/>
  <c r="W47" i="25" s="1"/>
  <c r="P106" i="26"/>
  <c r="Q106" i="26"/>
  <c r="AK4" i="26"/>
  <c r="H23" i="19" s="1"/>
  <c r="AK40" i="26"/>
  <c r="AK37" i="26"/>
  <c r="AD678" i="11"/>
  <c r="Z680" i="11"/>
  <c r="J286" i="23" s="1"/>
  <c r="D288" i="23" s="1"/>
  <c r="AF232" i="11"/>
  <c r="BD232" i="11"/>
  <c r="AF236" i="11"/>
  <c r="BD236" i="11"/>
  <c r="AF238" i="11"/>
  <c r="BD238" i="11"/>
  <c r="BW8" i="26"/>
  <c r="AL698" i="11"/>
  <c r="AL695" i="11"/>
  <c r="AM695" i="11"/>
  <c r="AL691" i="11"/>
  <c r="M36" i="11"/>
  <c r="F131" i="23"/>
  <c r="M47" i="23" s="1"/>
  <c r="W10" i="25"/>
  <c r="G30" i="23" s="1"/>
  <c r="M32" i="11"/>
  <c r="W11" i="25"/>
  <c r="F129" i="23"/>
  <c r="AH724" i="11"/>
  <c r="AK721" i="11" s="1"/>
  <c r="AL719" i="11" s="1"/>
  <c r="AF721" i="11" s="1"/>
  <c r="A106" i="25"/>
  <c r="F106" i="25"/>
  <c r="AH689" i="11"/>
  <c r="AL699" i="11"/>
  <c r="AL702" i="11" s="1"/>
  <c r="CY98" i="27"/>
  <c r="DM182" i="27"/>
  <c r="DF13" i="27"/>
  <c r="DF266" i="27"/>
  <c r="DJ262" i="27"/>
  <c r="DK262" i="27" s="1"/>
  <c r="DL262" i="27" s="1"/>
  <c r="DM262" i="27" s="1"/>
  <c r="DN262" i="27" s="1"/>
  <c r="DO262" i="27" s="1"/>
  <c r="DP262" i="27" s="1"/>
  <c r="DI266" i="27"/>
  <c r="DP182" i="27"/>
  <c r="DQ178" i="27"/>
  <c r="DR178" i="27" s="1"/>
  <c r="DS178" i="27" s="1"/>
  <c r="DT178" i="27" s="1"/>
  <c r="DU178" i="27" s="1"/>
  <c r="DV178" i="27" s="1"/>
  <c r="DW178" i="27" s="1"/>
  <c r="DB98" i="27"/>
  <c r="DC94" i="27"/>
  <c r="DD94" i="27" s="1"/>
  <c r="DE94" i="27" s="1"/>
  <c r="DF94" i="27" s="1"/>
  <c r="DG94" i="27" s="1"/>
  <c r="DH94" i="27" s="1"/>
  <c r="DI94" i="27" s="1"/>
  <c r="DI13" i="27"/>
  <c r="DJ9" i="27"/>
  <c r="DK9" i="27" s="1"/>
  <c r="DL9" i="27" s="1"/>
  <c r="DM9" i="27" s="1"/>
  <c r="DN9" i="27" s="1"/>
  <c r="DO9" i="27" s="1"/>
  <c r="DP9" i="27" s="1"/>
  <c r="R270" i="14" l="1"/>
  <c r="R81" i="14"/>
  <c r="AC263" i="14" s="1"/>
  <c r="G704" i="11"/>
  <c r="L36" i="19"/>
  <c r="D48" i="27"/>
  <c r="L33" i="19"/>
  <c r="L35" i="19"/>
  <c r="L37" i="19"/>
  <c r="L38" i="19"/>
  <c r="L31" i="19"/>
  <c r="G703" i="11"/>
  <c r="L30" i="19"/>
  <c r="H106" i="26"/>
  <c r="S206" i="25" s="1"/>
  <c r="L742" i="11"/>
  <c r="G41" i="19" s="1"/>
  <c r="J41" i="19" s="1"/>
  <c r="J743" i="11"/>
  <c r="G667" i="11"/>
  <c r="U774" i="11"/>
  <c r="AF237" i="11"/>
  <c r="BD242" i="11"/>
  <c r="BE242" i="11" s="1"/>
  <c r="BD239" i="11"/>
  <c r="BE239" i="11" s="1"/>
  <c r="AF233" i="11"/>
  <c r="BD241" i="11"/>
  <c r="BC241" i="11" s="1"/>
  <c r="BD235" i="11"/>
  <c r="BC235" i="11" s="1"/>
  <c r="BD234" i="11"/>
  <c r="BC234" i="11" s="1"/>
  <c r="W42" i="25"/>
  <c r="H53" i="19"/>
  <c r="BW10" i="26"/>
  <c r="BV71" i="26" s="1"/>
  <c r="H106" i="25" s="1"/>
  <c r="H50" i="19"/>
  <c r="H24" i="19"/>
  <c r="H49" i="19"/>
  <c r="H52" i="19"/>
  <c r="H51" i="19"/>
  <c r="H25" i="19"/>
  <c r="H22" i="19"/>
  <c r="H54" i="19"/>
  <c r="AK43" i="26"/>
  <c r="AK42" i="26"/>
  <c r="Z327" i="23"/>
  <c r="Z328" i="23" s="1"/>
  <c r="Z329" i="23" s="1"/>
  <c r="Z285" i="23"/>
  <c r="Z286" i="23" s="1"/>
  <c r="BE233" i="11"/>
  <c r="BC233" i="11"/>
  <c r="BC238" i="11"/>
  <c r="BE238" i="11"/>
  <c r="BE236" i="11"/>
  <c r="BC236" i="11"/>
  <c r="BC237" i="11"/>
  <c r="BE237" i="11"/>
  <c r="BC232" i="11"/>
  <c r="BE232" i="11"/>
  <c r="CC24" i="26"/>
  <c r="BV24" i="26"/>
  <c r="BX10" i="26"/>
  <c r="M39" i="23"/>
  <c r="M43" i="23"/>
  <c r="AM699" i="11"/>
  <c r="AL704" i="11"/>
  <c r="DF98" i="27"/>
  <c r="DI98" i="27"/>
  <c r="DJ94" i="27"/>
  <c r="DK94" i="27" s="1"/>
  <c r="DL94" i="27" s="1"/>
  <c r="DM94" i="27" s="1"/>
  <c r="DN94" i="27" s="1"/>
  <c r="DO94" i="27" s="1"/>
  <c r="DP94" i="27" s="1"/>
  <c r="DM266" i="27"/>
  <c r="DM13" i="27"/>
  <c r="DT182" i="27"/>
  <c r="DP13" i="27"/>
  <c r="DQ9" i="27"/>
  <c r="DR9" i="27" s="1"/>
  <c r="DS9" i="27" s="1"/>
  <c r="DT9" i="27" s="1"/>
  <c r="DU9" i="27" s="1"/>
  <c r="DV9" i="27" s="1"/>
  <c r="DW9" i="27" s="1"/>
  <c r="DW182" i="27"/>
  <c r="DX178" i="27"/>
  <c r="DY178" i="27" s="1"/>
  <c r="DZ178" i="27" s="1"/>
  <c r="EA178" i="27" s="1"/>
  <c r="EB178" i="27" s="1"/>
  <c r="EC178" i="27" s="1"/>
  <c r="ED178" i="27" s="1"/>
  <c r="DP266" i="27"/>
  <c r="DQ262" i="27"/>
  <c r="DR262" i="27" s="1"/>
  <c r="DS262" i="27" s="1"/>
  <c r="DT262" i="27" s="1"/>
  <c r="DU262" i="27" s="1"/>
  <c r="DV262" i="27" s="1"/>
  <c r="DW262" i="27" s="1"/>
  <c r="O775" i="11" l="1"/>
  <c r="O772" i="11"/>
  <c r="O768" i="11"/>
  <c r="O767" i="11"/>
  <c r="L767" i="11" s="1"/>
  <c r="I106" i="26"/>
  <c r="N677" i="11"/>
  <c r="N675" i="11" s="1"/>
  <c r="J750" i="11"/>
  <c r="J759" i="11"/>
  <c r="L743" i="11"/>
  <c r="BC242" i="11"/>
  <c r="BC239" i="11"/>
  <c r="BE241" i="11"/>
  <c r="BE234" i="11"/>
  <c r="BE235" i="11"/>
  <c r="R622" i="11"/>
  <c r="Z287" i="23"/>
  <c r="Z290" i="23" s="1"/>
  <c r="AB287" i="23" s="1"/>
  <c r="Z330" i="23"/>
  <c r="Z331" i="23"/>
  <c r="CD24" i="26"/>
  <c r="BU24" i="26" s="1"/>
  <c r="AO706" i="11"/>
  <c r="AO707" i="11" s="1"/>
  <c r="AO708" i="11" s="1"/>
  <c r="R623" i="11" s="1"/>
  <c r="L295" i="23"/>
  <c r="DT266" i="27"/>
  <c r="EA182" i="27"/>
  <c r="DW13" i="27"/>
  <c r="DX9" i="27"/>
  <c r="DY9" i="27" s="1"/>
  <c r="DZ9" i="27" s="1"/>
  <c r="EA9" i="27" s="1"/>
  <c r="EB9" i="27" s="1"/>
  <c r="EC9" i="27" s="1"/>
  <c r="ED9" i="27" s="1"/>
  <c r="DM98" i="27"/>
  <c r="ED182" i="27"/>
  <c r="EE178" i="27"/>
  <c r="EF178" i="27" s="1"/>
  <c r="EG178" i="27" s="1"/>
  <c r="EH178" i="27" s="1"/>
  <c r="EI178" i="27" s="1"/>
  <c r="EJ178" i="27" s="1"/>
  <c r="EK178" i="27" s="1"/>
  <c r="DW266" i="27"/>
  <c r="DX262" i="27"/>
  <c r="DY262" i="27" s="1"/>
  <c r="DZ262" i="27" s="1"/>
  <c r="EA262" i="27" s="1"/>
  <c r="EB262" i="27" s="1"/>
  <c r="EC262" i="27" s="1"/>
  <c r="ED262" i="27" s="1"/>
  <c r="DP98" i="27"/>
  <c r="DQ94" i="27"/>
  <c r="DR94" i="27" s="1"/>
  <c r="DS94" i="27" s="1"/>
  <c r="DT94" i="27" s="1"/>
  <c r="DU94" i="27" s="1"/>
  <c r="DV94" i="27" s="1"/>
  <c r="DW94" i="27" s="1"/>
  <c r="DT13" i="27"/>
  <c r="J760" i="11" l="1"/>
  <c r="G42" i="19"/>
  <c r="J751" i="11"/>
  <c r="L768" i="11"/>
  <c r="O675" i="11"/>
  <c r="I675" i="11" s="1"/>
  <c r="L775" i="11"/>
  <c r="L772" i="11"/>
  <c r="O771" i="11"/>
  <c r="L771" i="11" s="1"/>
  <c r="O769" i="11"/>
  <c r="L769" i="11" s="1"/>
  <c r="F668" i="11"/>
  <c r="F309" i="23" s="1"/>
  <c r="C677" i="11"/>
  <c r="C318" i="23" s="1"/>
  <c r="BY24" i="26"/>
  <c r="BZ24" i="26" s="1"/>
  <c r="CA24" i="26" s="1"/>
  <c r="CB24" i="26"/>
  <c r="X106" i="25" s="1"/>
  <c r="O619" i="11"/>
  <c r="R621" i="11"/>
  <c r="H622" i="11"/>
  <c r="AH329" i="23"/>
  <c r="AF329" i="23"/>
  <c r="AF328" i="23"/>
  <c r="AH328" i="23"/>
  <c r="AB291" i="23"/>
  <c r="Z291" i="23" s="1"/>
  <c r="Z294" i="23" s="1"/>
  <c r="J106" i="25"/>
  <c r="BX66" i="26"/>
  <c r="O618" i="11"/>
  <c r="L296" i="23"/>
  <c r="L294" i="23"/>
  <c r="M295" i="23"/>
  <c r="EA266" i="27"/>
  <c r="DT98" i="27"/>
  <c r="DW98" i="27"/>
  <c r="DX94" i="27"/>
  <c r="DY94" i="27" s="1"/>
  <c r="DZ94" i="27" s="1"/>
  <c r="EA94" i="27" s="1"/>
  <c r="EB94" i="27" s="1"/>
  <c r="EC94" i="27" s="1"/>
  <c r="ED94" i="27" s="1"/>
  <c r="EH182" i="27"/>
  <c r="EA13" i="27"/>
  <c r="EK182" i="27"/>
  <c r="EL178" i="27"/>
  <c r="EM178" i="27" s="1"/>
  <c r="EN178" i="27" s="1"/>
  <c r="EO178" i="27" s="1"/>
  <c r="EP178" i="27" s="1"/>
  <c r="EQ178" i="27" s="1"/>
  <c r="ER178" i="27" s="1"/>
  <c r="ED13" i="27"/>
  <c r="EE9" i="27"/>
  <c r="EF9" i="27" s="1"/>
  <c r="EG9" i="27" s="1"/>
  <c r="EH9" i="27" s="1"/>
  <c r="EI9" i="27" s="1"/>
  <c r="EJ9" i="27" s="1"/>
  <c r="EK9" i="27" s="1"/>
  <c r="ED266" i="27"/>
  <c r="EE262" i="27"/>
  <c r="EF262" i="27" s="1"/>
  <c r="EG262" i="27" s="1"/>
  <c r="EH262" i="27" s="1"/>
  <c r="EI262" i="27" s="1"/>
  <c r="EJ262" i="27" s="1"/>
  <c r="EK262" i="27" s="1"/>
  <c r="M679" i="11" l="1"/>
  <c r="AH330" i="23"/>
  <c r="AD287" i="23"/>
  <c r="AH287" i="23"/>
  <c r="AI290" i="23" s="1"/>
  <c r="AJ290" i="23"/>
  <c r="AF287" i="23"/>
  <c r="AD290" i="23"/>
  <c r="AH290" i="23"/>
  <c r="O620" i="11"/>
  <c r="J42" i="19"/>
  <c r="EH13" i="27"/>
  <c r="EO182" i="27"/>
  <c r="EA98" i="27"/>
  <c r="EK266" i="27"/>
  <c r="EL262" i="27"/>
  <c r="EM262" i="27" s="1"/>
  <c r="EN262" i="27" s="1"/>
  <c r="EO262" i="27" s="1"/>
  <c r="EP262" i="27" s="1"/>
  <c r="EQ262" i="27" s="1"/>
  <c r="ER262" i="27" s="1"/>
  <c r="EK13" i="27"/>
  <c r="EL9" i="27"/>
  <c r="EM9" i="27" s="1"/>
  <c r="EN9" i="27" s="1"/>
  <c r="EO9" i="27" s="1"/>
  <c r="EP9" i="27" s="1"/>
  <c r="EQ9" i="27" s="1"/>
  <c r="ER9" i="27" s="1"/>
  <c r="ER182" i="27"/>
  <c r="ES178" i="27"/>
  <c r="ET178" i="27" s="1"/>
  <c r="EU178" i="27" s="1"/>
  <c r="EV178" i="27" s="1"/>
  <c r="EW178" i="27" s="1"/>
  <c r="EX178" i="27" s="1"/>
  <c r="EY178" i="27" s="1"/>
  <c r="EE94" i="27"/>
  <c r="EF94" i="27" s="1"/>
  <c r="EG94" i="27" s="1"/>
  <c r="EH94" i="27" s="1"/>
  <c r="EI94" i="27" s="1"/>
  <c r="EJ94" i="27" s="1"/>
  <c r="EK94" i="27" s="1"/>
  <c r="ED98" i="27"/>
  <c r="EH266" i="27"/>
  <c r="D216" i="27" l="1"/>
  <c r="D300" i="27"/>
  <c r="D132" i="27"/>
  <c r="AH291" i="23"/>
  <c r="AK290" i="23" s="1"/>
  <c r="AL286" i="23" s="1"/>
  <c r="AF290" i="23" s="1"/>
  <c r="S162" i="25"/>
  <c r="EO266" i="27"/>
  <c r="EV182" i="27"/>
  <c r="EH98" i="27"/>
  <c r="EY182" i="27"/>
  <c r="EZ178" i="27"/>
  <c r="FA178" i="27" s="1"/>
  <c r="FB178" i="27" s="1"/>
  <c r="FC178" i="27" s="1"/>
  <c r="FD178" i="27" s="1"/>
  <c r="FE178" i="27" s="1"/>
  <c r="FF178" i="27" s="1"/>
  <c r="ER266" i="27"/>
  <c r="ES262" i="27"/>
  <c r="ET262" i="27" s="1"/>
  <c r="EU262" i="27" s="1"/>
  <c r="EV262" i="27" s="1"/>
  <c r="EW262" i="27" s="1"/>
  <c r="EX262" i="27" s="1"/>
  <c r="EY262" i="27" s="1"/>
  <c r="EO13" i="27"/>
  <c r="EK98" i="27"/>
  <c r="EL94" i="27"/>
  <c r="EM94" i="27" s="1"/>
  <c r="EN94" i="27" s="1"/>
  <c r="EO94" i="27" s="1"/>
  <c r="EP94" i="27" s="1"/>
  <c r="EQ94" i="27" s="1"/>
  <c r="ER94" i="27" s="1"/>
  <c r="ER13" i="27"/>
  <c r="ES9" i="27"/>
  <c r="ET9" i="27" s="1"/>
  <c r="EU9" i="27" s="1"/>
  <c r="EV9" i="27" s="1"/>
  <c r="EW9" i="27" s="1"/>
  <c r="EX9" i="27" s="1"/>
  <c r="EY9" i="27" s="1"/>
  <c r="EO98" i="27" l="1"/>
  <c r="EV266" i="27"/>
  <c r="EY13" i="27"/>
  <c r="EZ9" i="27"/>
  <c r="FA9" i="27" s="1"/>
  <c r="FB9" i="27" s="1"/>
  <c r="FC9" i="27" s="1"/>
  <c r="FD9" i="27" s="1"/>
  <c r="FE9" i="27" s="1"/>
  <c r="FF9" i="27" s="1"/>
  <c r="EY266" i="27"/>
  <c r="EZ262" i="27"/>
  <c r="FA262" i="27" s="1"/>
  <c r="FB262" i="27" s="1"/>
  <c r="FC262" i="27" s="1"/>
  <c r="FD262" i="27" s="1"/>
  <c r="FE262" i="27" s="1"/>
  <c r="FF262" i="27" s="1"/>
  <c r="FC182" i="27"/>
  <c r="EV13" i="27"/>
  <c r="ER98" i="27"/>
  <c r="ES94" i="27"/>
  <c r="ET94" i="27" s="1"/>
  <c r="EU94" i="27" s="1"/>
  <c r="EV94" i="27" s="1"/>
  <c r="EW94" i="27" s="1"/>
  <c r="EX94" i="27" s="1"/>
  <c r="EY94" i="27" s="1"/>
  <c r="FF182" i="27"/>
  <c r="FG178" i="27"/>
  <c r="FH178" i="27" s="1"/>
  <c r="FI178" i="27" s="1"/>
  <c r="FJ178" i="27" s="1"/>
  <c r="FK178" i="27" s="1"/>
  <c r="FL178" i="27" s="1"/>
  <c r="FM178" i="27" s="1"/>
  <c r="I316" i="23" l="1"/>
  <c r="C679" i="11"/>
  <c r="C320" i="23" s="1"/>
  <c r="FC13" i="27"/>
  <c r="FC266" i="27"/>
  <c r="FJ182" i="27"/>
  <c r="EY98" i="27"/>
  <c r="EZ94" i="27"/>
  <c r="FA94" i="27" s="1"/>
  <c r="FB94" i="27" s="1"/>
  <c r="FC94" i="27" s="1"/>
  <c r="FD94" i="27" s="1"/>
  <c r="FE94" i="27" s="1"/>
  <c r="FF94" i="27" s="1"/>
  <c r="FF266" i="27"/>
  <c r="FG262" i="27"/>
  <c r="FH262" i="27" s="1"/>
  <c r="FI262" i="27" s="1"/>
  <c r="FJ262" i="27" s="1"/>
  <c r="FK262" i="27" s="1"/>
  <c r="FL262" i="27" s="1"/>
  <c r="FM262" i="27" s="1"/>
  <c r="FN178" i="27"/>
  <c r="FO178" i="27" s="1"/>
  <c r="FP178" i="27" s="1"/>
  <c r="FQ178" i="27" s="1"/>
  <c r="FR178" i="27" s="1"/>
  <c r="FS178" i="27" s="1"/>
  <c r="FT178" i="27" s="1"/>
  <c r="FM182" i="27"/>
  <c r="EV98" i="27"/>
  <c r="FG9" i="27"/>
  <c r="FH9" i="27" s="1"/>
  <c r="FI9" i="27" s="1"/>
  <c r="FJ9" i="27" s="1"/>
  <c r="FK9" i="27" s="1"/>
  <c r="FL9" i="27" s="1"/>
  <c r="FM9" i="27" s="1"/>
  <c r="FF13" i="27"/>
  <c r="F23" i="27" l="1"/>
  <c r="I76" i="33" s="1"/>
  <c r="I77" i="33" s="1"/>
  <c r="C226" i="27"/>
  <c r="E301" i="27"/>
  <c r="F107" i="27"/>
  <c r="W160" i="25"/>
  <c r="S164" i="25" s="1"/>
  <c r="D62" i="27"/>
  <c r="E62" i="27" s="1"/>
  <c r="F191" i="27"/>
  <c r="FJ266" i="27"/>
  <c r="FJ13" i="27"/>
  <c r="FQ182" i="27"/>
  <c r="FC98" i="27"/>
  <c r="FM13" i="27"/>
  <c r="FN9" i="27"/>
  <c r="FO9" i="27" s="1"/>
  <c r="FP9" i="27" s="1"/>
  <c r="FQ9" i="27" s="1"/>
  <c r="FR9" i="27" s="1"/>
  <c r="FS9" i="27" s="1"/>
  <c r="FT9" i="27" s="1"/>
  <c r="FF98" i="27"/>
  <c r="FG94" i="27"/>
  <c r="FH94" i="27" s="1"/>
  <c r="FI94" i="27" s="1"/>
  <c r="FJ94" i="27" s="1"/>
  <c r="FK94" i="27" s="1"/>
  <c r="FL94" i="27" s="1"/>
  <c r="FM94" i="27" s="1"/>
  <c r="FT182" i="27"/>
  <c r="FU178" i="27"/>
  <c r="FV178" i="27" s="1"/>
  <c r="FW178" i="27" s="1"/>
  <c r="FX178" i="27" s="1"/>
  <c r="FY178" i="27" s="1"/>
  <c r="FZ178" i="27" s="1"/>
  <c r="GA178" i="27" s="1"/>
  <c r="FM266" i="27"/>
  <c r="FN262" i="27"/>
  <c r="FO262" i="27" s="1"/>
  <c r="FP262" i="27" s="1"/>
  <c r="FQ262" i="27" s="1"/>
  <c r="FR262" i="27" s="1"/>
  <c r="FS262" i="27" s="1"/>
  <c r="FT262" i="27" s="1"/>
  <c r="F275" i="27" l="1"/>
  <c r="E133" i="27"/>
  <c r="E134" i="27" s="1"/>
  <c r="AJ132" i="27" s="1"/>
  <c r="E50" i="27"/>
  <c r="AM48" i="27" s="1"/>
  <c r="AM23" i="27" s="1"/>
  <c r="E217" i="27"/>
  <c r="E218" i="27" s="1"/>
  <c r="AQ216" i="27" s="1"/>
  <c r="D50" i="27"/>
  <c r="E302" i="27"/>
  <c r="DA300" i="27" s="1"/>
  <c r="DA275" i="27" s="1"/>
  <c r="G74" i="27"/>
  <c r="FQ266" i="27"/>
  <c r="FQ13" i="27"/>
  <c r="FX182" i="27"/>
  <c r="FJ98" i="27"/>
  <c r="FM98" i="27"/>
  <c r="FN94" i="27"/>
  <c r="FO94" i="27" s="1"/>
  <c r="FP94" i="27" s="1"/>
  <c r="FQ94" i="27" s="1"/>
  <c r="FR94" i="27" s="1"/>
  <c r="FS94" i="27" s="1"/>
  <c r="FT94" i="27" s="1"/>
  <c r="GA182" i="27"/>
  <c r="GB178" i="27"/>
  <c r="GC178" i="27" s="1"/>
  <c r="GD178" i="27" s="1"/>
  <c r="GE178" i="27" s="1"/>
  <c r="GF178" i="27" s="1"/>
  <c r="GG178" i="27" s="1"/>
  <c r="GH178" i="27" s="1"/>
  <c r="FT266" i="27"/>
  <c r="FU262" i="27"/>
  <c r="FV262" i="27" s="1"/>
  <c r="FW262" i="27" s="1"/>
  <c r="FX262" i="27" s="1"/>
  <c r="FY262" i="27" s="1"/>
  <c r="FZ262" i="27" s="1"/>
  <c r="GA262" i="27" s="1"/>
  <c r="FT13" i="27"/>
  <c r="FU9" i="27"/>
  <c r="FV9" i="27" s="1"/>
  <c r="FW9" i="27" s="1"/>
  <c r="FX9" i="27" s="1"/>
  <c r="FY9" i="27" s="1"/>
  <c r="FZ9" i="27" s="1"/>
  <c r="GA9" i="27" s="1"/>
  <c r="I85" i="33" l="1"/>
  <c r="D73" i="27"/>
  <c r="D77" i="27" s="1"/>
  <c r="E29" i="27" s="1"/>
  <c r="DO48" i="27"/>
  <c r="DO23" i="27" s="1"/>
  <c r="DS48" i="27"/>
  <c r="DS23" i="27" s="1"/>
  <c r="CC48" i="27"/>
  <c r="CC23" i="27" s="1"/>
  <c r="BL48" i="27"/>
  <c r="BL23" i="27" s="1"/>
  <c r="Q48" i="27"/>
  <c r="Q23" i="27" s="1"/>
  <c r="GF48" i="27"/>
  <c r="GF23" i="27" s="1"/>
  <c r="HJ48" i="27"/>
  <c r="HJ23" i="27" s="1"/>
  <c r="AB48" i="27"/>
  <c r="AB23" i="27" s="1"/>
  <c r="DG48" i="27"/>
  <c r="DG23" i="27" s="1"/>
  <c r="AU48" i="27"/>
  <c r="AU23" i="27" s="1"/>
  <c r="EF48" i="27"/>
  <c r="EF23" i="27" s="1"/>
  <c r="BK48" i="27"/>
  <c r="BK23" i="27" s="1"/>
  <c r="BD48" i="27"/>
  <c r="BD23" i="27" s="1"/>
  <c r="FA48" i="27"/>
  <c r="FA23" i="27" s="1"/>
  <c r="HT48" i="27"/>
  <c r="HT23" i="27" s="1"/>
  <c r="BT48" i="27"/>
  <c r="BT23" i="27" s="1"/>
  <c r="DM48" i="27"/>
  <c r="DM23" i="27" s="1"/>
  <c r="HR48" i="27"/>
  <c r="HR23" i="27" s="1"/>
  <c r="CD48" i="27"/>
  <c r="CD23" i="27" s="1"/>
  <c r="DI48" i="27"/>
  <c r="DI23" i="27" s="1"/>
  <c r="BS48" i="27"/>
  <c r="BS23" i="27" s="1"/>
  <c r="CY48" i="27"/>
  <c r="CY23" i="27" s="1"/>
  <c r="AJ48" i="27"/>
  <c r="AJ23" i="27" s="1"/>
  <c r="CZ48" i="27"/>
  <c r="CZ23" i="27" s="1"/>
  <c r="FM48" i="27"/>
  <c r="FM23" i="27" s="1"/>
  <c r="ED48" i="27"/>
  <c r="ED23" i="27" s="1"/>
  <c r="DN48" i="27"/>
  <c r="DN23" i="27" s="1"/>
  <c r="DD48" i="27"/>
  <c r="DD23" i="27" s="1"/>
  <c r="EQ48" i="27"/>
  <c r="EQ23" i="27" s="1"/>
  <c r="IA48" i="27"/>
  <c r="IA23" i="27" s="1"/>
  <c r="W48" i="27"/>
  <c r="W23" i="27" s="1"/>
  <c r="HU48" i="27"/>
  <c r="HU23" i="27" s="1"/>
  <c r="BU48" i="27"/>
  <c r="BU23" i="27" s="1"/>
  <c r="FL48" i="27"/>
  <c r="FL23" i="27" s="1"/>
  <c r="DP48" i="27"/>
  <c r="DP23" i="27" s="1"/>
  <c r="DF48" i="27"/>
  <c r="DF23" i="27" s="1"/>
  <c r="FO48" i="27"/>
  <c r="FO23" i="27" s="1"/>
  <c r="AK48" i="27"/>
  <c r="AK23" i="27" s="1"/>
  <c r="FG48" i="27"/>
  <c r="FG23" i="27" s="1"/>
  <c r="FS48" i="27"/>
  <c r="FS23" i="27" s="1"/>
  <c r="FU48" i="27"/>
  <c r="FU23" i="27" s="1"/>
  <c r="HA48" i="27"/>
  <c r="HA23" i="27" s="1"/>
  <c r="AP48" i="27"/>
  <c r="AP23" i="27" s="1"/>
  <c r="DW48" i="27"/>
  <c r="DW23" i="27" s="1"/>
  <c r="CE48" i="27"/>
  <c r="CE23" i="27" s="1"/>
  <c r="DQ48" i="27"/>
  <c r="DQ23" i="27" s="1"/>
  <c r="GX48" i="27"/>
  <c r="GX23" i="27" s="1"/>
  <c r="ER48" i="27"/>
  <c r="ER23" i="27" s="1"/>
  <c r="HO48" i="27"/>
  <c r="HO23" i="27" s="1"/>
  <c r="AR48" i="27"/>
  <c r="AR23" i="27" s="1"/>
  <c r="IK48" i="27"/>
  <c r="IK23" i="27" s="1"/>
  <c r="GO48" i="27"/>
  <c r="GO23" i="27" s="1"/>
  <c r="GU48" i="27"/>
  <c r="GU23" i="27" s="1"/>
  <c r="HV48" i="27"/>
  <c r="HV23" i="27" s="1"/>
  <c r="BP48" i="27"/>
  <c r="BP23" i="27" s="1"/>
  <c r="BX48" i="27"/>
  <c r="BX23" i="27" s="1"/>
  <c r="EN48" i="27"/>
  <c r="EN23" i="27" s="1"/>
  <c r="BH48" i="27"/>
  <c r="BH23" i="27" s="1"/>
  <c r="CJ48" i="27"/>
  <c r="CJ23" i="27" s="1"/>
  <c r="FR48" i="27"/>
  <c r="FR23" i="27" s="1"/>
  <c r="E73" i="27"/>
  <c r="E77" i="27" s="1"/>
  <c r="CM48" i="27"/>
  <c r="CM23" i="27" s="1"/>
  <c r="EJ48" i="27"/>
  <c r="EJ23" i="27" s="1"/>
  <c r="GP48" i="27"/>
  <c r="GP23" i="27" s="1"/>
  <c r="GA48" i="27"/>
  <c r="GA23" i="27" s="1"/>
  <c r="BE48" i="27"/>
  <c r="BE23" i="27" s="1"/>
  <c r="FY48" i="27"/>
  <c r="FY23" i="27" s="1"/>
  <c r="DR48" i="27"/>
  <c r="DR23" i="27" s="1"/>
  <c r="IC48" i="27"/>
  <c r="IC23" i="27" s="1"/>
  <c r="DK48" i="27"/>
  <c r="DK23" i="27" s="1"/>
  <c r="GS48" i="27"/>
  <c r="GS23" i="27" s="1"/>
  <c r="BC48" i="27"/>
  <c r="BC23" i="27" s="1"/>
  <c r="EC48" i="27"/>
  <c r="EC23" i="27" s="1"/>
  <c r="U48" i="27"/>
  <c r="U23" i="27" s="1"/>
  <c r="AG48" i="27"/>
  <c r="AG23" i="27" s="1"/>
  <c r="FE48" i="27"/>
  <c r="FE23" i="27" s="1"/>
  <c r="GK48" i="27"/>
  <c r="GK23" i="27" s="1"/>
  <c r="CN48" i="27"/>
  <c r="CN23" i="27" s="1"/>
  <c r="FW48" i="27"/>
  <c r="FW23" i="27" s="1"/>
  <c r="CF48" i="27"/>
  <c r="CF23" i="27" s="1"/>
  <c r="CW48" i="27"/>
  <c r="CW23" i="27" s="1"/>
  <c r="AH48" i="27"/>
  <c r="AH23" i="27" s="1"/>
  <c r="I48" i="27"/>
  <c r="I23" i="27" s="1"/>
  <c r="BW48" i="27"/>
  <c r="BW23" i="27" s="1"/>
  <c r="GB48" i="27"/>
  <c r="GB23" i="27" s="1"/>
  <c r="GY48" i="27"/>
  <c r="GY23" i="27" s="1"/>
  <c r="Z48" i="27"/>
  <c r="Z23" i="27" s="1"/>
  <c r="DH48" i="27"/>
  <c r="DH23" i="27" s="1"/>
  <c r="HM48" i="27"/>
  <c r="HM23" i="27" s="1"/>
  <c r="GQ48" i="27"/>
  <c r="GQ23" i="27" s="1"/>
  <c r="IB48" i="27"/>
  <c r="IB23" i="27" s="1"/>
  <c r="EK48" i="27"/>
  <c r="EK23" i="27" s="1"/>
  <c r="AQ48" i="27"/>
  <c r="AQ23" i="27" s="1"/>
  <c r="FD48" i="27"/>
  <c r="FD23" i="27" s="1"/>
  <c r="CO48" i="27"/>
  <c r="CO23" i="27" s="1"/>
  <c r="AI48" i="27"/>
  <c r="AI23" i="27" s="1"/>
  <c r="IH48" i="27"/>
  <c r="IH23" i="27" s="1"/>
  <c r="BI48" i="27"/>
  <c r="BI23" i="27" s="1"/>
  <c r="P48" i="27"/>
  <c r="P23" i="27" s="1"/>
  <c r="IG48" i="27"/>
  <c r="IG23" i="27" s="1"/>
  <c r="II48" i="27"/>
  <c r="II23" i="27" s="1"/>
  <c r="K48" i="27"/>
  <c r="K23" i="27" s="1"/>
  <c r="AC48" i="27"/>
  <c r="AC23" i="27" s="1"/>
  <c r="DT48" i="27"/>
  <c r="DT23" i="27" s="1"/>
  <c r="CI48" i="27"/>
  <c r="CI23" i="27" s="1"/>
  <c r="FX48" i="27"/>
  <c r="FX23" i="27" s="1"/>
  <c r="FC48" i="27"/>
  <c r="FC23" i="27" s="1"/>
  <c r="IF48" i="27"/>
  <c r="IF23" i="27" s="1"/>
  <c r="R48" i="27"/>
  <c r="R23" i="27" s="1"/>
  <c r="AD48" i="27"/>
  <c r="AD23" i="27" s="1"/>
  <c r="HZ48" i="27"/>
  <c r="HZ23" i="27" s="1"/>
  <c r="HC48" i="27"/>
  <c r="HC23" i="27" s="1"/>
  <c r="EH48" i="27"/>
  <c r="EH23" i="27" s="1"/>
  <c r="EG48" i="27"/>
  <c r="EG23" i="27" s="1"/>
  <c r="V48" i="27"/>
  <c r="V23" i="27" s="1"/>
  <c r="EL48" i="27"/>
  <c r="EL23" i="27" s="1"/>
  <c r="DE48" i="27"/>
  <c r="DE23" i="27" s="1"/>
  <c r="HF48" i="27"/>
  <c r="HF23" i="27" s="1"/>
  <c r="CH48" i="27"/>
  <c r="CH23" i="27" s="1"/>
  <c r="AY48" i="27"/>
  <c r="AY23" i="27" s="1"/>
  <c r="Y48" i="27"/>
  <c r="Y23" i="27" s="1"/>
  <c r="O48" i="27"/>
  <c r="O23" i="27" s="1"/>
  <c r="EU48" i="27"/>
  <c r="EU23" i="27" s="1"/>
  <c r="HE48" i="27"/>
  <c r="HE23" i="27" s="1"/>
  <c r="AX48" i="27"/>
  <c r="AX23" i="27" s="1"/>
  <c r="CX48" i="27"/>
  <c r="CX23" i="27" s="1"/>
  <c r="AF48" i="27"/>
  <c r="AF23" i="27" s="1"/>
  <c r="HW48" i="27"/>
  <c r="HW23" i="27" s="1"/>
  <c r="CR48" i="27"/>
  <c r="CR23" i="27" s="1"/>
  <c r="HB48" i="27"/>
  <c r="HB23" i="27" s="1"/>
  <c r="CS48" i="27"/>
  <c r="CS23" i="27" s="1"/>
  <c r="AS48" i="27"/>
  <c r="AS23" i="27" s="1"/>
  <c r="DU48" i="27"/>
  <c r="DU23" i="27" s="1"/>
  <c r="HD48" i="27"/>
  <c r="HD23" i="27" s="1"/>
  <c r="EV48" i="27"/>
  <c r="EV23" i="27" s="1"/>
  <c r="BZ48" i="27"/>
  <c r="BZ23" i="27" s="1"/>
  <c r="BJ48" i="27"/>
  <c r="BJ23" i="27" s="1"/>
  <c r="AA48" i="27"/>
  <c r="AA23" i="27" s="1"/>
  <c r="EI48" i="27"/>
  <c r="EI23" i="27" s="1"/>
  <c r="HG48" i="27"/>
  <c r="HG23" i="27" s="1"/>
  <c r="EM48" i="27"/>
  <c r="EM23" i="27" s="1"/>
  <c r="FV48" i="27"/>
  <c r="FV23" i="27" s="1"/>
  <c r="H48" i="27"/>
  <c r="H23" i="27" s="1"/>
  <c r="BY48" i="27"/>
  <c r="BY23" i="27" s="1"/>
  <c r="BQ48" i="27"/>
  <c r="BQ23" i="27" s="1"/>
  <c r="EY48" i="27"/>
  <c r="EY23" i="27" s="1"/>
  <c r="BO48" i="27"/>
  <c r="BO23" i="27" s="1"/>
  <c r="HH48" i="27"/>
  <c r="HH23" i="27" s="1"/>
  <c r="HP48" i="27"/>
  <c r="HP23" i="27" s="1"/>
  <c r="N48" i="27"/>
  <c r="N23" i="27" s="1"/>
  <c r="EX48" i="27"/>
  <c r="EX23" i="27" s="1"/>
  <c r="CU48" i="27"/>
  <c r="CU23" i="27" s="1"/>
  <c r="DV48" i="27"/>
  <c r="DV23" i="27" s="1"/>
  <c r="FH48" i="27"/>
  <c r="FH23" i="27" s="1"/>
  <c r="GR48" i="27"/>
  <c r="GR23" i="27" s="1"/>
  <c r="FQ48" i="27"/>
  <c r="FQ23" i="27" s="1"/>
  <c r="FK48" i="27"/>
  <c r="FK23" i="27" s="1"/>
  <c r="AE48" i="27"/>
  <c r="AE23" i="27" s="1"/>
  <c r="FB48" i="27"/>
  <c r="FB23" i="27" s="1"/>
  <c r="FF48" i="27"/>
  <c r="FF23" i="27" s="1"/>
  <c r="GC48" i="27"/>
  <c r="GC23" i="27" s="1"/>
  <c r="GI48" i="27"/>
  <c r="GI23" i="27" s="1"/>
  <c r="CP48" i="27"/>
  <c r="CP23" i="27" s="1"/>
  <c r="GV48" i="27"/>
  <c r="GV23" i="27" s="1"/>
  <c r="GH48" i="27"/>
  <c r="GH23" i="27" s="1"/>
  <c r="CG48" i="27"/>
  <c r="CG23" i="27" s="1"/>
  <c r="ET48" i="27"/>
  <c r="ET23" i="27" s="1"/>
  <c r="GT48" i="27"/>
  <c r="GT23" i="27" s="1"/>
  <c r="FI48" i="27"/>
  <c r="FI23" i="27" s="1"/>
  <c r="AN48" i="27"/>
  <c r="AN23" i="27" s="1"/>
  <c r="J48" i="27"/>
  <c r="J23" i="27" s="1"/>
  <c r="HI48" i="27"/>
  <c r="HI23" i="27" s="1"/>
  <c r="FT48" i="27"/>
  <c r="FT23" i="27" s="1"/>
  <c r="EP48" i="27"/>
  <c r="EP23" i="27" s="1"/>
  <c r="HY48" i="27"/>
  <c r="HY23" i="27" s="1"/>
  <c r="DJ48" i="27"/>
  <c r="DJ23" i="27" s="1"/>
  <c r="CL48" i="27"/>
  <c r="CL23" i="27" s="1"/>
  <c r="HX48" i="27"/>
  <c r="HX23" i="27" s="1"/>
  <c r="CA48" i="27"/>
  <c r="CA23" i="27" s="1"/>
  <c r="EE48" i="27"/>
  <c r="EE23" i="27" s="1"/>
  <c r="CT48" i="27"/>
  <c r="CT23" i="27" s="1"/>
  <c r="DY48" i="27"/>
  <c r="DY23" i="27" s="1"/>
  <c r="HK48" i="27"/>
  <c r="HK23" i="27" s="1"/>
  <c r="GD48" i="27"/>
  <c r="GD23" i="27" s="1"/>
  <c r="EW48" i="27"/>
  <c r="EW23" i="27" s="1"/>
  <c r="ES48" i="27"/>
  <c r="ES23" i="27" s="1"/>
  <c r="DA48" i="27"/>
  <c r="DA23" i="27" s="1"/>
  <c r="M48" i="27"/>
  <c r="M23" i="27" s="1"/>
  <c r="CQ48" i="27"/>
  <c r="CQ23" i="27" s="1"/>
  <c r="GW48" i="27"/>
  <c r="GW23" i="27" s="1"/>
  <c r="HL48" i="27"/>
  <c r="HL23" i="27" s="1"/>
  <c r="CV48" i="27"/>
  <c r="CV23" i="27" s="1"/>
  <c r="IJ48" i="27"/>
  <c r="IJ23" i="27" s="1"/>
  <c r="AO48" i="27"/>
  <c r="AO23" i="27" s="1"/>
  <c r="FZ48" i="27"/>
  <c r="FZ23" i="27" s="1"/>
  <c r="EZ48" i="27"/>
  <c r="EZ23" i="27" s="1"/>
  <c r="BV48" i="27"/>
  <c r="BV23" i="27" s="1"/>
  <c r="DC48" i="27"/>
  <c r="DC23" i="27" s="1"/>
  <c r="BA48" i="27"/>
  <c r="BA23" i="27" s="1"/>
  <c r="AZ48" i="27"/>
  <c r="AZ23" i="27" s="1"/>
  <c r="AW48" i="27"/>
  <c r="AW23" i="27" s="1"/>
  <c r="HS48" i="27"/>
  <c r="HS23" i="27" s="1"/>
  <c r="BR48" i="27"/>
  <c r="BR23" i="27" s="1"/>
  <c r="EO48" i="27"/>
  <c r="EO23" i="27" s="1"/>
  <c r="AV48" i="27"/>
  <c r="AV23" i="27" s="1"/>
  <c r="HN48" i="27"/>
  <c r="HN23" i="27" s="1"/>
  <c r="BG48" i="27"/>
  <c r="BG23" i="27" s="1"/>
  <c r="GG48" i="27"/>
  <c r="GG23" i="27" s="1"/>
  <c r="BF48" i="27"/>
  <c r="BF23" i="27" s="1"/>
  <c r="EA48" i="27"/>
  <c r="EA23" i="27" s="1"/>
  <c r="FN48" i="27"/>
  <c r="FN23" i="27" s="1"/>
  <c r="GN48" i="27"/>
  <c r="GN23" i="27" s="1"/>
  <c r="DL48" i="27"/>
  <c r="DL23" i="27" s="1"/>
  <c r="GJ48" i="27"/>
  <c r="GJ23" i="27" s="1"/>
  <c r="CB48" i="27"/>
  <c r="CB23" i="27" s="1"/>
  <c r="HQ48" i="27"/>
  <c r="HQ23" i="27" s="1"/>
  <c r="BB48" i="27"/>
  <c r="BB23" i="27" s="1"/>
  <c r="FP48" i="27"/>
  <c r="FP23" i="27" s="1"/>
  <c r="DZ48" i="27"/>
  <c r="DZ23" i="27" s="1"/>
  <c r="ID48" i="27"/>
  <c r="ID23" i="27" s="1"/>
  <c r="S48" i="27"/>
  <c r="S23" i="27" s="1"/>
  <c r="CK48" i="27"/>
  <c r="CK23" i="27" s="1"/>
  <c r="AL48" i="27"/>
  <c r="AL23" i="27" s="1"/>
  <c r="GL48" i="27"/>
  <c r="GL23" i="27" s="1"/>
  <c r="AT48" i="27"/>
  <c r="AT23" i="27" s="1"/>
  <c r="FJ48" i="27"/>
  <c r="FJ23" i="27" s="1"/>
  <c r="BM48" i="27"/>
  <c r="BM23" i="27" s="1"/>
  <c r="GZ48" i="27"/>
  <c r="GZ23" i="27" s="1"/>
  <c r="EB48" i="27"/>
  <c r="EB23" i="27" s="1"/>
  <c r="L48" i="27"/>
  <c r="L23" i="27" s="1"/>
  <c r="GE48" i="27"/>
  <c r="GE23" i="27" s="1"/>
  <c r="T48" i="27"/>
  <c r="T23" i="27" s="1"/>
  <c r="BN48" i="27"/>
  <c r="BN23" i="27" s="1"/>
  <c r="DB48" i="27"/>
  <c r="DB23" i="27" s="1"/>
  <c r="GM48" i="27"/>
  <c r="GM23" i="27" s="1"/>
  <c r="IE48" i="27"/>
  <c r="IE23" i="27" s="1"/>
  <c r="DX48" i="27"/>
  <c r="DX23" i="27" s="1"/>
  <c r="X48" i="27"/>
  <c r="X23" i="27" s="1"/>
  <c r="E24" i="27"/>
  <c r="D130" i="27"/>
  <c r="D133" i="27" s="1"/>
  <c r="X132" i="27"/>
  <c r="X107" i="27" s="1"/>
  <c r="AI132" i="27"/>
  <c r="AI107" i="27" s="1"/>
  <c r="AK132" i="27"/>
  <c r="AK107" i="27" s="1"/>
  <c r="BO300" i="27"/>
  <c r="BO275" i="27" s="1"/>
  <c r="II300" i="27"/>
  <c r="II275" i="27" s="1"/>
  <c r="DC300" i="27"/>
  <c r="DC275" i="27" s="1"/>
  <c r="GL300" i="27"/>
  <c r="GL275" i="27" s="1"/>
  <c r="AX300" i="27"/>
  <c r="AX275" i="27" s="1"/>
  <c r="EJ300" i="27"/>
  <c r="EJ275" i="27" s="1"/>
  <c r="AM300" i="27"/>
  <c r="AM275" i="27" s="1"/>
  <c r="BL300" i="27"/>
  <c r="BL275" i="27" s="1"/>
  <c r="EY300" i="27"/>
  <c r="EY275" i="27" s="1"/>
  <c r="S300" i="27"/>
  <c r="S275" i="27" s="1"/>
  <c r="FP300" i="27"/>
  <c r="FP275" i="27" s="1"/>
  <c r="BN300" i="27"/>
  <c r="BN275" i="27" s="1"/>
  <c r="CC300" i="27"/>
  <c r="CC275" i="27" s="1"/>
  <c r="GB300" i="27"/>
  <c r="GB275" i="27" s="1"/>
  <c r="GR300" i="27"/>
  <c r="GR275" i="27" s="1"/>
  <c r="AI300" i="27"/>
  <c r="AI275" i="27" s="1"/>
  <c r="H300" i="27"/>
  <c r="H275" i="27" s="1"/>
  <c r="DZ300" i="27"/>
  <c r="DZ275" i="27" s="1"/>
  <c r="DK300" i="27"/>
  <c r="DK275" i="27" s="1"/>
  <c r="BH300" i="27"/>
  <c r="BH275" i="27" s="1"/>
  <c r="HK300" i="27"/>
  <c r="HK275" i="27" s="1"/>
  <c r="EC300" i="27"/>
  <c r="EC275" i="27" s="1"/>
  <c r="HW300" i="27"/>
  <c r="HW275" i="27" s="1"/>
  <c r="DX300" i="27"/>
  <c r="DX275" i="27" s="1"/>
  <c r="IC300" i="27"/>
  <c r="IC275" i="27" s="1"/>
  <c r="CX300" i="27"/>
  <c r="CX275" i="27" s="1"/>
  <c r="BP300" i="27"/>
  <c r="BP275" i="27" s="1"/>
  <c r="GT300" i="27"/>
  <c r="GT275" i="27" s="1"/>
  <c r="HE300" i="27"/>
  <c r="HE275" i="27" s="1"/>
  <c r="BX300" i="27"/>
  <c r="BX275" i="27" s="1"/>
  <c r="HD300" i="27"/>
  <c r="HD275" i="27" s="1"/>
  <c r="GO300" i="27"/>
  <c r="GO275" i="27" s="1"/>
  <c r="GM300" i="27"/>
  <c r="GM275" i="27" s="1"/>
  <c r="ES300" i="27"/>
  <c r="ES275" i="27" s="1"/>
  <c r="EP300" i="27"/>
  <c r="EP275" i="27" s="1"/>
  <c r="FU300" i="27"/>
  <c r="FU275" i="27" s="1"/>
  <c r="FJ300" i="27"/>
  <c r="FJ275" i="27" s="1"/>
  <c r="BI300" i="27"/>
  <c r="BI275" i="27" s="1"/>
  <c r="GC300" i="27"/>
  <c r="GC275" i="27" s="1"/>
  <c r="GE300" i="27"/>
  <c r="GE275" i="27" s="1"/>
  <c r="ED300" i="27"/>
  <c r="ED275" i="27" s="1"/>
  <c r="EL300" i="27"/>
  <c r="EL275" i="27" s="1"/>
  <c r="GD300" i="27"/>
  <c r="GD275" i="27" s="1"/>
  <c r="DV300" i="27"/>
  <c r="DV275" i="27" s="1"/>
  <c r="AP300" i="27"/>
  <c r="AP275" i="27" s="1"/>
  <c r="AV300" i="27"/>
  <c r="AV275" i="27" s="1"/>
  <c r="CS300" i="27"/>
  <c r="CS275" i="27" s="1"/>
  <c r="GN300" i="27"/>
  <c r="GN275" i="27" s="1"/>
  <c r="FW300" i="27"/>
  <c r="FW275" i="27" s="1"/>
  <c r="IB300" i="27"/>
  <c r="IB275" i="27" s="1"/>
  <c r="CY300" i="27"/>
  <c r="CY275" i="27" s="1"/>
  <c r="FD300" i="27"/>
  <c r="FD275" i="27" s="1"/>
  <c r="W300" i="27"/>
  <c r="W275" i="27" s="1"/>
  <c r="CZ300" i="27"/>
  <c r="CZ275" i="27" s="1"/>
  <c r="IA300" i="27"/>
  <c r="IA275" i="27" s="1"/>
  <c r="EZ300" i="27"/>
  <c r="EZ275" i="27" s="1"/>
  <c r="Z300" i="27"/>
  <c r="Z275" i="27" s="1"/>
  <c r="GW300" i="27"/>
  <c r="GW275" i="27" s="1"/>
  <c r="CK300" i="27"/>
  <c r="CK275" i="27" s="1"/>
  <c r="FZ300" i="27"/>
  <c r="FZ275" i="27" s="1"/>
  <c r="DU300" i="27"/>
  <c r="DU275" i="27" s="1"/>
  <c r="P300" i="27"/>
  <c r="P275" i="27" s="1"/>
  <c r="IH300" i="27"/>
  <c r="IH275" i="27" s="1"/>
  <c r="HB300" i="27"/>
  <c r="HB275" i="27" s="1"/>
  <c r="Q300" i="27"/>
  <c r="Q275" i="27" s="1"/>
  <c r="CM300" i="27"/>
  <c r="CM275" i="27" s="1"/>
  <c r="FV300" i="27"/>
  <c r="FV275" i="27" s="1"/>
  <c r="DG300" i="27"/>
  <c r="DG275" i="27" s="1"/>
  <c r="GY300" i="27"/>
  <c r="GY275" i="27" s="1"/>
  <c r="BF300" i="27"/>
  <c r="BF275" i="27" s="1"/>
  <c r="ER300" i="27"/>
  <c r="ER275" i="27" s="1"/>
  <c r="AN300" i="27"/>
  <c r="AN275" i="27" s="1"/>
  <c r="GS300" i="27"/>
  <c r="GS275" i="27" s="1"/>
  <c r="BA300" i="27"/>
  <c r="BA275" i="27" s="1"/>
  <c r="FS300" i="27"/>
  <c r="FS275" i="27" s="1"/>
  <c r="CG300" i="27"/>
  <c r="CG275" i="27" s="1"/>
  <c r="EB300" i="27"/>
  <c r="EB275" i="27" s="1"/>
  <c r="BG300" i="27"/>
  <c r="BG275" i="27" s="1"/>
  <c r="HT300" i="27"/>
  <c r="HT275" i="27" s="1"/>
  <c r="BC300" i="27"/>
  <c r="BC275" i="27" s="1"/>
  <c r="EK300" i="27"/>
  <c r="EK275" i="27" s="1"/>
  <c r="AQ300" i="27"/>
  <c r="AQ275" i="27" s="1"/>
  <c r="CA300" i="27"/>
  <c r="CA275" i="27" s="1"/>
  <c r="GV300" i="27"/>
  <c r="GV275" i="27" s="1"/>
  <c r="HO300" i="27"/>
  <c r="HO275" i="27" s="1"/>
  <c r="CB300" i="27"/>
  <c r="CB275" i="27" s="1"/>
  <c r="GI300" i="27"/>
  <c r="GI275" i="27" s="1"/>
  <c r="FT300" i="27"/>
  <c r="FT275" i="27" s="1"/>
  <c r="T300" i="27"/>
  <c r="T275" i="27" s="1"/>
  <c r="FE300" i="27"/>
  <c r="FE275" i="27" s="1"/>
  <c r="EQ300" i="27"/>
  <c r="EQ275" i="27" s="1"/>
  <c r="ET300" i="27"/>
  <c r="ET275" i="27" s="1"/>
  <c r="IG300" i="27"/>
  <c r="IG275" i="27" s="1"/>
  <c r="EW300" i="27"/>
  <c r="EW275" i="27" s="1"/>
  <c r="O300" i="27"/>
  <c r="O275" i="27" s="1"/>
  <c r="HH300" i="27"/>
  <c r="HH275" i="27" s="1"/>
  <c r="DL300" i="27"/>
  <c r="DL275" i="27" s="1"/>
  <c r="AY300" i="27"/>
  <c r="AY275" i="27" s="1"/>
  <c r="FM300" i="27"/>
  <c r="FM275" i="27" s="1"/>
  <c r="ID300" i="27"/>
  <c r="ID275" i="27" s="1"/>
  <c r="HI300" i="27"/>
  <c r="HI275" i="27" s="1"/>
  <c r="I300" i="27"/>
  <c r="I275" i="27" s="1"/>
  <c r="IF300" i="27"/>
  <c r="IF275" i="27" s="1"/>
  <c r="EA300" i="27"/>
  <c r="EA275" i="27" s="1"/>
  <c r="HF300" i="27"/>
  <c r="HF275" i="27" s="1"/>
  <c r="AA300" i="27"/>
  <c r="AA275" i="27" s="1"/>
  <c r="FB300" i="27"/>
  <c r="FB275" i="27" s="1"/>
  <c r="BW300" i="27"/>
  <c r="BW275" i="27" s="1"/>
  <c r="DD300" i="27"/>
  <c r="DD275" i="27" s="1"/>
  <c r="FF300" i="27"/>
  <c r="FF275" i="27" s="1"/>
  <c r="CT300" i="27"/>
  <c r="CT275" i="27" s="1"/>
  <c r="HX300" i="27"/>
  <c r="HX275" i="27" s="1"/>
  <c r="DE300" i="27"/>
  <c r="DE275" i="27" s="1"/>
  <c r="BS300" i="27"/>
  <c r="BS275" i="27" s="1"/>
  <c r="CV300" i="27"/>
  <c r="CV275" i="27" s="1"/>
  <c r="BD300" i="27"/>
  <c r="BD275" i="27" s="1"/>
  <c r="AT300" i="27"/>
  <c r="AT275" i="27" s="1"/>
  <c r="FK300" i="27"/>
  <c r="FK275" i="27" s="1"/>
  <c r="HZ300" i="27"/>
  <c r="HZ275" i="27" s="1"/>
  <c r="CP300" i="27"/>
  <c r="CP275" i="27" s="1"/>
  <c r="Y300" i="27"/>
  <c r="Y275" i="27" s="1"/>
  <c r="BZ300" i="27"/>
  <c r="BZ275" i="27" s="1"/>
  <c r="L300" i="27"/>
  <c r="L275" i="27" s="1"/>
  <c r="IK300" i="27"/>
  <c r="IK275" i="27" s="1"/>
  <c r="AB300" i="27"/>
  <c r="AB275" i="27" s="1"/>
  <c r="U300" i="27"/>
  <c r="U275" i="27" s="1"/>
  <c r="FX300" i="27"/>
  <c r="FX275" i="27" s="1"/>
  <c r="BQ300" i="27"/>
  <c r="BQ275" i="27" s="1"/>
  <c r="AH300" i="27"/>
  <c r="AH275" i="27" s="1"/>
  <c r="GQ300" i="27"/>
  <c r="GQ275" i="27" s="1"/>
  <c r="FG300" i="27"/>
  <c r="FG275" i="27" s="1"/>
  <c r="BM300" i="27"/>
  <c r="BM275" i="27" s="1"/>
  <c r="EG300" i="27"/>
  <c r="EG275" i="27" s="1"/>
  <c r="IJ300" i="27"/>
  <c r="IJ275" i="27" s="1"/>
  <c r="EF300" i="27"/>
  <c r="EF275" i="27" s="1"/>
  <c r="DB300" i="27"/>
  <c r="DB275" i="27" s="1"/>
  <c r="AU300" i="27"/>
  <c r="AU275" i="27" s="1"/>
  <c r="X300" i="27"/>
  <c r="X275" i="27" s="1"/>
  <c r="BB300" i="27"/>
  <c r="BB275" i="27" s="1"/>
  <c r="V300" i="27"/>
  <c r="V275" i="27" s="1"/>
  <c r="HA300" i="27"/>
  <c r="HA275" i="27" s="1"/>
  <c r="DP300" i="27"/>
  <c r="DP275" i="27" s="1"/>
  <c r="EO300" i="27"/>
  <c r="EO275" i="27" s="1"/>
  <c r="HJ300" i="27"/>
  <c r="HJ275" i="27" s="1"/>
  <c r="GU300" i="27"/>
  <c r="GU275" i="27" s="1"/>
  <c r="CU300" i="27"/>
  <c r="CU275" i="27" s="1"/>
  <c r="HN300" i="27"/>
  <c r="HN275" i="27" s="1"/>
  <c r="CE300" i="27"/>
  <c r="CE275" i="27" s="1"/>
  <c r="AG300" i="27"/>
  <c r="AG275" i="27" s="1"/>
  <c r="BU300" i="27"/>
  <c r="BU275" i="27" s="1"/>
  <c r="DQ300" i="27"/>
  <c r="DQ275" i="27" s="1"/>
  <c r="EI300" i="27"/>
  <c r="EI275" i="27" s="1"/>
  <c r="DR300" i="27"/>
  <c r="DR275" i="27" s="1"/>
  <c r="FO300" i="27"/>
  <c r="FO275" i="27" s="1"/>
  <c r="CL300" i="27"/>
  <c r="CL275" i="27" s="1"/>
  <c r="GK300" i="27"/>
  <c r="GK275" i="27" s="1"/>
  <c r="BY300" i="27"/>
  <c r="BY275" i="27" s="1"/>
  <c r="EV300" i="27"/>
  <c r="EV275" i="27" s="1"/>
  <c r="GX300" i="27"/>
  <c r="GX275" i="27" s="1"/>
  <c r="AE300" i="27"/>
  <c r="AE275" i="27" s="1"/>
  <c r="HG300" i="27"/>
  <c r="HG275" i="27" s="1"/>
  <c r="HM300" i="27"/>
  <c r="HM275" i="27" s="1"/>
  <c r="HC300" i="27"/>
  <c r="HC275" i="27" s="1"/>
  <c r="FI300" i="27"/>
  <c r="FI275" i="27" s="1"/>
  <c r="CI300" i="27"/>
  <c r="CI275" i="27" s="1"/>
  <c r="FA300" i="27"/>
  <c r="FA275" i="27" s="1"/>
  <c r="EE300" i="27"/>
  <c r="EE275" i="27" s="1"/>
  <c r="CQ300" i="27"/>
  <c r="CQ275" i="27" s="1"/>
  <c r="IE300" i="27"/>
  <c r="IE275" i="27" s="1"/>
  <c r="AS300" i="27"/>
  <c r="AS275" i="27" s="1"/>
  <c r="HP300" i="27"/>
  <c r="HP275" i="27" s="1"/>
  <c r="FC300" i="27"/>
  <c r="FC275" i="27" s="1"/>
  <c r="EU300" i="27"/>
  <c r="EU275" i="27" s="1"/>
  <c r="DW300" i="27"/>
  <c r="DW275" i="27" s="1"/>
  <c r="CH300" i="27"/>
  <c r="CH275" i="27" s="1"/>
  <c r="DT300" i="27"/>
  <c r="DT275" i="27" s="1"/>
  <c r="FH300" i="27"/>
  <c r="FH275" i="27" s="1"/>
  <c r="K300" i="27"/>
  <c r="K275" i="27" s="1"/>
  <c r="AZ300" i="27"/>
  <c r="AZ275" i="27" s="1"/>
  <c r="AD300" i="27"/>
  <c r="AD275" i="27" s="1"/>
  <c r="AR300" i="27"/>
  <c r="AR275" i="27" s="1"/>
  <c r="AW300" i="27"/>
  <c r="AW275" i="27" s="1"/>
  <c r="AC300" i="27"/>
  <c r="AC275" i="27" s="1"/>
  <c r="AF300" i="27"/>
  <c r="AF275" i="27" s="1"/>
  <c r="FQ300" i="27"/>
  <c r="FQ275" i="27" s="1"/>
  <c r="EN300" i="27"/>
  <c r="EN275" i="27" s="1"/>
  <c r="HY300" i="27"/>
  <c r="HY275" i="27" s="1"/>
  <c r="FN300" i="27"/>
  <c r="FN275" i="27" s="1"/>
  <c r="GZ300" i="27"/>
  <c r="GZ275" i="27" s="1"/>
  <c r="DJ300" i="27"/>
  <c r="DJ275" i="27" s="1"/>
  <c r="EM300" i="27"/>
  <c r="EM275" i="27" s="1"/>
  <c r="AL300" i="27"/>
  <c r="AL275" i="27" s="1"/>
  <c r="BK300" i="27"/>
  <c r="BK275" i="27" s="1"/>
  <c r="BV300" i="27"/>
  <c r="BV275" i="27" s="1"/>
  <c r="GP300" i="27"/>
  <c r="GP275" i="27" s="1"/>
  <c r="DS300" i="27"/>
  <c r="DS275" i="27" s="1"/>
  <c r="CW300" i="27"/>
  <c r="CW275" i="27" s="1"/>
  <c r="CO300" i="27"/>
  <c r="CO275" i="27" s="1"/>
  <c r="HQ300" i="27"/>
  <c r="HQ275" i="27" s="1"/>
  <c r="BR300" i="27"/>
  <c r="BR275" i="27" s="1"/>
  <c r="GH300" i="27"/>
  <c r="GH275" i="27" s="1"/>
  <c r="HL300" i="27"/>
  <c r="HL275" i="27" s="1"/>
  <c r="GF300" i="27"/>
  <c r="GF275" i="27" s="1"/>
  <c r="BT300" i="27"/>
  <c r="BT275" i="27" s="1"/>
  <c r="DN300" i="27"/>
  <c r="DN275" i="27" s="1"/>
  <c r="GA300" i="27"/>
  <c r="GA275" i="27" s="1"/>
  <c r="HS300" i="27"/>
  <c r="HS275" i="27" s="1"/>
  <c r="CF300" i="27"/>
  <c r="CF275" i="27" s="1"/>
  <c r="DM300" i="27"/>
  <c r="DM275" i="27" s="1"/>
  <c r="FL300" i="27"/>
  <c r="FL275" i="27" s="1"/>
  <c r="HR300" i="27"/>
  <c r="HR275" i="27" s="1"/>
  <c r="M300" i="27"/>
  <c r="M275" i="27" s="1"/>
  <c r="HU300" i="27"/>
  <c r="HU275" i="27" s="1"/>
  <c r="GJ300" i="27"/>
  <c r="GJ275" i="27" s="1"/>
  <c r="CJ300" i="27"/>
  <c r="CJ275" i="27" s="1"/>
  <c r="CR300" i="27"/>
  <c r="CR275" i="27" s="1"/>
  <c r="DO300" i="27"/>
  <c r="DO275" i="27" s="1"/>
  <c r="AJ300" i="27"/>
  <c r="AJ275" i="27" s="1"/>
  <c r="DH300" i="27"/>
  <c r="DH275" i="27" s="1"/>
  <c r="GG300" i="27"/>
  <c r="GG275" i="27" s="1"/>
  <c r="EX300" i="27"/>
  <c r="EX275" i="27" s="1"/>
  <c r="FY300" i="27"/>
  <c r="FY275" i="27" s="1"/>
  <c r="AO300" i="27"/>
  <c r="AO275" i="27" s="1"/>
  <c r="DF300" i="27"/>
  <c r="DF275" i="27" s="1"/>
  <c r="R300" i="27"/>
  <c r="R275" i="27" s="1"/>
  <c r="EH300" i="27"/>
  <c r="EH275" i="27" s="1"/>
  <c r="BE300" i="27"/>
  <c r="BE275" i="27" s="1"/>
  <c r="DY300" i="27"/>
  <c r="DY275" i="27" s="1"/>
  <c r="CD300" i="27"/>
  <c r="CD275" i="27" s="1"/>
  <c r="N300" i="27"/>
  <c r="N275" i="27" s="1"/>
  <c r="J300" i="27"/>
  <c r="J275" i="27" s="1"/>
  <c r="AK300" i="27"/>
  <c r="AK275" i="27" s="1"/>
  <c r="BJ300" i="27"/>
  <c r="BJ275" i="27" s="1"/>
  <c r="HV300" i="27"/>
  <c r="HV275" i="27" s="1"/>
  <c r="CN300" i="27"/>
  <c r="CN275" i="27" s="1"/>
  <c r="DI300" i="27"/>
  <c r="DI275" i="27" s="1"/>
  <c r="FR300" i="27"/>
  <c r="FR275" i="27" s="1"/>
  <c r="GJ216" i="27"/>
  <c r="GJ191" i="27" s="1"/>
  <c r="EF216" i="27"/>
  <c r="EF191" i="27" s="1"/>
  <c r="AE216" i="27"/>
  <c r="AE191" i="27" s="1"/>
  <c r="AS216" i="27"/>
  <c r="AS191" i="27" s="1"/>
  <c r="GM216" i="27"/>
  <c r="GM191" i="27" s="1"/>
  <c r="FK216" i="27"/>
  <c r="FK191" i="27" s="1"/>
  <c r="EM216" i="27"/>
  <c r="EM191" i="27" s="1"/>
  <c r="HZ216" i="27"/>
  <c r="HZ191" i="27" s="1"/>
  <c r="HE216" i="27"/>
  <c r="HE191" i="27" s="1"/>
  <c r="HG216" i="27"/>
  <c r="HG191" i="27" s="1"/>
  <c r="AZ216" i="27"/>
  <c r="AZ191" i="27" s="1"/>
  <c r="CD216" i="27"/>
  <c r="CD191" i="27" s="1"/>
  <c r="EZ216" i="27"/>
  <c r="EZ191" i="27" s="1"/>
  <c r="CW216" i="27"/>
  <c r="CW191" i="27" s="1"/>
  <c r="GB216" i="27"/>
  <c r="GB191" i="27" s="1"/>
  <c r="IA216" i="27"/>
  <c r="IA191" i="27" s="1"/>
  <c r="DO216" i="27"/>
  <c r="DO191" i="27" s="1"/>
  <c r="CS216" i="27"/>
  <c r="CS191" i="27" s="1"/>
  <c r="ER216" i="27"/>
  <c r="ER191" i="27" s="1"/>
  <c r="N216" i="27"/>
  <c r="N191" i="27" s="1"/>
  <c r="AW216" i="27"/>
  <c r="AW191" i="27" s="1"/>
  <c r="FD216" i="27"/>
  <c r="FD191" i="27" s="1"/>
  <c r="EJ216" i="27"/>
  <c r="EJ191" i="27" s="1"/>
  <c r="HO216" i="27"/>
  <c r="HO191" i="27" s="1"/>
  <c r="HI216" i="27"/>
  <c r="HI191" i="27" s="1"/>
  <c r="DM216" i="27"/>
  <c r="DM191" i="27" s="1"/>
  <c r="GG216" i="27"/>
  <c r="GG191" i="27" s="1"/>
  <c r="GQ216" i="27"/>
  <c r="GQ191" i="27" s="1"/>
  <c r="IK216" i="27"/>
  <c r="IK191" i="27" s="1"/>
  <c r="EL216" i="27"/>
  <c r="EL191" i="27" s="1"/>
  <c r="AN216" i="27"/>
  <c r="AN191" i="27" s="1"/>
  <c r="AL216" i="27"/>
  <c r="AL191" i="27" s="1"/>
  <c r="BQ216" i="27"/>
  <c r="BQ191" i="27" s="1"/>
  <c r="ED216" i="27"/>
  <c r="ED191" i="27" s="1"/>
  <c r="GW216" i="27"/>
  <c r="GW191" i="27" s="1"/>
  <c r="CB216" i="27"/>
  <c r="CB191" i="27" s="1"/>
  <c r="IC216" i="27"/>
  <c r="IC191" i="27" s="1"/>
  <c r="GO216" i="27"/>
  <c r="GO191" i="27" s="1"/>
  <c r="HA216" i="27"/>
  <c r="HA191" i="27" s="1"/>
  <c r="HR216" i="27"/>
  <c r="HR191" i="27" s="1"/>
  <c r="CQ216" i="27"/>
  <c r="CQ191" i="27" s="1"/>
  <c r="FF216" i="27"/>
  <c r="FF191" i="27" s="1"/>
  <c r="BA216" i="27"/>
  <c r="BA191" i="27" s="1"/>
  <c r="GE216" i="27"/>
  <c r="GE191" i="27" s="1"/>
  <c r="HP216" i="27"/>
  <c r="HP191" i="27" s="1"/>
  <c r="CA216" i="27"/>
  <c r="CA191" i="27" s="1"/>
  <c r="CJ216" i="27"/>
  <c r="CJ191" i="27" s="1"/>
  <c r="I216" i="27"/>
  <c r="I191" i="27" s="1"/>
  <c r="BG216" i="27"/>
  <c r="BG191" i="27" s="1"/>
  <c r="CO216" i="27"/>
  <c r="CO191" i="27" s="1"/>
  <c r="BR216" i="27"/>
  <c r="BR191" i="27" s="1"/>
  <c r="HV216" i="27"/>
  <c r="HV191" i="27" s="1"/>
  <c r="EG216" i="27"/>
  <c r="EG191" i="27" s="1"/>
  <c r="CK216" i="27"/>
  <c r="CK191" i="27" s="1"/>
  <c r="DY216" i="27"/>
  <c r="DY191" i="27" s="1"/>
  <c r="L216" i="27"/>
  <c r="L191" i="27" s="1"/>
  <c r="DS216" i="27"/>
  <c r="DS191" i="27" s="1"/>
  <c r="CX216" i="27"/>
  <c r="CX191" i="27" s="1"/>
  <c r="AR216" i="27"/>
  <c r="AR191" i="27" s="1"/>
  <c r="FH216" i="27"/>
  <c r="FH191" i="27" s="1"/>
  <c r="HB216" i="27"/>
  <c r="HB191" i="27" s="1"/>
  <c r="AD216" i="27"/>
  <c r="AD191" i="27" s="1"/>
  <c r="EY216" i="27"/>
  <c r="EY191" i="27" s="1"/>
  <c r="AK216" i="27"/>
  <c r="AK191" i="27" s="1"/>
  <c r="IE216" i="27"/>
  <c r="IE191" i="27" s="1"/>
  <c r="CU216" i="27"/>
  <c r="CU191" i="27" s="1"/>
  <c r="GH216" i="27"/>
  <c r="GH191" i="27" s="1"/>
  <c r="DZ216" i="27"/>
  <c r="DZ191" i="27" s="1"/>
  <c r="DX216" i="27"/>
  <c r="DX191" i="27" s="1"/>
  <c r="GX216" i="27"/>
  <c r="GX191" i="27" s="1"/>
  <c r="BH216" i="27"/>
  <c r="BH191" i="27" s="1"/>
  <c r="FA216" i="27"/>
  <c r="FA191" i="27" s="1"/>
  <c r="BM216" i="27"/>
  <c r="BM191" i="27" s="1"/>
  <c r="AX216" i="27"/>
  <c r="AX191" i="27" s="1"/>
  <c r="DV216" i="27"/>
  <c r="DV191" i="27" s="1"/>
  <c r="J216" i="27"/>
  <c r="J191" i="27" s="1"/>
  <c r="HD216" i="27"/>
  <c r="HD191" i="27" s="1"/>
  <c r="DK216" i="27"/>
  <c r="DK191" i="27" s="1"/>
  <c r="HK216" i="27"/>
  <c r="HK191" i="27" s="1"/>
  <c r="R216" i="27"/>
  <c r="R191" i="27" s="1"/>
  <c r="U216" i="27"/>
  <c r="U191" i="27" s="1"/>
  <c r="GL216" i="27"/>
  <c r="GL191" i="27" s="1"/>
  <c r="FG216" i="27"/>
  <c r="FG191" i="27" s="1"/>
  <c r="X216" i="27"/>
  <c r="X191" i="27" s="1"/>
  <c r="AA216" i="27"/>
  <c r="AA191" i="27" s="1"/>
  <c r="II216" i="27"/>
  <c r="II191" i="27" s="1"/>
  <c r="DD216" i="27"/>
  <c r="DD191" i="27" s="1"/>
  <c r="DR216" i="27"/>
  <c r="DR191" i="27" s="1"/>
  <c r="GS216" i="27"/>
  <c r="GS191" i="27" s="1"/>
  <c r="EK216" i="27"/>
  <c r="EK191" i="27" s="1"/>
  <c r="IJ216" i="27"/>
  <c r="IJ191" i="27" s="1"/>
  <c r="EA216" i="27"/>
  <c r="EA191" i="27" s="1"/>
  <c r="W216" i="27"/>
  <c r="W191" i="27" s="1"/>
  <c r="T216" i="27"/>
  <c r="T191" i="27" s="1"/>
  <c r="IB216" i="27"/>
  <c r="IB191" i="27" s="1"/>
  <c r="BO216" i="27"/>
  <c r="BO191" i="27" s="1"/>
  <c r="FJ216" i="27"/>
  <c r="FJ191" i="27" s="1"/>
  <c r="HT216" i="27"/>
  <c r="HT191" i="27" s="1"/>
  <c r="IG216" i="27"/>
  <c r="IG191" i="27" s="1"/>
  <c r="FE216" i="27"/>
  <c r="FE191" i="27" s="1"/>
  <c r="CR216" i="27"/>
  <c r="CR191" i="27" s="1"/>
  <c r="CZ216" i="27"/>
  <c r="CZ191" i="27" s="1"/>
  <c r="CG216" i="27"/>
  <c r="CG191" i="27" s="1"/>
  <c r="HL216" i="27"/>
  <c r="HL191" i="27" s="1"/>
  <c r="FR216" i="27"/>
  <c r="FR191" i="27" s="1"/>
  <c r="DQ216" i="27"/>
  <c r="DQ191" i="27" s="1"/>
  <c r="HJ216" i="27"/>
  <c r="HJ191" i="27" s="1"/>
  <c r="BF216" i="27"/>
  <c r="BF191" i="27" s="1"/>
  <c r="O216" i="27"/>
  <c r="O191" i="27" s="1"/>
  <c r="FC216" i="27"/>
  <c r="FC191" i="27" s="1"/>
  <c r="V216" i="27"/>
  <c r="V191" i="27" s="1"/>
  <c r="CH216" i="27"/>
  <c r="CH191" i="27" s="1"/>
  <c r="BV216" i="27"/>
  <c r="BV191" i="27" s="1"/>
  <c r="GY216" i="27"/>
  <c r="GY191" i="27" s="1"/>
  <c r="EU216" i="27"/>
  <c r="EU191" i="27" s="1"/>
  <c r="BZ216" i="27"/>
  <c r="BZ191" i="27" s="1"/>
  <c r="EH216" i="27"/>
  <c r="EH191" i="27" s="1"/>
  <c r="AJ216" i="27"/>
  <c r="AJ191" i="27" s="1"/>
  <c r="BT216" i="27"/>
  <c r="BT191" i="27" s="1"/>
  <c r="BL216" i="27"/>
  <c r="BL191" i="27" s="1"/>
  <c r="FI216" i="27"/>
  <c r="FI191" i="27" s="1"/>
  <c r="DL216" i="27"/>
  <c r="DL191" i="27" s="1"/>
  <c r="AG216" i="27"/>
  <c r="AG191" i="27" s="1"/>
  <c r="EP216" i="27"/>
  <c r="EP191" i="27" s="1"/>
  <c r="EB216" i="27"/>
  <c r="EB191" i="27" s="1"/>
  <c r="AM216" i="27"/>
  <c r="AM191" i="27" s="1"/>
  <c r="ID216" i="27"/>
  <c r="ID191" i="27" s="1"/>
  <c r="DB216" i="27"/>
  <c r="DB191" i="27" s="1"/>
  <c r="EC216" i="27"/>
  <c r="EC191" i="27" s="1"/>
  <c r="Y216" i="27"/>
  <c r="Y191" i="27" s="1"/>
  <c r="HN216" i="27"/>
  <c r="HN191" i="27" s="1"/>
  <c r="GC216" i="27"/>
  <c r="GC191" i="27" s="1"/>
  <c r="GR216" i="27"/>
  <c r="GR191" i="27" s="1"/>
  <c r="AF216" i="27"/>
  <c r="AF191" i="27" s="1"/>
  <c r="FM216" i="27"/>
  <c r="FM191" i="27" s="1"/>
  <c r="AC216" i="27"/>
  <c r="AC191" i="27" s="1"/>
  <c r="ET216" i="27"/>
  <c r="ET191" i="27" s="1"/>
  <c r="HC216" i="27"/>
  <c r="HC191" i="27" s="1"/>
  <c r="EW216" i="27"/>
  <c r="EW191" i="27" s="1"/>
  <c r="FL216" i="27"/>
  <c r="FL191" i="27" s="1"/>
  <c r="BN216" i="27"/>
  <c r="BN191" i="27" s="1"/>
  <c r="IH216" i="27"/>
  <c r="IH191" i="27" s="1"/>
  <c r="CL216" i="27"/>
  <c r="CL191" i="27" s="1"/>
  <c r="FW216" i="27"/>
  <c r="FW191" i="27" s="1"/>
  <c r="FT216" i="27"/>
  <c r="FT191" i="27" s="1"/>
  <c r="DN216" i="27"/>
  <c r="DN191" i="27" s="1"/>
  <c r="GV216" i="27"/>
  <c r="GV191" i="27" s="1"/>
  <c r="EE216" i="27"/>
  <c r="EE191" i="27" s="1"/>
  <c r="DI216" i="27"/>
  <c r="DI191" i="27" s="1"/>
  <c r="GA216" i="27"/>
  <c r="GA191" i="27" s="1"/>
  <c r="FU216" i="27"/>
  <c r="FU191" i="27" s="1"/>
  <c r="FY216" i="27"/>
  <c r="FY191" i="27" s="1"/>
  <c r="AP216" i="27"/>
  <c r="AP191" i="27" s="1"/>
  <c r="AV216" i="27"/>
  <c r="AV191" i="27" s="1"/>
  <c r="DC216" i="27"/>
  <c r="DC191" i="27" s="1"/>
  <c r="ES216" i="27"/>
  <c r="ES191" i="27" s="1"/>
  <c r="DF216" i="27"/>
  <c r="DF191" i="27" s="1"/>
  <c r="GP216" i="27"/>
  <c r="GP191" i="27" s="1"/>
  <c r="BI216" i="27"/>
  <c r="BI191" i="27" s="1"/>
  <c r="IF216" i="27"/>
  <c r="IF191" i="27" s="1"/>
  <c r="AB216" i="27"/>
  <c r="AB191" i="27" s="1"/>
  <c r="GF216" i="27"/>
  <c r="GF191" i="27" s="1"/>
  <c r="P216" i="27"/>
  <c r="P191" i="27" s="1"/>
  <c r="HX216" i="27"/>
  <c r="HX191" i="27" s="1"/>
  <c r="GK216" i="27"/>
  <c r="GK191" i="27" s="1"/>
  <c r="M216" i="27"/>
  <c r="M191" i="27" s="1"/>
  <c r="FO216" i="27"/>
  <c r="FO191" i="27" s="1"/>
  <c r="BD216" i="27"/>
  <c r="BD191" i="27" s="1"/>
  <c r="BS216" i="27"/>
  <c r="BS191" i="27" s="1"/>
  <c r="EQ216" i="27"/>
  <c r="EQ191" i="27" s="1"/>
  <c r="GI216" i="27"/>
  <c r="GI191" i="27" s="1"/>
  <c r="HW216" i="27"/>
  <c r="HW191" i="27" s="1"/>
  <c r="CT216" i="27"/>
  <c r="CT191" i="27" s="1"/>
  <c r="GZ216" i="27"/>
  <c r="GZ191" i="27" s="1"/>
  <c r="CM216" i="27"/>
  <c r="CM191" i="27" s="1"/>
  <c r="FQ216" i="27"/>
  <c r="FQ191" i="27" s="1"/>
  <c r="AT216" i="27"/>
  <c r="AT191" i="27" s="1"/>
  <c r="BX216" i="27"/>
  <c r="BX191" i="27" s="1"/>
  <c r="HY216" i="27"/>
  <c r="HY191" i="27" s="1"/>
  <c r="Z216" i="27"/>
  <c r="Z191" i="27" s="1"/>
  <c r="AY216" i="27"/>
  <c r="AY191" i="27" s="1"/>
  <c r="HS216" i="27"/>
  <c r="HS191" i="27" s="1"/>
  <c r="DP216" i="27"/>
  <c r="DP191" i="27" s="1"/>
  <c r="GU216" i="27"/>
  <c r="GU191" i="27" s="1"/>
  <c r="EI216" i="27"/>
  <c r="EI191" i="27" s="1"/>
  <c r="GN216" i="27"/>
  <c r="GN191" i="27" s="1"/>
  <c r="CP216" i="27"/>
  <c r="CP191" i="27" s="1"/>
  <c r="BW216" i="27"/>
  <c r="BW191" i="27" s="1"/>
  <c r="CN216" i="27"/>
  <c r="CN191" i="27" s="1"/>
  <c r="AU216" i="27"/>
  <c r="AU191" i="27" s="1"/>
  <c r="CI216" i="27"/>
  <c r="CI191" i="27" s="1"/>
  <c r="EV216" i="27"/>
  <c r="EV191" i="27" s="1"/>
  <c r="BU216" i="27"/>
  <c r="BU191" i="27" s="1"/>
  <c r="FV216" i="27"/>
  <c r="FV191" i="27" s="1"/>
  <c r="CY216" i="27"/>
  <c r="CY191" i="27" s="1"/>
  <c r="CV216" i="27"/>
  <c r="CV191" i="27" s="1"/>
  <c r="BB216" i="27"/>
  <c r="BB191" i="27" s="1"/>
  <c r="S216" i="27"/>
  <c r="S191" i="27" s="1"/>
  <c r="HU216" i="27"/>
  <c r="HU191" i="27" s="1"/>
  <c r="DJ216" i="27"/>
  <c r="DJ191" i="27" s="1"/>
  <c r="K216" i="27"/>
  <c r="K191" i="27" s="1"/>
  <c r="DE216" i="27"/>
  <c r="DE191" i="27" s="1"/>
  <c r="CE216" i="27"/>
  <c r="CE191" i="27" s="1"/>
  <c r="BC216" i="27"/>
  <c r="BC191" i="27" s="1"/>
  <c r="BY216" i="27"/>
  <c r="BY191" i="27" s="1"/>
  <c r="DU216" i="27"/>
  <c r="DU191" i="27" s="1"/>
  <c r="EN216" i="27"/>
  <c r="EN191" i="27" s="1"/>
  <c r="AQ191" i="27"/>
  <c r="GD216" i="27"/>
  <c r="GD191" i="27" s="1"/>
  <c r="EX216" i="27"/>
  <c r="EX191" i="27" s="1"/>
  <c r="EO216" i="27"/>
  <c r="EO191" i="27" s="1"/>
  <c r="HM216" i="27"/>
  <c r="HM191" i="27" s="1"/>
  <c r="GT216" i="27"/>
  <c r="GT191" i="27" s="1"/>
  <c r="AH216" i="27"/>
  <c r="AH191" i="27" s="1"/>
  <c r="DW216" i="27"/>
  <c r="DW191" i="27" s="1"/>
  <c r="BJ216" i="27"/>
  <c r="BJ191" i="27" s="1"/>
  <c r="HH216" i="27"/>
  <c r="HH191" i="27" s="1"/>
  <c r="DA216" i="27"/>
  <c r="DA191" i="27" s="1"/>
  <c r="DG216" i="27"/>
  <c r="DG191" i="27" s="1"/>
  <c r="Q216" i="27"/>
  <c r="Q191" i="27" s="1"/>
  <c r="BE216" i="27"/>
  <c r="BE191" i="27" s="1"/>
  <c r="AO216" i="27"/>
  <c r="AO191" i="27" s="1"/>
  <c r="H216" i="27"/>
  <c r="H191" i="27" s="1"/>
  <c r="HF216" i="27"/>
  <c r="HF191" i="27" s="1"/>
  <c r="FX216" i="27"/>
  <c r="FX191" i="27" s="1"/>
  <c r="FS216" i="27"/>
  <c r="FS191" i="27" s="1"/>
  <c r="FZ216" i="27"/>
  <c r="FZ191" i="27" s="1"/>
  <c r="DH216" i="27"/>
  <c r="DH191" i="27" s="1"/>
  <c r="CF216" i="27"/>
  <c r="CF191" i="27" s="1"/>
  <c r="AI216" i="27"/>
  <c r="AI191" i="27" s="1"/>
  <c r="FB216" i="27"/>
  <c r="FB191" i="27" s="1"/>
  <c r="CC216" i="27"/>
  <c r="CC191" i="27" s="1"/>
  <c r="FN216" i="27"/>
  <c r="FN191" i="27" s="1"/>
  <c r="BP216" i="27"/>
  <c r="BP191" i="27" s="1"/>
  <c r="HQ216" i="27"/>
  <c r="HQ191" i="27" s="1"/>
  <c r="BK216" i="27"/>
  <c r="BK191" i="27" s="1"/>
  <c r="FP216" i="27"/>
  <c r="FP191" i="27" s="1"/>
  <c r="DT216" i="27"/>
  <c r="DT191" i="27" s="1"/>
  <c r="BM132" i="27"/>
  <c r="BM107" i="27" s="1"/>
  <c r="DH132" i="27"/>
  <c r="DH107" i="27" s="1"/>
  <c r="FF132" i="27"/>
  <c r="FF107" i="27" s="1"/>
  <c r="EN132" i="27"/>
  <c r="EN107" i="27" s="1"/>
  <c r="DJ132" i="27"/>
  <c r="DJ107" i="27" s="1"/>
  <c r="CZ132" i="27"/>
  <c r="CZ107" i="27" s="1"/>
  <c r="GB132" i="27"/>
  <c r="GB107" i="27" s="1"/>
  <c r="Z132" i="27"/>
  <c r="Z107" i="27" s="1"/>
  <c r="AR132" i="27"/>
  <c r="AR107" i="27" s="1"/>
  <c r="DP132" i="27"/>
  <c r="DP107" i="27" s="1"/>
  <c r="CN132" i="27"/>
  <c r="CN107" i="27" s="1"/>
  <c r="DS132" i="27"/>
  <c r="DS107" i="27" s="1"/>
  <c r="U132" i="27"/>
  <c r="U107" i="27" s="1"/>
  <c r="W132" i="27"/>
  <c r="W107" i="27" s="1"/>
  <c r="AT132" i="27"/>
  <c r="AT107" i="27" s="1"/>
  <c r="AD132" i="27"/>
  <c r="AD107" i="27" s="1"/>
  <c r="AX132" i="27"/>
  <c r="AX107" i="27" s="1"/>
  <c r="ID132" i="27"/>
  <c r="ID107" i="27" s="1"/>
  <c r="BO132" i="27"/>
  <c r="BO107" i="27" s="1"/>
  <c r="DN132" i="27"/>
  <c r="DN107" i="27" s="1"/>
  <c r="IA132" i="27"/>
  <c r="IA107" i="27" s="1"/>
  <c r="GP132" i="27"/>
  <c r="GP107" i="27" s="1"/>
  <c r="HT132" i="27"/>
  <c r="HT107" i="27" s="1"/>
  <c r="ES132" i="27"/>
  <c r="ES107" i="27" s="1"/>
  <c r="HG132" i="27"/>
  <c r="HG107" i="27" s="1"/>
  <c r="GS132" i="27"/>
  <c r="GS107" i="27" s="1"/>
  <c r="CE132" i="27"/>
  <c r="CE107" i="27" s="1"/>
  <c r="T132" i="27"/>
  <c r="T107" i="27" s="1"/>
  <c r="HV132" i="27"/>
  <c r="HV107" i="27" s="1"/>
  <c r="BP132" i="27"/>
  <c r="BP107" i="27" s="1"/>
  <c r="BU132" i="27"/>
  <c r="BU107" i="27" s="1"/>
  <c r="CI132" i="27"/>
  <c r="CI107" i="27" s="1"/>
  <c r="EK132" i="27"/>
  <c r="EK107" i="27" s="1"/>
  <c r="EB132" i="27"/>
  <c r="EB107" i="27" s="1"/>
  <c r="AP132" i="27"/>
  <c r="AP107" i="27" s="1"/>
  <c r="GY132" i="27"/>
  <c r="GY107" i="27" s="1"/>
  <c r="FK132" i="27"/>
  <c r="FK107" i="27" s="1"/>
  <c r="FX132" i="27"/>
  <c r="FX107" i="27" s="1"/>
  <c r="EG132" i="27"/>
  <c r="EG107" i="27" s="1"/>
  <c r="HQ132" i="27"/>
  <c r="HQ107" i="27" s="1"/>
  <c r="HR132" i="27"/>
  <c r="HR107" i="27" s="1"/>
  <c r="AW132" i="27"/>
  <c r="AW107" i="27" s="1"/>
  <c r="AV132" i="27"/>
  <c r="AV107" i="27" s="1"/>
  <c r="ET132" i="27"/>
  <c r="ET107" i="27" s="1"/>
  <c r="DL132" i="27"/>
  <c r="DL107" i="27" s="1"/>
  <c r="BA132" i="27"/>
  <c r="BA107" i="27" s="1"/>
  <c r="HO132" i="27"/>
  <c r="HO107" i="27" s="1"/>
  <c r="FG132" i="27"/>
  <c r="FG107" i="27" s="1"/>
  <c r="FV132" i="27"/>
  <c r="FV107" i="27" s="1"/>
  <c r="EJ132" i="27"/>
  <c r="EJ107" i="27" s="1"/>
  <c r="DO132" i="27"/>
  <c r="DO107" i="27" s="1"/>
  <c r="FC132" i="27"/>
  <c r="FC107" i="27" s="1"/>
  <c r="GQ132" i="27"/>
  <c r="GQ107" i="27" s="1"/>
  <c r="N132" i="27"/>
  <c r="N107" i="27" s="1"/>
  <c r="P132" i="27"/>
  <c r="P107" i="27" s="1"/>
  <c r="BX132" i="27"/>
  <c r="BX107" i="27" s="1"/>
  <c r="AS132" i="27"/>
  <c r="AS107" i="27" s="1"/>
  <c r="CO132" i="27"/>
  <c r="CO107" i="27" s="1"/>
  <c r="EU132" i="27"/>
  <c r="EU107" i="27" s="1"/>
  <c r="FB132" i="27"/>
  <c r="FB107" i="27" s="1"/>
  <c r="DY132" i="27"/>
  <c r="DY107" i="27" s="1"/>
  <c r="AY132" i="27"/>
  <c r="AY107" i="27" s="1"/>
  <c r="IC132" i="27"/>
  <c r="IC107" i="27" s="1"/>
  <c r="EW132" i="27"/>
  <c r="EW107" i="27" s="1"/>
  <c r="AG132" i="27"/>
  <c r="AG107" i="27" s="1"/>
  <c r="DV132" i="27"/>
  <c r="DV107" i="27" s="1"/>
  <c r="AO132" i="27"/>
  <c r="AO107" i="27" s="1"/>
  <c r="H132" i="27"/>
  <c r="H107" i="27" s="1"/>
  <c r="AE132" i="27"/>
  <c r="AE107" i="27" s="1"/>
  <c r="FH132" i="27"/>
  <c r="FH107" i="27" s="1"/>
  <c r="CB132" i="27"/>
  <c r="CB107" i="27" s="1"/>
  <c r="IF132" i="27"/>
  <c r="IF107" i="27" s="1"/>
  <c r="BZ132" i="27"/>
  <c r="BZ107" i="27" s="1"/>
  <c r="DG132" i="27"/>
  <c r="DG107" i="27" s="1"/>
  <c r="FS132" i="27"/>
  <c r="FS107" i="27" s="1"/>
  <c r="BG132" i="27"/>
  <c r="BG107" i="27" s="1"/>
  <c r="HX132" i="27"/>
  <c r="HX107" i="27" s="1"/>
  <c r="GE132" i="27"/>
  <c r="GE107" i="27" s="1"/>
  <c r="FP132" i="27"/>
  <c r="FP107" i="27" s="1"/>
  <c r="IE132" i="27"/>
  <c r="IE107" i="27" s="1"/>
  <c r="FL132" i="27"/>
  <c r="FL107" i="27" s="1"/>
  <c r="DK132" i="27"/>
  <c r="DK107" i="27" s="1"/>
  <c r="CP132" i="27"/>
  <c r="CP107" i="27" s="1"/>
  <c r="BH132" i="27"/>
  <c r="BH107" i="27" s="1"/>
  <c r="EX132" i="27"/>
  <c r="EX107" i="27" s="1"/>
  <c r="EZ132" i="27"/>
  <c r="EZ107" i="27" s="1"/>
  <c r="GX132" i="27"/>
  <c r="GX107" i="27" s="1"/>
  <c r="DE132" i="27"/>
  <c r="DE107" i="27" s="1"/>
  <c r="CU132" i="27"/>
  <c r="CU107" i="27" s="1"/>
  <c r="FZ132" i="27"/>
  <c r="FZ107" i="27" s="1"/>
  <c r="EL132" i="27"/>
  <c r="EL107" i="27" s="1"/>
  <c r="R132" i="27"/>
  <c r="R107" i="27" s="1"/>
  <c r="IH132" i="27"/>
  <c r="IH107" i="27" s="1"/>
  <c r="CX132" i="27"/>
  <c r="CX107" i="27" s="1"/>
  <c r="AC132" i="27"/>
  <c r="AC107" i="27" s="1"/>
  <c r="II132" i="27"/>
  <c r="II107" i="27" s="1"/>
  <c r="BK132" i="27"/>
  <c r="BK107" i="27" s="1"/>
  <c r="DC132" i="27"/>
  <c r="DC107" i="27" s="1"/>
  <c r="GV132" i="27"/>
  <c r="GV107" i="27" s="1"/>
  <c r="BQ132" i="27"/>
  <c r="BQ107" i="27" s="1"/>
  <c r="L132" i="27"/>
  <c r="L107" i="27" s="1"/>
  <c r="BD132" i="27"/>
  <c r="BD107" i="27" s="1"/>
  <c r="EE132" i="27"/>
  <c r="EE107" i="27" s="1"/>
  <c r="BS132" i="27"/>
  <c r="BS107" i="27" s="1"/>
  <c r="GR132" i="27"/>
  <c r="GR107" i="27" s="1"/>
  <c r="IB132" i="27"/>
  <c r="IB107" i="27" s="1"/>
  <c r="K132" i="27"/>
  <c r="K107" i="27" s="1"/>
  <c r="HH132" i="27"/>
  <c r="HH107" i="27" s="1"/>
  <c r="BC132" i="27"/>
  <c r="BC107" i="27" s="1"/>
  <c r="DM132" i="27"/>
  <c r="DM107" i="27" s="1"/>
  <c r="CY132" i="27"/>
  <c r="CY107" i="27" s="1"/>
  <c r="GA132" i="27"/>
  <c r="GA107" i="27" s="1"/>
  <c r="BW132" i="27"/>
  <c r="BW107" i="27" s="1"/>
  <c r="DF132" i="27"/>
  <c r="DF107" i="27" s="1"/>
  <c r="GH132" i="27"/>
  <c r="GH107" i="27" s="1"/>
  <c r="EC132" i="27"/>
  <c r="EC107" i="27" s="1"/>
  <c r="AH132" i="27"/>
  <c r="AH107" i="27" s="1"/>
  <c r="HY132" i="27"/>
  <c r="HY107" i="27" s="1"/>
  <c r="Y132" i="27"/>
  <c r="Y107" i="27" s="1"/>
  <c r="S132" i="27"/>
  <c r="S107" i="27" s="1"/>
  <c r="DI132" i="27"/>
  <c r="DI107" i="27" s="1"/>
  <c r="HI132" i="27"/>
  <c r="HI107" i="27" s="1"/>
  <c r="AM132" i="27"/>
  <c r="AM107" i="27" s="1"/>
  <c r="ER132" i="27"/>
  <c r="ER107" i="27" s="1"/>
  <c r="FU132" i="27"/>
  <c r="FU107" i="27" s="1"/>
  <c r="EP132" i="27"/>
  <c r="EP107" i="27" s="1"/>
  <c r="DX132" i="27"/>
  <c r="DX107" i="27" s="1"/>
  <c r="HA132" i="27"/>
  <c r="HA107" i="27" s="1"/>
  <c r="HL132" i="27"/>
  <c r="HL107" i="27" s="1"/>
  <c r="FI132" i="27"/>
  <c r="FI107" i="27" s="1"/>
  <c r="HM132" i="27"/>
  <c r="HM107" i="27" s="1"/>
  <c r="IK132" i="27"/>
  <c r="IK107" i="27" s="1"/>
  <c r="AA132" i="27"/>
  <c r="AA107" i="27" s="1"/>
  <c r="GU132" i="27"/>
  <c r="GU107" i="27" s="1"/>
  <c r="CM132" i="27"/>
  <c r="CM107" i="27" s="1"/>
  <c r="EM132" i="27"/>
  <c r="EM107" i="27" s="1"/>
  <c r="DZ132" i="27"/>
  <c r="DZ107" i="27" s="1"/>
  <c r="EI132" i="27"/>
  <c r="EI107" i="27" s="1"/>
  <c r="AN132" i="27"/>
  <c r="AN107" i="27" s="1"/>
  <c r="CT132" i="27"/>
  <c r="CT107" i="27" s="1"/>
  <c r="BV132" i="27"/>
  <c r="BV107" i="27" s="1"/>
  <c r="GK132" i="27"/>
  <c r="GK107" i="27" s="1"/>
  <c r="HE132" i="27"/>
  <c r="HE107" i="27" s="1"/>
  <c r="HS132" i="27"/>
  <c r="HS107" i="27" s="1"/>
  <c r="HD132" i="27"/>
  <c r="HD107" i="27" s="1"/>
  <c r="DU132" i="27"/>
  <c r="DU107" i="27" s="1"/>
  <c r="CK132" i="27"/>
  <c r="CK107" i="27" s="1"/>
  <c r="ED132" i="27"/>
  <c r="ED107" i="27" s="1"/>
  <c r="GG132" i="27"/>
  <c r="GG107" i="27" s="1"/>
  <c r="HP132" i="27"/>
  <c r="HP107" i="27" s="1"/>
  <c r="HZ132" i="27"/>
  <c r="HZ107" i="27" s="1"/>
  <c r="HN132" i="27"/>
  <c r="HN107" i="27" s="1"/>
  <c r="CF132" i="27"/>
  <c r="CF107" i="27" s="1"/>
  <c r="DB132" i="27"/>
  <c r="DB107" i="27" s="1"/>
  <c r="CJ132" i="27"/>
  <c r="CJ107" i="27" s="1"/>
  <c r="DQ132" i="27"/>
  <c r="DQ107" i="27" s="1"/>
  <c r="DA132" i="27"/>
  <c r="DA107" i="27" s="1"/>
  <c r="FD132" i="27"/>
  <c r="FD107" i="27" s="1"/>
  <c r="GD132" i="27"/>
  <c r="GD107" i="27" s="1"/>
  <c r="EV132" i="27"/>
  <c r="EV107" i="27" s="1"/>
  <c r="EF132" i="27"/>
  <c r="EF107" i="27" s="1"/>
  <c r="Q132" i="27"/>
  <c r="Q107" i="27" s="1"/>
  <c r="CL132" i="27"/>
  <c r="CL107" i="27" s="1"/>
  <c r="FO132" i="27"/>
  <c r="FO107" i="27" s="1"/>
  <c r="CH132" i="27"/>
  <c r="CH107" i="27" s="1"/>
  <c r="GZ132" i="27"/>
  <c r="GZ107" i="27" s="1"/>
  <c r="CV132" i="27"/>
  <c r="CV107" i="27" s="1"/>
  <c r="BR132" i="27"/>
  <c r="BR107" i="27" s="1"/>
  <c r="AJ107" i="27"/>
  <c r="DR132" i="27"/>
  <c r="DR107" i="27" s="1"/>
  <c r="M132" i="27"/>
  <c r="M107" i="27" s="1"/>
  <c r="AZ132" i="27"/>
  <c r="AZ107" i="27" s="1"/>
  <c r="HB132" i="27"/>
  <c r="HB107" i="27" s="1"/>
  <c r="FE132" i="27"/>
  <c r="FE107" i="27" s="1"/>
  <c r="AF132" i="27"/>
  <c r="AF107" i="27" s="1"/>
  <c r="FN132" i="27"/>
  <c r="FN107" i="27" s="1"/>
  <c r="EA132" i="27"/>
  <c r="EA107" i="27" s="1"/>
  <c r="CC132" i="27"/>
  <c r="CC107" i="27" s="1"/>
  <c r="EH132" i="27"/>
  <c r="EH107" i="27" s="1"/>
  <c r="AL132" i="27"/>
  <c r="AL107" i="27" s="1"/>
  <c r="I132" i="27"/>
  <c r="I107" i="27" s="1"/>
  <c r="BT132" i="27"/>
  <c r="BT107" i="27" s="1"/>
  <c r="FR132" i="27"/>
  <c r="FR107" i="27" s="1"/>
  <c r="BI132" i="27"/>
  <c r="BI107" i="27" s="1"/>
  <c r="BB132" i="27"/>
  <c r="BB107" i="27" s="1"/>
  <c r="BN132" i="27"/>
  <c r="BN107" i="27" s="1"/>
  <c r="BE132" i="27"/>
  <c r="BE107" i="27" s="1"/>
  <c r="GT132" i="27"/>
  <c r="GT107" i="27" s="1"/>
  <c r="DT132" i="27"/>
  <c r="DT107" i="27" s="1"/>
  <c r="EQ132" i="27"/>
  <c r="EQ107" i="27" s="1"/>
  <c r="HU132" i="27"/>
  <c r="HU107" i="27" s="1"/>
  <c r="HJ132" i="27"/>
  <c r="HJ107" i="27" s="1"/>
  <c r="IJ132" i="27"/>
  <c r="IJ107" i="27" s="1"/>
  <c r="DD132" i="27"/>
  <c r="DD107" i="27" s="1"/>
  <c r="AU132" i="27"/>
  <c r="AU107" i="27" s="1"/>
  <c r="FW132" i="27"/>
  <c r="FW107" i="27" s="1"/>
  <c r="J132" i="27"/>
  <c r="J107" i="27" s="1"/>
  <c r="GJ132" i="27"/>
  <c r="GJ107" i="27" s="1"/>
  <c r="FM132" i="27"/>
  <c r="FM107" i="27" s="1"/>
  <c r="FT132" i="27"/>
  <c r="FT107" i="27" s="1"/>
  <c r="CD132" i="27"/>
  <c r="CD107" i="27" s="1"/>
  <c r="CW132" i="27"/>
  <c r="CW107" i="27" s="1"/>
  <c r="GC132" i="27"/>
  <c r="GC107" i="27" s="1"/>
  <c r="IG132" i="27"/>
  <c r="IG107" i="27" s="1"/>
  <c r="HK132" i="27"/>
  <c r="HK107" i="27" s="1"/>
  <c r="CG132" i="27"/>
  <c r="CG107" i="27" s="1"/>
  <c r="DW132" i="27"/>
  <c r="DW107" i="27" s="1"/>
  <c r="CS132" i="27"/>
  <c r="CS107" i="27" s="1"/>
  <c r="BJ132" i="27"/>
  <c r="BJ107" i="27" s="1"/>
  <c r="GL132" i="27"/>
  <c r="GL107" i="27" s="1"/>
  <c r="FA132" i="27"/>
  <c r="FA107" i="27" s="1"/>
  <c r="CA132" i="27"/>
  <c r="CA107" i="27" s="1"/>
  <c r="FJ132" i="27"/>
  <c r="FJ107" i="27" s="1"/>
  <c r="EY132" i="27"/>
  <c r="EY107" i="27" s="1"/>
  <c r="CQ132" i="27"/>
  <c r="CQ107" i="27" s="1"/>
  <c r="GF132" i="27"/>
  <c r="GF107" i="27" s="1"/>
  <c r="EO132" i="27"/>
  <c r="EO107" i="27" s="1"/>
  <c r="V132" i="27"/>
  <c r="V107" i="27" s="1"/>
  <c r="BL132" i="27"/>
  <c r="BL107" i="27" s="1"/>
  <c r="GW132" i="27"/>
  <c r="GW107" i="27" s="1"/>
  <c r="FQ132" i="27"/>
  <c r="FQ107" i="27" s="1"/>
  <c r="HW132" i="27"/>
  <c r="HW107" i="27" s="1"/>
  <c r="HC132" i="27"/>
  <c r="HC107" i="27" s="1"/>
  <c r="GM132" i="27"/>
  <c r="GM107" i="27" s="1"/>
  <c r="O132" i="27"/>
  <c r="O107" i="27" s="1"/>
  <c r="BY132" i="27"/>
  <c r="BY107" i="27" s="1"/>
  <c r="AB132" i="27"/>
  <c r="AB107" i="27" s="1"/>
  <c r="CR132" i="27"/>
  <c r="CR107" i="27" s="1"/>
  <c r="AQ132" i="27"/>
  <c r="AQ107" i="27" s="1"/>
  <c r="GI132" i="27"/>
  <c r="GI107" i="27" s="1"/>
  <c r="FY132" i="27"/>
  <c r="FY107" i="27" s="1"/>
  <c r="BF132" i="27"/>
  <c r="BF107" i="27" s="1"/>
  <c r="GO132" i="27"/>
  <c r="GO107" i="27" s="1"/>
  <c r="HF132" i="27"/>
  <c r="HF107" i="27" s="1"/>
  <c r="GN132" i="27"/>
  <c r="GN107" i="27" s="1"/>
  <c r="FQ98" i="27"/>
  <c r="FX266" i="27"/>
  <c r="GE182" i="27"/>
  <c r="FX13" i="27"/>
  <c r="GH182" i="27"/>
  <c r="GI178" i="27"/>
  <c r="GJ178" i="27" s="1"/>
  <c r="GK178" i="27" s="1"/>
  <c r="GL178" i="27" s="1"/>
  <c r="GM178" i="27" s="1"/>
  <c r="GN178" i="27" s="1"/>
  <c r="GO178" i="27" s="1"/>
  <c r="FT98" i="27"/>
  <c r="FU94" i="27"/>
  <c r="FV94" i="27" s="1"/>
  <c r="FW94" i="27" s="1"/>
  <c r="FX94" i="27" s="1"/>
  <c r="FY94" i="27" s="1"/>
  <c r="FZ94" i="27" s="1"/>
  <c r="GA94" i="27" s="1"/>
  <c r="GA13" i="27"/>
  <c r="GB9" i="27"/>
  <c r="GC9" i="27" s="1"/>
  <c r="GD9" i="27" s="1"/>
  <c r="GE9" i="27" s="1"/>
  <c r="GF9" i="27" s="1"/>
  <c r="GG9" i="27" s="1"/>
  <c r="GH9" i="27" s="1"/>
  <c r="GB262" i="27"/>
  <c r="GC262" i="27" s="1"/>
  <c r="GD262" i="27" s="1"/>
  <c r="GE262" i="27" s="1"/>
  <c r="GF262" i="27" s="1"/>
  <c r="GG262" i="27" s="1"/>
  <c r="GH262" i="27" s="1"/>
  <c r="GA266" i="27"/>
  <c r="E105" i="27" l="1"/>
  <c r="E107" i="27"/>
  <c r="D134" i="27" s="1"/>
  <c r="GE13" i="27"/>
  <c r="FX98" i="27"/>
  <c r="GH266" i="27"/>
  <c r="GI262" i="27"/>
  <c r="GJ262" i="27" s="1"/>
  <c r="GL182" i="27"/>
  <c r="GO182" i="27"/>
  <c r="GP178" i="27"/>
  <c r="GQ178" i="27" s="1"/>
  <c r="GR178" i="27" s="1"/>
  <c r="GS178" i="27" s="1"/>
  <c r="GT178" i="27" s="1"/>
  <c r="GU178" i="27" s="1"/>
  <c r="GV178" i="27" s="1"/>
  <c r="GH13" i="27"/>
  <c r="GI9" i="27"/>
  <c r="GJ9" i="27" s="1"/>
  <c r="GK9" i="27" s="1"/>
  <c r="GL9" i="27" s="1"/>
  <c r="GM9" i="27" s="1"/>
  <c r="GN9" i="27" s="1"/>
  <c r="GO9" i="27" s="1"/>
  <c r="GA98" i="27"/>
  <c r="GB94" i="27"/>
  <c r="GC94" i="27" s="1"/>
  <c r="GD94" i="27" s="1"/>
  <c r="GE94" i="27" s="1"/>
  <c r="GF94" i="27" s="1"/>
  <c r="GG94" i="27" s="1"/>
  <c r="GH94" i="27" s="1"/>
  <c r="GE266" i="27"/>
  <c r="D214" i="27" l="1"/>
  <c r="D217" i="27" s="1"/>
  <c r="E191" i="27" s="1"/>
  <c r="D218" i="27" s="1"/>
  <c r="E108" i="27"/>
  <c r="GE98" i="27"/>
  <c r="GL13" i="27"/>
  <c r="GS182" i="27"/>
  <c r="GV182" i="27"/>
  <c r="GW178" i="27"/>
  <c r="GX178" i="27" s="1"/>
  <c r="GY178" i="27" s="1"/>
  <c r="GZ178" i="27" s="1"/>
  <c r="HA178" i="27" s="1"/>
  <c r="HB178" i="27" s="1"/>
  <c r="HC178" i="27" s="1"/>
  <c r="GH98" i="27"/>
  <c r="GI94" i="27"/>
  <c r="GJ94" i="27" s="1"/>
  <c r="GK94" i="27" s="1"/>
  <c r="GL94" i="27" s="1"/>
  <c r="GM94" i="27" s="1"/>
  <c r="GN94" i="27" s="1"/>
  <c r="GO94" i="27" s="1"/>
  <c r="GO13" i="27"/>
  <c r="GP9" i="27"/>
  <c r="GQ9" i="27" s="1"/>
  <c r="GR9" i="27" s="1"/>
  <c r="GS9" i="27" s="1"/>
  <c r="GT9" i="27" s="1"/>
  <c r="GU9" i="27" s="1"/>
  <c r="GV9" i="27" s="1"/>
  <c r="GK262" i="27"/>
  <c r="GL262" i="27" s="1"/>
  <c r="GM262" i="27" s="1"/>
  <c r="GN262" i="27" s="1"/>
  <c r="GO262" i="27" s="1"/>
  <c r="E189" i="27" l="1"/>
  <c r="E192" i="27"/>
  <c r="D298" i="27"/>
  <c r="D301" i="27" s="1"/>
  <c r="GP262" i="27"/>
  <c r="GQ262" i="27" s="1"/>
  <c r="GR262" i="27" s="1"/>
  <c r="GS262" i="27" s="1"/>
  <c r="GT262" i="27" s="1"/>
  <c r="GU262" i="27" s="1"/>
  <c r="GV262" i="27" s="1"/>
  <c r="GO266" i="27"/>
  <c r="HC182" i="27"/>
  <c r="HD178" i="27"/>
  <c r="HE178" i="27" s="1"/>
  <c r="HF178" i="27" s="1"/>
  <c r="HG178" i="27" s="1"/>
  <c r="HH178" i="27" s="1"/>
  <c r="HI178" i="27" s="1"/>
  <c r="HJ178" i="27" s="1"/>
  <c r="GL266" i="27"/>
  <c r="GS13" i="27"/>
  <c r="GV13" i="27"/>
  <c r="GW9" i="27"/>
  <c r="GX9" i="27" s="1"/>
  <c r="GY9" i="27" s="1"/>
  <c r="GZ9" i="27" s="1"/>
  <c r="HA9" i="27" s="1"/>
  <c r="HB9" i="27" s="1"/>
  <c r="HC9" i="27" s="1"/>
  <c r="GL98" i="27"/>
  <c r="GP94" i="27"/>
  <c r="GQ94" i="27" s="1"/>
  <c r="GR94" i="27" s="1"/>
  <c r="GS94" i="27" s="1"/>
  <c r="GT94" i="27" s="1"/>
  <c r="GU94" i="27" s="1"/>
  <c r="GV94" i="27" s="1"/>
  <c r="GO98" i="27"/>
  <c r="GZ182" i="27"/>
  <c r="D339" i="27" l="1"/>
  <c r="E339" i="27" s="1"/>
  <c r="D255" i="27"/>
  <c r="E255" i="27" s="1"/>
  <c r="D171" i="27"/>
  <c r="E171" i="27" s="1"/>
  <c r="E275" i="27"/>
  <c r="E273" i="27"/>
  <c r="GS266" i="27"/>
  <c r="HJ182" i="27"/>
  <c r="HK178" i="27"/>
  <c r="HL178" i="27" s="1"/>
  <c r="HM178" i="27" s="1"/>
  <c r="HN178" i="27" s="1"/>
  <c r="HO178" i="27" s="1"/>
  <c r="HP178" i="27" s="1"/>
  <c r="HQ178" i="27" s="1"/>
  <c r="GS98" i="27"/>
  <c r="GZ13" i="27"/>
  <c r="GV98" i="27"/>
  <c r="GW94" i="27"/>
  <c r="GX94" i="27" s="1"/>
  <c r="GY94" i="27" s="1"/>
  <c r="GZ94" i="27" s="1"/>
  <c r="HA94" i="27" s="1"/>
  <c r="HB94" i="27" s="1"/>
  <c r="HC94" i="27" s="1"/>
  <c r="HC13" i="27"/>
  <c r="HD9" i="27"/>
  <c r="HE9" i="27" s="1"/>
  <c r="HF9" i="27" s="1"/>
  <c r="HG9" i="27" s="1"/>
  <c r="HH9" i="27" s="1"/>
  <c r="HI9" i="27" s="1"/>
  <c r="HJ9" i="27" s="1"/>
  <c r="HG182" i="27"/>
  <c r="GW262" i="27"/>
  <c r="GX262" i="27" s="1"/>
  <c r="GY262" i="27" s="1"/>
  <c r="GZ262" i="27" s="1"/>
  <c r="HA262" i="27" s="1"/>
  <c r="HB262" i="27" s="1"/>
  <c r="HC262" i="27" s="1"/>
  <c r="GV266" i="27"/>
  <c r="D302" i="27" l="1"/>
  <c r="HN182" i="27"/>
  <c r="HG13" i="27"/>
  <c r="HC266" i="27"/>
  <c r="HD262" i="27"/>
  <c r="HE262" i="27" s="1"/>
  <c r="HF262" i="27" s="1"/>
  <c r="HG262" i="27" s="1"/>
  <c r="HH262" i="27" s="1"/>
  <c r="HI262" i="27" s="1"/>
  <c r="HJ262" i="27" s="1"/>
  <c r="HC98" i="27"/>
  <c r="HD94" i="27"/>
  <c r="HE94" i="27" s="1"/>
  <c r="HF94" i="27" s="1"/>
  <c r="HG94" i="27" s="1"/>
  <c r="HH94" i="27" s="1"/>
  <c r="HI94" i="27" s="1"/>
  <c r="HJ94" i="27" s="1"/>
  <c r="HJ13" i="27"/>
  <c r="HK9" i="27"/>
  <c r="HL9" i="27" s="1"/>
  <c r="HM9" i="27" s="1"/>
  <c r="HN9" i="27" s="1"/>
  <c r="HO9" i="27" s="1"/>
  <c r="HP9" i="27" s="1"/>
  <c r="HQ9" i="27" s="1"/>
  <c r="GZ266" i="27"/>
  <c r="GZ98" i="27"/>
  <c r="HQ182" i="27"/>
  <c r="HR178" i="27"/>
  <c r="HS178" i="27" s="1"/>
  <c r="HT178" i="27" s="1"/>
  <c r="HU178" i="27" s="1"/>
  <c r="HV178" i="27" s="1"/>
  <c r="HW178" i="27" s="1"/>
  <c r="HX178" i="27" s="1"/>
  <c r="E276" i="27" l="1"/>
  <c r="G56" i="27"/>
  <c r="HN13" i="27"/>
  <c r="HG266" i="27"/>
  <c r="HX182" i="27"/>
  <c r="HY178" i="27"/>
  <c r="HZ178" i="27" s="1"/>
  <c r="IA178" i="27" s="1"/>
  <c r="IB178" i="27" s="1"/>
  <c r="IC178" i="27" s="1"/>
  <c r="ID178" i="27" s="1"/>
  <c r="IE178" i="27" s="1"/>
  <c r="HQ13" i="27"/>
  <c r="HR9" i="27"/>
  <c r="HS9" i="27" s="1"/>
  <c r="HT9" i="27" s="1"/>
  <c r="HU9" i="27" s="1"/>
  <c r="HV9" i="27" s="1"/>
  <c r="HW9" i="27" s="1"/>
  <c r="HX9" i="27" s="1"/>
  <c r="HG98" i="27"/>
  <c r="HJ266" i="27"/>
  <c r="HK262" i="27"/>
  <c r="HL262" i="27" s="1"/>
  <c r="HM262" i="27" s="1"/>
  <c r="HN262" i="27" s="1"/>
  <c r="HO262" i="27" s="1"/>
  <c r="HP262" i="27" s="1"/>
  <c r="HQ262" i="27" s="1"/>
  <c r="HU182" i="27"/>
  <c r="HJ98" i="27"/>
  <c r="HK94" i="27"/>
  <c r="HL94" i="27" s="1"/>
  <c r="HM94" i="27" s="1"/>
  <c r="HN94" i="27" s="1"/>
  <c r="HO94" i="27" s="1"/>
  <c r="HP94" i="27" s="1"/>
  <c r="HQ94" i="27" s="1"/>
  <c r="HN98" i="27" l="1"/>
  <c r="HN266" i="27"/>
  <c r="HX13" i="27"/>
  <c r="HY9" i="27"/>
  <c r="HZ9" i="27" s="1"/>
  <c r="IA9" i="27" s="1"/>
  <c r="IB9" i="27" s="1"/>
  <c r="IC9" i="27" s="1"/>
  <c r="ID9" i="27" s="1"/>
  <c r="IE9" i="27" s="1"/>
  <c r="IB182" i="27"/>
  <c r="IE182" i="27"/>
  <c r="IF178" i="27"/>
  <c r="IG178" i="27" s="1"/>
  <c r="IH178" i="27" s="1"/>
  <c r="II178" i="27" s="1"/>
  <c r="IJ178" i="27" s="1"/>
  <c r="IK178" i="27" s="1"/>
  <c r="HQ98" i="27"/>
  <c r="HR94" i="27"/>
  <c r="HS94" i="27" s="1"/>
  <c r="HT94" i="27" s="1"/>
  <c r="HU94" i="27" s="1"/>
  <c r="HV94" i="27" s="1"/>
  <c r="HW94" i="27" s="1"/>
  <c r="HX94" i="27" s="1"/>
  <c r="HQ266" i="27"/>
  <c r="HR262" i="27"/>
  <c r="HS262" i="27" s="1"/>
  <c r="HT262" i="27" s="1"/>
  <c r="HU262" i="27" s="1"/>
  <c r="HV262" i="27" s="1"/>
  <c r="HW262" i="27" s="1"/>
  <c r="HX262" i="27" s="1"/>
  <c r="HU13" i="27"/>
  <c r="HU98" i="27" l="1"/>
  <c r="HU266" i="27"/>
  <c r="II182" i="27"/>
  <c r="IB13" i="27"/>
  <c r="HX98" i="27"/>
  <c r="HY94" i="27"/>
  <c r="HZ94" i="27" s="1"/>
  <c r="IA94" i="27" s="1"/>
  <c r="IB94" i="27" s="1"/>
  <c r="IC94" i="27" s="1"/>
  <c r="ID94" i="27" s="1"/>
  <c r="IE94" i="27" s="1"/>
  <c r="IE13" i="27"/>
  <c r="IF9" i="27"/>
  <c r="IG9" i="27" s="1"/>
  <c r="IH9" i="27" s="1"/>
  <c r="II9" i="27" s="1"/>
  <c r="IJ9" i="27" s="1"/>
  <c r="IK9" i="27" s="1"/>
  <c r="HX266" i="27"/>
  <c r="HY262" i="27"/>
  <c r="HZ262" i="27" s="1"/>
  <c r="IA262" i="27" s="1"/>
  <c r="IB262" i="27" s="1"/>
  <c r="IC262" i="27" s="1"/>
  <c r="ID262" i="27" s="1"/>
  <c r="IE262" i="27" s="1"/>
  <c r="IB266" i="27" l="1"/>
  <c r="IE266" i="27"/>
  <c r="IF262" i="27"/>
  <c r="IG262" i="27" s="1"/>
  <c r="IH262" i="27" s="1"/>
  <c r="II262" i="27" s="1"/>
  <c r="IJ262" i="27" s="1"/>
  <c r="IK262" i="27" s="1"/>
  <c r="IB98" i="27"/>
  <c r="IE98" i="27"/>
  <c r="IF94" i="27"/>
  <c r="IG94" i="27" s="1"/>
  <c r="IH94" i="27" s="1"/>
  <c r="II94" i="27" s="1"/>
  <c r="IJ94" i="27" s="1"/>
  <c r="IK94" i="27" s="1"/>
  <c r="II13" i="27"/>
  <c r="II98" i="27" l="1"/>
  <c r="II266" i="27"/>
  <c r="G150" i="27" l="1"/>
  <c r="G308" i="27" l="1"/>
  <c r="R263" i="14" l="1"/>
  <c r="L596" i="23" l="1"/>
  <c r="L595" i="23"/>
  <c r="M595" i="23" s="1"/>
  <c r="Y125" i="27" l="1"/>
  <c r="I24" i="31" l="1"/>
  <c r="Y293" i="27" l="1"/>
  <c r="Y209" i="27"/>
  <c r="L591" i="23" l="1"/>
  <c r="L593" i="23" s="1"/>
  <c r="M596" i="23" l="1"/>
  <c r="M591" i="23"/>
  <c r="F125" i="27" l="1"/>
  <c r="E158" i="27" l="1"/>
  <c r="F209" i="27" l="1"/>
  <c r="E242" i="27" l="1"/>
  <c r="F293" i="27" l="1"/>
  <c r="E326" i="27"/>
  <c r="E377" i="27" l="1"/>
  <c r="I105" i="31" l="1"/>
  <c r="G105" i="31" s="1"/>
  <c r="I118" i="31" l="1"/>
  <c r="D105" i="31"/>
  <c r="H130" i="11" l="1"/>
  <c r="V285" i="11"/>
  <c r="O280" i="11"/>
  <c r="C510" i="11" l="1"/>
  <c r="D126" i="14" s="1"/>
  <c r="D136" i="14" l="1"/>
  <c r="D817" i="23"/>
  <c r="C859" i="23" s="1"/>
  <c r="AT24" i="26" l="1"/>
  <c r="BA11" i="26"/>
  <c r="AU24" i="26"/>
  <c r="AZ13" i="26"/>
  <c r="AW22" i="26"/>
  <c r="AR17" i="26"/>
  <c r="AW24" i="26"/>
  <c r="AY12" i="26"/>
  <c r="AT23" i="26"/>
  <c r="AR11" i="26"/>
  <c r="BA10" i="26"/>
  <c r="AX15" i="26"/>
  <c r="AV12" i="26"/>
  <c r="AW15" i="26"/>
  <c r="AU23" i="26"/>
  <c r="BA9" i="26"/>
  <c r="AZ12" i="26"/>
  <c r="AY11" i="26"/>
  <c r="AV15" i="26"/>
  <c r="AX24" i="26"/>
  <c r="AV20" i="26"/>
  <c r="AW14" i="26"/>
  <c r="BA12" i="26"/>
  <c r="AX12" i="26"/>
  <c r="AV23" i="26"/>
  <c r="AR15" i="26"/>
  <c r="AY14" i="26"/>
  <c r="AU21" i="26"/>
  <c r="AW13" i="26"/>
  <c r="BB11" i="26"/>
  <c r="AV27" i="26"/>
  <c r="AV26" i="26"/>
  <c r="BD9" i="26"/>
  <c r="AR10" i="26"/>
  <c r="AX20" i="26"/>
  <c r="AV25" i="26"/>
  <c r="AX22" i="26"/>
  <c r="BB10" i="26"/>
  <c r="AW8" i="26"/>
  <c r="AZ11" i="26"/>
  <c r="AU28" i="26"/>
  <c r="AT28" i="26"/>
  <c r="BB8" i="26"/>
  <c r="AW26" i="26"/>
  <c r="AY10" i="26"/>
  <c r="AU26" i="26"/>
  <c r="AR19" i="26"/>
  <c r="AX23" i="26"/>
  <c r="AU20" i="26"/>
  <c r="AV24" i="26"/>
  <c r="BB9" i="26"/>
  <c r="AX25" i="26"/>
  <c r="AW20" i="26"/>
  <c r="BE8" i="26"/>
  <c r="BF8" i="26" s="1"/>
  <c r="BG8" i="26" s="1"/>
  <c r="BH8" i="26" s="1"/>
  <c r="BI8" i="26" s="1"/>
  <c r="BJ8" i="26" s="1"/>
  <c r="BK8" i="26" s="1"/>
  <c r="AX11" i="26"/>
  <c r="AV10" i="26"/>
  <c r="AV11" i="26"/>
  <c r="AR16" i="26"/>
  <c r="AY13" i="26"/>
  <c r="AW16" i="26"/>
  <c r="AX14" i="26"/>
  <c r="BC8" i="26"/>
  <c r="AW9" i="26"/>
  <c r="AW25" i="26"/>
  <c r="AV9" i="26"/>
  <c r="AV17" i="26"/>
  <c r="AR18" i="26"/>
  <c r="AW11" i="26"/>
  <c r="BC10" i="26"/>
  <c r="BC9" i="26"/>
  <c r="AT20" i="26"/>
  <c r="BD44" i="26"/>
  <c r="AT22" i="26"/>
  <c r="AV16" i="26"/>
  <c r="AR12" i="26"/>
  <c r="AW21" i="26"/>
  <c r="AU22" i="26"/>
  <c r="AV22" i="26"/>
  <c r="AY8" i="26"/>
  <c r="AS20" i="26"/>
  <c r="AW10" i="26"/>
  <c r="AT29" i="26"/>
  <c r="AT25" i="26"/>
  <c r="AX8" i="26"/>
  <c r="AX9" i="26"/>
  <c r="AR14" i="26"/>
  <c r="AV21" i="26"/>
  <c r="AX13" i="26"/>
  <c r="AZ8" i="26"/>
  <c r="AT26" i="26"/>
  <c r="AR13" i="26"/>
  <c r="AW23" i="26"/>
  <c r="AT21" i="26"/>
  <c r="AZ10" i="26"/>
  <c r="AU25" i="26"/>
  <c r="AU27" i="26"/>
  <c r="BD8" i="26"/>
  <c r="AT27" i="26"/>
  <c r="AX10" i="26"/>
  <c r="AV13" i="26"/>
  <c r="BA8" i="26"/>
  <c r="AW12" i="26"/>
  <c r="AZ9" i="26"/>
  <c r="AV8" i="26"/>
  <c r="AY9" i="26"/>
  <c r="AV14" i="26"/>
  <c r="AX21" i="26"/>
  <c r="AS44" i="26"/>
  <c r="AS24" i="26"/>
  <c r="AS30" i="26"/>
  <c r="BD30" i="26" s="1"/>
  <c r="AY37" i="26"/>
  <c r="AY36" i="26" s="1"/>
  <c r="AY35" i="26" s="1"/>
  <c r="AY34" i="26" s="1"/>
  <c r="AY33" i="26" s="1"/>
  <c r="AX38" i="26"/>
  <c r="AX37" i="26" s="1"/>
  <c r="AX36" i="26" s="1"/>
  <c r="AX35" i="26" s="1"/>
  <c r="AX34" i="26" s="1"/>
  <c r="AX33" i="26" s="1"/>
  <c r="AS23" i="26"/>
  <c r="BB34" i="26"/>
  <c r="BB33" i="26" s="1"/>
  <c r="AS26" i="26"/>
  <c r="AT42" i="26"/>
  <c r="AZ36" i="26"/>
  <c r="AZ35" i="26" s="1"/>
  <c r="AZ34" i="26" s="1"/>
  <c r="AZ33" i="26" s="1"/>
  <c r="AS29" i="26"/>
  <c r="AS22" i="26"/>
  <c r="AS28" i="26"/>
  <c r="AW39" i="26"/>
  <c r="AS25" i="26"/>
  <c r="AS21" i="26"/>
  <c r="AS27" i="26"/>
  <c r="AU41" i="26"/>
  <c r="AV40" i="26"/>
  <c r="BA35" i="26"/>
  <c r="BC33" i="26"/>
  <c r="BE33" i="26" s="1"/>
  <c r="BD29" i="26" l="1"/>
  <c r="BE37" i="26"/>
  <c r="BD27" i="26"/>
  <c r="AS43" i="26"/>
  <c r="BD43" i="26" s="1"/>
  <c r="BD25" i="26"/>
  <c r="BE36" i="26"/>
  <c r="BE38" i="26"/>
  <c r="BD28" i="26"/>
  <c r="BD26" i="26"/>
  <c r="AW38" i="26"/>
  <c r="AW37" i="26" s="1"/>
  <c r="AW36" i="26" s="1"/>
  <c r="AW35" i="26" s="1"/>
  <c r="AW34" i="26" s="1"/>
  <c r="AW33" i="26" s="1"/>
  <c r="AU40" i="26"/>
  <c r="AU39" i="26" s="1"/>
  <c r="AU38" i="26" s="1"/>
  <c r="AU37" i="26" s="1"/>
  <c r="AU36" i="26" s="1"/>
  <c r="AU35" i="26" s="1"/>
  <c r="AU34" i="26" s="1"/>
  <c r="AU33" i="26" s="1"/>
  <c r="BE35" i="26"/>
  <c r="BA34" i="26"/>
  <c r="BA33" i="26" s="1"/>
  <c r="AR20" i="26"/>
  <c r="AV39" i="26"/>
  <c r="AV38" i="26" s="1"/>
  <c r="AV37" i="26" s="1"/>
  <c r="AV36" i="26" s="1"/>
  <c r="AV35" i="26" s="1"/>
  <c r="AV34" i="26" s="1"/>
  <c r="AV33" i="26" s="1"/>
  <c r="AT41" i="26"/>
  <c r="AT40" i="26" s="1"/>
  <c r="AT39" i="26" s="1"/>
  <c r="AT38" i="26" s="1"/>
  <c r="AT37" i="26" s="1"/>
  <c r="AT36" i="26" s="1"/>
  <c r="AT35" i="26" s="1"/>
  <c r="AT34" i="26" s="1"/>
  <c r="AT33" i="26" s="1"/>
  <c r="BE34" i="26"/>
  <c r="AY22" i="26" l="1"/>
  <c r="AY23" i="26"/>
  <c r="AY20" i="26"/>
  <c r="AY21" i="26"/>
  <c r="AY24" i="26"/>
  <c r="BD24" i="26" s="1"/>
  <c r="AZ21" i="26"/>
  <c r="AZ22" i="26"/>
  <c r="AZ20" i="26"/>
  <c r="AZ23" i="26"/>
  <c r="AK45" i="26"/>
  <c r="AL8" i="26"/>
  <c r="BW11" i="26" s="1"/>
  <c r="CC25" i="26" s="1"/>
  <c r="AL40" i="26"/>
  <c r="BA20" i="26"/>
  <c r="BA21" i="26"/>
  <c r="BA22" i="26"/>
  <c r="AS42" i="26"/>
  <c r="BD42" i="26" s="1"/>
  <c r="BC20" i="26"/>
  <c r="BB21" i="26"/>
  <c r="BB20" i="26"/>
  <c r="CF25" i="26" l="1"/>
  <c r="CD25" i="26" s="1"/>
  <c r="BD23" i="26"/>
  <c r="AK35" i="26"/>
  <c r="BW7" i="26" s="1"/>
  <c r="BD21" i="26"/>
  <c r="AL42" i="26"/>
  <c r="BD22" i="26"/>
  <c r="AM10" i="26"/>
  <c r="AL10" i="26" s="1"/>
  <c r="AS41" i="26"/>
  <c r="AS40" i="26" s="1"/>
  <c r="AS39" i="26" s="1"/>
  <c r="BD39" i="26" s="1"/>
  <c r="CC26" i="26" l="1"/>
  <c r="CF26" i="26" s="1"/>
  <c r="BE39" i="26"/>
  <c r="BY45" i="26"/>
  <c r="BZ45" i="26" s="1"/>
  <c r="AL11" i="26"/>
  <c r="AL12" i="26" s="1"/>
  <c r="BE44" i="26"/>
  <c r="BW9" i="26"/>
  <c r="BD41" i="26"/>
  <c r="BE41" i="26" s="1"/>
  <c r="AS38" i="26"/>
  <c r="BD38" i="26" s="1"/>
  <c r="BD40" i="26"/>
  <c r="BE40" i="26" s="1"/>
  <c r="BE42" i="26"/>
  <c r="BE43" i="26"/>
  <c r="CN166" i="26" l="1"/>
  <c r="CC27" i="26"/>
  <c r="CF27" i="26" s="1"/>
  <c r="AS37" i="26"/>
  <c r="BD37" i="26" s="1"/>
  <c r="BE46" i="26"/>
  <c r="CD26" i="26" l="1"/>
  <c r="CE26" i="26" s="1"/>
  <c r="CC28" i="26"/>
  <c r="CF28" i="26" s="1"/>
  <c r="CE25" i="26"/>
  <c r="BU25" i="26" s="1"/>
  <c r="BT25" i="26" s="1"/>
  <c r="CB25" i="26" s="1"/>
  <c r="AS36" i="26"/>
  <c r="BD36" i="26" s="1"/>
  <c r="CD27" i="26" l="1"/>
  <c r="CE27" i="26" s="1"/>
  <c r="BU27" i="26" s="1"/>
  <c r="BT153" i="26" s="1"/>
  <c r="CC29" i="26"/>
  <c r="CF29" i="26" s="1"/>
  <c r="BT72" i="26"/>
  <c r="BT151" i="26"/>
  <c r="BU26" i="26"/>
  <c r="BT152" i="26" s="1"/>
  <c r="AS35" i="26"/>
  <c r="AS34" i="26" s="1"/>
  <c r="BD34" i="26" s="1"/>
  <c r="CF72" i="26" l="1"/>
  <c r="D107" i="25" s="1"/>
  <c r="B107" i="25" s="1"/>
  <c r="BU152" i="26"/>
  <c r="BU153" i="26"/>
  <c r="CD28" i="26"/>
  <c r="CD29" i="26"/>
  <c r="CC30" i="26"/>
  <c r="CF30" i="26" s="1"/>
  <c r="BU151" i="26"/>
  <c r="AS33" i="26"/>
  <c r="BD33" i="26" s="1"/>
  <c r="BD35" i="26"/>
  <c r="CR110" i="26"/>
  <c r="H88" i="25" l="1"/>
  <c r="BV151" i="26"/>
  <c r="BV153" i="26"/>
  <c r="BW153" i="26" s="1"/>
  <c r="BV152" i="26"/>
  <c r="BW152" i="26" s="1"/>
  <c r="H87" i="25"/>
  <c r="CD30" i="26"/>
  <c r="CC31" i="26"/>
  <c r="CF31" i="26" s="1"/>
  <c r="BD46" i="26"/>
  <c r="BF46" i="26" s="1"/>
  <c r="BY60" i="26"/>
  <c r="BZ60" i="26" s="1"/>
  <c r="BU60" i="26" s="1"/>
  <c r="BX153" i="26" l="1"/>
  <c r="BX152" i="26"/>
  <c r="CC32" i="26"/>
  <c r="CF32" i="26" s="1"/>
  <c r="CE152" i="26" l="1"/>
  <c r="CE153" i="26"/>
  <c r="CB152" i="26"/>
  <c r="CD152" i="26" s="1"/>
  <c r="BY152" i="26"/>
  <c r="BZ152" i="26" s="1"/>
  <c r="CA152" i="26"/>
  <c r="CC152" i="26" s="1"/>
  <c r="BY153" i="26"/>
  <c r="BZ153" i="26" s="1"/>
  <c r="CM153" i="26" s="1"/>
  <c r="CA153" i="26"/>
  <c r="CC153" i="26" s="1"/>
  <c r="CB153" i="26"/>
  <c r="CD153" i="26" s="1"/>
  <c r="CC33" i="26"/>
  <c r="CF33" i="26" s="1"/>
  <c r="CL153" i="26" l="1"/>
  <c r="CL152" i="26"/>
  <c r="CC34" i="26"/>
  <c r="CF34" i="26" s="1"/>
  <c r="CJ166" i="26"/>
  <c r="CC35" i="26" l="1"/>
  <c r="CF35" i="26" s="1"/>
  <c r="CC36" i="26" l="1"/>
  <c r="CF36" i="26" s="1"/>
  <c r="BP25" i="26"/>
  <c r="J107" i="25"/>
  <c r="CC37" i="26" l="1"/>
  <c r="CF37" i="26" s="1"/>
  <c r="CE28" i="26"/>
  <c r="BU28" i="26" s="1"/>
  <c r="BT154" i="26" s="1"/>
  <c r="BT26" i="26"/>
  <c r="CB26" i="26" s="1"/>
  <c r="BP26" i="26"/>
  <c r="BT46" i="26"/>
  <c r="BY25" i="26"/>
  <c r="BZ25" i="26" s="1"/>
  <c r="X107" i="25"/>
  <c r="J108" i="25"/>
  <c r="BV25" i="26"/>
  <c r="M107" i="25" s="1"/>
  <c r="BW151" i="26" l="1"/>
  <c r="BX151" i="26" s="1"/>
  <c r="CN151" i="26" s="1"/>
  <c r="CO151" i="26" s="1"/>
  <c r="H89" i="25"/>
  <c r="CC38" i="26"/>
  <c r="CF38" i="26" s="1"/>
  <c r="BV26" i="26"/>
  <c r="M108" i="25" s="1"/>
  <c r="BT27" i="26"/>
  <c r="CB27" i="26" s="1"/>
  <c r="BU71" i="26"/>
  <c r="X108" i="25"/>
  <c r="BW46" i="26"/>
  <c r="BX46" i="26" s="1"/>
  <c r="CA94" i="26"/>
  <c r="DK94" i="26"/>
  <c r="BT73" i="26"/>
  <c r="BT47" i="26"/>
  <c r="BY46" i="26" s="1"/>
  <c r="BY26" i="26"/>
  <c r="BZ26" i="26" s="1"/>
  <c r="BV72" i="26"/>
  <c r="BW25" i="26"/>
  <c r="BX25" i="26" s="1"/>
  <c r="CA25" i="26"/>
  <c r="BP27" i="26"/>
  <c r="J109" i="25"/>
  <c r="CF73" i="26" l="1"/>
  <c r="D108" i="25" s="1"/>
  <c r="B108" i="25" s="1"/>
  <c r="CE151" i="26"/>
  <c r="CA151" i="26"/>
  <c r="CC151" i="26" s="1"/>
  <c r="CB151" i="26"/>
  <c r="CD151" i="26" s="1"/>
  <c r="BY151" i="26"/>
  <c r="BZ151" i="26" s="1"/>
  <c r="D87" i="25"/>
  <c r="B87" i="25" s="1"/>
  <c r="CC39" i="26"/>
  <c r="CF39" i="26" s="1"/>
  <c r="BT48" i="26"/>
  <c r="BY47" i="26" s="1"/>
  <c r="BV27" i="26"/>
  <c r="M109" i="25" s="1"/>
  <c r="BW26" i="26"/>
  <c r="BX26" i="26" s="1"/>
  <c r="CJ111" i="26"/>
  <c r="CR111" i="26" s="1"/>
  <c r="X109" i="25"/>
  <c r="BU72" i="26"/>
  <c r="BT74" i="26"/>
  <c r="BP71" i="26"/>
  <c r="BO71" i="26" s="1"/>
  <c r="DK95" i="26"/>
  <c r="S106" i="25"/>
  <c r="L13" i="26"/>
  <c r="N13" i="26" s="1"/>
  <c r="BU45" i="26"/>
  <c r="F107" i="25"/>
  <c r="BW47" i="26"/>
  <c r="BX47" i="26" s="1"/>
  <c r="CA95" i="26"/>
  <c r="CA26" i="26"/>
  <c r="BV73" i="26"/>
  <c r="BY27" i="26"/>
  <c r="BZ27" i="26" s="1"/>
  <c r="CF74" i="26" l="1"/>
  <c r="D109" i="25" s="1"/>
  <c r="B109" i="25" s="1"/>
  <c r="CF151" i="26"/>
  <c r="J87" i="25"/>
  <c r="M87" i="25"/>
  <c r="CL151" i="26"/>
  <c r="F87" i="25"/>
  <c r="O106" i="25"/>
  <c r="BV45" i="26"/>
  <c r="BW71" i="26" s="1"/>
  <c r="Q106" i="25" s="1"/>
  <c r="BZ46" i="26"/>
  <c r="CN153" i="26"/>
  <c r="A107" i="25"/>
  <c r="BW27" i="26"/>
  <c r="BX27" i="26" s="1"/>
  <c r="CJ112" i="26"/>
  <c r="CR112" i="26" s="1"/>
  <c r="S107" i="25"/>
  <c r="BZ47" i="26"/>
  <c r="CM151" i="26"/>
  <c r="BU73" i="26"/>
  <c r="M13" i="26"/>
  <c r="O13" i="26" s="1"/>
  <c r="A87" i="25"/>
  <c r="BP72" i="26"/>
  <c r="BO72" i="26" s="1"/>
  <c r="EF72" i="26"/>
  <c r="BX71" i="26"/>
  <c r="CB71" i="26" s="1"/>
  <c r="BZ71" i="26"/>
  <c r="CA71" i="26"/>
  <c r="S87" i="25"/>
  <c r="P87" i="25"/>
  <c r="F108" i="25"/>
  <c r="CR72" i="26"/>
  <c r="L14" i="26"/>
  <c r="N14" i="26" s="1"/>
  <c r="CT72" i="26"/>
  <c r="CM72" i="26"/>
  <c r="ER72" i="26"/>
  <c r="DY72" i="26"/>
  <c r="EW72" i="26"/>
  <c r="FK72" i="26"/>
  <c r="ED72" i="26"/>
  <c r="EY72" i="26"/>
  <c r="DF72" i="26"/>
  <c r="DK72" i="26"/>
  <c r="FP72" i="26"/>
  <c r="DM72" i="26"/>
  <c r="FR72" i="26"/>
  <c r="D89" i="25"/>
  <c r="B89" i="25" s="1"/>
  <c r="BW48" i="26"/>
  <c r="BX48" i="26" s="1"/>
  <c r="CJ151" i="26"/>
  <c r="CA96" i="26"/>
  <c r="DK96" i="26"/>
  <c r="BV74" i="26"/>
  <c r="CA27" i="26"/>
  <c r="F89" i="25" l="1"/>
  <c r="CH151" i="26"/>
  <c r="U87" i="25"/>
  <c r="BU47" i="26"/>
  <c r="BV47" i="26" s="1"/>
  <c r="BW73" i="26" s="1"/>
  <c r="Q108" i="25" s="1"/>
  <c r="BU46" i="26"/>
  <c r="O107" i="25" s="1"/>
  <c r="CN152" i="26"/>
  <c r="CO152" i="26" s="1"/>
  <c r="A108" i="25"/>
  <c r="S108" i="25"/>
  <c r="P13" i="26"/>
  <c r="BP73" i="26"/>
  <c r="BO73" i="26" s="1"/>
  <c r="BY71" i="26"/>
  <c r="M89" i="25"/>
  <c r="M14" i="26"/>
  <c r="O14" i="26" s="1"/>
  <c r="ED73" i="26"/>
  <c r="DK73" i="26"/>
  <c r="L15" i="26"/>
  <c r="FK73" i="26"/>
  <c r="DY73" i="26"/>
  <c r="CM73" i="26"/>
  <c r="CR73" i="26"/>
  <c r="EW73" i="26"/>
  <c r="DF73" i="26"/>
  <c r="FP73" i="26"/>
  <c r="ER73" i="26"/>
  <c r="EY73" i="26"/>
  <c r="FR73" i="26"/>
  <c r="CT73" i="26"/>
  <c r="EF73" i="26"/>
  <c r="DM73" i="26"/>
  <c r="CR152" i="26" l="1"/>
  <c r="CX152" i="26" s="1"/>
  <c r="S88" i="25"/>
  <c r="CJ152" i="26"/>
  <c r="P89" i="25"/>
  <c r="J89" i="25"/>
  <c r="P88" i="25"/>
  <c r="J88" i="25"/>
  <c r="D88" i="25"/>
  <c r="B88" i="25" s="1"/>
  <c r="BZ73" i="26"/>
  <c r="CA73" i="26"/>
  <c r="BX73" i="26"/>
  <c r="CB73" i="26" s="1"/>
  <c r="O108" i="25"/>
  <c r="BZ72" i="26"/>
  <c r="BQ72" i="26"/>
  <c r="CA72" i="26"/>
  <c r="BX72" i="26"/>
  <c r="CB72" i="26" s="1"/>
  <c r="BV46" i="26"/>
  <c r="BW72" i="26" s="1"/>
  <c r="Q107" i="25" s="1"/>
  <c r="CC71" i="26"/>
  <c r="CD71" i="26"/>
  <c r="T106" i="25"/>
  <c r="S89" i="25"/>
  <c r="P14" i="26"/>
  <c r="N15" i="26"/>
  <c r="M15" i="26"/>
  <c r="P15" i="26" s="1"/>
  <c r="CP151" i="26" l="1"/>
  <c r="CQ151" i="26" s="1"/>
  <c r="CY151" i="26" s="1"/>
  <c r="CR151" i="26"/>
  <c r="CX151" i="26" s="1"/>
  <c r="M88" i="25"/>
  <c r="CT151" i="26"/>
  <c r="CU151" i="26"/>
  <c r="A88" i="25"/>
  <c r="F88" i="25"/>
  <c r="BY73" i="26"/>
  <c r="BY72" i="26"/>
  <c r="V106" i="25"/>
  <c r="DE71" i="26"/>
  <c r="DF71" i="26" s="1"/>
  <c r="EQ71" i="26"/>
  <c r="FJ71" i="26"/>
  <c r="CE71" i="26"/>
  <c r="CL71" i="26"/>
  <c r="DX71" i="26"/>
  <c r="O15" i="26"/>
  <c r="CJ153" i="26"/>
  <c r="A89" i="25"/>
  <c r="CU152" i="26"/>
  <c r="CT152" i="26"/>
  <c r="T108" i="25"/>
  <c r="CC73" i="26"/>
  <c r="CD73" i="26"/>
  <c r="CZ151" i="26" l="1"/>
  <c r="DA151" i="26" s="1"/>
  <c r="DC151" i="26" s="1"/>
  <c r="DF151" i="26" s="1"/>
  <c r="S52" i="25"/>
  <c r="CC72" i="26"/>
  <c r="CD72" i="26"/>
  <c r="T107" i="25"/>
  <c r="DY71" i="26"/>
  <c r="DW71" i="26" s="1"/>
  <c r="DV71" i="26" s="1"/>
  <c r="DT71" i="26" s="1"/>
  <c r="ER71" i="26"/>
  <c r="EP71" i="26" s="1"/>
  <c r="EO71" i="26" s="1"/>
  <c r="CM71" i="26"/>
  <c r="CK71" i="26" s="1"/>
  <c r="CJ71" i="26" s="1"/>
  <c r="DD71" i="26"/>
  <c r="DC71" i="26" s="1"/>
  <c r="DA71" i="26" s="1"/>
  <c r="DD65" i="26"/>
  <c r="FK71" i="26"/>
  <c r="FI71" i="26" s="1"/>
  <c r="FH71" i="26" s="1"/>
  <c r="S54" i="25"/>
  <c r="D52" i="25"/>
  <c r="CS151" i="26"/>
  <c r="V108" i="25"/>
  <c r="DE73" i="26"/>
  <c r="CE73" i="26"/>
  <c r="EQ73" i="26"/>
  <c r="CL73" i="26"/>
  <c r="DX73" i="26"/>
  <c r="FJ73" i="26"/>
  <c r="FF71" i="26" l="1"/>
  <c r="DE72" i="26"/>
  <c r="DD72" i="26" s="1"/>
  <c r="DC72" i="26" s="1"/>
  <c r="DA72" i="26" s="1"/>
  <c r="DH72" i="26" s="1"/>
  <c r="DO73" i="26" s="1"/>
  <c r="CL72" i="26"/>
  <c r="CK72" i="26" s="1"/>
  <c r="CJ72" i="26" s="1"/>
  <c r="CH72" i="26" s="1"/>
  <c r="CO72" i="26" s="1"/>
  <c r="CQ73" i="26" s="1"/>
  <c r="EQ72" i="26"/>
  <c r="EP72" i="26" s="1"/>
  <c r="EO72" i="26" s="1"/>
  <c r="EM72" i="26" s="1"/>
  <c r="ET72" i="26" s="1"/>
  <c r="FA73" i="26" s="1"/>
  <c r="CE72" i="26"/>
  <c r="FJ72" i="26"/>
  <c r="V107" i="25"/>
  <c r="DX72" i="26"/>
  <c r="DW72" i="26" s="1"/>
  <c r="DV72" i="26" s="1"/>
  <c r="DT72" i="26" s="1"/>
  <c r="EA72" i="26" s="1"/>
  <c r="EH73" i="26" s="1"/>
  <c r="EM71" i="26"/>
  <c r="FD71" i="26" s="1"/>
  <c r="EK71" i="26"/>
  <c r="EA71" i="26"/>
  <c r="DR71" i="26"/>
  <c r="DH71" i="26"/>
  <c r="CH71" i="26"/>
  <c r="F52" i="25"/>
  <c r="B52" i="25"/>
  <c r="EP73" i="26"/>
  <c r="EO73" i="26" s="1"/>
  <c r="EM73" i="26" s="1"/>
  <c r="FI73" i="26"/>
  <c r="FH73" i="26" s="1"/>
  <c r="FF73" i="26" s="1"/>
  <c r="DW73" i="26"/>
  <c r="DV73" i="26" s="1"/>
  <c r="DT73" i="26" s="1"/>
  <c r="CK73" i="26"/>
  <c r="CJ73" i="26" s="1"/>
  <c r="CH73" i="26" s="1"/>
  <c r="DD73" i="26"/>
  <c r="DC73" i="26" s="1"/>
  <c r="DA73" i="26" s="1"/>
  <c r="FM71" i="26" l="1"/>
  <c r="FW71" i="26"/>
  <c r="DJ73" i="26"/>
  <c r="DN73" i="26" s="1"/>
  <c r="EV73" i="26"/>
  <c r="EZ73" i="26" s="1"/>
  <c r="EU73" i="26" s="1"/>
  <c r="FB73" i="26" s="1"/>
  <c r="FD73" i="26" s="1"/>
  <c r="CV73" i="26"/>
  <c r="CU73" i="26"/>
  <c r="CP73" i="26" s="1"/>
  <c r="CW73" i="26" s="1"/>
  <c r="CY73" i="26" s="1"/>
  <c r="EC73" i="26"/>
  <c r="EG73" i="26" s="1"/>
  <c r="EB73" i="26" s="1"/>
  <c r="EI73" i="26" s="1"/>
  <c r="FI72" i="26"/>
  <c r="FH72" i="26" s="1"/>
  <c r="FF72" i="26" s="1"/>
  <c r="ET71" i="26"/>
  <c r="FA72" i="26" s="1"/>
  <c r="CY71" i="26"/>
  <c r="CO71" i="26"/>
  <c r="EH72" i="26"/>
  <c r="EC72" i="26"/>
  <c r="EG72" i="26" s="1"/>
  <c r="EB72" i="26" s="1"/>
  <c r="EI72" i="26" s="1"/>
  <c r="DO72" i="26"/>
  <c r="DJ72" i="26"/>
  <c r="DN72" i="26" s="1"/>
  <c r="DI72" i="26" s="1"/>
  <c r="DP72" i="26" s="1"/>
  <c r="A52" i="25"/>
  <c r="K52" i="25"/>
  <c r="H52" i="25"/>
  <c r="Q52" i="25"/>
  <c r="CO73" i="26"/>
  <c r="DH73" i="26"/>
  <c r="EA73" i="26"/>
  <c r="ET73" i="26"/>
  <c r="FM73" i="26"/>
  <c r="FM72" i="26" l="1"/>
  <c r="FT73" i="26" s="1"/>
  <c r="FO72" i="26"/>
  <c r="FS72" i="26" s="1"/>
  <c r="FN72" i="26" s="1"/>
  <c r="FU72" i="26" s="1"/>
  <c r="FT72" i="26"/>
  <c r="DI73" i="26"/>
  <c r="DP73" i="26" s="1"/>
  <c r="DR73" i="26" s="1"/>
  <c r="EK73" i="26"/>
  <c r="EV72" i="26"/>
  <c r="EZ72" i="26" s="1"/>
  <c r="EU72" i="26" s="1"/>
  <c r="FB72" i="26" s="1"/>
  <c r="FD72" i="26" s="1"/>
  <c r="EK72" i="26"/>
  <c r="GA72" i="26"/>
  <c r="CV72" i="26"/>
  <c r="CQ72" i="26"/>
  <c r="CU72" i="26" s="1"/>
  <c r="CP72" i="26" s="1"/>
  <c r="CW72" i="26" s="1"/>
  <c r="DR72" i="26"/>
  <c r="FZ72" i="26"/>
  <c r="GA73" i="26"/>
  <c r="FY73" i="26"/>
  <c r="GB73" i="26"/>
  <c r="FO73" i="26" l="1"/>
  <c r="FS73" i="26" s="1"/>
  <c r="FN73" i="26" s="1"/>
  <c r="FU73" i="26" s="1"/>
  <c r="GC73" i="26" s="1"/>
  <c r="FW72" i="26"/>
  <c r="GC72" i="26"/>
  <c r="FZ73" i="26"/>
  <c r="GB72" i="26"/>
  <c r="CY72" i="26"/>
  <c r="FY72" i="26"/>
  <c r="FX72" i="26" s="1"/>
  <c r="FX73" i="26"/>
  <c r="FW73" i="26" l="1"/>
  <c r="CM166" i="26"/>
  <c r="CF166" i="26"/>
  <c r="CF152" i="26"/>
  <c r="U88" i="25" s="1"/>
  <c r="CM152" i="26"/>
  <c r="CF153" i="26"/>
  <c r="U89" i="25" s="1"/>
  <c r="CG153" i="26" l="1"/>
  <c r="X89" i="25" s="1"/>
  <c r="CH153" i="26"/>
  <c r="CH152" i="26"/>
  <c r="CG152" i="26"/>
  <c r="X88" i="25" s="1"/>
  <c r="CG166" i="26"/>
  <c r="CI166" i="26" s="1"/>
  <c r="CK166" i="26" s="1"/>
  <c r="CH166" i="26"/>
  <c r="N52" i="25"/>
  <c r="CG151" i="26"/>
  <c r="X87" i="25" s="1"/>
  <c r="CI152" i="26" l="1"/>
  <c r="CK152" i="26" s="1"/>
  <c r="CI153" i="26"/>
  <c r="CK153" i="26" s="1"/>
  <c r="CI151" i="26"/>
  <c r="U52" i="25"/>
  <c r="DE151" i="26"/>
  <c r="X52" i="25" l="1"/>
  <c r="CK151" i="26"/>
  <c r="I92" i="31" l="1"/>
  <c r="CE29" i="26" l="1"/>
  <c r="BU29" i="26" s="1"/>
  <c r="BT155" i="26" s="1"/>
  <c r="G92" i="31"/>
  <c r="I116" i="31" s="1"/>
  <c r="D92" i="31"/>
  <c r="BP28" i="26"/>
  <c r="J110" i="25"/>
  <c r="BT28" i="26"/>
  <c r="CB28" i="26" s="1"/>
  <c r="BU155" i="26" l="1"/>
  <c r="BW155" i="26"/>
  <c r="BX155" i="26"/>
  <c r="BU154" i="26"/>
  <c r="CE30" i="26"/>
  <c r="BU30" i="26" s="1"/>
  <c r="BT156" i="26" s="1"/>
  <c r="BT49" i="26"/>
  <c r="BY48" i="26" s="1"/>
  <c r="X110" i="25"/>
  <c r="BV28" i="26"/>
  <c r="M110" i="25" s="1"/>
  <c r="BY28" i="26"/>
  <c r="BZ28" i="26" s="1"/>
  <c r="BT29" i="26"/>
  <c r="CB29" i="26" s="1"/>
  <c r="BT75" i="26"/>
  <c r="J111" i="25"/>
  <c r="BP29" i="26"/>
  <c r="CF75" i="26" l="1"/>
  <c r="D110" i="25" s="1"/>
  <c r="B110" i="25" s="1"/>
  <c r="BU74" i="26"/>
  <c r="CL155" i="26"/>
  <c r="CE155" i="26"/>
  <c r="CA155" i="26"/>
  <c r="CB155" i="26"/>
  <c r="CC155" i="26"/>
  <c r="CD155" i="26"/>
  <c r="BZ155" i="26"/>
  <c r="BY155" i="26"/>
  <c r="BV155" i="26"/>
  <c r="BX156" i="26"/>
  <c r="BW156" i="26"/>
  <c r="BU156" i="26"/>
  <c r="CN155" i="26"/>
  <c r="H90" i="25"/>
  <c r="CD31" i="26"/>
  <c r="CE31" i="26" s="1"/>
  <c r="BU31" i="26" s="1"/>
  <c r="BT157" i="26" s="1"/>
  <c r="J112" i="25"/>
  <c r="BP30" i="26"/>
  <c r="BZ48" i="26"/>
  <c r="X111" i="25"/>
  <c r="BT50" i="26"/>
  <c r="BY29" i="26"/>
  <c r="BV29" i="26"/>
  <c r="M111" i="25" s="1"/>
  <c r="BW29" i="26"/>
  <c r="BX29" i="26" s="1"/>
  <c r="BZ29" i="26"/>
  <c r="BT76" i="26"/>
  <c r="CB76" i="26" s="1"/>
  <c r="BT30" i="26"/>
  <c r="CB30" i="26" s="1"/>
  <c r="BW49" i="26"/>
  <c r="BX49" i="26" s="1"/>
  <c r="CA75" i="26"/>
  <c r="DK97" i="26"/>
  <c r="CA97" i="26"/>
  <c r="BV154" i="26"/>
  <c r="BW154" i="26" s="1"/>
  <c r="BX154" i="26" s="1"/>
  <c r="BV75" i="26"/>
  <c r="CA28" i="26"/>
  <c r="BW28" i="26"/>
  <c r="BX28" i="26" s="1"/>
  <c r="CF76" i="26" l="1"/>
  <c r="CE154" i="26"/>
  <c r="F110" i="25"/>
  <c r="CE156" i="26"/>
  <c r="CL156" i="26"/>
  <c r="CB156" i="26"/>
  <c r="CA156" i="26"/>
  <c r="CC156" i="26"/>
  <c r="CD156" i="26"/>
  <c r="BZ156" i="26"/>
  <c r="BY156" i="26"/>
  <c r="BV156" i="26"/>
  <c r="BY154" i="26"/>
  <c r="BZ154" i="26"/>
  <c r="CA154" i="26"/>
  <c r="CC154" i="26" s="1"/>
  <c r="CB154" i="26"/>
  <c r="CD154" i="26" s="1"/>
  <c r="BU157" i="26"/>
  <c r="BW157" i="26"/>
  <c r="BX157" i="26"/>
  <c r="CF155" i="26"/>
  <c r="CG155" i="26" s="1"/>
  <c r="J91" i="25"/>
  <c r="CD32" i="26"/>
  <c r="CE32" i="26" s="1"/>
  <c r="BU32" i="26" s="1"/>
  <c r="BT158" i="26" s="1"/>
  <c r="CN156" i="26"/>
  <c r="BU48" i="26"/>
  <c r="CA74" i="26" s="1"/>
  <c r="CD33" i="26"/>
  <c r="CE33" i="26" s="1"/>
  <c r="BY30" i="26"/>
  <c r="BV30" i="26"/>
  <c r="M112" i="25" s="1"/>
  <c r="BZ30" i="26"/>
  <c r="BW30" i="26"/>
  <c r="BX30" i="26" s="1"/>
  <c r="X112" i="25"/>
  <c r="BT51" i="26"/>
  <c r="BT77" i="26"/>
  <c r="CB77" i="26" s="1"/>
  <c r="BT31" i="26"/>
  <c r="CB31" i="26" s="1"/>
  <c r="CA76" i="26"/>
  <c r="D111" i="25"/>
  <c r="B111" i="25" s="1"/>
  <c r="DK98" i="26"/>
  <c r="BU75" i="26"/>
  <c r="CA98" i="26"/>
  <c r="CA29" i="26"/>
  <c r="BV76" i="26"/>
  <c r="J113" i="25"/>
  <c r="BP31" i="26"/>
  <c r="EY74" i="26"/>
  <c r="FR74" i="26"/>
  <c r="FP74" i="26"/>
  <c r="DK74" i="26"/>
  <c r="EW74" i="26"/>
  <c r="CR74" i="26"/>
  <c r="ED74" i="26"/>
  <c r="EF74" i="26"/>
  <c r="CT74" i="26"/>
  <c r="DM74" i="26"/>
  <c r="DY74" i="26"/>
  <c r="FK74" i="26"/>
  <c r="CM74" i="26"/>
  <c r="ER74" i="26"/>
  <c r="DF74" i="26"/>
  <c r="BP74" i="26"/>
  <c r="L16" i="26"/>
  <c r="H91" i="25"/>
  <c r="D91" i="25" s="1"/>
  <c r="B91" i="25" s="1"/>
  <c r="CJ155" i="26"/>
  <c r="P91" i="25"/>
  <c r="S91" i="25"/>
  <c r="M91" i="25"/>
  <c r="BW50" i="26"/>
  <c r="BX50" i="26" s="1"/>
  <c r="BV50" i="26"/>
  <c r="BW76" i="26" s="1"/>
  <c r="Q111" i="25" s="1"/>
  <c r="BY49" i="26"/>
  <c r="BZ49" i="26" s="1"/>
  <c r="BU49" i="26" s="1"/>
  <c r="BV49" i="26" s="1"/>
  <c r="BW75" i="26" s="1"/>
  <c r="Q110" i="25" s="1"/>
  <c r="CF77" i="26" l="1"/>
  <c r="CL157" i="26"/>
  <c r="CE157" i="26"/>
  <c r="CC157" i="26"/>
  <c r="CD157" i="26"/>
  <c r="BY157" i="26"/>
  <c r="CA157" i="26"/>
  <c r="BZ157" i="26"/>
  <c r="CB157" i="26"/>
  <c r="BV157" i="26"/>
  <c r="BW158" i="26"/>
  <c r="BX158" i="26"/>
  <c r="BU158" i="26"/>
  <c r="D90" i="25"/>
  <c r="CJ154" i="26"/>
  <c r="M90" i="25"/>
  <c r="BX74" i="26"/>
  <c r="CB74" i="26" s="1"/>
  <c r="CO153" i="26"/>
  <c r="CN154" i="26"/>
  <c r="CO154" i="26" s="1"/>
  <c r="O110" i="25"/>
  <c r="BZ74" i="26"/>
  <c r="CD34" i="26"/>
  <c r="BU33" i="26"/>
  <c r="BT159" i="26" s="1"/>
  <c r="BV48" i="26"/>
  <c r="BW74" i="26" s="1"/>
  <c r="Q109" i="25" s="1"/>
  <c r="S110" i="25"/>
  <c r="A110" i="25"/>
  <c r="CJ114" i="26"/>
  <c r="CR114" i="26" s="1"/>
  <c r="EY75" i="26"/>
  <c r="BZ75" i="26"/>
  <c r="FR75" i="26"/>
  <c r="DM75" i="26"/>
  <c r="CT75" i="26"/>
  <c r="EF75" i="26"/>
  <c r="F111" i="25"/>
  <c r="O111" i="25"/>
  <c r="BO74" i="26"/>
  <c r="CM155" i="26"/>
  <c r="BZ31" i="26"/>
  <c r="BW31" i="26"/>
  <c r="BX31" i="26" s="1"/>
  <c r="BV31" i="26"/>
  <c r="M113" i="25" s="1"/>
  <c r="BY31" i="26"/>
  <c r="X113" i="25"/>
  <c r="BT52" i="26"/>
  <c r="BT78" i="26"/>
  <c r="CB78" i="26" s="1"/>
  <c r="BT32" i="26"/>
  <c r="CB32" i="26" s="1"/>
  <c r="D112" i="25"/>
  <c r="B112" i="25" s="1"/>
  <c r="DK99" i="26"/>
  <c r="CA77" i="26"/>
  <c r="BU76" i="26"/>
  <c r="CA99" i="26"/>
  <c r="F91" i="25"/>
  <c r="A91" i="25"/>
  <c r="ED75" i="26"/>
  <c r="DK75" i="26"/>
  <c r="CR75" i="26"/>
  <c r="FP75" i="26"/>
  <c r="BP75" i="26"/>
  <c r="BO75" i="26" s="1"/>
  <c r="L17" i="26"/>
  <c r="EW75" i="26"/>
  <c r="ER75" i="26"/>
  <c r="DF75" i="26"/>
  <c r="FK75" i="26"/>
  <c r="DY75" i="26"/>
  <c r="CM75" i="26"/>
  <c r="BX75" i="26"/>
  <c r="CB75" i="26" s="1"/>
  <c r="CA30" i="26"/>
  <c r="BV77" i="26"/>
  <c r="F109" i="25"/>
  <c r="O109" i="25"/>
  <c r="CC76" i="26"/>
  <c r="T111" i="25"/>
  <c r="CD76" i="26"/>
  <c r="BV51" i="26"/>
  <c r="BW77" i="26" s="1"/>
  <c r="Q112" i="25" s="1"/>
  <c r="BW51" i="26"/>
  <c r="BX51" i="26" s="1"/>
  <c r="BY50" i="26"/>
  <c r="BZ50" i="26" s="1"/>
  <c r="BU50" i="26" s="1"/>
  <c r="N16" i="26"/>
  <c r="M16" i="26"/>
  <c r="P16" i="26" s="1"/>
  <c r="J114" i="25"/>
  <c r="BP32" i="26"/>
  <c r="CF78" i="26" l="1"/>
  <c r="CP152" i="26"/>
  <c r="FW76" i="26"/>
  <c r="FV76" i="26"/>
  <c r="CP153" i="26"/>
  <c r="D56" i="25" s="1"/>
  <c r="CR154" i="26"/>
  <c r="CX154" i="26" s="1"/>
  <c r="CR153" i="26"/>
  <c r="CX153" i="26" s="1"/>
  <c r="CE158" i="26"/>
  <c r="CL158" i="26"/>
  <c r="CD158" i="26"/>
  <c r="CB158" i="26"/>
  <c r="CC158" i="26"/>
  <c r="BZ158" i="26"/>
  <c r="BY158" i="26"/>
  <c r="CA158" i="26"/>
  <c r="BV158" i="26"/>
  <c r="BX159" i="26"/>
  <c r="BU159" i="26"/>
  <c r="BW159" i="26"/>
  <c r="J90" i="25"/>
  <c r="CL154" i="26"/>
  <c r="B90" i="25"/>
  <c r="A90" i="25" s="1"/>
  <c r="F90" i="25"/>
  <c r="CN157" i="26"/>
  <c r="CT154" i="26"/>
  <c r="CU154" i="26"/>
  <c r="CO155" i="26"/>
  <c r="BY74" i="26"/>
  <c r="P90" i="25"/>
  <c r="CT153" i="26"/>
  <c r="CU153" i="26"/>
  <c r="O16" i="26"/>
  <c r="CD35" i="26"/>
  <c r="CE35" i="26" s="1"/>
  <c r="BU35" i="26" s="1"/>
  <c r="BT161" i="26" s="1"/>
  <c r="EF76" i="26"/>
  <c r="BX76" i="26"/>
  <c r="BY76" i="26" s="1"/>
  <c r="CE34" i="26"/>
  <c r="BU34" i="26" s="1"/>
  <c r="BT160" i="26" s="1"/>
  <c r="CJ156" i="26"/>
  <c r="CT76" i="26"/>
  <c r="BY75" i="26"/>
  <c r="CD75" i="26"/>
  <c r="CA78" i="26"/>
  <c r="DK100" i="26"/>
  <c r="D113" i="25"/>
  <c r="B113" i="25" s="1"/>
  <c r="BU77" i="26"/>
  <c r="CA100" i="26"/>
  <c r="FM76" i="26"/>
  <c r="CY76" i="26"/>
  <c r="DX76" i="26"/>
  <c r="DT76" i="26" s="1"/>
  <c r="CX76" i="26"/>
  <c r="EA76" i="26"/>
  <c r="FO76" i="26"/>
  <c r="CO76" i="26"/>
  <c r="DO76" i="26"/>
  <c r="V111" i="25"/>
  <c r="ET76" i="26"/>
  <c r="EC76" i="26"/>
  <c r="FT76" i="26"/>
  <c r="DR76" i="26"/>
  <c r="EI76" i="26"/>
  <c r="EJ76" i="26"/>
  <c r="FC76" i="26"/>
  <c r="CQ76" i="26"/>
  <c r="FD76" i="26"/>
  <c r="CV76" i="26"/>
  <c r="DJ76" i="26"/>
  <c r="CE76" i="26"/>
  <c r="EK76" i="26"/>
  <c r="EQ76" i="26"/>
  <c r="EM76" i="26" s="1"/>
  <c r="DP76" i="26"/>
  <c r="FB76" i="26"/>
  <c r="FA76" i="26"/>
  <c r="EV76" i="26"/>
  <c r="DQ76" i="26"/>
  <c r="FU76" i="26"/>
  <c r="DH76" i="26"/>
  <c r="EH76" i="26"/>
  <c r="FJ76" i="26"/>
  <c r="FF76" i="26" s="1"/>
  <c r="CL76" i="26"/>
  <c r="CH76" i="26" s="1"/>
  <c r="DE76" i="26"/>
  <c r="DA76" i="26" s="1"/>
  <c r="CW76" i="26"/>
  <c r="T112" i="25"/>
  <c r="CC77" i="26"/>
  <c r="CD77" i="26"/>
  <c r="BW52" i="26"/>
  <c r="BX52" i="26" s="1"/>
  <c r="BV52" i="26"/>
  <c r="BW78" i="26" s="1"/>
  <c r="Q113" i="25" s="1"/>
  <c r="BY51" i="26"/>
  <c r="BZ51" i="26" s="1"/>
  <c r="BU51" i="26" s="1"/>
  <c r="CJ115" i="26"/>
  <c r="CR115" i="26" s="1"/>
  <c r="A111" i="25"/>
  <c r="S111" i="25"/>
  <c r="ED76" i="26"/>
  <c r="FP76" i="26"/>
  <c r="CR76" i="26"/>
  <c r="DK76" i="26"/>
  <c r="BP76" i="26"/>
  <c r="BO76" i="26" s="1"/>
  <c r="L18" i="26"/>
  <c r="EW76" i="26"/>
  <c r="CM76" i="26"/>
  <c r="FK76" i="26"/>
  <c r="DY76" i="26"/>
  <c r="ER76" i="26"/>
  <c r="DF76" i="26"/>
  <c r="BZ76" i="26"/>
  <c r="F112" i="25"/>
  <c r="O112" i="25"/>
  <c r="CO156" i="26"/>
  <c r="S109" i="25"/>
  <c r="A109" i="25"/>
  <c r="CJ113" i="26"/>
  <c r="CR113" i="26" s="1"/>
  <c r="DM76" i="26"/>
  <c r="CH155" i="26"/>
  <c r="U91" i="25"/>
  <c r="EY76" i="26"/>
  <c r="M17" i="26"/>
  <c r="P17" i="26"/>
  <c r="O17" i="26"/>
  <c r="N17" i="26"/>
  <c r="T109" i="25"/>
  <c r="CC74" i="26"/>
  <c r="CD74" i="26"/>
  <c r="H92" i="25"/>
  <c r="D92" i="25" s="1"/>
  <c r="B92" i="25" s="1"/>
  <c r="S92" i="25"/>
  <c r="M92" i="25"/>
  <c r="J92" i="25"/>
  <c r="P92" i="25"/>
  <c r="FR76" i="26"/>
  <c r="BZ32" i="26"/>
  <c r="BY32" i="26"/>
  <c r="BV32" i="26"/>
  <c r="M114" i="25" s="1"/>
  <c r="BW32" i="26"/>
  <c r="BX32" i="26" s="1"/>
  <c r="X114" i="25"/>
  <c r="BT53" i="26"/>
  <c r="BT79" i="26"/>
  <c r="CB79" i="26" s="1"/>
  <c r="BT33" i="26"/>
  <c r="CB33" i="26" s="1"/>
  <c r="CA31" i="26"/>
  <c r="BV78" i="26"/>
  <c r="J115" i="25"/>
  <c r="BP33" i="26"/>
  <c r="CF79" i="26" l="1"/>
  <c r="CX155" i="26"/>
  <c r="DA155" i="26"/>
  <c r="N60" i="25" s="1"/>
  <c r="CX156" i="26"/>
  <c r="DA156" i="26"/>
  <c r="AI139" i="26"/>
  <c r="CE75" i="26"/>
  <c r="FV77" i="26"/>
  <c r="FW77" i="26"/>
  <c r="CP154" i="26"/>
  <c r="CP155" i="26"/>
  <c r="CL159" i="26"/>
  <c r="CE159" i="26"/>
  <c r="CC159" i="26"/>
  <c r="CD159" i="26"/>
  <c r="BY159" i="26"/>
  <c r="CA159" i="26"/>
  <c r="BZ159" i="26"/>
  <c r="CB159" i="26"/>
  <c r="BV159" i="26"/>
  <c r="BW161" i="26"/>
  <c r="BX161" i="26"/>
  <c r="BU161" i="26"/>
  <c r="BU160" i="26"/>
  <c r="BW160" i="26"/>
  <c r="BX160" i="26"/>
  <c r="S90" i="25"/>
  <c r="CN158" i="26"/>
  <c r="S58" i="25"/>
  <c r="CS153" i="26"/>
  <c r="S56" i="25"/>
  <c r="D54" i="25"/>
  <c r="CS152" i="26"/>
  <c r="CF154" i="26"/>
  <c r="CM154" i="26"/>
  <c r="CD36" i="26"/>
  <c r="CE36" i="26" s="1"/>
  <c r="BU36" i="26" s="1"/>
  <c r="BT162" i="26" s="1"/>
  <c r="AG139" i="26"/>
  <c r="AF139" i="26"/>
  <c r="AE139" i="26"/>
  <c r="AH139" i="26"/>
  <c r="DM77" i="26"/>
  <c r="BX77" i="26"/>
  <c r="BY77" i="26" s="1"/>
  <c r="CF156" i="26"/>
  <c r="CH156" i="26" s="1"/>
  <c r="CM156" i="26"/>
  <c r="CT77" i="26"/>
  <c r="EY77" i="26"/>
  <c r="FR77" i="26"/>
  <c r="EF77" i="26"/>
  <c r="CK76" i="26"/>
  <c r="CJ76" i="26" s="1"/>
  <c r="FI76" i="26"/>
  <c r="FH76" i="26" s="1"/>
  <c r="DW76" i="26"/>
  <c r="DV76" i="26" s="1"/>
  <c r="DD76" i="26"/>
  <c r="DC76" i="26" s="1"/>
  <c r="DK101" i="26"/>
  <c r="CA79" i="26"/>
  <c r="D114" i="25"/>
  <c r="B114" i="25" s="1"/>
  <c r="BU78" i="26"/>
  <c r="CA101" i="26"/>
  <c r="J93" i="25"/>
  <c r="CJ157" i="26"/>
  <c r="P93" i="25"/>
  <c r="S93" i="25"/>
  <c r="M93" i="25"/>
  <c r="F92" i="25"/>
  <c r="A92" i="25"/>
  <c r="H93" i="25"/>
  <c r="D93" i="25" s="1"/>
  <c r="B93" i="25" s="1"/>
  <c r="CU155" i="26"/>
  <c r="CR155" i="26"/>
  <c r="CS155" i="26" s="1"/>
  <c r="CT155" i="26"/>
  <c r="J116" i="25"/>
  <c r="BP34" i="26"/>
  <c r="B56" i="25"/>
  <c r="F56" i="25"/>
  <c r="CO157" i="26"/>
  <c r="N18" i="26"/>
  <c r="P18" i="26"/>
  <c r="M18" i="26"/>
  <c r="O18" i="26"/>
  <c r="ED77" i="26"/>
  <c r="L19" i="26"/>
  <c r="DK77" i="26"/>
  <c r="DY77" i="26"/>
  <c r="EW77" i="26"/>
  <c r="CR77" i="26"/>
  <c r="BP77" i="26"/>
  <c r="BO77" i="26" s="1"/>
  <c r="FP77" i="26"/>
  <c r="DF77" i="26"/>
  <c r="FK77" i="26"/>
  <c r="CM77" i="26"/>
  <c r="ER77" i="26"/>
  <c r="BZ77" i="26"/>
  <c r="BV53" i="26"/>
  <c r="BW79" i="26" s="1"/>
  <c r="Q114" i="25" s="1"/>
  <c r="BW53" i="26"/>
  <c r="BX53" i="26" s="1"/>
  <c r="BY52" i="26"/>
  <c r="BZ52" i="26" s="1"/>
  <c r="BU52" i="26" s="1"/>
  <c r="X91" i="25"/>
  <c r="CI155" i="26"/>
  <c r="CK155" i="26" s="1"/>
  <c r="EP76" i="26"/>
  <c r="EO76" i="26" s="1"/>
  <c r="CY77" i="26"/>
  <c r="V112" i="25"/>
  <c r="DQ77" i="26"/>
  <c r="EH77" i="26"/>
  <c r="DH77" i="26"/>
  <c r="FC77" i="26"/>
  <c r="FT77" i="26"/>
  <c r="CO77" i="26"/>
  <c r="CW77" i="26"/>
  <c r="DE77" i="26"/>
  <c r="DA77" i="26" s="1"/>
  <c r="ET77" i="26"/>
  <c r="DJ77" i="26"/>
  <c r="DN77" i="26" s="1"/>
  <c r="FA77" i="26"/>
  <c r="EJ77" i="26"/>
  <c r="FO77" i="26"/>
  <c r="FS77" i="26" s="1"/>
  <c r="FD77" i="26"/>
  <c r="CV77" i="26"/>
  <c r="DP77" i="26"/>
  <c r="FB77" i="26"/>
  <c r="EK77" i="26"/>
  <c r="CQ77" i="26"/>
  <c r="CU77" i="26" s="1"/>
  <c r="DO77" i="26"/>
  <c r="EQ77" i="26"/>
  <c r="EM77" i="26" s="1"/>
  <c r="EA77" i="26"/>
  <c r="EV77" i="26"/>
  <c r="EZ77" i="26" s="1"/>
  <c r="FM77" i="26"/>
  <c r="CE77" i="26"/>
  <c r="EC77" i="26"/>
  <c r="EG77" i="26" s="1"/>
  <c r="DR77" i="26"/>
  <c r="FJ77" i="26"/>
  <c r="FF77" i="26" s="1"/>
  <c r="CX77" i="26"/>
  <c r="FU77" i="26"/>
  <c r="CL77" i="26"/>
  <c r="CH77" i="26" s="1"/>
  <c r="EI77" i="26"/>
  <c r="DX77" i="26"/>
  <c r="DT77" i="26" s="1"/>
  <c r="CC78" i="26"/>
  <c r="T113" i="25"/>
  <c r="CD78" i="26"/>
  <c r="T110" i="25"/>
  <c r="CC75" i="26"/>
  <c r="BY33" i="26"/>
  <c r="BW33" i="26"/>
  <c r="BX33" i="26" s="1"/>
  <c r="X115" i="25"/>
  <c r="BZ33" i="26"/>
  <c r="BV33" i="26"/>
  <c r="BT54" i="26"/>
  <c r="BT80" i="26"/>
  <c r="CB80" i="26" s="1"/>
  <c r="BT34" i="26"/>
  <c r="CB34" i="26" s="1"/>
  <c r="CA32" i="26"/>
  <c r="BV79" i="26"/>
  <c r="EV74" i="26"/>
  <c r="FT74" i="26"/>
  <c r="EC74" i="26"/>
  <c r="EG74" i="26" s="1"/>
  <c r="EB74" i="26" s="1"/>
  <c r="EI74" i="26" s="1"/>
  <c r="FO74" i="26"/>
  <c r="FS74" i="26" s="1"/>
  <c r="FN74" i="26" s="1"/>
  <c r="FU74" i="26" s="1"/>
  <c r="EH74" i="26"/>
  <c r="FA74" i="26"/>
  <c r="CQ74" i="26"/>
  <c r="CU74" i="26" s="1"/>
  <c r="CP74" i="26" s="1"/>
  <c r="CW74" i="26" s="1"/>
  <c r="V109" i="25"/>
  <c r="DO74" i="26"/>
  <c r="DJ74" i="26"/>
  <c r="CV74" i="26"/>
  <c r="EQ74" i="26"/>
  <c r="FJ74" i="26"/>
  <c r="DE74" i="26"/>
  <c r="CL74" i="26"/>
  <c r="DX74" i="26"/>
  <c r="CE74" i="26"/>
  <c r="A112" i="25"/>
  <c r="CJ116" i="26"/>
  <c r="CR116" i="26" s="1"/>
  <c r="S112" i="25"/>
  <c r="F113" i="25"/>
  <c r="O113" i="25"/>
  <c r="CF80" i="26" l="1"/>
  <c r="CX157" i="26"/>
  <c r="DA157" i="26"/>
  <c r="AI140" i="26"/>
  <c r="CP156" i="26"/>
  <c r="FW78" i="26"/>
  <c r="FV78" i="26"/>
  <c r="CS154" i="26"/>
  <c r="CL160" i="26"/>
  <c r="CL161" i="26"/>
  <c r="CE160" i="26"/>
  <c r="CE161" i="26"/>
  <c r="BY160" i="26"/>
  <c r="BZ160" i="26"/>
  <c r="CB160" i="26"/>
  <c r="CD160" i="26"/>
  <c r="CA160" i="26"/>
  <c r="CC160" i="26"/>
  <c r="BY161" i="26"/>
  <c r="BZ161" i="26"/>
  <c r="CA161" i="26"/>
  <c r="CC161" i="26"/>
  <c r="CB161" i="26"/>
  <c r="CD161" i="26"/>
  <c r="BV160" i="26"/>
  <c r="BV161" i="26"/>
  <c r="BU162" i="26"/>
  <c r="BW162" i="26"/>
  <c r="BX162" i="26"/>
  <c r="CN159" i="26"/>
  <c r="U90" i="25"/>
  <c r="CG154" i="26"/>
  <c r="CH154" i="26"/>
  <c r="F54" i="25"/>
  <c r="B54" i="25"/>
  <c r="CD37" i="26"/>
  <c r="CE37" i="26" s="1"/>
  <c r="BU37" i="26" s="1"/>
  <c r="BT163" i="26" s="1"/>
  <c r="DI77" i="26"/>
  <c r="AE140" i="26"/>
  <c r="AG140" i="26"/>
  <c r="AH140" i="26"/>
  <c r="AF140" i="26"/>
  <c r="EY78" i="26"/>
  <c r="BX78" i="26"/>
  <c r="BY78" i="26" s="1"/>
  <c r="DN74" i="26"/>
  <c r="DI74" i="26" s="1"/>
  <c r="DP74" i="26" s="1"/>
  <c r="EZ74" i="26"/>
  <c r="EU74" i="26" s="1"/>
  <c r="FB74" i="26" s="1"/>
  <c r="CG156" i="26"/>
  <c r="CI156" i="26" s="1"/>
  <c r="CK156" i="26" s="1"/>
  <c r="EB77" i="26"/>
  <c r="FN77" i="26"/>
  <c r="CP77" i="26"/>
  <c r="GB77" i="26"/>
  <c r="EU77" i="26"/>
  <c r="DM78" i="26"/>
  <c r="GA77" i="26"/>
  <c r="EF78" i="26"/>
  <c r="FR78" i="26"/>
  <c r="CT78" i="26"/>
  <c r="GC77" i="26"/>
  <c r="S60" i="25"/>
  <c r="FZ77" i="26"/>
  <c r="FY77" i="26"/>
  <c r="FX77" i="26" s="1"/>
  <c r="BY34" i="26"/>
  <c r="BZ34" i="26"/>
  <c r="BW34" i="26"/>
  <c r="BX34" i="26" s="1"/>
  <c r="BT55" i="26"/>
  <c r="BV34" i="26"/>
  <c r="M116" i="25" s="1"/>
  <c r="X116" i="25"/>
  <c r="BT81" i="26"/>
  <c r="CB81" i="26" s="1"/>
  <c r="BT35" i="26"/>
  <c r="CB35" i="26" s="1"/>
  <c r="CV78" i="26"/>
  <c r="FA78" i="26"/>
  <c r="FD78" i="26"/>
  <c r="DQ78" i="26"/>
  <c r="EV78" i="26"/>
  <c r="EZ78" i="26" s="1"/>
  <c r="EH78" i="26"/>
  <c r="DO78" i="26"/>
  <c r="CQ78" i="26"/>
  <c r="CU78" i="26" s="1"/>
  <c r="ET78" i="26"/>
  <c r="V113" i="25"/>
  <c r="CE78" i="26"/>
  <c r="EJ78" i="26"/>
  <c r="CY78" i="26"/>
  <c r="DJ78" i="26"/>
  <c r="DN78" i="26" s="1"/>
  <c r="CO78" i="26"/>
  <c r="FO78" i="26"/>
  <c r="FS78" i="26" s="1"/>
  <c r="EA78" i="26"/>
  <c r="FT78" i="26"/>
  <c r="DR78" i="26"/>
  <c r="EK78" i="26"/>
  <c r="FM78" i="26"/>
  <c r="EC78" i="26"/>
  <c r="EG78" i="26" s="1"/>
  <c r="DH78" i="26"/>
  <c r="DP78" i="26"/>
  <c r="CL78" i="26"/>
  <c r="CH78" i="26" s="1"/>
  <c r="FC78" i="26"/>
  <c r="CW78" i="26"/>
  <c r="CX78" i="26"/>
  <c r="DX78" i="26"/>
  <c r="DT78" i="26" s="1"/>
  <c r="FB78" i="26"/>
  <c r="EI78" i="26"/>
  <c r="FU78" i="26"/>
  <c r="DE78" i="26"/>
  <c r="DA78" i="26" s="1"/>
  <c r="FJ78" i="26"/>
  <c r="FF78" i="26" s="1"/>
  <c r="EQ78" i="26"/>
  <c r="EM78" i="26" s="1"/>
  <c r="A56" i="25"/>
  <c r="H56" i="25"/>
  <c r="K56" i="25"/>
  <c r="Q56" i="25"/>
  <c r="CF157" i="26"/>
  <c r="CM157" i="26"/>
  <c r="T114" i="25"/>
  <c r="CC79" i="26"/>
  <c r="CD79" i="26"/>
  <c r="CK74" i="26"/>
  <c r="CJ74" i="26" s="1"/>
  <c r="CH74" i="26" s="1"/>
  <c r="CA80" i="26"/>
  <c r="DK102" i="26"/>
  <c r="D115" i="25"/>
  <c r="B115" i="25" s="1"/>
  <c r="BU79" i="26"/>
  <c r="CA102" i="26"/>
  <c r="M19" i="26"/>
  <c r="N19" i="26"/>
  <c r="P19" i="26"/>
  <c r="O19" i="26"/>
  <c r="F114" i="25"/>
  <c r="O114" i="25"/>
  <c r="DD74" i="26"/>
  <c r="DC74" i="26" s="1"/>
  <c r="DA74" i="26" s="1"/>
  <c r="BV54" i="26"/>
  <c r="BW80" i="26" s="1"/>
  <c r="Q115" i="25" s="1"/>
  <c r="BW54" i="26"/>
  <c r="BX54" i="26" s="1"/>
  <c r="BY53" i="26"/>
  <c r="BZ53" i="26" s="1"/>
  <c r="BU53" i="26" s="1"/>
  <c r="EP77" i="26"/>
  <c r="EO77" i="26" s="1"/>
  <c r="U92" i="25"/>
  <c r="A113" i="25"/>
  <c r="CJ117" i="26"/>
  <c r="CR117" i="26" s="1"/>
  <c r="S113" i="25"/>
  <c r="FI74" i="26"/>
  <c r="FH74" i="26" s="1"/>
  <c r="FF74" i="26" s="1"/>
  <c r="BP35" i="26"/>
  <c r="J117" i="25"/>
  <c r="CK77" i="26"/>
  <c r="CJ77" i="26" s="1"/>
  <c r="P94" i="25"/>
  <c r="CJ158" i="26"/>
  <c r="S94" i="25"/>
  <c r="J94" i="25"/>
  <c r="M94" i="25"/>
  <c r="CO158" i="26"/>
  <c r="EP74" i="26"/>
  <c r="EO74" i="26" s="1"/>
  <c r="EM74" i="26" s="1"/>
  <c r="CA33" i="26"/>
  <c r="BV80" i="26"/>
  <c r="FI77" i="26"/>
  <c r="FH77" i="26" s="1"/>
  <c r="H94" i="25"/>
  <c r="D94" i="25" s="1"/>
  <c r="B94" i="25" s="1"/>
  <c r="D60" i="25"/>
  <c r="DC155" i="26"/>
  <c r="V110" i="25"/>
  <c r="DE75" i="26"/>
  <c r="CL75" i="26"/>
  <c r="FJ75" i="26"/>
  <c r="DX75" i="26"/>
  <c r="EQ75" i="26"/>
  <c r="DW74" i="26"/>
  <c r="DV74" i="26" s="1"/>
  <c r="DT74" i="26" s="1"/>
  <c r="DW77" i="26"/>
  <c r="DV77" i="26" s="1"/>
  <c r="D58" i="25"/>
  <c r="A93" i="25"/>
  <c r="F93" i="25"/>
  <c r="CU156" i="26"/>
  <c r="CR156" i="26"/>
  <c r="CS156" i="26" s="1"/>
  <c r="CT156" i="26"/>
  <c r="N62" i="25"/>
  <c r="M115" i="25"/>
  <c r="DD77" i="26"/>
  <c r="DC77" i="26" s="1"/>
  <c r="CR78" i="26"/>
  <c r="DK78" i="26"/>
  <c r="BP78" i="26"/>
  <c r="BO78" i="26" s="1"/>
  <c r="EW78" i="26"/>
  <c r="L20" i="26"/>
  <c r="ED78" i="26"/>
  <c r="FP78" i="26"/>
  <c r="ER78" i="26"/>
  <c r="DF78" i="26"/>
  <c r="DY78" i="26"/>
  <c r="CM78" i="26"/>
  <c r="FK78" i="26"/>
  <c r="BZ78" i="26"/>
  <c r="CF81" i="26" l="1"/>
  <c r="FW74" i="26"/>
  <c r="CX158" i="26"/>
  <c r="DA158" i="26"/>
  <c r="AI141" i="26"/>
  <c r="CP157" i="26"/>
  <c r="FV79" i="26"/>
  <c r="FW79" i="26"/>
  <c r="CL162" i="26"/>
  <c r="CE162" i="26"/>
  <c r="BZ162" i="26"/>
  <c r="CA162" i="26"/>
  <c r="CB162" i="26"/>
  <c r="CD162" i="26"/>
  <c r="CC162" i="26"/>
  <c r="BY162" i="26"/>
  <c r="BV162" i="26"/>
  <c r="BU163" i="26"/>
  <c r="BW163" i="26"/>
  <c r="BX163" i="26"/>
  <c r="CN160" i="26"/>
  <c r="H54" i="25"/>
  <c r="K54" i="25"/>
  <c r="A54" i="25"/>
  <c r="Q54" i="25"/>
  <c r="X90" i="25"/>
  <c r="CI154" i="26"/>
  <c r="CK154" i="26" s="1"/>
  <c r="CD38" i="26"/>
  <c r="CE38" i="26" s="1"/>
  <c r="BU38" i="26" s="1"/>
  <c r="BT164" i="26" s="1"/>
  <c r="EU78" i="26"/>
  <c r="AH141" i="26"/>
  <c r="AF141" i="26"/>
  <c r="AE141" i="26"/>
  <c r="AG141" i="26"/>
  <c r="CT79" i="26"/>
  <c r="BX79" i="26"/>
  <c r="BY79" i="26" s="1"/>
  <c r="DC156" i="26"/>
  <c r="DI78" i="26"/>
  <c r="FN78" i="26"/>
  <c r="DW78" i="26"/>
  <c r="DV78" i="26" s="1"/>
  <c r="CK78" i="26"/>
  <c r="CJ78" i="26" s="1"/>
  <c r="EB78" i="26"/>
  <c r="CP78" i="26"/>
  <c r="FI78" i="26"/>
  <c r="FH78" i="26" s="1"/>
  <c r="DD78" i="26"/>
  <c r="DC78" i="26" s="1"/>
  <c r="GB78" i="26"/>
  <c r="S62" i="25"/>
  <c r="EF79" i="26"/>
  <c r="EP78" i="26"/>
  <c r="EO78" i="26" s="1"/>
  <c r="FR79" i="26"/>
  <c r="DM79" i="26"/>
  <c r="EY79" i="26"/>
  <c r="GC78" i="26"/>
  <c r="GA78" i="26"/>
  <c r="ET74" i="26"/>
  <c r="FD74" i="26"/>
  <c r="DH74" i="26"/>
  <c r="DR74" i="26"/>
  <c r="EK74" i="26"/>
  <c r="EA74" i="26"/>
  <c r="DW75" i="26"/>
  <c r="DV75" i="26" s="1"/>
  <c r="DT75" i="26" s="1"/>
  <c r="CO159" i="26"/>
  <c r="DR79" i="26"/>
  <c r="CV79" i="26"/>
  <c r="EC79" i="26"/>
  <c r="EG79" i="26" s="1"/>
  <c r="V114" i="25"/>
  <c r="FD79" i="26"/>
  <c r="FO79" i="26"/>
  <c r="FS79" i="26" s="1"/>
  <c r="CY79" i="26"/>
  <c r="DO79" i="26"/>
  <c r="EH79" i="26"/>
  <c r="DJ79" i="26"/>
  <c r="DN79" i="26" s="1"/>
  <c r="CO79" i="26"/>
  <c r="CQ79" i="26"/>
  <c r="CU79" i="26" s="1"/>
  <c r="EA79" i="26"/>
  <c r="FA79" i="26"/>
  <c r="CE79" i="26"/>
  <c r="ET79" i="26"/>
  <c r="FT79" i="26"/>
  <c r="FM79" i="26"/>
  <c r="EV79" i="26"/>
  <c r="EZ79" i="26" s="1"/>
  <c r="DH79" i="26"/>
  <c r="EI79" i="26"/>
  <c r="FB79" i="26"/>
  <c r="EJ79" i="26"/>
  <c r="CW79" i="26"/>
  <c r="EK79" i="26"/>
  <c r="CX79" i="26"/>
  <c r="FJ79" i="26"/>
  <c r="FF79" i="26" s="1"/>
  <c r="DX79" i="26"/>
  <c r="DT79" i="26" s="1"/>
  <c r="CL79" i="26"/>
  <c r="CH79" i="26" s="1"/>
  <c r="DQ79" i="26"/>
  <c r="FC79" i="26"/>
  <c r="FU79" i="26"/>
  <c r="DP79" i="26"/>
  <c r="EQ79" i="26"/>
  <c r="EM79" i="26" s="1"/>
  <c r="DE79" i="26"/>
  <c r="DA79" i="26" s="1"/>
  <c r="FZ78" i="26"/>
  <c r="BY35" i="26"/>
  <c r="BZ35" i="26"/>
  <c r="BW35" i="26"/>
  <c r="BX35" i="26" s="1"/>
  <c r="X117" i="25"/>
  <c r="BV35" i="26"/>
  <c r="M117" i="25" s="1"/>
  <c r="BT56" i="26"/>
  <c r="BT82" i="26"/>
  <c r="CB82" i="26" s="1"/>
  <c r="BT36" i="26"/>
  <c r="CB36" i="26" s="1"/>
  <c r="FI75" i="26"/>
  <c r="FH75" i="26" s="1"/>
  <c r="FF75" i="26" s="1"/>
  <c r="X92" i="25"/>
  <c r="T115" i="25"/>
  <c r="CC80" i="26"/>
  <c r="CD80" i="26"/>
  <c r="DK103" i="26"/>
  <c r="CA81" i="26"/>
  <c r="D116" i="25"/>
  <c r="B116" i="25" s="1"/>
  <c r="BU80" i="26"/>
  <c r="CA103" i="26"/>
  <c r="P20" i="26"/>
  <c r="N20" i="26"/>
  <c r="M20" i="26"/>
  <c r="O20" i="26"/>
  <c r="DE155" i="26"/>
  <c r="U60" i="25"/>
  <c r="DF155" i="26"/>
  <c r="X60" i="25" s="1"/>
  <c r="CU157" i="26"/>
  <c r="CR157" i="26"/>
  <c r="CS157" i="26" s="1"/>
  <c r="CT157" i="26"/>
  <c r="N64" i="25"/>
  <c r="FP79" i="26"/>
  <c r="BP79" i="26"/>
  <c r="BO79" i="26" s="1"/>
  <c r="L21" i="26"/>
  <c r="CR79" i="26"/>
  <c r="CM79" i="26"/>
  <c r="ER79" i="26"/>
  <c r="DF79" i="26"/>
  <c r="ED79" i="26"/>
  <c r="EW79" i="26"/>
  <c r="FK79" i="26"/>
  <c r="DK79" i="26"/>
  <c r="DY79" i="26"/>
  <c r="BZ79" i="26"/>
  <c r="CK75" i="26"/>
  <c r="CJ75" i="26" s="1"/>
  <c r="CH75" i="26" s="1"/>
  <c r="M95" i="25"/>
  <c r="CJ159" i="26"/>
  <c r="J95" i="25"/>
  <c r="P95" i="25"/>
  <c r="S95" i="25"/>
  <c r="FM74" i="26"/>
  <c r="BP36" i="26"/>
  <c r="J118" i="25"/>
  <c r="F115" i="25"/>
  <c r="O115" i="25"/>
  <c r="CH157" i="26"/>
  <c r="CG157" i="26"/>
  <c r="U93" i="25"/>
  <c r="B60" i="25"/>
  <c r="F60" i="25"/>
  <c r="H95" i="25"/>
  <c r="D95" i="25" s="1"/>
  <c r="B95" i="25" s="1"/>
  <c r="CM158" i="26"/>
  <c r="CF158" i="26"/>
  <c r="FY78" i="26"/>
  <c r="FX78" i="26" s="1"/>
  <c r="CA34" i="26"/>
  <c r="BV81" i="26"/>
  <c r="F58" i="25"/>
  <c r="B58" i="25"/>
  <c r="EP75" i="26"/>
  <c r="EO75" i="26" s="1"/>
  <c r="EM75" i="26" s="1"/>
  <c r="DD75" i="26"/>
  <c r="DC75" i="26" s="1"/>
  <c r="DA75" i="26" s="1"/>
  <c r="F94" i="25"/>
  <c r="A94" i="25"/>
  <c r="CJ118" i="26"/>
  <c r="CR118" i="26" s="1"/>
  <c r="A114" i="25"/>
  <c r="S114" i="25"/>
  <c r="BV55" i="26"/>
  <c r="BW81" i="26" s="1"/>
  <c r="Q116" i="25" s="1"/>
  <c r="BW55" i="26"/>
  <c r="BX55" i="26" s="1"/>
  <c r="BY54" i="26"/>
  <c r="BZ54" i="26" s="1"/>
  <c r="BU54" i="26" s="1"/>
  <c r="CO74" i="26"/>
  <c r="CY74" i="26"/>
  <c r="CF82" i="26" l="1"/>
  <c r="CX159" i="26"/>
  <c r="DA159" i="26"/>
  <c r="AI142" i="26"/>
  <c r="FV80" i="26"/>
  <c r="FW80" i="26"/>
  <c r="CP158" i="26"/>
  <c r="CL163" i="26"/>
  <c r="CE163" i="26"/>
  <c r="CA163" i="26"/>
  <c r="BZ163" i="26"/>
  <c r="CB163" i="26"/>
  <c r="CC163" i="26"/>
  <c r="CD163" i="26"/>
  <c r="BY163" i="26"/>
  <c r="BV163" i="26"/>
  <c r="BX164" i="26"/>
  <c r="BW164" i="26"/>
  <c r="BU164" i="26"/>
  <c r="CN161" i="26"/>
  <c r="D62" i="25"/>
  <c r="B62" i="25" s="1"/>
  <c r="CD39" i="26"/>
  <c r="CE39" i="26" s="1"/>
  <c r="BU39" i="26" s="1"/>
  <c r="BT165" i="26" s="1"/>
  <c r="AF142" i="26"/>
  <c r="CP79" i="26"/>
  <c r="AH142" i="26"/>
  <c r="AG142" i="26"/>
  <c r="AE142" i="26"/>
  <c r="CT80" i="26"/>
  <c r="BX80" i="26"/>
  <c r="BY80" i="26" s="1"/>
  <c r="GA79" i="26"/>
  <c r="DD79" i="26"/>
  <c r="DC79" i="26" s="1"/>
  <c r="EB79" i="26"/>
  <c r="EU79" i="26"/>
  <c r="EP79" i="26"/>
  <c r="EO79" i="26" s="1"/>
  <c r="FN79" i="26"/>
  <c r="FI79" i="26"/>
  <c r="FH79" i="26" s="1"/>
  <c r="CK79" i="26"/>
  <c r="CJ79" i="26" s="1"/>
  <c r="DW79" i="26"/>
  <c r="DV79" i="26" s="1"/>
  <c r="DI79" i="26"/>
  <c r="EY80" i="26"/>
  <c r="FR80" i="26"/>
  <c r="DM80" i="26"/>
  <c r="EF80" i="26"/>
  <c r="FZ79" i="26"/>
  <c r="GC79" i="26"/>
  <c r="FY79" i="26"/>
  <c r="FX79" i="26" s="1"/>
  <c r="DN76" i="26"/>
  <c r="DI76" i="26" s="1"/>
  <c r="DH75" i="26"/>
  <c r="FZ76" i="26" s="1"/>
  <c r="EG76" i="26"/>
  <c r="EB76" i="26" s="1"/>
  <c r="EA75" i="26"/>
  <c r="GA76" i="26" s="1"/>
  <c r="FY74" i="26"/>
  <c r="CV75" i="26"/>
  <c r="CQ75" i="26"/>
  <c r="CU75" i="26" s="1"/>
  <c r="CP75" i="26" s="1"/>
  <c r="CW75" i="26" s="1"/>
  <c r="CY75" i="26" s="1"/>
  <c r="Q60" i="25"/>
  <c r="A60" i="25"/>
  <c r="K60" i="25"/>
  <c r="H60" i="25"/>
  <c r="CU158" i="26"/>
  <c r="CR158" i="26"/>
  <c r="CS158" i="26" s="1"/>
  <c r="CT158" i="26"/>
  <c r="N66" i="25"/>
  <c r="CU76" i="26"/>
  <c r="CP76" i="26" s="1"/>
  <c r="CO75" i="26"/>
  <c r="FY76" i="26" s="1"/>
  <c r="FX76" i="26" s="1"/>
  <c r="F95" i="25"/>
  <c r="A95" i="25"/>
  <c r="M21" i="26"/>
  <c r="O21" i="26"/>
  <c r="P21" i="26"/>
  <c r="N21" i="26"/>
  <c r="F116" i="25"/>
  <c r="O116" i="25"/>
  <c r="EK80" i="26"/>
  <c r="CY80" i="26"/>
  <c r="DE80" i="26"/>
  <c r="DA80" i="26" s="1"/>
  <c r="DP80" i="26"/>
  <c r="DJ80" i="26"/>
  <c r="DN80" i="26" s="1"/>
  <c r="DO80" i="26"/>
  <c r="V115" i="25"/>
  <c r="DR80" i="26"/>
  <c r="FO80" i="26"/>
  <c r="FS80" i="26" s="1"/>
  <c r="FT80" i="26"/>
  <c r="CX80" i="26"/>
  <c r="EI80" i="26"/>
  <c r="DX80" i="26"/>
  <c r="DT80" i="26" s="1"/>
  <c r="FD80" i="26"/>
  <c r="EV80" i="26"/>
  <c r="EZ80" i="26" s="1"/>
  <c r="CQ80" i="26"/>
  <c r="CU80" i="26" s="1"/>
  <c r="FC80" i="26"/>
  <c r="FM80" i="26"/>
  <c r="ET80" i="26"/>
  <c r="CO80" i="26"/>
  <c r="EC80" i="26"/>
  <c r="EG80" i="26" s="1"/>
  <c r="EA80" i="26"/>
  <c r="DH80" i="26"/>
  <c r="FJ80" i="26"/>
  <c r="FF80" i="26" s="1"/>
  <c r="FA80" i="26"/>
  <c r="EH80" i="26"/>
  <c r="DQ80" i="26"/>
  <c r="FU80" i="26"/>
  <c r="FB80" i="26"/>
  <c r="CE80" i="26"/>
  <c r="CL80" i="26"/>
  <c r="CH80" i="26" s="1"/>
  <c r="CV80" i="26"/>
  <c r="EJ80" i="26"/>
  <c r="CW80" i="26"/>
  <c r="EQ80" i="26"/>
  <c r="EM80" i="26" s="1"/>
  <c r="BY36" i="26"/>
  <c r="BZ36" i="26"/>
  <c r="X118" i="25"/>
  <c r="BV36" i="26"/>
  <c r="M118" i="25" s="1"/>
  <c r="BW36" i="26"/>
  <c r="BX36" i="26" s="1"/>
  <c r="BT57" i="26"/>
  <c r="BT83" i="26"/>
  <c r="CB83" i="26" s="1"/>
  <c r="BT37" i="26"/>
  <c r="CB37" i="26" s="1"/>
  <c r="CO160" i="26"/>
  <c r="CA82" i="26"/>
  <c r="D117" i="25"/>
  <c r="B117" i="25" s="1"/>
  <c r="DK104" i="26"/>
  <c r="BU81" i="26"/>
  <c r="CA104" i="26"/>
  <c r="CJ160" i="26"/>
  <c r="S96" i="25"/>
  <c r="J96" i="25"/>
  <c r="P96" i="25"/>
  <c r="M96" i="25"/>
  <c r="FS76" i="26"/>
  <c r="FN76" i="26" s="1"/>
  <c r="FM75" i="26"/>
  <c r="GC76" i="26" s="1"/>
  <c r="H96" i="25"/>
  <c r="D96" i="25" s="1"/>
  <c r="B96" i="25" s="1"/>
  <c r="FA75" i="26"/>
  <c r="GB74" i="26"/>
  <c r="EV75" i="26"/>
  <c r="EZ75" i="26" s="1"/>
  <c r="EU75" i="26" s="1"/>
  <c r="FB75" i="26" s="1"/>
  <c r="DF156" i="26"/>
  <c r="X62" i="25" s="1"/>
  <c r="U62" i="25"/>
  <c r="DE156" i="26"/>
  <c r="BP37" i="26"/>
  <c r="J119" i="25"/>
  <c r="BW56" i="26"/>
  <c r="BX56" i="26" s="1"/>
  <c r="BV56" i="26"/>
  <c r="BW82" i="26" s="1"/>
  <c r="Q117" i="25" s="1"/>
  <c r="BY55" i="26"/>
  <c r="BZ55" i="26" s="1"/>
  <c r="BU55" i="26" s="1"/>
  <c r="GB79" i="26"/>
  <c r="CI157" i="26"/>
  <c r="CK157" i="26" s="1"/>
  <c r="X93" i="25"/>
  <c r="FT75" i="26"/>
  <c r="FO75" i="26"/>
  <c r="FS75" i="26" s="1"/>
  <c r="FN75" i="26" s="1"/>
  <c r="FU75" i="26" s="1"/>
  <c r="GC74" i="26"/>
  <c r="EZ76" i="26"/>
  <c r="EU76" i="26" s="1"/>
  <c r="ET75" i="26"/>
  <c r="GB76" i="26" s="1"/>
  <c r="K58" i="25"/>
  <c r="A58" i="25"/>
  <c r="H58" i="25"/>
  <c r="Q58" i="25"/>
  <c r="ED80" i="26"/>
  <c r="DK80" i="26"/>
  <c r="FK80" i="26"/>
  <c r="CR80" i="26"/>
  <c r="EW80" i="26"/>
  <c r="DY80" i="26"/>
  <c r="FP80" i="26"/>
  <c r="L22" i="26"/>
  <c r="ER80" i="26"/>
  <c r="DF80" i="26"/>
  <c r="CM80" i="26"/>
  <c r="BP80" i="26"/>
  <c r="BO80" i="26" s="1"/>
  <c r="BZ80" i="26"/>
  <c r="CA35" i="26"/>
  <c r="BV82" i="26"/>
  <c r="FZ74" i="26"/>
  <c r="DJ75" i="26"/>
  <c r="DN75" i="26" s="1"/>
  <c r="DI75" i="26" s="1"/>
  <c r="DP75" i="26" s="1"/>
  <c r="DO75" i="26"/>
  <c r="U94" i="25"/>
  <c r="CH158" i="26"/>
  <c r="CG158" i="26"/>
  <c r="A115" i="25"/>
  <c r="CJ119" i="26"/>
  <c r="CR119" i="26" s="1"/>
  <c r="S115" i="25"/>
  <c r="CM159" i="26"/>
  <c r="CF159" i="26"/>
  <c r="S64" i="25"/>
  <c r="CC81" i="26"/>
  <c r="T116" i="25"/>
  <c r="CD81" i="26"/>
  <c r="EH75" i="26"/>
  <c r="EC75" i="26"/>
  <c r="EG75" i="26" s="1"/>
  <c r="EB75" i="26" s="1"/>
  <c r="EI75" i="26" s="1"/>
  <c r="GA74" i="26"/>
  <c r="CF83" i="26" l="1"/>
  <c r="FW75" i="26"/>
  <c r="AI138" i="26" s="1"/>
  <c r="CX160" i="26"/>
  <c r="DA160" i="26"/>
  <c r="AI143" i="26"/>
  <c r="FV81" i="26"/>
  <c r="FW81" i="26"/>
  <c r="AG143" i="26"/>
  <c r="CP159" i="26"/>
  <c r="CE164" i="26"/>
  <c r="CL164" i="26"/>
  <c r="CB164" i="26"/>
  <c r="BZ164" i="26"/>
  <c r="CC164" i="26"/>
  <c r="CA164" i="26"/>
  <c r="CD164" i="26"/>
  <c r="BY164" i="26"/>
  <c r="BV164" i="26"/>
  <c r="BU165" i="26"/>
  <c r="BX165" i="26"/>
  <c r="BX167" i="26" s="1"/>
  <c r="BW165" i="26"/>
  <c r="CN165" i="26"/>
  <c r="CN162" i="26"/>
  <c r="F62" i="25"/>
  <c r="CP80" i="26"/>
  <c r="AE143" i="26"/>
  <c r="AF143" i="26"/>
  <c r="AH143" i="26"/>
  <c r="EY81" i="26"/>
  <c r="BX81" i="26"/>
  <c r="BY81" i="26" s="1"/>
  <c r="DC158" i="26"/>
  <c r="FI80" i="26"/>
  <c r="FH80" i="26" s="1"/>
  <c r="CK80" i="26"/>
  <c r="CJ80" i="26" s="1"/>
  <c r="DD80" i="26"/>
  <c r="DC80" i="26" s="1"/>
  <c r="EU80" i="26"/>
  <c r="FZ75" i="26"/>
  <c r="FN80" i="26"/>
  <c r="DI80" i="26"/>
  <c r="EP80" i="26"/>
  <c r="EO80" i="26" s="1"/>
  <c r="DW80" i="26"/>
  <c r="DV80" i="26" s="1"/>
  <c r="GA75" i="26"/>
  <c r="EB80" i="26"/>
  <c r="CT81" i="26"/>
  <c r="DM81" i="26"/>
  <c r="FY80" i="26"/>
  <c r="FX80" i="26" s="1"/>
  <c r="S66" i="25"/>
  <c r="EF81" i="26"/>
  <c r="FR81" i="26"/>
  <c r="FD75" i="26"/>
  <c r="F96" i="25"/>
  <c r="A96" i="25"/>
  <c r="J121" i="25"/>
  <c r="BP39" i="26"/>
  <c r="CU159" i="26"/>
  <c r="CT159" i="26"/>
  <c r="CR159" i="26"/>
  <c r="CS159" i="26" s="1"/>
  <c r="X94" i="25"/>
  <c r="CI158" i="26"/>
  <c r="O22" i="26"/>
  <c r="P22" i="26"/>
  <c r="N22" i="26"/>
  <c r="M22" i="26"/>
  <c r="CO161" i="26"/>
  <c r="BZ37" i="26"/>
  <c r="BV37" i="26"/>
  <c r="BY37" i="26"/>
  <c r="BW37" i="26"/>
  <c r="BX37" i="26" s="1"/>
  <c r="BT58" i="26"/>
  <c r="X119" i="25"/>
  <c r="BT38" i="26"/>
  <c r="CB38" i="26" s="1"/>
  <c r="BT84" i="26"/>
  <c r="CB84" i="26" s="1"/>
  <c r="CA83" i="26"/>
  <c r="DK105" i="26"/>
  <c r="BU82" i="26"/>
  <c r="D118" i="25"/>
  <c r="B118" i="25" s="1"/>
  <c r="CA105" i="26"/>
  <c r="CJ120" i="26"/>
  <c r="CR120" i="26" s="1"/>
  <c r="A116" i="25"/>
  <c r="S116" i="25"/>
  <c r="BP38" i="26"/>
  <c r="J120" i="25"/>
  <c r="FY75" i="26"/>
  <c r="FX75" i="26" s="1"/>
  <c r="CF160" i="26"/>
  <c r="CM160" i="26"/>
  <c r="CJ161" i="26"/>
  <c r="M97" i="25"/>
  <c r="S97" i="25"/>
  <c r="J97" i="25"/>
  <c r="P97" i="25"/>
  <c r="DR75" i="26"/>
  <c r="D64" i="25"/>
  <c r="DC157" i="26"/>
  <c r="GB75" i="26"/>
  <c r="A62" i="25"/>
  <c r="K62" i="25"/>
  <c r="H62" i="25"/>
  <c r="Q62" i="25"/>
  <c r="F117" i="25"/>
  <c r="O117" i="25"/>
  <c r="BW57" i="26"/>
  <c r="BX57" i="26" s="1"/>
  <c r="BV57" i="26"/>
  <c r="BW83" i="26" s="1"/>
  <c r="Q118" i="25" s="1"/>
  <c r="BY56" i="26"/>
  <c r="BZ56" i="26" s="1"/>
  <c r="BU56" i="26" s="1"/>
  <c r="FX74" i="26"/>
  <c r="CH159" i="26"/>
  <c r="U95" i="25"/>
  <c r="CG159" i="26"/>
  <c r="T117" i="25"/>
  <c r="CC82" i="26"/>
  <c r="CD82" i="26"/>
  <c r="H97" i="25"/>
  <c r="D97" i="25" s="1"/>
  <c r="B97" i="25" s="1"/>
  <c r="GB80" i="26"/>
  <c r="EK81" i="26"/>
  <c r="CO81" i="26"/>
  <c r="CX81" i="26"/>
  <c r="FC81" i="26"/>
  <c r="FO81" i="26"/>
  <c r="FS81" i="26" s="1"/>
  <c r="FM81" i="26"/>
  <c r="DH81" i="26"/>
  <c r="FD81" i="26"/>
  <c r="CW81" i="26"/>
  <c r="ET81" i="26"/>
  <c r="DJ81" i="26"/>
  <c r="DN81" i="26" s="1"/>
  <c r="CY81" i="26"/>
  <c r="CV81" i="26"/>
  <c r="V116" i="25"/>
  <c r="DO81" i="26"/>
  <c r="DQ81" i="26"/>
  <c r="EJ81" i="26"/>
  <c r="DR81" i="26"/>
  <c r="EA81" i="26"/>
  <c r="CQ81" i="26"/>
  <c r="CU81" i="26" s="1"/>
  <c r="EC81" i="26"/>
  <c r="EG81" i="26" s="1"/>
  <c r="CE81" i="26"/>
  <c r="FA81" i="26"/>
  <c r="EI81" i="26"/>
  <c r="EV81" i="26"/>
  <c r="EZ81" i="26" s="1"/>
  <c r="FT81" i="26"/>
  <c r="EH81" i="26"/>
  <c r="FU81" i="26"/>
  <c r="DE81" i="26"/>
  <c r="DA81" i="26" s="1"/>
  <c r="DP81" i="26"/>
  <c r="FB81" i="26"/>
  <c r="EQ81" i="26"/>
  <c r="EM81" i="26" s="1"/>
  <c r="DX81" i="26"/>
  <c r="DT81" i="26" s="1"/>
  <c r="CL81" i="26"/>
  <c r="CH81" i="26" s="1"/>
  <c r="FJ81" i="26"/>
  <c r="FF81" i="26" s="1"/>
  <c r="GC75" i="26"/>
  <c r="CR81" i="26"/>
  <c r="DK81" i="26"/>
  <c r="FP81" i="26"/>
  <c r="ED81" i="26"/>
  <c r="EW81" i="26"/>
  <c r="BP81" i="26"/>
  <c r="BO81" i="26" s="1"/>
  <c r="ER81" i="26"/>
  <c r="FK81" i="26"/>
  <c r="L23" i="26"/>
  <c r="CM81" i="26"/>
  <c r="DY81" i="26"/>
  <c r="DF81" i="26"/>
  <c r="BZ81" i="26"/>
  <c r="CA36" i="26"/>
  <c r="BV83" i="26"/>
  <c r="GC80" i="26"/>
  <c r="GA80" i="26"/>
  <c r="FZ80" i="26"/>
  <c r="EK75" i="26"/>
  <c r="CF84" i="26" l="1"/>
  <c r="CX161" i="26"/>
  <c r="DA161" i="26"/>
  <c r="FV82" i="26"/>
  <c r="FW82" i="26"/>
  <c r="AI144" i="26"/>
  <c r="CO166" i="26"/>
  <c r="CP160" i="26"/>
  <c r="AG144" i="26"/>
  <c r="CE165" i="26"/>
  <c r="CL165" i="26"/>
  <c r="CC165" i="26"/>
  <c r="P101" i="25" s="1"/>
  <c r="CD165" i="26"/>
  <c r="S101" i="25" s="1"/>
  <c r="CA165" i="26"/>
  <c r="J101" i="25" s="1"/>
  <c r="BY165" i="26"/>
  <c r="CB165" i="26"/>
  <c r="M101" i="25" s="1"/>
  <c r="BZ165" i="26"/>
  <c r="CJ165" i="26"/>
  <c r="BV165" i="26"/>
  <c r="H101" i="25"/>
  <c r="D101" i="25" s="1"/>
  <c r="CN163" i="26"/>
  <c r="CO163" i="26" s="1"/>
  <c r="CN164" i="26"/>
  <c r="EU81" i="26"/>
  <c r="AF144" i="26"/>
  <c r="AH144" i="26"/>
  <c r="AE144" i="26"/>
  <c r="CT82" i="26"/>
  <c r="BX82" i="26"/>
  <c r="BY82" i="26" s="1"/>
  <c r="D66" i="25"/>
  <c r="B66" i="25" s="1"/>
  <c r="DI81" i="26"/>
  <c r="EB81" i="26"/>
  <c r="CK81" i="26"/>
  <c r="CJ81" i="26" s="1"/>
  <c r="CP81" i="26"/>
  <c r="FN81" i="26"/>
  <c r="EP81" i="26"/>
  <c r="EO81" i="26" s="1"/>
  <c r="FY81" i="26"/>
  <c r="FX81" i="26" s="1"/>
  <c r="DW81" i="26"/>
  <c r="DV81" i="26" s="1"/>
  <c r="FZ81" i="26"/>
  <c r="FR82" i="26"/>
  <c r="GA81" i="26"/>
  <c r="EF82" i="26"/>
  <c r="DM82" i="26"/>
  <c r="S68" i="25"/>
  <c r="EY82" i="26"/>
  <c r="F97" i="25"/>
  <c r="A97" i="25"/>
  <c r="BP82" i="26"/>
  <c r="BO82" i="26" s="1"/>
  <c r="DK82" i="26"/>
  <c r="FP82" i="26"/>
  <c r="EW82" i="26"/>
  <c r="ED82" i="26"/>
  <c r="CR82" i="26"/>
  <c r="DY82" i="26"/>
  <c r="DF82" i="26"/>
  <c r="CM82" i="26"/>
  <c r="L24" i="26"/>
  <c r="FK82" i="26"/>
  <c r="ER82" i="26"/>
  <c r="BZ82" i="26"/>
  <c r="DK106" i="26"/>
  <c r="CA84" i="26"/>
  <c r="D119" i="25"/>
  <c r="B119" i="25" s="1"/>
  <c r="BU83" i="26"/>
  <c r="BX83" i="26" s="1"/>
  <c r="BY83" i="26" s="1"/>
  <c r="CA106" i="26"/>
  <c r="CA37" i="26"/>
  <c r="BV84" i="26"/>
  <c r="CJ162" i="26"/>
  <c r="J98" i="25"/>
  <c r="P98" i="25"/>
  <c r="S98" i="25"/>
  <c r="M98" i="25"/>
  <c r="CK158" i="26"/>
  <c r="DE158" i="26"/>
  <c r="U66" i="25"/>
  <c r="DF158" i="26"/>
  <c r="X66" i="25" s="1"/>
  <c r="BY38" i="26"/>
  <c r="BW38" i="26"/>
  <c r="BX38" i="26" s="1"/>
  <c r="BV38" i="26"/>
  <c r="M120" i="25" s="1"/>
  <c r="BZ38" i="26"/>
  <c r="BT59" i="26"/>
  <c r="X120" i="25"/>
  <c r="BT85" i="26"/>
  <c r="CB85" i="26" s="1"/>
  <c r="BT39" i="26"/>
  <c r="CB39" i="26" s="1"/>
  <c r="H98" i="25"/>
  <c r="D98" i="25" s="1"/>
  <c r="B98" i="25" s="1"/>
  <c r="FM82" i="26"/>
  <c r="CY82" i="26"/>
  <c r="DQ82" i="26"/>
  <c r="CX82" i="26"/>
  <c r="DR82" i="26"/>
  <c r="CE82" i="26"/>
  <c r="CO82" i="26"/>
  <c r="FD82" i="26"/>
  <c r="FO82" i="26"/>
  <c r="FS82" i="26" s="1"/>
  <c r="EC82" i="26"/>
  <c r="EG82" i="26" s="1"/>
  <c r="EA82" i="26"/>
  <c r="CV82" i="26"/>
  <c r="EV82" i="26"/>
  <c r="EZ82" i="26" s="1"/>
  <c r="DO82" i="26"/>
  <c r="DH82" i="26"/>
  <c r="FA82" i="26"/>
  <c r="ET82" i="26"/>
  <c r="FT82" i="26"/>
  <c r="EK82" i="26"/>
  <c r="DP82" i="26"/>
  <c r="DJ82" i="26"/>
  <c r="DN82" i="26" s="1"/>
  <c r="V117" i="25"/>
  <c r="FC82" i="26"/>
  <c r="FU82" i="26"/>
  <c r="EH82" i="26"/>
  <c r="CW82" i="26"/>
  <c r="FJ82" i="26"/>
  <c r="FF82" i="26" s="1"/>
  <c r="CL82" i="26"/>
  <c r="CH82" i="26" s="1"/>
  <c r="EQ82" i="26"/>
  <c r="EM82" i="26" s="1"/>
  <c r="EI82" i="26"/>
  <c r="EJ82" i="26"/>
  <c r="CQ82" i="26"/>
  <c r="CU82" i="26" s="1"/>
  <c r="DE82" i="26"/>
  <c r="DA82" i="26" s="1"/>
  <c r="DX82" i="26"/>
  <c r="DT82" i="26" s="1"/>
  <c r="FB82" i="26"/>
  <c r="DE157" i="26"/>
  <c r="U64" i="25"/>
  <c r="DF157" i="26"/>
  <c r="CR160" i="26"/>
  <c r="CS160" i="26" s="1"/>
  <c r="CU160" i="26"/>
  <c r="CT160" i="26"/>
  <c r="N70" i="25"/>
  <c r="M119" i="25"/>
  <c r="B64" i="25"/>
  <c r="F64" i="25"/>
  <c r="CM161" i="26"/>
  <c r="CF161" i="26"/>
  <c r="CO162" i="26"/>
  <c r="GC81" i="26"/>
  <c r="BV58" i="26"/>
  <c r="BW84" i="26" s="1"/>
  <c r="Q119" i="25" s="1"/>
  <c r="BW58" i="26"/>
  <c r="BX58" i="26" s="1"/>
  <c r="BY57" i="26"/>
  <c r="BZ57" i="26" s="1"/>
  <c r="BU57" i="26" s="1"/>
  <c r="N68" i="25"/>
  <c r="N23" i="26"/>
  <c r="O23" i="26"/>
  <c r="P23" i="26"/>
  <c r="M23" i="26"/>
  <c r="CH160" i="26"/>
  <c r="U96" i="25"/>
  <c r="CG160" i="26"/>
  <c r="CC83" i="26"/>
  <c r="T118" i="25"/>
  <c r="CD83" i="26"/>
  <c r="DD81" i="26"/>
  <c r="DC81" i="26" s="1"/>
  <c r="FI81" i="26"/>
  <c r="FH81" i="26" s="1"/>
  <c r="GB81" i="26"/>
  <c r="X95" i="25"/>
  <c r="CI159" i="26"/>
  <c r="CK159" i="26" s="1"/>
  <c r="A117" i="25"/>
  <c r="CJ121" i="26"/>
  <c r="CR121" i="26" s="1"/>
  <c r="S117" i="25"/>
  <c r="F118" i="25"/>
  <c r="O118" i="25"/>
  <c r="CF85" i="26" l="1"/>
  <c r="CX166" i="26"/>
  <c r="DA166" i="26"/>
  <c r="CX163" i="26"/>
  <c r="DA163" i="26"/>
  <c r="CX162" i="26"/>
  <c r="DA162" i="26"/>
  <c r="AI145" i="26"/>
  <c r="FW83" i="26"/>
  <c r="FV83" i="26"/>
  <c r="CP162" i="26"/>
  <c r="CP161" i="26"/>
  <c r="B101" i="25"/>
  <c r="A101" i="25" s="1"/>
  <c r="F101" i="25"/>
  <c r="CF165" i="26"/>
  <c r="CM165" i="26"/>
  <c r="CP82" i="26"/>
  <c r="AG145" i="26"/>
  <c r="AH145" i="26"/>
  <c r="AE145" i="26"/>
  <c r="AF145" i="26"/>
  <c r="F66" i="25"/>
  <c r="CO165" i="26"/>
  <c r="CO164" i="26"/>
  <c r="D70" i="25"/>
  <c r="DI82" i="26"/>
  <c r="EU82" i="26"/>
  <c r="FN82" i="26"/>
  <c r="GB82" i="26"/>
  <c r="GC82" i="26"/>
  <c r="EB82" i="26"/>
  <c r="FZ82" i="26"/>
  <c r="FY82" i="26"/>
  <c r="FX82" i="26" s="1"/>
  <c r="DC159" i="26"/>
  <c r="D68" i="25"/>
  <c r="BV59" i="26"/>
  <c r="BW85" i="26" s="1"/>
  <c r="Q120" i="25" s="1"/>
  <c r="BW59" i="26"/>
  <c r="BX59" i="26" s="1"/>
  <c r="BY58" i="26"/>
  <c r="BZ58" i="26" s="1"/>
  <c r="BU58" i="26" s="1"/>
  <c r="EW83" i="26"/>
  <c r="L25" i="26"/>
  <c r="BP83" i="26"/>
  <c r="BO83" i="26" s="1"/>
  <c r="DK83" i="26"/>
  <c r="ED83" i="26"/>
  <c r="FP83" i="26"/>
  <c r="CM83" i="26"/>
  <c r="FK83" i="26"/>
  <c r="ER83" i="26"/>
  <c r="DF83" i="26"/>
  <c r="CR83" i="26"/>
  <c r="DY83" i="26"/>
  <c r="BZ83" i="26"/>
  <c r="EP82" i="26"/>
  <c r="EO82" i="26" s="1"/>
  <c r="CE83" i="26"/>
  <c r="DO83" i="26"/>
  <c r="CO83" i="26"/>
  <c r="DR83" i="26"/>
  <c r="FD83" i="26"/>
  <c r="EV83" i="26"/>
  <c r="EZ83" i="26" s="1"/>
  <c r="CQ83" i="26"/>
  <c r="CU83" i="26" s="1"/>
  <c r="CV83" i="26"/>
  <c r="DJ83" i="26"/>
  <c r="DN83" i="26" s="1"/>
  <c r="FO83" i="26"/>
  <c r="FS83" i="26" s="1"/>
  <c r="EC83" i="26"/>
  <c r="EG83" i="26" s="1"/>
  <c r="FT83" i="26"/>
  <c r="EK83" i="26"/>
  <c r="ET83" i="26"/>
  <c r="EI83" i="26"/>
  <c r="DH83" i="26"/>
  <c r="FA83" i="26"/>
  <c r="FM83" i="26"/>
  <c r="EH83" i="26"/>
  <c r="EA83" i="26"/>
  <c r="DE83" i="26"/>
  <c r="DA83" i="26" s="1"/>
  <c r="DX83" i="26"/>
  <c r="DT83" i="26" s="1"/>
  <c r="FJ83" i="26"/>
  <c r="FF83" i="26" s="1"/>
  <c r="CY83" i="26"/>
  <c r="EJ83" i="26"/>
  <c r="V118" i="25"/>
  <c r="DP83" i="26"/>
  <c r="FC83" i="26"/>
  <c r="CX83" i="26"/>
  <c r="CL83" i="26"/>
  <c r="CH83" i="26" s="1"/>
  <c r="DQ83" i="26"/>
  <c r="FU83" i="26"/>
  <c r="FB83" i="26"/>
  <c r="EQ83" i="26"/>
  <c r="EM83" i="26" s="1"/>
  <c r="CW83" i="26"/>
  <c r="Q64" i="25"/>
  <c r="H64" i="25"/>
  <c r="K64" i="25"/>
  <c r="A64" i="25"/>
  <c r="H100" i="25"/>
  <c r="D100" i="25" s="1"/>
  <c r="B100" i="25" s="1"/>
  <c r="CC84" i="26"/>
  <c r="T119" i="25"/>
  <c r="CD84" i="26"/>
  <c r="FR83" i="26"/>
  <c r="A98" i="25"/>
  <c r="F98" i="25"/>
  <c r="CT161" i="26"/>
  <c r="CU161" i="26"/>
  <c r="CR161" i="26"/>
  <c r="CS161" i="26" s="1"/>
  <c r="N72" i="25"/>
  <c r="FI82" i="26"/>
  <c r="FH82" i="26" s="1"/>
  <c r="X96" i="25"/>
  <c r="CI160" i="26"/>
  <c r="CK160" i="26" s="1"/>
  <c r="CJ163" i="26"/>
  <c r="S99" i="25"/>
  <c r="P99" i="25"/>
  <c r="J99" i="25"/>
  <c r="M99" i="25"/>
  <c r="BV85" i="26"/>
  <c r="CA38" i="26"/>
  <c r="CM162" i="26"/>
  <c r="CF162" i="26"/>
  <c r="F119" i="25"/>
  <c r="O119" i="25"/>
  <c r="M24" i="26"/>
  <c r="O24" i="26"/>
  <c r="N24" i="26"/>
  <c r="P24" i="26"/>
  <c r="K66" i="25"/>
  <c r="Q66" i="25"/>
  <c r="A66" i="25"/>
  <c r="X64" i="25"/>
  <c r="BZ39" i="26"/>
  <c r="BY39" i="26"/>
  <c r="BV39" i="26"/>
  <c r="M121" i="25" s="1"/>
  <c r="BW39" i="26"/>
  <c r="BX39" i="26" s="1"/>
  <c r="BT60" i="26"/>
  <c r="X121" i="25"/>
  <c r="BT86" i="26"/>
  <c r="CB86" i="26" s="1"/>
  <c r="BT40" i="26"/>
  <c r="DM83" i="26"/>
  <c r="H99" i="25"/>
  <c r="D99" i="25" s="1"/>
  <c r="B99" i="25" s="1"/>
  <c r="CA85" i="26"/>
  <c r="DK107" i="26"/>
  <c r="D120" i="25"/>
  <c r="B120" i="25" s="1"/>
  <c r="BU84" i="26"/>
  <c r="CA107" i="26"/>
  <c r="CT83" i="26"/>
  <c r="CK82" i="26"/>
  <c r="CJ82" i="26" s="1"/>
  <c r="CJ122" i="26"/>
  <c r="CR122" i="26" s="1"/>
  <c r="A118" i="25"/>
  <c r="S118" i="25"/>
  <c r="CH161" i="26"/>
  <c r="CG161" i="26"/>
  <c r="U97" i="25"/>
  <c r="EF83" i="26"/>
  <c r="DD82" i="26"/>
  <c r="DC82" i="26" s="1"/>
  <c r="CJ164" i="26"/>
  <c r="J100" i="25"/>
  <c r="P100" i="25"/>
  <c r="M100" i="25"/>
  <c r="S100" i="25"/>
  <c r="CP166" i="26"/>
  <c r="S70" i="25"/>
  <c r="GA82" i="26"/>
  <c r="EY83" i="26"/>
  <c r="DW82" i="26"/>
  <c r="DV82" i="26" s="1"/>
  <c r="CF86" i="26" l="1"/>
  <c r="CX164" i="26"/>
  <c r="DA164" i="26"/>
  <c r="N78" i="25" s="1"/>
  <c r="CX165" i="26"/>
  <c r="DA165" i="26"/>
  <c r="N80" i="25" s="1"/>
  <c r="AI146" i="26"/>
  <c r="FV84" i="26"/>
  <c r="FW84" i="26"/>
  <c r="CP164" i="26"/>
  <c r="CP165" i="26"/>
  <c r="CP163" i="26"/>
  <c r="CG165" i="26"/>
  <c r="CH165" i="26"/>
  <c r="U101" i="25"/>
  <c r="AE146" i="26"/>
  <c r="AF146" i="26"/>
  <c r="AH146" i="26"/>
  <c r="AG146" i="26"/>
  <c r="FR84" i="26"/>
  <c r="BX84" i="26"/>
  <c r="BY84" i="26" s="1"/>
  <c r="DC160" i="26"/>
  <c r="DE160" i="26" s="1"/>
  <c r="CR165" i="26"/>
  <c r="CS165" i="26" s="1"/>
  <c r="D72" i="25"/>
  <c r="CT165" i="26"/>
  <c r="CU165" i="26"/>
  <c r="CL167" i="26"/>
  <c r="CT164" i="26"/>
  <c r="CE167" i="26"/>
  <c r="CI169" i="26" s="1"/>
  <c r="CR164" i="26"/>
  <c r="CS164" i="26" s="1"/>
  <c r="CU164" i="26"/>
  <c r="GA83" i="26"/>
  <c r="EB83" i="26"/>
  <c r="FY83" i="26"/>
  <c r="FX83" i="26" s="1"/>
  <c r="CP83" i="26"/>
  <c r="FN83" i="26"/>
  <c r="GB83" i="26"/>
  <c r="FZ83" i="26"/>
  <c r="DI83" i="26"/>
  <c r="EU83" i="26"/>
  <c r="CM164" i="26"/>
  <c r="CF164" i="26"/>
  <c r="S72" i="25"/>
  <c r="CQ84" i="26"/>
  <c r="CU84" i="26" s="1"/>
  <c r="FD84" i="26"/>
  <c r="EV84" i="26"/>
  <c r="EZ84" i="26" s="1"/>
  <c r="DH84" i="26"/>
  <c r="CO84" i="26"/>
  <c r="CE84" i="26"/>
  <c r="EC84" i="26"/>
  <c r="EG84" i="26" s="1"/>
  <c r="DJ84" i="26"/>
  <c r="DN84" i="26" s="1"/>
  <c r="CX84" i="26"/>
  <c r="CV84" i="26"/>
  <c r="ET84" i="26"/>
  <c r="FC84" i="26"/>
  <c r="FO84" i="26"/>
  <c r="FS84" i="26" s="1"/>
  <c r="EA84" i="26"/>
  <c r="EH84" i="26"/>
  <c r="EK84" i="26"/>
  <c r="DR84" i="26"/>
  <c r="FA84" i="26"/>
  <c r="CY84" i="26"/>
  <c r="DO84" i="26"/>
  <c r="EJ84" i="26"/>
  <c r="CL84" i="26"/>
  <c r="CH84" i="26" s="1"/>
  <c r="FT84" i="26"/>
  <c r="FM84" i="26"/>
  <c r="EI84" i="26"/>
  <c r="V119" i="25"/>
  <c r="DQ84" i="26"/>
  <c r="DP84" i="26"/>
  <c r="FB84" i="26"/>
  <c r="FU84" i="26"/>
  <c r="FJ84" i="26"/>
  <c r="FF84" i="26" s="1"/>
  <c r="EQ84" i="26"/>
  <c r="EM84" i="26" s="1"/>
  <c r="DE84" i="26"/>
  <c r="DA84" i="26" s="1"/>
  <c r="DX84" i="26"/>
  <c r="DT84" i="26" s="1"/>
  <c r="CW84" i="26"/>
  <c r="DM84" i="26"/>
  <c r="CK83" i="26"/>
  <c r="CJ83" i="26" s="1"/>
  <c r="O25" i="26"/>
  <c r="N25" i="26"/>
  <c r="M25" i="26"/>
  <c r="P25" i="26"/>
  <c r="F68" i="25"/>
  <c r="B68" i="25"/>
  <c r="D29" i="26"/>
  <c r="CU163" i="26"/>
  <c r="CT163" i="26"/>
  <c r="CR163" i="26"/>
  <c r="CS163" i="26" s="1"/>
  <c r="N76" i="25"/>
  <c r="CA86" i="26"/>
  <c r="CA87" i="26" s="1"/>
  <c r="DK108" i="26"/>
  <c r="D121" i="25"/>
  <c r="B121" i="25" s="1"/>
  <c r="BU85" i="26"/>
  <c r="CA108" i="26"/>
  <c r="BT87" i="26"/>
  <c r="F70" i="25"/>
  <c r="B70" i="25"/>
  <c r="DW83" i="26"/>
  <c r="DV83" i="26" s="1"/>
  <c r="EF84" i="26"/>
  <c r="U68" i="25"/>
  <c r="DE159" i="26"/>
  <c r="DF159" i="26"/>
  <c r="X97" i="25"/>
  <c r="CI161" i="26"/>
  <c r="CK161" i="26" s="1"/>
  <c r="BV60" i="26"/>
  <c r="BW86" i="26" s="1"/>
  <c r="Q121" i="25" s="1"/>
  <c r="BW60" i="26"/>
  <c r="BX60" i="26" s="1"/>
  <c r="BY59" i="26"/>
  <c r="BZ59" i="26" s="1"/>
  <c r="BU59" i="26" s="1"/>
  <c r="A119" i="25"/>
  <c r="CJ123" i="26"/>
  <c r="CR123" i="26" s="1"/>
  <c r="S119" i="25"/>
  <c r="F100" i="25"/>
  <c r="A100" i="25"/>
  <c r="DD83" i="26"/>
  <c r="DC83" i="26" s="1"/>
  <c r="CC85" i="26"/>
  <c r="T120" i="25"/>
  <c r="CD85" i="26"/>
  <c r="A99" i="25"/>
  <c r="F99" i="25"/>
  <c r="EP83" i="26"/>
  <c r="EO83" i="26" s="1"/>
  <c r="EW84" i="26"/>
  <c r="FP84" i="26"/>
  <c r="DK84" i="26"/>
  <c r="CR84" i="26"/>
  <c r="L26" i="26"/>
  <c r="ED84" i="26"/>
  <c r="BP84" i="26"/>
  <c r="BO84" i="26" s="1"/>
  <c r="CM84" i="26"/>
  <c r="DY84" i="26"/>
  <c r="ER84" i="26"/>
  <c r="DF84" i="26"/>
  <c r="FK84" i="26"/>
  <c r="BZ84" i="26"/>
  <c r="BV86" i="26"/>
  <c r="CA39" i="26"/>
  <c r="U98" i="25"/>
  <c r="CH162" i="26"/>
  <c r="CG162" i="26"/>
  <c r="CM163" i="26"/>
  <c r="CF163" i="26"/>
  <c r="GC83" i="26"/>
  <c r="EY84" i="26"/>
  <c r="CT84" i="26"/>
  <c r="F120" i="25"/>
  <c r="O120" i="25"/>
  <c r="CR162" i="26"/>
  <c r="CS162" i="26" s="1"/>
  <c r="CU162" i="26"/>
  <c r="CT162" i="26"/>
  <c r="N74" i="25"/>
  <c r="FI83" i="26"/>
  <c r="FH83" i="26" s="1"/>
  <c r="AI147" i="26" l="1"/>
  <c r="FW85" i="26"/>
  <c r="FV85" i="26"/>
  <c r="CI165" i="26"/>
  <c r="CK165" i="26" s="1"/>
  <c r="X101" i="25"/>
  <c r="FN84" i="26"/>
  <c r="AF147" i="26"/>
  <c r="AH147" i="26"/>
  <c r="AE147" i="26"/>
  <c r="AG147" i="26"/>
  <c r="DF160" i="26"/>
  <c r="X70" i="25" s="1"/>
  <c r="EY85" i="26"/>
  <c r="BX85" i="26"/>
  <c r="BY85" i="26" s="1"/>
  <c r="U70" i="25"/>
  <c r="FZ84" i="26"/>
  <c r="DC161" i="26"/>
  <c r="DE161" i="26" s="1"/>
  <c r="H66" i="25"/>
  <c r="CQ153" i="26"/>
  <c r="CY153" i="26" s="1"/>
  <c r="S80" i="25"/>
  <c r="CK84" i="26"/>
  <c r="CJ84" i="26" s="1"/>
  <c r="FI84" i="26"/>
  <c r="FH84" i="26" s="1"/>
  <c r="S78" i="25"/>
  <c r="GA84" i="26"/>
  <c r="FR85" i="26"/>
  <c r="DM85" i="26"/>
  <c r="EF85" i="26"/>
  <c r="D78" i="25"/>
  <c r="F78" i="25" s="1"/>
  <c r="DC164" i="26"/>
  <c r="DE164" i="26" s="1"/>
  <c r="DD84" i="26"/>
  <c r="DC84" i="26" s="1"/>
  <c r="EP84" i="26"/>
  <c r="EO84" i="26" s="1"/>
  <c r="EU84" i="26"/>
  <c r="DW84" i="26"/>
  <c r="DV84" i="26" s="1"/>
  <c r="CT85" i="26"/>
  <c r="EB84" i="26"/>
  <c r="FY84" i="26"/>
  <c r="FX84" i="26" s="1"/>
  <c r="CP84" i="26"/>
  <c r="GC84" i="26"/>
  <c r="S74" i="25"/>
  <c r="F121" i="25"/>
  <c r="O121" i="25"/>
  <c r="O26" i="26"/>
  <c r="N26" i="26"/>
  <c r="M26" i="26"/>
  <c r="P26" i="26"/>
  <c r="T121" i="25"/>
  <c r="CC86" i="26"/>
  <c r="CC87" i="26" s="1"/>
  <c r="C66" i="26" s="1"/>
  <c r="CD86" i="26"/>
  <c r="F78" i="26"/>
  <c r="I268" i="26" s="1"/>
  <c r="K116" i="14" s="1"/>
  <c r="R116" i="14" s="1"/>
  <c r="U100" i="25"/>
  <c r="CH164" i="26"/>
  <c r="CG164" i="26"/>
  <c r="CH163" i="26"/>
  <c r="U99" i="25"/>
  <c r="CG163" i="26"/>
  <c r="H70" i="25"/>
  <c r="Q70" i="25"/>
  <c r="K70" i="25"/>
  <c r="S76" i="25"/>
  <c r="CM167" i="26"/>
  <c r="C60" i="26" s="1"/>
  <c r="C61" i="26" s="1"/>
  <c r="A120" i="25"/>
  <c r="CJ124" i="26"/>
  <c r="CR124" i="26" s="1"/>
  <c r="CR125" i="26" s="1"/>
  <c r="AL17" i="26" s="1"/>
  <c r="S120" i="25"/>
  <c r="X98" i="25"/>
  <c r="CI162" i="26"/>
  <c r="CK162" i="26" s="1"/>
  <c r="CQ85" i="26"/>
  <c r="CU85" i="26" s="1"/>
  <c r="FO85" i="26"/>
  <c r="FS85" i="26" s="1"/>
  <c r="FM85" i="26"/>
  <c r="DR85" i="26"/>
  <c r="EA85" i="26"/>
  <c r="V120" i="25"/>
  <c r="DH85" i="26"/>
  <c r="EH85" i="26"/>
  <c r="CO85" i="26"/>
  <c r="FA85" i="26"/>
  <c r="FT85" i="26"/>
  <c r="CY85" i="26"/>
  <c r="DJ85" i="26"/>
  <c r="DN85" i="26" s="1"/>
  <c r="ET85" i="26"/>
  <c r="CE85" i="26"/>
  <c r="DO85" i="26"/>
  <c r="EK85" i="26"/>
  <c r="EC85" i="26"/>
  <c r="EG85" i="26" s="1"/>
  <c r="CV85" i="26"/>
  <c r="CX85" i="26"/>
  <c r="EV85" i="26"/>
  <c r="EZ85" i="26" s="1"/>
  <c r="DP85" i="26"/>
  <c r="FD85" i="26"/>
  <c r="CW85" i="26"/>
  <c r="FJ85" i="26"/>
  <c r="FF85" i="26" s="1"/>
  <c r="EQ85" i="26"/>
  <c r="EM85" i="26" s="1"/>
  <c r="DE85" i="26"/>
  <c r="DA85" i="26" s="1"/>
  <c r="CL85" i="26"/>
  <c r="CH85" i="26" s="1"/>
  <c r="EJ85" i="26"/>
  <c r="FB85" i="26"/>
  <c r="FC85" i="26"/>
  <c r="DQ85" i="26"/>
  <c r="FU85" i="26"/>
  <c r="DX85" i="26"/>
  <c r="DT85" i="26" s="1"/>
  <c r="EI85" i="26"/>
  <c r="AB166" i="26"/>
  <c r="BU86" i="26"/>
  <c r="D75" i="26"/>
  <c r="I271" i="26" s="1"/>
  <c r="K54" i="14" s="1"/>
  <c r="R54" i="14" s="1"/>
  <c r="D35" i="26"/>
  <c r="E991" i="23"/>
  <c r="AA169" i="26"/>
  <c r="AP279" i="26" s="1"/>
  <c r="Q90" i="26"/>
  <c r="C59" i="26"/>
  <c r="C62" i="26"/>
  <c r="I535" i="26" s="1"/>
  <c r="W45" i="25" s="1"/>
  <c r="H428" i="26"/>
  <c r="H432" i="26" s="1"/>
  <c r="K432" i="26" s="1"/>
  <c r="P90" i="26"/>
  <c r="X68" i="25"/>
  <c r="DC163" i="26"/>
  <c r="D76" i="25"/>
  <c r="CU166" i="26"/>
  <c r="N82" i="25"/>
  <c r="CR166" i="26"/>
  <c r="CS166" i="26" s="1"/>
  <c r="CT166" i="26"/>
  <c r="DI84" i="26"/>
  <c r="DC162" i="26"/>
  <c r="D74" i="25"/>
  <c r="K68" i="25"/>
  <c r="H68" i="25"/>
  <c r="Q68" i="25"/>
  <c r="ED85" i="26"/>
  <c r="CR85" i="26"/>
  <c r="DK85" i="26"/>
  <c r="EW85" i="26"/>
  <c r="FP85" i="26"/>
  <c r="L27" i="26"/>
  <c r="BP85" i="26"/>
  <c r="BO85" i="26" s="1"/>
  <c r="CM85" i="26"/>
  <c r="FK85" i="26"/>
  <c r="ER85" i="26"/>
  <c r="DY85" i="26"/>
  <c r="DF85" i="26"/>
  <c r="BZ85" i="26"/>
  <c r="GB84" i="26"/>
  <c r="F72" i="25"/>
  <c r="B72" i="25"/>
  <c r="CZ153" i="26" l="1"/>
  <c r="DA153" i="26" s="1"/>
  <c r="AI148" i="26"/>
  <c r="J90" i="26"/>
  <c r="S90" i="26" s="1"/>
  <c r="FV86" i="26"/>
  <c r="FW86" i="26"/>
  <c r="EB85" i="26"/>
  <c r="DF161" i="26"/>
  <c r="X72" i="25" s="1"/>
  <c r="U72" i="25"/>
  <c r="EU85" i="26"/>
  <c r="FR86" i="26"/>
  <c r="BX86" i="26"/>
  <c r="BY86" i="26" s="1"/>
  <c r="BY87" i="26" s="1"/>
  <c r="AP274" i="26"/>
  <c r="GB85" i="26"/>
  <c r="AP285" i="26"/>
  <c r="AP276" i="26"/>
  <c r="AP273" i="26"/>
  <c r="AP278" i="26"/>
  <c r="AP282" i="26"/>
  <c r="AP284" i="26"/>
  <c r="AP277" i="26"/>
  <c r="AP287" i="26"/>
  <c r="AP280" i="26"/>
  <c r="AP275" i="26"/>
  <c r="AP283" i="26"/>
  <c r="AP281" i="26"/>
  <c r="AP286" i="26"/>
  <c r="CQ165" i="26"/>
  <c r="CY165" i="26" s="1"/>
  <c r="CQ156" i="26"/>
  <c r="CY156" i="26" s="1"/>
  <c r="CQ158" i="26"/>
  <c r="CY158" i="26" s="1"/>
  <c r="CQ162" i="26"/>
  <c r="CY162" i="26" s="1"/>
  <c r="CQ160" i="26"/>
  <c r="CY160" i="26" s="1"/>
  <c r="CQ159" i="26"/>
  <c r="CY159" i="26" s="1"/>
  <c r="CQ154" i="26"/>
  <c r="CY154" i="26" s="1"/>
  <c r="CQ164" i="26"/>
  <c r="CY164" i="26" s="1"/>
  <c r="CQ155" i="26"/>
  <c r="CY155" i="26" s="1"/>
  <c r="CQ161" i="26"/>
  <c r="CY161" i="26" s="1"/>
  <c r="CQ157" i="26"/>
  <c r="CY157" i="26" s="1"/>
  <c r="CQ163" i="26"/>
  <c r="CY163" i="26" s="1"/>
  <c r="DI85" i="26"/>
  <c r="CQ152" i="26"/>
  <c r="CY152" i="26" s="1"/>
  <c r="DF164" i="26"/>
  <c r="X78" i="25" s="1"/>
  <c r="FN85" i="26"/>
  <c r="B78" i="25"/>
  <c r="H78" i="25" s="1"/>
  <c r="EF86" i="26"/>
  <c r="EY86" i="26"/>
  <c r="CT86" i="26"/>
  <c r="U78" i="25"/>
  <c r="DW85" i="26"/>
  <c r="DV85" i="26" s="1"/>
  <c r="EP85" i="26"/>
  <c r="EO85" i="26" s="1"/>
  <c r="DM86" i="26"/>
  <c r="FZ85" i="26"/>
  <c r="DD85" i="26"/>
  <c r="DC85" i="26" s="1"/>
  <c r="CP85" i="26"/>
  <c r="FI85" i="26"/>
  <c r="FH85" i="26" s="1"/>
  <c r="GC85" i="26"/>
  <c r="CK85" i="26"/>
  <c r="CJ85" i="26" s="1"/>
  <c r="GA85" i="26"/>
  <c r="S82" i="25"/>
  <c r="ET86" i="26"/>
  <c r="FT86" i="26"/>
  <c r="FD86" i="26"/>
  <c r="FD87" i="26" s="1"/>
  <c r="AS276" i="26" s="1"/>
  <c r="DR86" i="26"/>
  <c r="DR87" i="26" s="1"/>
  <c r="AS274" i="26" s="1"/>
  <c r="CY86" i="26"/>
  <c r="CY87" i="26" s="1"/>
  <c r="AS273" i="26" s="1"/>
  <c r="V121" i="25"/>
  <c r="FO86" i="26"/>
  <c r="FS86" i="26" s="1"/>
  <c r="CO86" i="26"/>
  <c r="EV86" i="26"/>
  <c r="EZ86" i="26" s="1"/>
  <c r="EC86" i="26"/>
  <c r="EG86" i="26" s="1"/>
  <c r="CV86" i="26"/>
  <c r="DO86" i="26"/>
  <c r="DJ86" i="26"/>
  <c r="DN86" i="26" s="1"/>
  <c r="DH86" i="26"/>
  <c r="CQ86" i="26"/>
  <c r="CU86" i="26" s="1"/>
  <c r="EA86" i="26"/>
  <c r="EH86" i="26"/>
  <c r="FM86" i="26"/>
  <c r="CE86" i="26"/>
  <c r="CE87" i="26" s="1"/>
  <c r="AA173" i="26" s="1"/>
  <c r="AC173" i="26" s="1"/>
  <c r="AR277" i="26" s="1"/>
  <c r="EK86" i="26"/>
  <c r="EK87" i="26" s="1"/>
  <c r="AS275" i="26" s="1"/>
  <c r="FA86" i="26"/>
  <c r="CL86" i="26"/>
  <c r="CH86" i="26" s="1"/>
  <c r="EQ86" i="26"/>
  <c r="EM86" i="26" s="1"/>
  <c r="FC86" i="26"/>
  <c r="CX86" i="26"/>
  <c r="FB86" i="26"/>
  <c r="DE86" i="26"/>
  <c r="DA86" i="26" s="1"/>
  <c r="EJ86" i="26"/>
  <c r="FU86" i="26"/>
  <c r="DX86" i="26"/>
  <c r="DT86" i="26" s="1"/>
  <c r="EI86" i="26"/>
  <c r="DP86" i="26"/>
  <c r="FJ86" i="26"/>
  <c r="FF86" i="26" s="1"/>
  <c r="CW86" i="26"/>
  <c r="DQ86" i="26"/>
  <c r="AQ123" i="26"/>
  <c r="E993" i="23"/>
  <c r="Q95" i="26"/>
  <c r="P95" i="26"/>
  <c r="H434" i="26"/>
  <c r="H438" i="26" s="1"/>
  <c r="K438" i="26" s="1"/>
  <c r="P509" i="26" s="1"/>
  <c r="P510" i="26" s="1"/>
  <c r="AG148" i="26"/>
  <c r="AQ126" i="26"/>
  <c r="C67" i="26"/>
  <c r="L33" i="24"/>
  <c r="AE148" i="26"/>
  <c r="X100" i="25"/>
  <c r="CI164" i="26"/>
  <c r="DF162" i="26"/>
  <c r="X74" i="25" s="1"/>
  <c r="DE162" i="26"/>
  <c r="U74" i="25"/>
  <c r="DC165" i="26"/>
  <c r="D80" i="25"/>
  <c r="DK86" i="26"/>
  <c r="BP86" i="26"/>
  <c r="BO86" i="26" s="1"/>
  <c r="BU87" i="26" s="1"/>
  <c r="EW86" i="26"/>
  <c r="ED86" i="26"/>
  <c r="CR86" i="26"/>
  <c r="DY86" i="26"/>
  <c r="CM86" i="26"/>
  <c r="FP86" i="26"/>
  <c r="DF86" i="26"/>
  <c r="L28" i="26"/>
  <c r="FK86" i="26"/>
  <c r="ER86" i="26"/>
  <c r="BZ86" i="26"/>
  <c r="BZ87" i="26" s="1"/>
  <c r="CH167" i="26"/>
  <c r="O27" i="26"/>
  <c r="P27" i="26"/>
  <c r="M27" i="26"/>
  <c r="N27" i="26"/>
  <c r="D82" i="25"/>
  <c r="DC166" i="26"/>
  <c r="CP167" i="26"/>
  <c r="CQ166" i="26" s="1"/>
  <c r="CY166" i="26" s="1"/>
  <c r="A121" i="25"/>
  <c r="S121" i="25"/>
  <c r="B74" i="25"/>
  <c r="F74" i="25"/>
  <c r="B76" i="25"/>
  <c r="F76" i="25"/>
  <c r="AF148" i="26"/>
  <c r="FY85" i="26"/>
  <c r="H72" i="25"/>
  <c r="Q72" i="25"/>
  <c r="K72" i="25"/>
  <c r="DE163" i="26"/>
  <c r="DF163" i="26"/>
  <c r="X76" i="25" s="1"/>
  <c r="U76" i="25"/>
  <c r="AH148" i="26"/>
  <c r="X99" i="25"/>
  <c r="CI163" i="26"/>
  <c r="CK163" i="26" s="1"/>
  <c r="P511" i="26" l="1"/>
  <c r="R33" i="19" s="1"/>
  <c r="P516" i="26"/>
  <c r="K483" i="26"/>
  <c r="H483" i="26" s="1"/>
  <c r="N56" i="25"/>
  <c r="DC153" i="26"/>
  <c r="DD165" i="26"/>
  <c r="DG165" i="26" s="1"/>
  <c r="X81" i="25" s="1"/>
  <c r="DD164" i="26"/>
  <c r="DD160" i="26"/>
  <c r="DD163" i="26"/>
  <c r="DD162" i="26"/>
  <c r="DD157" i="26"/>
  <c r="DD158" i="26"/>
  <c r="DD161" i="26"/>
  <c r="DD156" i="26"/>
  <c r="DD166" i="26"/>
  <c r="DD159" i="26"/>
  <c r="CZ165" i="26"/>
  <c r="CZ164" i="26"/>
  <c r="CZ154" i="26"/>
  <c r="DA154" i="26" s="1"/>
  <c r="CZ152" i="26"/>
  <c r="DA152" i="26" s="1"/>
  <c r="DC152" i="26" s="1"/>
  <c r="DB160" i="26"/>
  <c r="N71" i="25" s="1"/>
  <c r="CZ160" i="26"/>
  <c r="DB163" i="26"/>
  <c r="N77" i="25" s="1"/>
  <c r="CZ163" i="26"/>
  <c r="DB162" i="26"/>
  <c r="N75" i="25" s="1"/>
  <c r="CZ162" i="26"/>
  <c r="DB157" i="26"/>
  <c r="N65" i="25" s="1"/>
  <c r="CZ157" i="26"/>
  <c r="DB158" i="26"/>
  <c r="N67" i="25" s="1"/>
  <c r="CZ158" i="26"/>
  <c r="DB166" i="26"/>
  <c r="N83" i="25" s="1"/>
  <c r="CZ166" i="26"/>
  <c r="DB161" i="26"/>
  <c r="N73" i="25" s="1"/>
  <c r="CZ161" i="26"/>
  <c r="DB156" i="26"/>
  <c r="N63" i="25" s="1"/>
  <c r="CZ156" i="26"/>
  <c r="DB159" i="26"/>
  <c r="N69" i="25" s="1"/>
  <c r="CZ159" i="26"/>
  <c r="CZ155" i="26"/>
  <c r="R90" i="26"/>
  <c r="K90" i="26" s="1"/>
  <c r="H90" i="26" s="1"/>
  <c r="S203" i="25" s="1"/>
  <c r="J95" i="26"/>
  <c r="R95" i="26" s="1"/>
  <c r="DB165" i="26"/>
  <c r="N81" i="25" s="1"/>
  <c r="D79" i="25"/>
  <c r="F79" i="25" s="1"/>
  <c r="DB164" i="26"/>
  <c r="N79" i="25" s="1"/>
  <c r="CV152" i="26"/>
  <c r="AI149" i="26"/>
  <c r="FW87" i="26"/>
  <c r="AS277" i="26" s="1"/>
  <c r="AF149" i="26"/>
  <c r="AG149" i="26"/>
  <c r="AE149" i="26"/>
  <c r="AH149" i="26"/>
  <c r="FN86" i="26"/>
  <c r="CW165" i="26"/>
  <c r="D81" i="25"/>
  <c r="F81" i="25" s="1"/>
  <c r="CV165" i="26"/>
  <c r="CW164" i="26"/>
  <c r="CV164" i="26"/>
  <c r="CW158" i="26"/>
  <c r="CV158" i="26"/>
  <c r="D67" i="25"/>
  <c r="CV157" i="26"/>
  <c r="D65" i="25"/>
  <c r="CW157" i="26"/>
  <c r="CW163" i="26"/>
  <c r="CV163" i="26"/>
  <c r="D77" i="25"/>
  <c r="D69" i="25"/>
  <c r="CV159" i="26"/>
  <c r="CW159" i="26"/>
  <c r="CW160" i="26"/>
  <c r="CV160" i="26"/>
  <c r="D71" i="25"/>
  <c r="CV161" i="26"/>
  <c r="D73" i="25"/>
  <c r="CW161" i="26"/>
  <c r="D75" i="25"/>
  <c r="CW162" i="26"/>
  <c r="CV162" i="26"/>
  <c r="CV156" i="26"/>
  <c r="CW156" i="26"/>
  <c r="D63" i="25"/>
  <c r="CW153" i="26"/>
  <c r="DW86" i="26"/>
  <c r="DV86" i="26" s="1"/>
  <c r="D57" i="25"/>
  <c r="B57" i="25" s="1"/>
  <c r="CW152" i="26"/>
  <c r="CV153" i="26"/>
  <c r="D55" i="25"/>
  <c r="B55" i="25" s="1"/>
  <c r="CW155" i="26"/>
  <c r="CV155" i="26"/>
  <c r="DB155" i="26" s="1"/>
  <c r="D61" i="25"/>
  <c r="EB86" i="26"/>
  <c r="EU86" i="26"/>
  <c r="CW151" i="26"/>
  <c r="CV151" i="26"/>
  <c r="D53" i="25"/>
  <c r="Q78" i="25"/>
  <c r="K78" i="25"/>
  <c r="D59" i="25"/>
  <c r="CW154" i="26"/>
  <c r="CV154" i="26"/>
  <c r="DI86" i="26"/>
  <c r="CP86" i="26"/>
  <c r="FZ86" i="26"/>
  <c r="FZ87" i="26" s="1"/>
  <c r="CK86" i="26"/>
  <c r="CJ86" i="26" s="1"/>
  <c r="FI86" i="26"/>
  <c r="FH86" i="26" s="1"/>
  <c r="GA86" i="26"/>
  <c r="GA87" i="26" s="1"/>
  <c r="FY86" i="26"/>
  <c r="FX86" i="26" s="1"/>
  <c r="EP86" i="26"/>
  <c r="EO86" i="26" s="1"/>
  <c r="GB86" i="26"/>
  <c r="GB87" i="26" s="1"/>
  <c r="DD86" i="26"/>
  <c r="DC86" i="26" s="1"/>
  <c r="GC86" i="26"/>
  <c r="GC87" i="26" s="1"/>
  <c r="DE165" i="26"/>
  <c r="U80" i="25"/>
  <c r="DF165" i="26"/>
  <c r="X80" i="25" s="1"/>
  <c r="CV166" i="26"/>
  <c r="CW166" i="26"/>
  <c r="CQ167" i="26"/>
  <c r="D12" i="26" s="1"/>
  <c r="K76" i="25"/>
  <c r="H76" i="25"/>
  <c r="Q76" i="25"/>
  <c r="N28" i="26"/>
  <c r="M28" i="26"/>
  <c r="M29" i="26" s="1"/>
  <c r="O32" i="26" s="1"/>
  <c r="O28" i="26"/>
  <c r="O29" i="26" s="1"/>
  <c r="I531" i="26" s="1"/>
  <c r="P28" i="26"/>
  <c r="P29" i="26" s="1"/>
  <c r="I532" i="26" s="1"/>
  <c r="K252" i="14" s="1"/>
  <c r="R252" i="14" s="1"/>
  <c r="D40" i="35" s="1"/>
  <c r="E40" i="35" s="1"/>
  <c r="I993" i="23"/>
  <c r="AC166" i="26"/>
  <c r="H74" i="25"/>
  <c r="Q74" i="25"/>
  <c r="K74" i="25"/>
  <c r="D83" i="25"/>
  <c r="EW87" i="26"/>
  <c r="CM87" i="26"/>
  <c r="FP87" i="26"/>
  <c r="DF87" i="26"/>
  <c r="DY87" i="26"/>
  <c r="ER87" i="26"/>
  <c r="DK87" i="26"/>
  <c r="ED87" i="26"/>
  <c r="L926" i="23"/>
  <c r="C926" i="23" s="1"/>
  <c r="CR87" i="26"/>
  <c r="FK87" i="26"/>
  <c r="CK164" i="26"/>
  <c r="CI167" i="26"/>
  <c r="DE166" i="26"/>
  <c r="U82" i="25"/>
  <c r="DF166" i="26"/>
  <c r="AR273" i="26"/>
  <c r="AR276" i="26"/>
  <c r="AR274" i="26"/>
  <c r="AR275" i="26"/>
  <c r="FX85" i="26"/>
  <c r="B82" i="25"/>
  <c r="F82" i="25"/>
  <c r="C65" i="26"/>
  <c r="C68" i="26"/>
  <c r="I536" i="26" s="1"/>
  <c r="W46" i="25" s="1"/>
  <c r="B80" i="25"/>
  <c r="F80" i="25"/>
  <c r="N61" i="25" l="1"/>
  <c r="DD155" i="26"/>
  <c r="U61" i="25" s="1"/>
  <c r="DB154" i="26"/>
  <c r="N59" i="25" s="1"/>
  <c r="P515" i="26"/>
  <c r="H515" i="26"/>
  <c r="I515" i="26" s="1"/>
  <c r="N58" i="25"/>
  <c r="DC154" i="26"/>
  <c r="DF153" i="26"/>
  <c r="X56" i="25" s="1"/>
  <c r="DE153" i="26"/>
  <c r="U56" i="25"/>
  <c r="DB153" i="26"/>
  <c r="DD153" i="26" s="1"/>
  <c r="N54" i="25"/>
  <c r="U54" i="25"/>
  <c r="DE152" i="26"/>
  <c r="DF152" i="26"/>
  <c r="X54" i="25" s="1"/>
  <c r="S95" i="26"/>
  <c r="K95" i="26" s="1"/>
  <c r="H95" i="26" s="1"/>
  <c r="I95" i="26" s="1"/>
  <c r="I90" i="26"/>
  <c r="S55" i="25"/>
  <c r="U81" i="25"/>
  <c r="B79" i="25"/>
  <c r="H79" i="25" s="1"/>
  <c r="DB151" i="26"/>
  <c r="DD151" i="26" s="1"/>
  <c r="DB152" i="26"/>
  <c r="DD152" i="26" s="1"/>
  <c r="K251" i="14"/>
  <c r="R251" i="14" s="1"/>
  <c r="D39" i="35" s="1"/>
  <c r="E39" i="35" s="1"/>
  <c r="R168" i="14"/>
  <c r="D36" i="35" s="1"/>
  <c r="E36" i="35" s="1"/>
  <c r="B81" i="25"/>
  <c r="Q81" i="25" s="1"/>
  <c r="S81" i="25"/>
  <c r="S73" i="25"/>
  <c r="S79" i="25"/>
  <c r="S67" i="25"/>
  <c r="S71" i="25"/>
  <c r="S65" i="25"/>
  <c r="U79" i="25"/>
  <c r="DG164" i="26"/>
  <c r="X79" i="25" s="1"/>
  <c r="F57" i="25"/>
  <c r="F63" i="25"/>
  <c r="B63" i="25"/>
  <c r="B75" i="25"/>
  <c r="F75" i="25"/>
  <c r="F69" i="25"/>
  <c r="B69" i="25"/>
  <c r="DG160" i="26"/>
  <c r="X71" i="25" s="1"/>
  <c r="U71" i="25"/>
  <c r="F77" i="25"/>
  <c r="B77" i="25"/>
  <c r="U65" i="25"/>
  <c r="DG157" i="26"/>
  <c r="X65" i="25" s="1"/>
  <c r="U63" i="25"/>
  <c r="DG156" i="26"/>
  <c r="X63" i="25" s="1"/>
  <c r="S77" i="25"/>
  <c r="B67" i="25"/>
  <c r="F67" i="25"/>
  <c r="S63" i="25"/>
  <c r="F73" i="25"/>
  <c r="B73" i="25"/>
  <c r="DG159" i="26"/>
  <c r="X69" i="25" s="1"/>
  <c r="U69" i="25"/>
  <c r="DG158" i="26"/>
  <c r="X67" i="25" s="1"/>
  <c r="U67" i="25"/>
  <c r="DG162" i="26"/>
  <c r="X75" i="25" s="1"/>
  <c r="U75" i="25"/>
  <c r="S75" i="25"/>
  <c r="U73" i="25"/>
  <c r="DG161" i="26"/>
  <c r="X73" i="25" s="1"/>
  <c r="U77" i="25"/>
  <c r="DG163" i="26"/>
  <c r="X77" i="25" s="1"/>
  <c r="F71" i="25"/>
  <c r="B71" i="25"/>
  <c r="S69" i="25"/>
  <c r="F65" i="25"/>
  <c r="B65" i="25"/>
  <c r="S61" i="25"/>
  <c r="F55" i="25"/>
  <c r="S57" i="25"/>
  <c r="F61" i="25"/>
  <c r="B61" i="25"/>
  <c r="S53" i="25"/>
  <c r="S59" i="25"/>
  <c r="Q55" i="25"/>
  <c r="H55" i="25"/>
  <c r="A55" i="25"/>
  <c r="H57" i="25"/>
  <c r="Q57" i="25"/>
  <c r="A57" i="25"/>
  <c r="B53" i="25"/>
  <c r="F53" i="25"/>
  <c r="B59" i="25"/>
  <c r="F59" i="25"/>
  <c r="FY87" i="26"/>
  <c r="E55" i="26"/>
  <c r="I262" i="26" s="1"/>
  <c r="K55" i="14" s="1"/>
  <c r="R55" i="14" s="1"/>
  <c r="X82" i="25"/>
  <c r="H82" i="25"/>
  <c r="K82" i="25"/>
  <c r="Q82" i="25"/>
  <c r="Q100" i="26"/>
  <c r="C71" i="26"/>
  <c r="Q85" i="26"/>
  <c r="C74" i="26"/>
  <c r="H422" i="26"/>
  <c r="H426" i="26" s="1"/>
  <c r="K426" i="26" s="1"/>
  <c r="K490" i="26" s="1"/>
  <c r="H490" i="26" s="1"/>
  <c r="E989" i="23"/>
  <c r="P100" i="26"/>
  <c r="P85" i="26"/>
  <c r="C72" i="26"/>
  <c r="O155" i="26"/>
  <c r="I526" i="26"/>
  <c r="K144" i="14" s="1"/>
  <c r="R144" i="14" s="1"/>
  <c r="D14" i="35" s="1"/>
  <c r="E14" i="35" s="1"/>
  <c r="D76" i="26"/>
  <c r="I270" i="26" s="1"/>
  <c r="S83" i="25"/>
  <c r="H80" i="25"/>
  <c r="K80" i="25"/>
  <c r="Q80" i="25"/>
  <c r="B83" i="25"/>
  <c r="F83" i="25"/>
  <c r="U83" i="25"/>
  <c r="DG166" i="26"/>
  <c r="CI170" i="26"/>
  <c r="DG155" i="26" l="1"/>
  <c r="X61" i="25" s="1"/>
  <c r="S515" i="26"/>
  <c r="H492" i="26" s="1"/>
  <c r="DD154" i="26"/>
  <c r="H486" i="26"/>
  <c r="E51" i="27" s="1"/>
  <c r="P513" i="26"/>
  <c r="P512" i="26"/>
  <c r="Q33" i="19" s="1"/>
  <c r="P517" i="26"/>
  <c r="G53" i="19"/>
  <c r="J53" i="19" s="1"/>
  <c r="AC242" i="14"/>
  <c r="U58" i="25"/>
  <c r="DE154" i="26"/>
  <c r="DE167" i="26" s="1"/>
  <c r="DF154" i="26"/>
  <c r="X58" i="25" s="1"/>
  <c r="N57" i="25"/>
  <c r="DG153" i="26"/>
  <c r="X57" i="25" s="1"/>
  <c r="S204" i="25"/>
  <c r="H100" i="26"/>
  <c r="S205" i="25" s="1"/>
  <c r="J85" i="26"/>
  <c r="S85" i="26" s="1"/>
  <c r="Q79" i="25"/>
  <c r="K115" i="14"/>
  <c r="R115" i="14" s="1"/>
  <c r="CI171" i="26"/>
  <c r="AP123" i="26" s="1"/>
  <c r="H81" i="25"/>
  <c r="H67" i="25"/>
  <c r="Q67" i="25"/>
  <c r="Q69" i="25"/>
  <c r="H69" i="25"/>
  <c r="Q65" i="25"/>
  <c r="H65" i="25"/>
  <c r="A65" i="25"/>
  <c r="Q75" i="25"/>
  <c r="H75" i="25"/>
  <c r="H73" i="25"/>
  <c r="Q73" i="25"/>
  <c r="H77" i="25"/>
  <c r="Q77" i="25"/>
  <c r="A63" i="25"/>
  <c r="Q63" i="25"/>
  <c r="H63" i="25"/>
  <c r="Q71" i="25"/>
  <c r="H71" i="25"/>
  <c r="N55" i="25"/>
  <c r="H61" i="25"/>
  <c r="Q61" i="25"/>
  <c r="A61" i="25"/>
  <c r="N53" i="25"/>
  <c r="DA167" i="26"/>
  <c r="D16" i="26" s="1"/>
  <c r="A53" i="25"/>
  <c r="H53" i="25"/>
  <c r="Q53" i="25"/>
  <c r="A59" i="25"/>
  <c r="Q59" i="25"/>
  <c r="H59" i="25"/>
  <c r="X83" i="25"/>
  <c r="Q83" i="25"/>
  <c r="H83" i="25"/>
  <c r="C73" i="26"/>
  <c r="I269" i="26"/>
  <c r="V104" i="14" s="1"/>
  <c r="E303" i="27" l="1"/>
  <c r="D61" i="27"/>
  <c r="D63" i="27" s="1"/>
  <c r="G83" i="27" s="1"/>
  <c r="D229" i="27"/>
  <c r="D145" i="27"/>
  <c r="D313" i="27"/>
  <c r="E219" i="27"/>
  <c r="E135" i="27"/>
  <c r="DG154" i="26"/>
  <c r="X59" i="25" s="1"/>
  <c r="U59" i="25"/>
  <c r="W167" i="25"/>
  <c r="S173" i="25"/>
  <c r="M33" i="26"/>
  <c r="O33" i="26" s="1"/>
  <c r="C1014" i="23" s="1"/>
  <c r="B449" i="26" s="1"/>
  <c r="O31" i="19" s="1"/>
  <c r="H495" i="26"/>
  <c r="H493" i="26" s="1"/>
  <c r="P518" i="26"/>
  <c r="H519" i="26"/>
  <c r="I519" i="26" s="1"/>
  <c r="AC240" i="14"/>
  <c r="AC241" i="14"/>
  <c r="AC239" i="14"/>
  <c r="H28" i="14"/>
  <c r="K28" i="14" s="1"/>
  <c r="DF167" i="26"/>
  <c r="U57" i="25"/>
  <c r="I100" i="26"/>
  <c r="R85" i="26"/>
  <c r="K85" i="26" s="1"/>
  <c r="H85" i="26" s="1"/>
  <c r="H518" i="26"/>
  <c r="I518" i="26" s="1"/>
  <c r="H513" i="26"/>
  <c r="I513" i="26" s="1"/>
  <c r="V115" i="14"/>
  <c r="L20" i="24"/>
  <c r="I991" i="23"/>
  <c r="AP428" i="26"/>
  <c r="H241" i="26" s="1"/>
  <c r="AP426" i="26"/>
  <c r="AT426" i="26" s="1"/>
  <c r="AU426" i="26" s="1"/>
  <c r="AP126" i="26"/>
  <c r="AP425" i="26"/>
  <c r="AT425" i="26" s="1"/>
  <c r="AU425" i="26" s="1"/>
  <c r="AP424" i="26"/>
  <c r="AP420" i="26"/>
  <c r="AT420" i="26" s="1"/>
  <c r="AU420" i="26" s="1"/>
  <c r="H217" i="26" s="1"/>
  <c r="AP431" i="26"/>
  <c r="AT431" i="26" s="1"/>
  <c r="AU431" i="26" s="1"/>
  <c r="AP423" i="26"/>
  <c r="AT423" i="26" s="1"/>
  <c r="AU423" i="26" s="1"/>
  <c r="H226" i="26" s="1"/>
  <c r="AP432" i="26"/>
  <c r="H253" i="26" s="1"/>
  <c r="AP422" i="26"/>
  <c r="E224" i="26" s="1"/>
  <c r="H1139" i="23" s="1"/>
  <c r="AP430" i="26"/>
  <c r="H247" i="26" s="1"/>
  <c r="AP429" i="26"/>
  <c r="H244" i="26" s="1"/>
  <c r="AP421" i="26"/>
  <c r="AT421" i="26" s="1"/>
  <c r="AU421" i="26" s="1"/>
  <c r="H220" i="26" s="1"/>
  <c r="AP433" i="26"/>
  <c r="AT433" i="26" s="1"/>
  <c r="AU433" i="26" s="1"/>
  <c r="AP434" i="26"/>
  <c r="AT434" i="26" s="1"/>
  <c r="AU434" i="26" s="1"/>
  <c r="AP427" i="26"/>
  <c r="E239" i="26" s="1"/>
  <c r="E1154" i="23" s="1"/>
  <c r="DG152" i="26"/>
  <c r="X55" i="25" s="1"/>
  <c r="U55" i="25"/>
  <c r="U53" i="25"/>
  <c r="DG151" i="26"/>
  <c r="DD167" i="26"/>
  <c r="C53" i="26" s="1"/>
  <c r="C56" i="26"/>
  <c r="C52" i="26"/>
  <c r="I528" i="26"/>
  <c r="K165" i="14" s="1"/>
  <c r="R165" i="14" s="1"/>
  <c r="D34" i="35" s="1"/>
  <c r="E34" i="35" s="1"/>
  <c r="I527" i="26"/>
  <c r="K104" i="14"/>
  <c r="R104" i="14" s="1"/>
  <c r="K103" i="14"/>
  <c r="R103" i="14" s="1"/>
  <c r="E63" i="27" l="1"/>
  <c r="CB61" i="27" s="1"/>
  <c r="H512" i="26"/>
  <c r="V247" i="14"/>
  <c r="H502" i="26"/>
  <c r="S202" i="25"/>
  <c r="S171" i="25"/>
  <c r="H503" i="26"/>
  <c r="Q509" i="26"/>
  <c r="Q510" i="26" s="1"/>
  <c r="X247" i="14"/>
  <c r="H514" i="26"/>
  <c r="I85" i="26"/>
  <c r="E227" i="26"/>
  <c r="H1142" i="23" s="1"/>
  <c r="H235" i="26"/>
  <c r="H1150" i="23" s="1"/>
  <c r="AT430" i="26"/>
  <c r="AU430" i="26" s="1"/>
  <c r="AL430" i="26" s="1"/>
  <c r="H232" i="26"/>
  <c r="H1147" i="23" s="1"/>
  <c r="E233" i="26"/>
  <c r="E1148" i="23" s="1"/>
  <c r="AT422" i="26"/>
  <c r="AU422" i="26" s="1"/>
  <c r="BJ422" i="26" s="1"/>
  <c r="AT424" i="26"/>
  <c r="AU424" i="26" s="1"/>
  <c r="AL424" i="26" s="1"/>
  <c r="E245" i="26"/>
  <c r="E1160" i="23" s="1"/>
  <c r="E254" i="26"/>
  <c r="E1169" i="23" s="1"/>
  <c r="H238" i="26"/>
  <c r="H1153" i="23" s="1"/>
  <c r="AT427" i="26"/>
  <c r="AU427" i="26" s="1"/>
  <c r="BJ427" i="26" s="1"/>
  <c r="AT429" i="26"/>
  <c r="AU429" i="26" s="1"/>
  <c r="AL429" i="26" s="1"/>
  <c r="E242" i="26"/>
  <c r="E1157" i="23" s="1"/>
  <c r="E248" i="26"/>
  <c r="E1163" i="23" s="1"/>
  <c r="AT432" i="26"/>
  <c r="AU432" i="26" s="1"/>
  <c r="AL432" i="26" s="1"/>
  <c r="AT428" i="26"/>
  <c r="AU428" i="26" s="1"/>
  <c r="AL428" i="26" s="1"/>
  <c r="E230" i="26"/>
  <c r="H1145" i="23" s="1"/>
  <c r="E221" i="26"/>
  <c r="H1136" i="23" s="1"/>
  <c r="H256" i="26"/>
  <c r="I256" i="26" s="1"/>
  <c r="I1171" i="23" s="1"/>
  <c r="E218" i="26"/>
  <c r="H1133" i="23" s="1"/>
  <c r="E257" i="26"/>
  <c r="E1172" i="23" s="1"/>
  <c r="E260" i="26"/>
  <c r="E1175" i="23" s="1"/>
  <c r="E251" i="26"/>
  <c r="E1166" i="23" s="1"/>
  <c r="H250" i="26"/>
  <c r="F251" i="26" s="1"/>
  <c r="F1166" i="23" s="1"/>
  <c r="H259" i="26"/>
  <c r="I259" i="26" s="1"/>
  <c r="I529" i="26"/>
  <c r="K164" i="14"/>
  <c r="R164" i="14" s="1"/>
  <c r="D33" i="35" s="1"/>
  <c r="E33" i="35" s="1"/>
  <c r="X53" i="25"/>
  <c r="DG167" i="26"/>
  <c r="AO123" i="26" s="1"/>
  <c r="AM138" i="26"/>
  <c r="AO130" i="26"/>
  <c r="AR130" i="26"/>
  <c r="AM136" i="26"/>
  <c r="AQ130" i="26"/>
  <c r="AP129" i="26"/>
  <c r="AQ129" i="26"/>
  <c r="AM140" i="26"/>
  <c r="AP130" i="26"/>
  <c r="AM134" i="26"/>
  <c r="AO129" i="26"/>
  <c r="I534" i="26"/>
  <c r="W44" i="25" s="1"/>
  <c r="K524" i="26"/>
  <c r="I524" i="26" s="1"/>
  <c r="K249" i="14" s="1"/>
  <c r="R274" i="14" s="1"/>
  <c r="T85" i="20" s="1"/>
  <c r="C54" i="26"/>
  <c r="I525" i="26" s="1"/>
  <c r="AA174" i="26"/>
  <c r="AC174" i="26" s="1"/>
  <c r="AC175" i="26" s="1"/>
  <c r="W231" i="26"/>
  <c r="X231" i="26" s="1"/>
  <c r="F221" i="26"/>
  <c r="I1136" i="23" s="1"/>
  <c r="D220" i="26"/>
  <c r="D1135" i="23" s="1"/>
  <c r="H1135" i="23"/>
  <c r="I220" i="26"/>
  <c r="I1135" i="23" s="1"/>
  <c r="BJ434" i="26"/>
  <c r="AL434" i="26"/>
  <c r="H1159" i="23"/>
  <c r="F245" i="26"/>
  <c r="F1160" i="23" s="1"/>
  <c r="D244" i="26"/>
  <c r="D1159" i="23" s="1"/>
  <c r="I244" i="26"/>
  <c r="I1159" i="23" s="1"/>
  <c r="AL426" i="26"/>
  <c r="BJ426" i="26"/>
  <c r="AL425" i="26"/>
  <c r="BJ425" i="26"/>
  <c r="H1162" i="23"/>
  <c r="D247" i="26"/>
  <c r="D1162" i="23" s="1"/>
  <c r="F248" i="26"/>
  <c r="F1163" i="23" s="1"/>
  <c r="I247" i="26"/>
  <c r="I1162" i="23" s="1"/>
  <c r="AL433" i="26"/>
  <c r="BJ433" i="26"/>
  <c r="BJ420" i="26"/>
  <c r="AL420" i="26"/>
  <c r="AL421" i="26"/>
  <c r="BJ421" i="26"/>
  <c r="AL423" i="26"/>
  <c r="BJ423" i="26"/>
  <c r="H1141" i="23"/>
  <c r="I226" i="26"/>
  <c r="I1141" i="23" s="1"/>
  <c r="W233" i="26"/>
  <c r="X233" i="26" s="1"/>
  <c r="D226" i="26"/>
  <c r="D1141" i="23" s="1"/>
  <c r="F227" i="26"/>
  <c r="I1142" i="23" s="1"/>
  <c r="L21" i="24"/>
  <c r="Q107" i="14"/>
  <c r="AC107" i="14" s="1"/>
  <c r="AL431" i="26"/>
  <c r="BJ431" i="26"/>
  <c r="H1132" i="23"/>
  <c r="I217" i="26"/>
  <c r="I1132" i="23" s="1"/>
  <c r="D217" i="26"/>
  <c r="D1132" i="23" s="1"/>
  <c r="F218" i="26"/>
  <c r="I1133" i="23" s="1"/>
  <c r="W230" i="26"/>
  <c r="X230" i="26" s="1"/>
  <c r="H1168" i="23"/>
  <c r="D253" i="26"/>
  <c r="D1168" i="23" s="1"/>
  <c r="I253" i="26"/>
  <c r="I1168" i="23" s="1"/>
  <c r="F254" i="26"/>
  <c r="F1169" i="23" s="1"/>
  <c r="H1156" i="23"/>
  <c r="I241" i="26"/>
  <c r="I1156" i="23" s="1"/>
  <c r="D241" i="26"/>
  <c r="D1156" i="23" s="1"/>
  <c r="F242" i="26"/>
  <c r="F1157" i="23" s="1"/>
  <c r="AB85" i="20" l="1"/>
  <c r="AC85" i="20"/>
  <c r="AA85" i="20"/>
  <c r="AC75" i="20"/>
  <c r="AA75" i="20"/>
  <c r="AB75" i="20"/>
  <c r="BR61" i="27"/>
  <c r="FL61" i="27"/>
  <c r="HB61" i="27"/>
  <c r="GJ61" i="27"/>
  <c r="EJ61" i="27"/>
  <c r="GN61" i="27"/>
  <c r="BX61" i="27"/>
  <c r="HP61" i="27"/>
  <c r="HT61" i="27"/>
  <c r="HG61" i="27"/>
  <c r="GE61" i="27"/>
  <c r="HA61" i="27"/>
  <c r="CU61" i="27"/>
  <c r="GO61" i="27"/>
  <c r="T61" i="27"/>
  <c r="BW61" i="27"/>
  <c r="GZ61" i="27"/>
  <c r="GK61" i="27"/>
  <c r="FV61" i="27"/>
  <c r="BG61" i="27"/>
  <c r="GT61" i="27"/>
  <c r="FQ61" i="27"/>
  <c r="GC61" i="27"/>
  <c r="FS61" i="27"/>
  <c r="FU61" i="27"/>
  <c r="BY61" i="27"/>
  <c r="AZ61" i="27"/>
  <c r="HQ61" i="27"/>
  <c r="HI61" i="27"/>
  <c r="IE61" i="27"/>
  <c r="FT61" i="27"/>
  <c r="U61" i="27"/>
  <c r="V61" i="27"/>
  <c r="H61" i="27"/>
  <c r="CZ61" i="27"/>
  <c r="GA61" i="27"/>
  <c r="BK61" i="27"/>
  <c r="HO61" i="27"/>
  <c r="EI61" i="27"/>
  <c r="EC61" i="27"/>
  <c r="CK61" i="27"/>
  <c r="HS61" i="27"/>
  <c r="GR61" i="27"/>
  <c r="HX61" i="27"/>
  <c r="Z61" i="27"/>
  <c r="GG61" i="27"/>
  <c r="DM61" i="27"/>
  <c r="GM61" i="27"/>
  <c r="BV61" i="27"/>
  <c r="AO61" i="27"/>
  <c r="AS61" i="27"/>
  <c r="EF61" i="27"/>
  <c r="HN61" i="27"/>
  <c r="EE61" i="27"/>
  <c r="BC61" i="27"/>
  <c r="AG61" i="27"/>
  <c r="BL61" i="27"/>
  <c r="AW61" i="27"/>
  <c r="FM61" i="27"/>
  <c r="GB61" i="27"/>
  <c r="FZ61" i="27"/>
  <c r="HC61" i="27"/>
  <c r="FF61" i="27"/>
  <c r="AU61" i="27"/>
  <c r="DZ61" i="27"/>
  <c r="HZ61" i="27"/>
  <c r="DL61" i="27"/>
  <c r="FA61" i="27"/>
  <c r="IK61" i="27"/>
  <c r="FH61" i="27"/>
  <c r="GY61" i="27"/>
  <c r="AI61" i="27"/>
  <c r="EQ61" i="27"/>
  <c r="IA61" i="27"/>
  <c r="CJ61" i="27"/>
  <c r="DE61" i="27"/>
  <c r="EM61" i="27"/>
  <c r="BM61" i="27"/>
  <c r="GV61" i="27"/>
  <c r="BZ61" i="27"/>
  <c r="HL61" i="27"/>
  <c r="II61" i="27"/>
  <c r="EP61" i="27"/>
  <c r="HK61" i="27"/>
  <c r="CX61" i="27"/>
  <c r="ID61" i="27"/>
  <c r="Q61" i="27"/>
  <c r="DP61" i="27"/>
  <c r="CG61" i="27"/>
  <c r="FI61" i="27"/>
  <c r="FN61" i="27"/>
  <c r="ES61" i="27"/>
  <c r="AE61" i="27"/>
  <c r="IB61" i="27"/>
  <c r="W61" i="27"/>
  <c r="ED61" i="27"/>
  <c r="IG61" i="27"/>
  <c r="DU61" i="27"/>
  <c r="GH61" i="27"/>
  <c r="BD61" i="27"/>
  <c r="GP61" i="27"/>
  <c r="HY61" i="27"/>
  <c r="Y61" i="27"/>
  <c r="AC61" i="27"/>
  <c r="FR61" i="27"/>
  <c r="GI61" i="27"/>
  <c r="CW61" i="27"/>
  <c r="DV61" i="27"/>
  <c r="FC61" i="27"/>
  <c r="GD61" i="27"/>
  <c r="BT61" i="27"/>
  <c r="GU61" i="27"/>
  <c r="DW61" i="27"/>
  <c r="BH61" i="27"/>
  <c r="BJ61" i="27"/>
  <c r="DQ61" i="27"/>
  <c r="BO61" i="27"/>
  <c r="BP61" i="27"/>
  <c r="DG61" i="27"/>
  <c r="EW61" i="27"/>
  <c r="EZ61" i="27"/>
  <c r="EY61" i="27"/>
  <c r="O61" i="27"/>
  <c r="HF61" i="27"/>
  <c r="DS61" i="27"/>
  <c r="FK61" i="27"/>
  <c r="HU61" i="27"/>
  <c r="EA61" i="27"/>
  <c r="IJ61" i="27"/>
  <c r="AK61" i="27"/>
  <c r="DT61" i="27"/>
  <c r="DN61" i="27"/>
  <c r="FY61" i="27"/>
  <c r="HH61" i="27"/>
  <c r="IH61" i="27"/>
  <c r="EG61" i="27"/>
  <c r="CO61" i="27"/>
  <c r="M61" i="27"/>
  <c r="CE61" i="27"/>
  <c r="HR61" i="27"/>
  <c r="BN61" i="27"/>
  <c r="BF61" i="27"/>
  <c r="P61" i="27"/>
  <c r="CD61" i="27"/>
  <c r="K61" i="27"/>
  <c r="DB61" i="27"/>
  <c r="AV61" i="27"/>
  <c r="CH61" i="27"/>
  <c r="S61" i="27"/>
  <c r="HM61" i="27"/>
  <c r="GQ61" i="27"/>
  <c r="FE61" i="27"/>
  <c r="DX61" i="27"/>
  <c r="EN61" i="27"/>
  <c r="DH61" i="27"/>
  <c r="CQ61" i="27"/>
  <c r="HJ61" i="27"/>
  <c r="DF61" i="27"/>
  <c r="DJ61" i="27"/>
  <c r="FO61" i="27"/>
  <c r="CA61" i="27"/>
  <c r="ET61" i="27"/>
  <c r="GX61" i="27"/>
  <c r="AM61" i="27"/>
  <c r="R61" i="27"/>
  <c r="CY61" i="27"/>
  <c r="DO61" i="27"/>
  <c r="CI61" i="27"/>
  <c r="AX61" i="27"/>
  <c r="FB61" i="27"/>
  <c r="EU61" i="27"/>
  <c r="EH61" i="27"/>
  <c r="CN61" i="27"/>
  <c r="DA61" i="27"/>
  <c r="CC61" i="27"/>
  <c r="AP61" i="27"/>
  <c r="GS61" i="27"/>
  <c r="CV61" i="27"/>
  <c r="EK61" i="27"/>
  <c r="DK61" i="27"/>
  <c r="BI61" i="27"/>
  <c r="HW61" i="27"/>
  <c r="AQ61" i="27"/>
  <c r="DR61" i="27"/>
  <c r="N61" i="27"/>
  <c r="FJ61" i="27"/>
  <c r="CP61" i="27"/>
  <c r="AT61" i="27"/>
  <c r="BE61" i="27"/>
  <c r="DC61" i="27"/>
  <c r="AA61" i="27"/>
  <c r="L61" i="27"/>
  <c r="IC61" i="27"/>
  <c r="FW61" i="27"/>
  <c r="FP61" i="27"/>
  <c r="EO61" i="27"/>
  <c r="ER61" i="27"/>
  <c r="HE61" i="27"/>
  <c r="EV61" i="27"/>
  <c r="FX61" i="27"/>
  <c r="EX61" i="27"/>
  <c r="CL61" i="27"/>
  <c r="AD61" i="27"/>
  <c r="GW61" i="27"/>
  <c r="AR61" i="27"/>
  <c r="CM61" i="27"/>
  <c r="GF61" i="27"/>
  <c r="BB61" i="27"/>
  <c r="X61" i="27"/>
  <c r="BS61" i="27"/>
  <c r="FD61" i="27"/>
  <c r="CS61" i="27"/>
  <c r="DI61" i="27"/>
  <c r="DY61" i="27"/>
  <c r="BU61" i="27"/>
  <c r="GL61" i="27"/>
  <c r="IF61" i="27"/>
  <c r="AF61" i="27"/>
  <c r="AN61" i="27"/>
  <c r="EB61" i="27"/>
  <c r="I61" i="27"/>
  <c r="HV61" i="27"/>
  <c r="EL61" i="27"/>
  <c r="FG61" i="27"/>
  <c r="AY61" i="27"/>
  <c r="HD61" i="27"/>
  <c r="CR61" i="27"/>
  <c r="DD61" i="27"/>
  <c r="AH61" i="27"/>
  <c r="BQ61" i="27"/>
  <c r="CT61" i="27"/>
  <c r="BA61" i="27"/>
  <c r="J61" i="27"/>
  <c r="AB61" i="27"/>
  <c r="AL61" i="27"/>
  <c r="CF61" i="27"/>
  <c r="AJ61" i="27"/>
  <c r="R249" i="14"/>
  <c r="K250" i="14"/>
  <c r="R250" i="14" s="1"/>
  <c r="D38" i="35" s="1"/>
  <c r="E38" i="35" s="1"/>
  <c r="H31" i="19"/>
  <c r="K187" i="14"/>
  <c r="R31" i="19"/>
  <c r="Q31" i="19"/>
  <c r="H33" i="19"/>
  <c r="K189" i="14"/>
  <c r="R189" i="14" s="1"/>
  <c r="Q516" i="26"/>
  <c r="Q511" i="26"/>
  <c r="K242" i="14"/>
  <c r="R242" i="14" s="1"/>
  <c r="K240" i="14"/>
  <c r="R240" i="14" s="1"/>
  <c r="K241" i="14"/>
  <c r="R241" i="14" s="1"/>
  <c r="K239" i="14"/>
  <c r="R239" i="14" s="1"/>
  <c r="D52" i="27"/>
  <c r="D55" i="27" s="1"/>
  <c r="W168" i="25"/>
  <c r="H516" i="26"/>
  <c r="I516" i="26" s="1"/>
  <c r="W169" i="25"/>
  <c r="H511" i="26"/>
  <c r="I512" i="26"/>
  <c r="H229" i="26"/>
  <c r="R166" i="14"/>
  <c r="D35" i="35" s="1"/>
  <c r="E35" i="35" s="1"/>
  <c r="K161" i="14"/>
  <c r="R161" i="14" s="1"/>
  <c r="I235" i="26"/>
  <c r="I1150" i="23" s="1"/>
  <c r="BJ430" i="26"/>
  <c r="BI430" i="26" s="1"/>
  <c r="AL422" i="26"/>
  <c r="D235" i="26"/>
  <c r="D1150" i="23" s="1"/>
  <c r="F236" i="26"/>
  <c r="F1151" i="23" s="1"/>
  <c r="I232" i="26"/>
  <c r="I1147" i="23" s="1"/>
  <c r="D232" i="26"/>
  <c r="D1147" i="23" s="1"/>
  <c r="F233" i="26"/>
  <c r="F1148" i="23" s="1"/>
  <c r="H223" i="26"/>
  <c r="D223" i="26" s="1"/>
  <c r="D1138" i="23" s="1"/>
  <c r="F239" i="26"/>
  <c r="F1154" i="23" s="1"/>
  <c r="BJ429" i="26"/>
  <c r="BK429" i="26" s="1"/>
  <c r="BJ424" i="26"/>
  <c r="I238" i="26"/>
  <c r="I1153" i="23" s="1"/>
  <c r="D238" i="26"/>
  <c r="D1153" i="23" s="1"/>
  <c r="AL427" i="26"/>
  <c r="BJ432" i="26"/>
  <c r="BK432" i="26" s="1"/>
  <c r="BJ428" i="26"/>
  <c r="BI428" i="26" s="1"/>
  <c r="F257" i="26"/>
  <c r="F1172" i="23" s="1"/>
  <c r="H1165" i="23"/>
  <c r="I250" i="26"/>
  <c r="I1165" i="23" s="1"/>
  <c r="H1171" i="23"/>
  <c r="D256" i="26"/>
  <c r="D1171" i="23" s="1"/>
  <c r="D250" i="26"/>
  <c r="D1165" i="23" s="1"/>
  <c r="I514" i="26"/>
  <c r="G50" i="19"/>
  <c r="J50" i="19" s="1"/>
  <c r="D259" i="26"/>
  <c r="F260" i="26"/>
  <c r="F1175" i="23" s="1"/>
  <c r="AT123" i="26"/>
  <c r="I530" i="26"/>
  <c r="V145" i="14" s="1"/>
  <c r="H517" i="26"/>
  <c r="BI427" i="26"/>
  <c r="BK427" i="26"/>
  <c r="BI433" i="26"/>
  <c r="BK433" i="26"/>
  <c r="BK434" i="26"/>
  <c r="BI434" i="26"/>
  <c r="BK426" i="26"/>
  <c r="BI426" i="26"/>
  <c r="BL422" i="26"/>
  <c r="BI422" i="26"/>
  <c r="BK422" i="26"/>
  <c r="BI431" i="26"/>
  <c r="BK431" i="26"/>
  <c r="BK423" i="26"/>
  <c r="BI423" i="26"/>
  <c r="BL423" i="26"/>
  <c r="BI420" i="26"/>
  <c r="BK420" i="26"/>
  <c r="BL420" i="26"/>
  <c r="BL421" i="26"/>
  <c r="BK421" i="26"/>
  <c r="BI421" i="26"/>
  <c r="BK425" i="26"/>
  <c r="BI425" i="26"/>
  <c r="L29" i="24" l="1"/>
  <c r="D30" i="35"/>
  <c r="E30" i="35" s="1"/>
  <c r="AC265" i="14"/>
  <c r="R265" i="14"/>
  <c r="V252" i="14"/>
  <c r="E51" i="30"/>
  <c r="Q253" i="14"/>
  <c r="AC253" i="14" s="1"/>
  <c r="L22" i="24"/>
  <c r="R36" i="19"/>
  <c r="Q36" i="19"/>
  <c r="H505" i="26"/>
  <c r="R38" i="19"/>
  <c r="Q30" i="19"/>
  <c r="R35" i="19"/>
  <c r="R30" i="19"/>
  <c r="R34" i="19"/>
  <c r="Q38" i="19"/>
  <c r="Q35" i="19"/>
  <c r="Q34" i="19"/>
  <c r="Q512" i="26"/>
  <c r="Q515" i="26"/>
  <c r="P36" i="19" s="1"/>
  <c r="Q513" i="26"/>
  <c r="G49" i="19"/>
  <c r="J49" i="19" s="1"/>
  <c r="I511" i="26"/>
  <c r="D54" i="27"/>
  <c r="Q243" i="14"/>
  <c r="AC243" i="14" s="1"/>
  <c r="K558" i="26"/>
  <c r="K557" i="26"/>
  <c r="K556" i="26"/>
  <c r="G52" i="19"/>
  <c r="J52" i="19" s="1"/>
  <c r="F230" i="26"/>
  <c r="I1145" i="23" s="1"/>
  <c r="D229" i="26"/>
  <c r="D1144" i="23" s="1"/>
  <c r="H1144" i="23"/>
  <c r="I229" i="26"/>
  <c r="I1144" i="23" s="1"/>
  <c r="W234" i="26"/>
  <c r="X234" i="26" s="1"/>
  <c r="BI424" i="26"/>
  <c r="BL424" i="26"/>
  <c r="BK430" i="26"/>
  <c r="H1138" i="23"/>
  <c r="W232" i="26"/>
  <c r="X232" i="26" s="1"/>
  <c r="I223" i="26"/>
  <c r="I1138" i="23" s="1"/>
  <c r="F224" i="26"/>
  <c r="I1139" i="23" s="1"/>
  <c r="BI429" i="26"/>
  <c r="BI432" i="26"/>
  <c r="BK428" i="26"/>
  <c r="BK424" i="26"/>
  <c r="G51" i="19"/>
  <c r="J51" i="19" s="1"/>
  <c r="I517" i="26"/>
  <c r="I989" i="23"/>
  <c r="AR123" i="26"/>
  <c r="AR124" i="26" s="1"/>
  <c r="AR129" i="26" s="1"/>
  <c r="AL129" i="26" s="1"/>
  <c r="AL140" i="26" s="1"/>
  <c r="AL139" i="26" s="1"/>
  <c r="AL138" i="26" s="1"/>
  <c r="AL137" i="26" s="1"/>
  <c r="AL136" i="26" s="1"/>
  <c r="AL135" i="26" s="1"/>
  <c r="AL134" i="26" s="1"/>
  <c r="AL142" i="26" s="1"/>
  <c r="AM142" i="26" s="1"/>
  <c r="AA170" i="26"/>
  <c r="AO126" i="26"/>
  <c r="AR126" i="26" s="1"/>
  <c r="AA265" i="14" l="1"/>
  <c r="V234" i="14"/>
  <c r="C1017" i="23"/>
  <c r="O32" i="19"/>
  <c r="P32" i="19" s="1"/>
  <c r="P30" i="19"/>
  <c r="P33" i="19"/>
  <c r="P34" i="19"/>
  <c r="P35" i="19"/>
  <c r="P37" i="19"/>
  <c r="P38" i="19"/>
  <c r="P31" i="19"/>
  <c r="Q517" i="26"/>
  <c r="E54" i="27"/>
  <c r="G57" i="27"/>
  <c r="D56" i="27" s="1"/>
  <c r="D66" i="27" s="1"/>
  <c r="G76" i="27" s="1"/>
  <c r="Q518" i="26"/>
  <c r="H506" i="26" s="1"/>
  <c r="G63" i="27"/>
  <c r="G75" i="27"/>
  <c r="L26" i="24"/>
  <c r="G54" i="19"/>
  <c r="J54" i="19" s="1"/>
  <c r="X236" i="26"/>
  <c r="Y236" i="26" s="1"/>
  <c r="C229" i="26" s="1"/>
  <c r="C230" i="26" s="1"/>
  <c r="GB92" i="26"/>
  <c r="GB96" i="26" s="1"/>
  <c r="GC92" i="26"/>
  <c r="GC96" i="26" s="1"/>
  <c r="FZ92" i="26"/>
  <c r="FZ96" i="26" s="1"/>
  <c r="GA92" i="26"/>
  <c r="GA96" i="26" s="1"/>
  <c r="FY92" i="26"/>
  <c r="FY96" i="26" s="1"/>
  <c r="AQ278" i="26"/>
  <c r="AQ281" i="26"/>
  <c r="AQ286" i="26"/>
  <c r="AQ284" i="26"/>
  <c r="AQ279" i="26"/>
  <c r="AQ287" i="26"/>
  <c r="AQ285" i="26"/>
  <c r="AQ280" i="26"/>
  <c r="AQ282" i="26"/>
  <c r="AT282" i="26" s="1"/>
  <c r="AQ283" i="26"/>
  <c r="AQ277" i="26"/>
  <c r="AQ276" i="26"/>
  <c r="AQ275" i="26"/>
  <c r="AQ273" i="26"/>
  <c r="AT273" i="26" s="1"/>
  <c r="AQ274" i="26"/>
  <c r="FZ94" i="26"/>
  <c r="GA94" i="26"/>
  <c r="FY94" i="26"/>
  <c r="GB94" i="26"/>
  <c r="GC94" i="26"/>
  <c r="S155" i="26"/>
  <c r="E56" i="27" l="1"/>
  <c r="CI52" i="27" s="1"/>
  <c r="CI25" i="27" s="1"/>
  <c r="E66" i="27"/>
  <c r="G84" i="27"/>
  <c r="H501" i="26"/>
  <c r="H500" i="26"/>
  <c r="H507" i="26"/>
  <c r="H504" i="26"/>
  <c r="H499" i="26"/>
  <c r="G77" i="27"/>
  <c r="G232" i="27" s="1"/>
  <c r="C223" i="26"/>
  <c r="A223" i="26" s="1"/>
  <c r="C220" i="26"/>
  <c r="C221" i="26" s="1"/>
  <c r="C226" i="26"/>
  <c r="A226" i="26" s="1"/>
  <c r="A229" i="26"/>
  <c r="C217" i="26"/>
  <c r="A217" i="26" s="1"/>
  <c r="L187" i="26"/>
  <c r="AT280" i="26"/>
  <c r="AT276" i="26"/>
  <c r="L175" i="26"/>
  <c r="L190" i="26"/>
  <c r="AT281" i="26"/>
  <c r="AT284" i="26"/>
  <c r="L199" i="26"/>
  <c r="AT278" i="26"/>
  <c r="L181" i="26"/>
  <c r="L205" i="26"/>
  <c r="AT286" i="26"/>
  <c r="L166" i="26"/>
  <c r="L184" i="26"/>
  <c r="AT279" i="26"/>
  <c r="AT283" i="26"/>
  <c r="L196" i="26"/>
  <c r="AT275" i="26"/>
  <c r="L172" i="26"/>
  <c r="AT287" i="26"/>
  <c r="L208" i="26"/>
  <c r="L169" i="26"/>
  <c r="AT274" i="26"/>
  <c r="L202" i="26"/>
  <c r="AT285" i="26"/>
  <c r="BB282" i="26"/>
  <c r="J193" i="26" s="1"/>
  <c r="AU282" i="26"/>
  <c r="L178" i="26"/>
  <c r="AT277" i="26"/>
  <c r="V189" i="14" l="1"/>
  <c r="FC52" i="27"/>
  <c r="FC25" i="27" s="1"/>
  <c r="BG52" i="27"/>
  <c r="BG25" i="27" s="1"/>
  <c r="EM52" i="27"/>
  <c r="EM25" i="27" s="1"/>
  <c r="K186" i="14"/>
  <c r="CX52" i="27"/>
  <c r="CX25" i="27" s="1"/>
  <c r="Y52" i="27"/>
  <c r="Y25" i="27" s="1"/>
  <c r="BD52" i="27"/>
  <c r="BD25" i="27" s="1"/>
  <c r="CN52" i="27"/>
  <c r="CN25" i="27" s="1"/>
  <c r="EV52" i="27"/>
  <c r="EV25" i="27" s="1"/>
  <c r="AY52" i="27"/>
  <c r="AY25" i="27" s="1"/>
  <c r="DA52" i="27"/>
  <c r="DA25" i="27" s="1"/>
  <c r="DK52" i="27"/>
  <c r="DK25" i="27" s="1"/>
  <c r="EO52" i="27"/>
  <c r="EO25" i="27" s="1"/>
  <c r="CW52" i="27"/>
  <c r="CW25" i="27" s="1"/>
  <c r="M52" i="27"/>
  <c r="M25" i="27" s="1"/>
  <c r="DV52" i="27"/>
  <c r="DV25" i="27" s="1"/>
  <c r="FX52" i="27"/>
  <c r="FX25" i="27" s="1"/>
  <c r="CZ52" i="27"/>
  <c r="CZ25" i="27" s="1"/>
  <c r="GB52" i="27"/>
  <c r="GB25" i="27" s="1"/>
  <c r="EH52" i="27"/>
  <c r="EH25" i="27" s="1"/>
  <c r="CS52" i="27"/>
  <c r="CS25" i="27" s="1"/>
  <c r="GH52" i="27"/>
  <c r="GH25" i="27" s="1"/>
  <c r="CD52" i="27"/>
  <c r="CD25" i="27" s="1"/>
  <c r="FQ52" i="27"/>
  <c r="FQ25" i="27" s="1"/>
  <c r="CP52" i="27"/>
  <c r="CP25" i="27" s="1"/>
  <c r="CU52" i="27"/>
  <c r="CU25" i="27" s="1"/>
  <c r="FR52" i="27"/>
  <c r="FR25" i="27" s="1"/>
  <c r="HR52" i="27"/>
  <c r="HR25" i="27" s="1"/>
  <c r="AT52" i="27"/>
  <c r="AT25" i="27" s="1"/>
  <c r="BL52" i="27"/>
  <c r="BL25" i="27" s="1"/>
  <c r="DF52" i="27"/>
  <c r="DF25" i="27" s="1"/>
  <c r="ER52" i="27"/>
  <c r="ER25" i="27" s="1"/>
  <c r="EY52" i="27"/>
  <c r="EY25" i="27" s="1"/>
  <c r="AZ52" i="27"/>
  <c r="AZ25" i="27" s="1"/>
  <c r="DS52" i="27"/>
  <c r="DS25" i="27" s="1"/>
  <c r="AS52" i="27"/>
  <c r="AS25" i="27" s="1"/>
  <c r="DJ52" i="27"/>
  <c r="DJ25" i="27" s="1"/>
  <c r="DQ52" i="27"/>
  <c r="DQ25" i="27" s="1"/>
  <c r="AD52" i="27"/>
  <c r="AD25" i="27" s="1"/>
  <c r="AG52" i="27"/>
  <c r="AG25" i="27" s="1"/>
  <c r="FY52" i="27"/>
  <c r="FY25" i="27" s="1"/>
  <c r="BJ52" i="27"/>
  <c r="BJ25" i="27" s="1"/>
  <c r="O52" i="27"/>
  <c r="O25" i="27" s="1"/>
  <c r="HW52" i="27"/>
  <c r="HW25" i="27" s="1"/>
  <c r="EZ52" i="27"/>
  <c r="EZ25" i="27" s="1"/>
  <c r="BH52" i="27"/>
  <c r="BH25" i="27" s="1"/>
  <c r="HJ52" i="27"/>
  <c r="HJ25" i="27" s="1"/>
  <c r="Q52" i="27"/>
  <c r="Q25" i="27" s="1"/>
  <c r="GK52" i="27"/>
  <c r="GK25" i="27" s="1"/>
  <c r="GP52" i="27"/>
  <c r="GP25" i="27" s="1"/>
  <c r="FM52" i="27"/>
  <c r="FM25" i="27" s="1"/>
  <c r="HU52" i="27"/>
  <c r="HU25" i="27" s="1"/>
  <c r="IH52" i="27"/>
  <c r="IH25" i="27" s="1"/>
  <c r="V52" i="27"/>
  <c r="V25" i="27" s="1"/>
  <c r="BC52" i="27"/>
  <c r="BC25" i="27" s="1"/>
  <c r="CH52" i="27"/>
  <c r="CH25" i="27" s="1"/>
  <c r="EL52" i="27"/>
  <c r="EL25" i="27" s="1"/>
  <c r="AB52" i="27"/>
  <c r="AB25" i="27" s="1"/>
  <c r="AK52" i="27"/>
  <c r="AK25" i="27" s="1"/>
  <c r="IJ52" i="27"/>
  <c r="IJ25" i="27" s="1"/>
  <c r="DP52" i="27"/>
  <c r="DP25" i="27" s="1"/>
  <c r="FA52" i="27"/>
  <c r="FA25" i="27" s="1"/>
  <c r="FH52" i="27"/>
  <c r="FH25" i="27" s="1"/>
  <c r="HF52" i="27"/>
  <c r="HF25" i="27" s="1"/>
  <c r="HI52" i="27"/>
  <c r="HI25" i="27" s="1"/>
  <c r="EQ52" i="27"/>
  <c r="EQ25" i="27" s="1"/>
  <c r="AQ52" i="27"/>
  <c r="AQ25" i="27" s="1"/>
  <c r="CJ52" i="27"/>
  <c r="CJ25" i="27" s="1"/>
  <c r="DW52" i="27"/>
  <c r="DW25" i="27" s="1"/>
  <c r="DR52" i="27"/>
  <c r="DR25" i="27" s="1"/>
  <c r="AE52" i="27"/>
  <c r="AE25" i="27" s="1"/>
  <c r="AX52" i="27"/>
  <c r="AX25" i="27" s="1"/>
  <c r="GD52" i="27"/>
  <c r="GD25" i="27" s="1"/>
  <c r="FP52" i="27"/>
  <c r="FP25" i="27" s="1"/>
  <c r="ES52" i="27"/>
  <c r="ES25" i="27" s="1"/>
  <c r="CK52" i="27"/>
  <c r="CK25" i="27" s="1"/>
  <c r="EG52" i="27"/>
  <c r="EG25" i="27" s="1"/>
  <c r="BR52" i="27"/>
  <c r="BR25" i="27" s="1"/>
  <c r="DB52" i="27"/>
  <c r="DB25" i="27" s="1"/>
  <c r="CL52" i="27"/>
  <c r="CL25" i="27" s="1"/>
  <c r="HY52" i="27"/>
  <c r="HY25" i="27" s="1"/>
  <c r="GZ52" i="27"/>
  <c r="GZ25" i="27" s="1"/>
  <c r="DO52" i="27"/>
  <c r="DO25" i="27" s="1"/>
  <c r="FD52" i="27"/>
  <c r="FD25" i="27" s="1"/>
  <c r="BN52" i="27"/>
  <c r="BN25" i="27" s="1"/>
  <c r="EA52" i="27"/>
  <c r="EA25" i="27" s="1"/>
  <c r="GV52" i="27"/>
  <c r="GV25" i="27" s="1"/>
  <c r="CE52" i="27"/>
  <c r="CE25" i="27" s="1"/>
  <c r="HA52" i="27"/>
  <c r="HA25" i="27" s="1"/>
  <c r="BP52" i="27"/>
  <c r="BP25" i="27" s="1"/>
  <c r="GR52" i="27"/>
  <c r="GR25" i="27" s="1"/>
  <c r="T52" i="27"/>
  <c r="T25" i="27" s="1"/>
  <c r="FN52" i="27"/>
  <c r="FN25" i="27" s="1"/>
  <c r="GJ52" i="27"/>
  <c r="GJ25" i="27" s="1"/>
  <c r="FV52" i="27"/>
  <c r="FV25" i="27" s="1"/>
  <c r="BV52" i="27"/>
  <c r="BV25" i="27" s="1"/>
  <c r="BF52" i="27"/>
  <c r="BF25" i="27" s="1"/>
  <c r="AU52" i="27"/>
  <c r="AU25" i="27" s="1"/>
  <c r="N52" i="27"/>
  <c r="N25" i="27" s="1"/>
  <c r="FB52" i="27"/>
  <c r="FB25" i="27" s="1"/>
  <c r="CT52" i="27"/>
  <c r="CT25" i="27" s="1"/>
  <c r="AL52" i="27"/>
  <c r="AL25" i="27" s="1"/>
  <c r="GY52" i="27"/>
  <c r="GY25" i="27" s="1"/>
  <c r="CG52" i="27"/>
  <c r="CG25" i="27" s="1"/>
  <c r="IA52" i="27"/>
  <c r="IA25" i="27" s="1"/>
  <c r="AI52" i="27"/>
  <c r="AI25" i="27" s="1"/>
  <c r="AM52" i="27"/>
  <c r="AM25" i="27" s="1"/>
  <c r="EK52" i="27"/>
  <c r="EK25" i="27" s="1"/>
  <c r="AN52" i="27"/>
  <c r="AN25" i="27" s="1"/>
  <c r="FU52" i="27"/>
  <c r="FU25" i="27" s="1"/>
  <c r="F25" i="27"/>
  <c r="E25" i="27" s="1"/>
  <c r="FG52" i="27"/>
  <c r="FG25" i="27" s="1"/>
  <c r="HX52" i="27"/>
  <c r="HX25" i="27" s="1"/>
  <c r="BA52" i="27"/>
  <c r="BA25" i="27" s="1"/>
  <c r="GN52" i="27"/>
  <c r="GN25" i="27" s="1"/>
  <c r="EP52" i="27"/>
  <c r="EP25" i="27" s="1"/>
  <c r="HH52" i="27"/>
  <c r="HH25" i="27" s="1"/>
  <c r="EU52" i="27"/>
  <c r="EU25" i="27" s="1"/>
  <c r="HD52" i="27"/>
  <c r="HD25" i="27" s="1"/>
  <c r="EX52" i="27"/>
  <c r="EX25" i="27" s="1"/>
  <c r="FE52" i="27"/>
  <c r="FE25" i="27" s="1"/>
  <c r="GE52" i="27"/>
  <c r="GE25" i="27" s="1"/>
  <c r="FJ52" i="27"/>
  <c r="FJ25" i="27" s="1"/>
  <c r="IE52" i="27"/>
  <c r="IE25" i="27" s="1"/>
  <c r="GU52" i="27"/>
  <c r="GU25" i="27" s="1"/>
  <c r="GC52" i="27"/>
  <c r="GC25" i="27" s="1"/>
  <c r="AF52" i="27"/>
  <c r="AF25" i="27" s="1"/>
  <c r="DC52" i="27"/>
  <c r="DC25" i="27" s="1"/>
  <c r="EB52" i="27"/>
  <c r="EB25" i="27" s="1"/>
  <c r="CC52" i="27"/>
  <c r="CC25" i="27" s="1"/>
  <c r="DN52" i="27"/>
  <c r="DN25" i="27" s="1"/>
  <c r="DE52" i="27"/>
  <c r="DE25" i="27" s="1"/>
  <c r="AR52" i="27"/>
  <c r="AR25" i="27" s="1"/>
  <c r="IG52" i="27"/>
  <c r="IG25" i="27" s="1"/>
  <c r="BO52" i="27"/>
  <c r="BO25" i="27" s="1"/>
  <c r="FK52" i="27"/>
  <c r="FK25" i="27" s="1"/>
  <c r="HT52" i="27"/>
  <c r="HT25" i="27" s="1"/>
  <c r="FI52" i="27"/>
  <c r="FI25" i="27" s="1"/>
  <c r="EF52" i="27"/>
  <c r="EF25" i="27" s="1"/>
  <c r="GX52" i="27"/>
  <c r="GX25" i="27" s="1"/>
  <c r="BW52" i="27"/>
  <c r="BW25" i="27" s="1"/>
  <c r="BQ52" i="27"/>
  <c r="BQ25" i="27" s="1"/>
  <c r="IC52" i="27"/>
  <c r="IC25" i="27" s="1"/>
  <c r="AA52" i="27"/>
  <c r="AA25" i="27" s="1"/>
  <c r="FT52" i="27"/>
  <c r="FT25" i="27" s="1"/>
  <c r="X52" i="27"/>
  <c r="X25" i="27" s="1"/>
  <c r="BE52" i="27"/>
  <c r="BE25" i="27" s="1"/>
  <c r="AH52" i="27"/>
  <c r="AH25" i="27" s="1"/>
  <c r="IF52" i="27"/>
  <c r="IF25" i="27" s="1"/>
  <c r="GW52" i="27"/>
  <c r="GW25" i="27" s="1"/>
  <c r="EC52" i="27"/>
  <c r="EC25" i="27" s="1"/>
  <c r="HE52" i="27"/>
  <c r="HE25" i="27" s="1"/>
  <c r="GA52" i="27"/>
  <c r="GA25" i="27" s="1"/>
  <c r="DU52" i="27"/>
  <c r="DU25" i="27" s="1"/>
  <c r="FO52" i="27"/>
  <c r="FO25" i="27" s="1"/>
  <c r="II52" i="27"/>
  <c r="II25" i="27" s="1"/>
  <c r="FZ52" i="27"/>
  <c r="FZ25" i="27" s="1"/>
  <c r="HG52" i="27"/>
  <c r="HG25" i="27" s="1"/>
  <c r="HL52" i="27"/>
  <c r="HL25" i="27" s="1"/>
  <c r="L52" i="27"/>
  <c r="L25" i="27" s="1"/>
  <c r="CA52" i="27"/>
  <c r="CA25" i="27" s="1"/>
  <c r="W52" i="27"/>
  <c r="W25" i="27" s="1"/>
  <c r="BK52" i="27"/>
  <c r="BK25" i="27" s="1"/>
  <c r="FW52" i="27"/>
  <c r="FW25" i="27" s="1"/>
  <c r="DX52" i="27"/>
  <c r="DX25" i="27" s="1"/>
  <c r="DM52" i="27"/>
  <c r="DM25" i="27" s="1"/>
  <c r="CV52" i="27"/>
  <c r="CV25" i="27" s="1"/>
  <c r="CY52" i="27"/>
  <c r="CY25" i="27" s="1"/>
  <c r="IB52" i="27"/>
  <c r="IB25" i="27" s="1"/>
  <c r="BY52" i="27"/>
  <c r="BY25" i="27" s="1"/>
  <c r="AJ52" i="27"/>
  <c r="AJ25" i="27" s="1"/>
  <c r="I52" i="27"/>
  <c r="I25" i="27" s="1"/>
  <c r="AO52" i="27"/>
  <c r="AO25" i="27" s="1"/>
  <c r="EJ52" i="27"/>
  <c r="EJ25" i="27" s="1"/>
  <c r="GT52" i="27"/>
  <c r="GT25" i="27" s="1"/>
  <c r="HK52" i="27"/>
  <c r="HK25" i="27" s="1"/>
  <c r="DZ52" i="27"/>
  <c r="DZ25" i="27" s="1"/>
  <c r="CQ52" i="27"/>
  <c r="CQ25" i="27" s="1"/>
  <c r="BS52" i="27"/>
  <c r="BS25" i="27" s="1"/>
  <c r="CR52" i="27"/>
  <c r="CR25" i="27" s="1"/>
  <c r="Z52" i="27"/>
  <c r="Z25" i="27" s="1"/>
  <c r="R52" i="27"/>
  <c r="R25" i="27" s="1"/>
  <c r="CF52" i="27"/>
  <c r="CF25" i="27" s="1"/>
  <c r="GM52" i="27"/>
  <c r="GM25" i="27" s="1"/>
  <c r="IK52" i="27"/>
  <c r="IK25" i="27" s="1"/>
  <c r="DY52" i="27"/>
  <c r="DY25" i="27" s="1"/>
  <c r="H52" i="27"/>
  <c r="H25" i="27" s="1"/>
  <c r="AW52" i="27"/>
  <c r="AW25" i="27" s="1"/>
  <c r="GF52" i="27"/>
  <c r="GF25" i="27" s="1"/>
  <c r="HC52" i="27"/>
  <c r="HC25" i="27" s="1"/>
  <c r="J52" i="27"/>
  <c r="J25" i="27" s="1"/>
  <c r="DL52" i="27"/>
  <c r="DL25" i="27" s="1"/>
  <c r="CO52" i="27"/>
  <c r="CO25" i="27" s="1"/>
  <c r="EN52" i="27"/>
  <c r="EN25" i="27" s="1"/>
  <c r="S52" i="27"/>
  <c r="S25" i="27" s="1"/>
  <c r="BZ52" i="27"/>
  <c r="BZ25" i="27" s="1"/>
  <c r="CM52" i="27"/>
  <c r="CM25" i="27" s="1"/>
  <c r="DH52" i="27"/>
  <c r="DH25" i="27" s="1"/>
  <c r="K52" i="27"/>
  <c r="K25" i="27" s="1"/>
  <c r="DG52" i="27"/>
  <c r="DG25" i="27" s="1"/>
  <c r="EW52" i="27"/>
  <c r="EW25" i="27" s="1"/>
  <c r="HB52" i="27"/>
  <c r="HB25" i="27" s="1"/>
  <c r="BB52" i="27"/>
  <c r="BB25" i="27" s="1"/>
  <c r="GG52" i="27"/>
  <c r="GG25" i="27" s="1"/>
  <c r="DI52" i="27"/>
  <c r="DI25" i="27" s="1"/>
  <c r="HM52" i="27"/>
  <c r="HM25" i="27" s="1"/>
  <c r="HV52" i="27"/>
  <c r="HV25" i="27" s="1"/>
  <c r="DD52" i="27"/>
  <c r="DD25" i="27" s="1"/>
  <c r="P52" i="27"/>
  <c r="P25" i="27" s="1"/>
  <c r="BU52" i="27"/>
  <c r="BU25" i="27" s="1"/>
  <c r="BM52" i="27"/>
  <c r="BM25" i="27" s="1"/>
  <c r="AC52" i="27"/>
  <c r="AC25" i="27" s="1"/>
  <c r="HN52" i="27"/>
  <c r="HN25" i="27" s="1"/>
  <c r="FS52" i="27"/>
  <c r="FS25" i="27" s="1"/>
  <c r="AV52" i="27"/>
  <c r="AV25" i="27" s="1"/>
  <c r="CB52" i="27"/>
  <c r="CB25" i="27" s="1"/>
  <c r="DT52" i="27"/>
  <c r="DT25" i="27" s="1"/>
  <c r="U52" i="27"/>
  <c r="U25" i="27" s="1"/>
  <c r="GS52" i="27"/>
  <c r="GS25" i="27" s="1"/>
  <c r="AP52" i="27"/>
  <c r="AP25" i="27" s="1"/>
  <c r="ED52" i="27"/>
  <c r="ED25" i="27" s="1"/>
  <c r="EE52" i="27"/>
  <c r="EE25" i="27" s="1"/>
  <c r="BI52" i="27"/>
  <c r="BI25" i="27" s="1"/>
  <c r="HO52" i="27"/>
  <c r="HO25" i="27" s="1"/>
  <c r="HZ52" i="27"/>
  <c r="HZ25" i="27" s="1"/>
  <c r="BT52" i="27"/>
  <c r="BT25" i="27" s="1"/>
  <c r="GO52" i="27"/>
  <c r="GO25" i="27" s="1"/>
  <c r="ID52" i="27"/>
  <c r="ID25" i="27" s="1"/>
  <c r="HQ52" i="27"/>
  <c r="HQ25" i="27" s="1"/>
  <c r="ET52" i="27"/>
  <c r="ET25" i="27" s="1"/>
  <c r="FL52" i="27"/>
  <c r="FL25" i="27" s="1"/>
  <c r="FF52" i="27"/>
  <c r="FF25" i="27" s="1"/>
  <c r="GL52" i="27"/>
  <c r="GL25" i="27" s="1"/>
  <c r="BX52" i="27"/>
  <c r="BX25" i="27" s="1"/>
  <c r="HP52" i="27"/>
  <c r="HP25" i="27" s="1"/>
  <c r="EI52" i="27"/>
  <c r="EI25" i="27" s="1"/>
  <c r="GI52" i="27"/>
  <c r="GI25" i="27" s="1"/>
  <c r="HS52" i="27"/>
  <c r="HS25" i="27" s="1"/>
  <c r="GQ52" i="27"/>
  <c r="GQ25" i="27" s="1"/>
  <c r="H38" i="19"/>
  <c r="K194" i="14"/>
  <c r="R194" i="14" s="1"/>
  <c r="H36" i="19"/>
  <c r="K192" i="14"/>
  <c r="H35" i="19"/>
  <c r="K191" i="14"/>
  <c r="R191" i="14" s="1"/>
  <c r="K553" i="26"/>
  <c r="K551" i="26"/>
  <c r="K552" i="26"/>
  <c r="K550" i="26"/>
  <c r="K548" i="26"/>
  <c r="K549" i="26"/>
  <c r="K546" i="26"/>
  <c r="K547" i="26"/>
  <c r="K544" i="26"/>
  <c r="K545" i="26"/>
  <c r="K543" i="26"/>
  <c r="K541" i="26"/>
  <c r="K542" i="26"/>
  <c r="H30" i="19"/>
  <c r="G148" i="27"/>
  <c r="G316" i="27"/>
  <c r="G64" i="27"/>
  <c r="D64" i="27" s="1"/>
  <c r="F27" i="27" s="1"/>
  <c r="Q71" i="14"/>
  <c r="AC71" i="14" s="1"/>
  <c r="A220" i="26"/>
  <c r="C227" i="26"/>
  <c r="C218" i="26"/>
  <c r="C224" i="26"/>
  <c r="BB286" i="26"/>
  <c r="J205" i="26" s="1"/>
  <c r="AU286" i="26"/>
  <c r="AU281" i="26"/>
  <c r="BB281" i="26"/>
  <c r="J190" i="26" s="1"/>
  <c r="AU284" i="26"/>
  <c r="BB284" i="26"/>
  <c r="J199" i="26" s="1"/>
  <c r="AU275" i="26"/>
  <c r="BB275" i="26"/>
  <c r="J172" i="26" s="1"/>
  <c r="BB273" i="26"/>
  <c r="J166" i="26" s="1"/>
  <c r="AU273" i="26"/>
  <c r="AU277" i="26"/>
  <c r="H178" i="26" s="1"/>
  <c r="BB277" i="26"/>
  <c r="J178" i="26" s="1"/>
  <c r="BB283" i="26"/>
  <c r="J196" i="26" s="1"/>
  <c r="AU283" i="26"/>
  <c r="BB276" i="26"/>
  <c r="J175" i="26" s="1"/>
  <c r="AU276" i="26"/>
  <c r="BB285" i="26"/>
  <c r="J202" i="26" s="1"/>
  <c r="AU285" i="26"/>
  <c r="AU274" i="26"/>
  <c r="BB274" i="26"/>
  <c r="J169" i="26" s="1"/>
  <c r="BB279" i="26"/>
  <c r="J184" i="26" s="1"/>
  <c r="AU279" i="26"/>
  <c r="BB280" i="26"/>
  <c r="J187" i="26" s="1"/>
  <c r="AU280" i="26"/>
  <c r="AU287" i="26"/>
  <c r="BB287" i="26"/>
  <c r="J208" i="26" s="1"/>
  <c r="AL282" i="26"/>
  <c r="BJ282" i="26"/>
  <c r="AU278" i="26"/>
  <c r="BB278" i="26"/>
  <c r="J181" i="26" s="1"/>
  <c r="V225" i="14" l="1"/>
  <c r="R186" i="14"/>
  <c r="C25" i="27"/>
  <c r="G25" i="27"/>
  <c r="D26" i="27"/>
  <c r="D25" i="27"/>
  <c r="C26" i="27"/>
  <c r="B25" i="27"/>
  <c r="A26" i="27" s="1"/>
  <c r="D67" i="27"/>
  <c r="G68" i="27" s="1"/>
  <c r="E67" i="27"/>
  <c r="G135" i="27" s="1"/>
  <c r="B159" i="26"/>
  <c r="B158" i="26" s="1"/>
  <c r="D71" i="14" s="1"/>
  <c r="A7" i="35" s="1"/>
  <c r="H1093" i="23"/>
  <c r="W183" i="26"/>
  <c r="X183" i="26" s="1"/>
  <c r="D178" i="26"/>
  <c r="D1093" i="23" s="1"/>
  <c r="E1094" i="23" s="1"/>
  <c r="D1145" i="23" s="1"/>
  <c r="I178" i="26"/>
  <c r="I1093" i="23" s="1"/>
  <c r="F179" i="26"/>
  <c r="AL279" i="26"/>
  <c r="BJ279" i="26"/>
  <c r="BJ283" i="26"/>
  <c r="AL283" i="26"/>
  <c r="AL275" i="26"/>
  <c r="BJ275" i="26"/>
  <c r="H172" i="26"/>
  <c r="BI282" i="26"/>
  <c r="BK282" i="26"/>
  <c r="BJ274" i="26"/>
  <c r="AL274" i="26"/>
  <c r="H169" i="26"/>
  <c r="AL277" i="26"/>
  <c r="BJ277" i="26"/>
  <c r="BL277" i="26" s="1"/>
  <c r="AL284" i="26"/>
  <c r="BJ284" i="26"/>
  <c r="BJ278" i="26"/>
  <c r="AL278" i="26"/>
  <c r="AL285" i="26"/>
  <c r="BJ285" i="26"/>
  <c r="H166" i="26"/>
  <c r="W179" i="26" s="1"/>
  <c r="X179" i="26" s="1"/>
  <c r="AL273" i="26"/>
  <c r="BJ273" i="26"/>
  <c r="AL287" i="26"/>
  <c r="BJ287" i="26"/>
  <c r="AL281" i="26"/>
  <c r="BJ281" i="26"/>
  <c r="AL280" i="26"/>
  <c r="BJ280" i="26"/>
  <c r="AL276" i="26"/>
  <c r="H175" i="26"/>
  <c r="BJ276" i="26"/>
  <c r="AL286" i="26"/>
  <c r="BJ286" i="26"/>
  <c r="E27" i="27"/>
  <c r="C27" i="27"/>
  <c r="C28" i="27"/>
  <c r="D28" i="27"/>
  <c r="D27" i="27"/>
  <c r="G27" i="27"/>
  <c r="B27" i="27"/>
  <c r="E26" i="27"/>
  <c r="B29" i="27" l="1"/>
  <c r="A30" i="27" s="1"/>
  <c r="A25" i="27"/>
  <c r="IA64" i="27"/>
  <c r="IA27" i="27" s="1"/>
  <c r="FS64" i="27"/>
  <c r="FS27" i="27" s="1"/>
  <c r="P64" i="27"/>
  <c r="P27" i="27" s="1"/>
  <c r="CL64" i="27"/>
  <c r="CL27" i="27" s="1"/>
  <c r="N64" i="27"/>
  <c r="N27" i="27" s="1"/>
  <c r="BJ64" i="27"/>
  <c r="BJ27" i="27" s="1"/>
  <c r="FI64" i="27"/>
  <c r="FI27" i="27" s="1"/>
  <c r="HT64" i="27"/>
  <c r="HT27" i="27" s="1"/>
  <c r="EC64" i="27"/>
  <c r="EC27" i="27" s="1"/>
  <c r="CO64" i="27"/>
  <c r="CO27" i="27" s="1"/>
  <c r="GC64" i="27"/>
  <c r="GC27" i="27" s="1"/>
  <c r="GE64" i="27"/>
  <c r="GE27" i="27" s="1"/>
  <c r="DA64" i="27"/>
  <c r="DA27" i="27" s="1"/>
  <c r="CS64" i="27"/>
  <c r="CS27" i="27" s="1"/>
  <c r="HN64" i="27"/>
  <c r="HN27" i="27" s="1"/>
  <c r="GG64" i="27"/>
  <c r="GG27" i="27" s="1"/>
  <c r="GN64" i="27"/>
  <c r="GN27" i="27" s="1"/>
  <c r="FW64" i="27"/>
  <c r="FW27" i="27" s="1"/>
  <c r="CR64" i="27"/>
  <c r="CR27" i="27" s="1"/>
  <c r="AV64" i="27"/>
  <c r="AV27" i="27" s="1"/>
  <c r="AB64" i="27"/>
  <c r="AB27" i="27" s="1"/>
  <c r="AC64" i="27"/>
  <c r="AC27" i="27" s="1"/>
  <c r="BR64" i="27"/>
  <c r="BR27" i="27" s="1"/>
  <c r="DI64" i="27"/>
  <c r="DI27" i="27" s="1"/>
  <c r="FA64" i="27"/>
  <c r="FA27" i="27" s="1"/>
  <c r="CB64" i="27"/>
  <c r="CB27" i="27" s="1"/>
  <c r="ER64" i="27"/>
  <c r="ER27" i="27" s="1"/>
  <c r="CN64" i="27"/>
  <c r="CN27" i="27" s="1"/>
  <c r="HI64" i="27"/>
  <c r="HI27" i="27" s="1"/>
  <c r="FV64" i="27"/>
  <c r="FV27" i="27" s="1"/>
  <c r="DE64" i="27"/>
  <c r="DE27" i="27" s="1"/>
  <c r="EM64" i="27"/>
  <c r="EM27" i="27" s="1"/>
  <c r="W64" i="27"/>
  <c r="W27" i="27" s="1"/>
  <c r="Z64" i="27"/>
  <c r="Z27" i="27" s="1"/>
  <c r="CM64" i="27"/>
  <c r="CM27" i="27" s="1"/>
  <c r="EF64" i="27"/>
  <c r="EF27" i="27" s="1"/>
  <c r="EI64" i="27"/>
  <c r="EI27" i="27" s="1"/>
  <c r="DP64" i="27"/>
  <c r="DP27" i="27" s="1"/>
  <c r="CP64" i="27"/>
  <c r="CP27" i="27" s="1"/>
  <c r="EN64" i="27"/>
  <c r="EN27" i="27" s="1"/>
  <c r="HU64" i="27"/>
  <c r="HU27" i="27" s="1"/>
  <c r="U64" i="27"/>
  <c r="U27" i="27" s="1"/>
  <c r="BE64" i="27"/>
  <c r="BE27" i="27" s="1"/>
  <c r="HE64" i="27"/>
  <c r="HE27" i="27" s="1"/>
  <c r="CI64" i="27"/>
  <c r="CI27" i="27" s="1"/>
  <c r="DZ64" i="27"/>
  <c r="DZ27" i="27" s="1"/>
  <c r="DH64" i="27"/>
  <c r="DH27" i="27" s="1"/>
  <c r="CA64" i="27"/>
  <c r="CA27" i="27" s="1"/>
  <c r="BH64" i="27"/>
  <c r="BH27" i="27" s="1"/>
  <c r="GD64" i="27"/>
  <c r="GD27" i="27" s="1"/>
  <c r="GL64" i="27"/>
  <c r="GL27" i="27" s="1"/>
  <c r="AM64" i="27"/>
  <c r="AM27" i="27" s="1"/>
  <c r="BV64" i="27"/>
  <c r="BV27" i="27" s="1"/>
  <c r="BU64" i="27"/>
  <c r="BU27" i="27" s="1"/>
  <c r="GP64" i="27"/>
  <c r="GP27" i="27" s="1"/>
  <c r="IH64" i="27"/>
  <c r="IH27" i="27" s="1"/>
  <c r="AH64" i="27"/>
  <c r="AH27" i="27" s="1"/>
  <c r="AI64" i="27"/>
  <c r="AI27" i="27" s="1"/>
  <c r="FF64" i="27"/>
  <c r="FF27" i="27" s="1"/>
  <c r="IK64" i="27"/>
  <c r="IK27" i="27" s="1"/>
  <c r="DR64" i="27"/>
  <c r="DR27" i="27" s="1"/>
  <c r="DY64" i="27"/>
  <c r="DY27" i="27" s="1"/>
  <c r="HO64" i="27"/>
  <c r="HO27" i="27" s="1"/>
  <c r="IE64" i="27"/>
  <c r="IE27" i="27" s="1"/>
  <c r="CW64" i="27"/>
  <c r="CW27" i="27" s="1"/>
  <c r="HP64" i="27"/>
  <c r="HP27" i="27" s="1"/>
  <c r="DM64" i="27"/>
  <c r="DM27" i="27" s="1"/>
  <c r="J64" i="27"/>
  <c r="J27" i="27" s="1"/>
  <c r="T64" i="27"/>
  <c r="T27" i="27" s="1"/>
  <c r="FT64" i="27"/>
  <c r="FT27" i="27" s="1"/>
  <c r="BX64" i="27"/>
  <c r="BX27" i="27" s="1"/>
  <c r="GQ64" i="27"/>
  <c r="GQ27" i="27" s="1"/>
  <c r="EO64" i="27"/>
  <c r="EO27" i="27" s="1"/>
  <c r="HD64" i="27"/>
  <c r="HD27" i="27" s="1"/>
  <c r="M64" i="27"/>
  <c r="M27" i="27" s="1"/>
  <c r="EB64" i="27"/>
  <c r="EB27" i="27" s="1"/>
  <c r="EV64" i="27"/>
  <c r="EV27" i="27" s="1"/>
  <c r="CY64" i="27"/>
  <c r="CY27" i="27" s="1"/>
  <c r="AD64" i="27"/>
  <c r="AD27" i="27" s="1"/>
  <c r="BB64" i="27"/>
  <c r="BB27" i="27" s="1"/>
  <c r="AL64" i="27"/>
  <c r="AL27" i="27" s="1"/>
  <c r="AU64" i="27"/>
  <c r="AU27" i="27" s="1"/>
  <c r="V64" i="27"/>
  <c r="V27" i="27" s="1"/>
  <c r="HG64" i="27"/>
  <c r="HG27" i="27" s="1"/>
  <c r="AO64" i="27"/>
  <c r="AO27" i="27" s="1"/>
  <c r="AQ64" i="27"/>
  <c r="AQ27" i="27" s="1"/>
  <c r="ED64" i="27"/>
  <c r="ED27" i="27" s="1"/>
  <c r="AT64" i="27"/>
  <c r="AT27" i="27" s="1"/>
  <c r="AF64" i="27"/>
  <c r="AF27" i="27" s="1"/>
  <c r="CT64" i="27"/>
  <c r="CT27" i="27" s="1"/>
  <c r="AG64" i="27"/>
  <c r="AG27" i="27" s="1"/>
  <c r="GB64" i="27"/>
  <c r="GB27" i="27" s="1"/>
  <c r="EL64" i="27"/>
  <c r="EL27" i="27" s="1"/>
  <c r="CC64" i="27"/>
  <c r="CC27" i="27" s="1"/>
  <c r="FC64" i="27"/>
  <c r="FC27" i="27" s="1"/>
  <c r="ET64" i="27"/>
  <c r="ET27" i="27" s="1"/>
  <c r="BD64" i="27"/>
  <c r="BD27" i="27" s="1"/>
  <c r="CK64" i="27"/>
  <c r="CK27" i="27" s="1"/>
  <c r="HJ64" i="27"/>
  <c r="HJ27" i="27" s="1"/>
  <c r="HC64" i="27"/>
  <c r="HC27" i="27" s="1"/>
  <c r="GH64" i="27"/>
  <c r="GH27" i="27" s="1"/>
  <c r="K64" i="27"/>
  <c r="K27" i="27" s="1"/>
  <c r="CU64" i="27"/>
  <c r="CU27" i="27" s="1"/>
  <c r="FY64" i="27"/>
  <c r="FY27" i="27" s="1"/>
  <c r="AY64" i="27"/>
  <c r="AY27" i="27" s="1"/>
  <c r="L64" i="27"/>
  <c r="L27" i="27" s="1"/>
  <c r="FD64" i="27"/>
  <c r="FD27" i="27" s="1"/>
  <c r="CZ64" i="27"/>
  <c r="CZ27" i="27" s="1"/>
  <c r="HR64" i="27"/>
  <c r="HR27" i="27" s="1"/>
  <c r="FB64" i="27"/>
  <c r="FB27" i="27" s="1"/>
  <c r="CQ64" i="27"/>
  <c r="CQ27" i="27" s="1"/>
  <c r="I64" i="27"/>
  <c r="I27" i="27" s="1"/>
  <c r="AS64" i="27"/>
  <c r="AS27" i="27" s="1"/>
  <c r="FO64" i="27"/>
  <c r="FO27" i="27" s="1"/>
  <c r="IF64" i="27"/>
  <c r="IF27" i="27" s="1"/>
  <c r="DQ64" i="27"/>
  <c r="DQ27" i="27" s="1"/>
  <c r="DD64" i="27"/>
  <c r="DD27" i="27" s="1"/>
  <c r="GV64" i="27"/>
  <c r="GV27" i="27" s="1"/>
  <c r="DN64" i="27"/>
  <c r="DN27" i="27" s="1"/>
  <c r="FG64" i="27"/>
  <c r="FG27" i="27" s="1"/>
  <c r="IG64" i="27"/>
  <c r="IG27" i="27" s="1"/>
  <c r="BF64" i="27"/>
  <c r="BF27" i="27" s="1"/>
  <c r="BS64" i="27"/>
  <c r="BS27" i="27" s="1"/>
  <c r="EG64" i="27"/>
  <c r="EG27" i="27" s="1"/>
  <c r="GW64" i="27"/>
  <c r="GW27" i="27" s="1"/>
  <c r="HW64" i="27"/>
  <c r="HW27" i="27" s="1"/>
  <c r="Y64" i="27"/>
  <c r="Y27" i="27" s="1"/>
  <c r="DT64" i="27"/>
  <c r="DT27" i="27" s="1"/>
  <c r="HK64" i="27"/>
  <c r="HK27" i="27" s="1"/>
  <c r="GF64" i="27"/>
  <c r="GF27" i="27" s="1"/>
  <c r="BN64" i="27"/>
  <c r="BN27" i="27" s="1"/>
  <c r="CG64" i="27"/>
  <c r="CG27" i="27" s="1"/>
  <c r="FX64" i="27"/>
  <c r="FX27" i="27" s="1"/>
  <c r="BM64" i="27"/>
  <c r="BM27" i="27" s="1"/>
  <c r="BI64" i="27"/>
  <c r="BI27" i="27" s="1"/>
  <c r="IC64" i="27"/>
  <c r="IC27" i="27" s="1"/>
  <c r="EX64" i="27"/>
  <c r="EX27" i="27" s="1"/>
  <c r="BZ64" i="27"/>
  <c r="BZ27" i="27" s="1"/>
  <c r="FE64" i="27"/>
  <c r="FE27" i="27" s="1"/>
  <c r="HH64" i="27"/>
  <c r="HH27" i="27" s="1"/>
  <c r="DC64" i="27"/>
  <c r="DC27" i="27" s="1"/>
  <c r="DL64" i="27"/>
  <c r="DL27" i="27" s="1"/>
  <c r="BL64" i="27"/>
  <c r="BL27" i="27" s="1"/>
  <c r="HB64" i="27"/>
  <c r="HB27" i="27" s="1"/>
  <c r="BO64" i="27"/>
  <c r="BO27" i="27" s="1"/>
  <c r="AX64" i="27"/>
  <c r="AX27" i="27" s="1"/>
  <c r="EE64" i="27"/>
  <c r="EE27" i="27" s="1"/>
  <c r="EZ64" i="27"/>
  <c r="EZ27" i="27" s="1"/>
  <c r="ID64" i="27"/>
  <c r="ID27" i="27" s="1"/>
  <c r="AZ64" i="27"/>
  <c r="AZ27" i="27" s="1"/>
  <c r="FN64" i="27"/>
  <c r="FN27" i="27" s="1"/>
  <c r="AE64" i="27"/>
  <c r="AE27" i="27" s="1"/>
  <c r="GX64" i="27"/>
  <c r="GX27" i="27" s="1"/>
  <c r="BC64" i="27"/>
  <c r="BC27" i="27" s="1"/>
  <c r="EQ64" i="27"/>
  <c r="EQ27" i="27" s="1"/>
  <c r="GM64" i="27"/>
  <c r="GM27" i="27" s="1"/>
  <c r="AA64" i="27"/>
  <c r="AA27" i="27" s="1"/>
  <c r="BT64" i="27"/>
  <c r="BT27" i="27" s="1"/>
  <c r="CD64" i="27"/>
  <c r="CD27" i="27" s="1"/>
  <c r="IJ64" i="27"/>
  <c r="IJ27" i="27" s="1"/>
  <c r="DK64" i="27"/>
  <c r="DK27" i="27" s="1"/>
  <c r="CJ64" i="27"/>
  <c r="CJ27" i="27" s="1"/>
  <c r="FL64" i="27"/>
  <c r="FL27" i="27" s="1"/>
  <c r="H64" i="27"/>
  <c r="H27" i="27" s="1"/>
  <c r="R64" i="27"/>
  <c r="R27" i="27" s="1"/>
  <c r="IB64" i="27"/>
  <c r="IB27" i="27" s="1"/>
  <c r="GS64" i="27"/>
  <c r="GS27" i="27" s="1"/>
  <c r="BW64" i="27"/>
  <c r="BW27" i="27" s="1"/>
  <c r="DV64" i="27"/>
  <c r="DV27" i="27" s="1"/>
  <c r="DU64" i="27"/>
  <c r="DU27" i="27" s="1"/>
  <c r="HF64" i="27"/>
  <c r="HF27" i="27" s="1"/>
  <c r="GU64" i="27"/>
  <c r="GU27" i="27" s="1"/>
  <c r="EY64" i="27"/>
  <c r="EY27" i="27" s="1"/>
  <c r="FH64" i="27"/>
  <c r="FH27" i="27" s="1"/>
  <c r="GR64" i="27"/>
  <c r="GR27" i="27" s="1"/>
  <c r="AW64" i="27"/>
  <c r="AW27" i="27" s="1"/>
  <c r="BK64" i="27"/>
  <c r="BK27" i="27" s="1"/>
  <c r="CF64" i="27"/>
  <c r="CF27" i="27" s="1"/>
  <c r="GJ64" i="27"/>
  <c r="GJ27" i="27" s="1"/>
  <c r="CE64" i="27"/>
  <c r="CE27" i="27" s="1"/>
  <c r="DJ64" i="27"/>
  <c r="DJ27" i="27" s="1"/>
  <c r="GA64" i="27"/>
  <c r="GA27" i="27" s="1"/>
  <c r="II64" i="27"/>
  <c r="II27" i="27" s="1"/>
  <c r="GO64" i="27"/>
  <c r="GO27" i="27" s="1"/>
  <c r="CV64" i="27"/>
  <c r="CV27" i="27" s="1"/>
  <c r="Q64" i="27"/>
  <c r="Q27" i="27" s="1"/>
  <c r="HY64" i="27"/>
  <c r="HY27" i="27" s="1"/>
  <c r="HL64" i="27"/>
  <c r="HL27" i="27" s="1"/>
  <c r="X64" i="27"/>
  <c r="X27" i="27" s="1"/>
  <c r="EJ64" i="27"/>
  <c r="EJ27" i="27" s="1"/>
  <c r="HZ64" i="27"/>
  <c r="HZ27" i="27" s="1"/>
  <c r="DS64" i="27"/>
  <c r="DS27" i="27" s="1"/>
  <c r="AP64" i="27"/>
  <c r="AP27" i="27" s="1"/>
  <c r="AJ64" i="27"/>
  <c r="AJ27" i="27" s="1"/>
  <c r="DW64" i="27"/>
  <c r="DW27" i="27" s="1"/>
  <c r="HM64" i="27"/>
  <c r="HM27" i="27" s="1"/>
  <c r="EA64" i="27"/>
  <c r="EA27" i="27" s="1"/>
  <c r="BA64" i="27"/>
  <c r="BA27" i="27" s="1"/>
  <c r="HV64" i="27"/>
  <c r="HV27" i="27" s="1"/>
  <c r="FP64" i="27"/>
  <c r="FP27" i="27" s="1"/>
  <c r="FU64" i="27"/>
  <c r="FU27" i="27" s="1"/>
  <c r="HS64" i="27"/>
  <c r="HS27" i="27" s="1"/>
  <c r="FJ64" i="27"/>
  <c r="FJ27" i="27" s="1"/>
  <c r="AK64" i="27"/>
  <c r="AK27" i="27" s="1"/>
  <c r="HQ64" i="27"/>
  <c r="HQ27" i="27" s="1"/>
  <c r="DF64" i="27"/>
  <c r="DF27" i="27" s="1"/>
  <c r="GT64" i="27"/>
  <c r="GT27" i="27" s="1"/>
  <c r="BY64" i="27"/>
  <c r="BY27" i="27" s="1"/>
  <c r="EH64" i="27"/>
  <c r="EH27" i="27" s="1"/>
  <c r="S64" i="27"/>
  <c r="S27" i="27" s="1"/>
  <c r="GZ64" i="27"/>
  <c r="GZ27" i="27" s="1"/>
  <c r="HA64" i="27"/>
  <c r="HA27" i="27" s="1"/>
  <c r="AN64" i="27"/>
  <c r="AN27" i="27" s="1"/>
  <c r="DO64" i="27"/>
  <c r="DO27" i="27" s="1"/>
  <c r="FK64" i="27"/>
  <c r="FK27" i="27" s="1"/>
  <c r="DG64" i="27"/>
  <c r="DG27" i="27" s="1"/>
  <c r="BQ64" i="27"/>
  <c r="BQ27" i="27" s="1"/>
  <c r="GI64" i="27"/>
  <c r="GI27" i="27" s="1"/>
  <c r="EU64" i="27"/>
  <c r="EU27" i="27" s="1"/>
  <c r="BP64" i="27"/>
  <c r="BP27" i="27" s="1"/>
  <c r="BG64" i="27"/>
  <c r="BG27" i="27" s="1"/>
  <c r="FQ64" i="27"/>
  <c r="FQ27" i="27" s="1"/>
  <c r="EW64" i="27"/>
  <c r="EW27" i="27" s="1"/>
  <c r="EK64" i="27"/>
  <c r="EK27" i="27" s="1"/>
  <c r="O64" i="27"/>
  <c r="O27" i="27" s="1"/>
  <c r="FZ64" i="27"/>
  <c r="FZ27" i="27" s="1"/>
  <c r="AR64" i="27"/>
  <c r="AR27" i="27" s="1"/>
  <c r="DB64" i="27"/>
  <c r="DB27" i="27" s="1"/>
  <c r="GK64" i="27"/>
  <c r="GK27" i="27" s="1"/>
  <c r="FR64" i="27"/>
  <c r="FR27" i="27" s="1"/>
  <c r="ES64" i="27"/>
  <c r="ES27" i="27" s="1"/>
  <c r="CX64" i="27"/>
  <c r="CX27" i="27" s="1"/>
  <c r="DX64" i="27"/>
  <c r="DX27" i="27" s="1"/>
  <c r="EP64" i="27"/>
  <c r="EP27" i="27" s="1"/>
  <c r="FM64" i="27"/>
  <c r="FM27" i="27" s="1"/>
  <c r="GY64" i="27"/>
  <c r="GY27" i="27" s="1"/>
  <c r="HX64" i="27"/>
  <c r="HX27" i="27" s="1"/>
  <c r="CH64" i="27"/>
  <c r="CH27" i="27" s="1"/>
  <c r="E28" i="27"/>
  <c r="G85" i="27"/>
  <c r="G137" i="27" s="1"/>
  <c r="G138" i="27" s="1"/>
  <c r="A158" i="26"/>
  <c r="C136" i="25" s="1"/>
  <c r="D72" i="14"/>
  <c r="I158" i="26"/>
  <c r="C137" i="25" s="1"/>
  <c r="B137" i="25" s="1"/>
  <c r="A137" i="25" s="1"/>
  <c r="BL276" i="26"/>
  <c r="BK276" i="26"/>
  <c r="BI276" i="26"/>
  <c r="BI284" i="26"/>
  <c r="BK284" i="26"/>
  <c r="F176" i="26"/>
  <c r="W182" i="26"/>
  <c r="X182" i="26" s="1"/>
  <c r="H1090" i="23"/>
  <c r="D175" i="26"/>
  <c r="D1090" i="23" s="1"/>
  <c r="E1091" i="23" s="1"/>
  <c r="D1142" i="23" s="1"/>
  <c r="I175" i="26"/>
  <c r="I1090" i="23" s="1"/>
  <c r="BI273" i="26"/>
  <c r="BK273" i="26"/>
  <c r="BL273" i="26"/>
  <c r="I172" i="26"/>
  <c r="I1087" i="23" s="1"/>
  <c r="F173" i="26"/>
  <c r="W181" i="26"/>
  <c r="X181" i="26" s="1"/>
  <c r="D172" i="26"/>
  <c r="D1087" i="23" s="1"/>
  <c r="E1088" i="23" s="1"/>
  <c r="D1139" i="23" s="1"/>
  <c r="H1087" i="23"/>
  <c r="BK277" i="26"/>
  <c r="BI277" i="26"/>
  <c r="BI275" i="26"/>
  <c r="BK275" i="26"/>
  <c r="BL275" i="26"/>
  <c r="BI280" i="26"/>
  <c r="BK280" i="26"/>
  <c r="F167" i="26"/>
  <c r="H1081" i="23"/>
  <c r="I166" i="26"/>
  <c r="I1081" i="23" s="1"/>
  <c r="D166" i="26"/>
  <c r="D1081" i="23" s="1"/>
  <c r="E1082" i="23" s="1"/>
  <c r="D1133" i="23" s="1"/>
  <c r="BK285" i="26"/>
  <c r="BI285" i="26"/>
  <c r="W180" i="26"/>
  <c r="X180" i="26" s="1"/>
  <c r="I169" i="26"/>
  <c r="I1084" i="23" s="1"/>
  <c r="H1084" i="23"/>
  <c r="F170" i="26"/>
  <c r="D169" i="26"/>
  <c r="D1084" i="23" s="1"/>
  <c r="E1085" i="23" s="1"/>
  <c r="D1136" i="23" s="1"/>
  <c r="BI281" i="26"/>
  <c r="BK281" i="26"/>
  <c r="BI283" i="26"/>
  <c r="BK283" i="26"/>
  <c r="BK286" i="26"/>
  <c r="BI286" i="26"/>
  <c r="BL274" i="26"/>
  <c r="BK274" i="26"/>
  <c r="BI274" i="26"/>
  <c r="BK279" i="26"/>
  <c r="BI279" i="26"/>
  <c r="BI287" i="26"/>
  <c r="BK287" i="26"/>
  <c r="BK278" i="26"/>
  <c r="BI278" i="26"/>
  <c r="A28" i="27"/>
  <c r="A27" i="27"/>
  <c r="A29" i="27" l="1"/>
  <c r="B31" i="27"/>
  <c r="A32" i="27" s="1"/>
  <c r="D131" i="27"/>
  <c r="D146" i="27" s="1"/>
  <c r="G158" i="27" s="1"/>
  <c r="E131" i="27"/>
  <c r="D136" i="27" s="1"/>
  <c r="B138" i="25"/>
  <c r="A138" i="25" s="1"/>
  <c r="K71" i="14"/>
  <c r="R71" i="14" s="1"/>
  <c r="D7" i="35" s="1"/>
  <c r="E7" i="35" s="1"/>
  <c r="X185" i="26"/>
  <c r="Y185" i="26" s="1"/>
  <c r="A31" i="27" l="1"/>
  <c r="F109" i="27"/>
  <c r="C110" i="27" s="1"/>
  <c r="D138" i="27"/>
  <c r="G141" i="27" s="1"/>
  <c r="D147" i="27"/>
  <c r="G167" i="27" s="1"/>
  <c r="E146" i="27"/>
  <c r="E147" i="27" s="1"/>
  <c r="BB145" i="27" s="1"/>
  <c r="D139" i="27"/>
  <c r="C178" i="26"/>
  <c r="C172" i="26"/>
  <c r="C175" i="26"/>
  <c r="C166" i="26"/>
  <c r="C169" i="26"/>
  <c r="E109" i="27" l="1"/>
  <c r="C109" i="27"/>
  <c r="D110" i="27"/>
  <c r="D109" i="27"/>
  <c r="B109" i="27"/>
  <c r="A109" i="27" s="1"/>
  <c r="G109" i="27"/>
  <c r="E138" i="27"/>
  <c r="G140" i="27" s="1"/>
  <c r="G142" i="27" s="1"/>
  <c r="E141" i="27" s="1"/>
  <c r="G159" i="27"/>
  <c r="AG145" i="27"/>
  <c r="ES145" i="27"/>
  <c r="CO145" i="27"/>
  <c r="GX145" i="27"/>
  <c r="CL145" i="27"/>
  <c r="EO145" i="27"/>
  <c r="CV145" i="27"/>
  <c r="GF145" i="27"/>
  <c r="AP145" i="27"/>
  <c r="DC145" i="27"/>
  <c r="EC145" i="27"/>
  <c r="HR145" i="27"/>
  <c r="AT145" i="27"/>
  <c r="X145" i="27"/>
  <c r="IH145" i="27"/>
  <c r="IK145" i="27"/>
  <c r="FO145" i="27"/>
  <c r="GR145" i="27"/>
  <c r="IF145" i="27"/>
  <c r="FI145" i="27"/>
  <c r="EZ145" i="27"/>
  <c r="GE145" i="27"/>
  <c r="BH145" i="27"/>
  <c r="BF145" i="27"/>
  <c r="FH145" i="27"/>
  <c r="IB145" i="27"/>
  <c r="N145" i="27"/>
  <c r="EF145" i="27"/>
  <c r="HU145" i="27"/>
  <c r="HJ145" i="27"/>
  <c r="BG145" i="27"/>
  <c r="BA145" i="27"/>
  <c r="BT145" i="27"/>
  <c r="T145" i="27"/>
  <c r="CH145" i="27"/>
  <c r="HB145" i="27"/>
  <c r="DK145" i="27"/>
  <c r="AW145" i="27"/>
  <c r="FX145" i="27"/>
  <c r="HY145" i="27"/>
  <c r="P145" i="27"/>
  <c r="HZ145" i="27"/>
  <c r="HQ145" i="27"/>
  <c r="AK145" i="27"/>
  <c r="CG145" i="27"/>
  <c r="AX145" i="27"/>
  <c r="CW145" i="27"/>
  <c r="BP145" i="27"/>
  <c r="U145" i="27"/>
  <c r="HM145" i="27"/>
  <c r="CI145" i="27"/>
  <c r="AB145" i="27"/>
  <c r="FA145" i="27"/>
  <c r="HD145" i="27"/>
  <c r="BU145" i="27"/>
  <c r="HL145" i="27"/>
  <c r="AY145" i="27"/>
  <c r="AI145" i="27"/>
  <c r="GG145" i="27"/>
  <c r="DW145" i="27"/>
  <c r="HW145" i="27"/>
  <c r="DZ145" i="27"/>
  <c r="AQ145" i="27"/>
  <c r="FG145" i="27"/>
  <c r="GZ145" i="27"/>
  <c r="II145" i="27"/>
  <c r="AM145" i="27"/>
  <c r="GK145" i="27"/>
  <c r="IG145" i="27"/>
  <c r="FZ145" i="27"/>
  <c r="CK145" i="27"/>
  <c r="EX145" i="27"/>
  <c r="DE145" i="27"/>
  <c r="H145" i="27"/>
  <c r="DU145" i="27"/>
  <c r="FR145" i="27"/>
  <c r="EA145" i="27"/>
  <c r="GI145" i="27"/>
  <c r="HV145" i="27"/>
  <c r="BQ145" i="27"/>
  <c r="EN145" i="27"/>
  <c r="DT145" i="27"/>
  <c r="DL145" i="27"/>
  <c r="GH145" i="27"/>
  <c r="R145" i="27"/>
  <c r="EV145" i="27"/>
  <c r="GD145" i="27"/>
  <c r="DP145" i="27"/>
  <c r="CN145" i="27"/>
  <c r="IJ145" i="27"/>
  <c r="K145" i="27"/>
  <c r="HT145" i="27"/>
  <c r="BY145" i="27"/>
  <c r="BK145" i="27"/>
  <c r="HX145" i="27"/>
  <c r="EK145" i="27"/>
  <c r="W145" i="27"/>
  <c r="BM145" i="27"/>
  <c r="AZ145" i="27"/>
  <c r="HF145" i="27"/>
  <c r="GS145" i="27"/>
  <c r="CF145" i="27"/>
  <c r="CS145" i="27"/>
  <c r="BL145" i="27"/>
  <c r="GM145" i="27"/>
  <c r="EI145" i="27"/>
  <c r="HS145" i="27"/>
  <c r="BI145" i="27"/>
  <c r="AJ145" i="27"/>
  <c r="BD145" i="27"/>
  <c r="AE145" i="27"/>
  <c r="HH145" i="27"/>
  <c r="GY145" i="27"/>
  <c r="FY145" i="27"/>
  <c r="ED145" i="27"/>
  <c r="AA145" i="27"/>
  <c r="GA145" i="27"/>
  <c r="BO145" i="27"/>
  <c r="DR145" i="27"/>
  <c r="BC145" i="27"/>
  <c r="EJ145" i="27"/>
  <c r="Y145" i="27"/>
  <c r="DQ145" i="27"/>
  <c r="CP145" i="27"/>
  <c r="BJ145" i="27"/>
  <c r="ID145" i="27"/>
  <c r="FD145" i="27"/>
  <c r="EH145" i="27"/>
  <c r="Z145" i="27"/>
  <c r="GW145" i="27"/>
  <c r="HP145" i="27"/>
  <c r="FP145" i="27"/>
  <c r="FS145" i="27"/>
  <c r="HE145" i="27"/>
  <c r="EM145" i="27"/>
  <c r="GU145" i="27"/>
  <c r="GV145" i="27"/>
  <c r="FQ145" i="27"/>
  <c r="EU145" i="27"/>
  <c r="AL145" i="27"/>
  <c r="AN145" i="27"/>
  <c r="GL145" i="27"/>
  <c r="EG145" i="27"/>
  <c r="CY145" i="27"/>
  <c r="GB145" i="27"/>
  <c r="CB145" i="27"/>
  <c r="FT145" i="27"/>
  <c r="DF145" i="27"/>
  <c r="O145" i="27"/>
  <c r="GN145" i="27"/>
  <c r="AH145" i="27"/>
  <c r="DG145" i="27"/>
  <c r="AV145" i="27"/>
  <c r="DN145" i="27"/>
  <c r="FB145" i="27"/>
  <c r="CX145" i="27"/>
  <c r="J145" i="27"/>
  <c r="CU145" i="27"/>
  <c r="CZ145" i="27"/>
  <c r="FV145" i="27"/>
  <c r="ET145" i="27"/>
  <c r="AF145" i="27"/>
  <c r="EW145" i="27"/>
  <c r="GC145" i="27"/>
  <c r="GQ145" i="27"/>
  <c r="GO145" i="27"/>
  <c r="AS145" i="27"/>
  <c r="BV145" i="27"/>
  <c r="HN145" i="27"/>
  <c r="HA145" i="27"/>
  <c r="FN145" i="27"/>
  <c r="IE145" i="27"/>
  <c r="CR145" i="27"/>
  <c r="DH145" i="27"/>
  <c r="GT145" i="27"/>
  <c r="DJ145" i="27"/>
  <c r="CA145" i="27"/>
  <c r="FU145" i="27"/>
  <c r="CT145" i="27"/>
  <c r="DB145" i="27"/>
  <c r="CC145" i="27"/>
  <c r="DM145" i="27"/>
  <c r="AC145" i="27"/>
  <c r="BW145" i="27"/>
  <c r="HO145" i="27"/>
  <c r="HC145" i="27"/>
  <c r="AU145" i="27"/>
  <c r="CM145" i="27"/>
  <c r="FC145" i="27"/>
  <c r="DY145" i="27"/>
  <c r="HI145" i="27"/>
  <c r="GP145" i="27"/>
  <c r="BX145" i="27"/>
  <c r="EY145" i="27"/>
  <c r="L145" i="27"/>
  <c r="IA145" i="27"/>
  <c r="CE145" i="27"/>
  <c r="EL145" i="27"/>
  <c r="BR145" i="27"/>
  <c r="BE145" i="27"/>
  <c r="GJ145" i="27"/>
  <c r="EB145" i="27"/>
  <c r="EP145" i="27"/>
  <c r="CJ145" i="27"/>
  <c r="DX145" i="27"/>
  <c r="BZ145" i="27"/>
  <c r="AD145" i="27"/>
  <c r="IC145" i="27"/>
  <c r="CQ145" i="27"/>
  <c r="FK145" i="27"/>
  <c r="FW145" i="27"/>
  <c r="EQ145" i="27"/>
  <c r="BS145" i="27"/>
  <c r="AR145" i="27"/>
  <c r="DS145" i="27"/>
  <c r="V145" i="27"/>
  <c r="FF145" i="27"/>
  <c r="DD145" i="27"/>
  <c r="EE145" i="27"/>
  <c r="DA145" i="27"/>
  <c r="FL145" i="27"/>
  <c r="BN145" i="27"/>
  <c r="HG145" i="27"/>
  <c r="FJ145" i="27"/>
  <c r="S145" i="27"/>
  <c r="DI145" i="27"/>
  <c r="DO145" i="27"/>
  <c r="AO145" i="27"/>
  <c r="DV145" i="27"/>
  <c r="I145" i="27"/>
  <c r="ER145" i="27"/>
  <c r="FM145" i="27"/>
  <c r="M145" i="27"/>
  <c r="Q145" i="27"/>
  <c r="FE145" i="27"/>
  <c r="HK145" i="27"/>
  <c r="CD145" i="27"/>
  <c r="C170" i="26"/>
  <c r="A169" i="26"/>
  <c r="DB108" i="26"/>
  <c r="DC99" i="26"/>
  <c r="DD99" i="26" s="1"/>
  <c r="CR137" i="26" s="1"/>
  <c r="DB95" i="26"/>
  <c r="A166" i="26"/>
  <c r="CS100" i="26"/>
  <c r="DB101" i="26"/>
  <c r="DB102" i="26"/>
  <c r="DC101" i="26"/>
  <c r="DD101" i="26" s="1"/>
  <c r="CR139" i="26" s="1"/>
  <c r="CT103" i="26"/>
  <c r="CT98" i="26"/>
  <c r="CT99" i="26"/>
  <c r="CT100" i="26"/>
  <c r="DC106" i="26"/>
  <c r="DD106" i="26" s="1"/>
  <c r="CR144" i="26" s="1"/>
  <c r="CS105" i="26"/>
  <c r="GA97" i="26"/>
  <c r="DC102" i="26"/>
  <c r="DD102" i="26" s="1"/>
  <c r="CR140" i="26" s="1"/>
  <c r="DB94" i="26"/>
  <c r="DB98" i="26"/>
  <c r="DC104" i="26"/>
  <c r="DD104" i="26" s="1"/>
  <c r="CR142" i="26" s="1"/>
  <c r="CS95" i="26"/>
  <c r="CS102" i="26"/>
  <c r="DC108" i="26"/>
  <c r="DD108" i="26" s="1"/>
  <c r="CT106" i="26"/>
  <c r="DC95" i="26"/>
  <c r="DB93" i="26"/>
  <c r="CS94" i="26"/>
  <c r="DC93" i="26"/>
  <c r="CS93" i="26"/>
  <c r="DB96" i="26"/>
  <c r="CS108" i="26"/>
  <c r="DB104" i="26"/>
  <c r="CS106" i="26"/>
  <c r="DB107" i="26"/>
  <c r="DB97" i="26"/>
  <c r="C167" i="26"/>
  <c r="DC98" i="26"/>
  <c r="DD98" i="26" s="1"/>
  <c r="CR136" i="26" s="1"/>
  <c r="DC103" i="26"/>
  <c r="DD103" i="26" s="1"/>
  <c r="CR141" i="26" s="1"/>
  <c r="DC107" i="26"/>
  <c r="DD107" i="26" s="1"/>
  <c r="CR145" i="26" s="1"/>
  <c r="DC100" i="26"/>
  <c r="DD100" i="26" s="1"/>
  <c r="CR138" i="26" s="1"/>
  <c r="CS107" i="26"/>
  <c r="DC94" i="26"/>
  <c r="DC105" i="26"/>
  <c r="DD105" i="26" s="1"/>
  <c r="CR143" i="26" s="1"/>
  <c r="CT107" i="26"/>
  <c r="DC97" i="26"/>
  <c r="CS96" i="26"/>
  <c r="CT104" i="26"/>
  <c r="DB103" i="26"/>
  <c r="CT101" i="26"/>
  <c r="CT105" i="26"/>
  <c r="CT108" i="26"/>
  <c r="CS103" i="26"/>
  <c r="DC96" i="26"/>
  <c r="CS98" i="26"/>
  <c r="DB99" i="26"/>
  <c r="DB105" i="26"/>
  <c r="CT102" i="26"/>
  <c r="CS104" i="26"/>
  <c r="DB106" i="26"/>
  <c r="CS99" i="26"/>
  <c r="Q69" i="14"/>
  <c r="AC69" i="14" s="1"/>
  <c r="DB100" i="26"/>
  <c r="CS101" i="26"/>
  <c r="DN93" i="26"/>
  <c r="CS97" i="26"/>
  <c r="C176" i="26"/>
  <c r="AH150" i="26"/>
  <c r="A175" i="26"/>
  <c r="C173" i="26"/>
  <c r="AG150" i="26"/>
  <c r="A172" i="26"/>
  <c r="C179" i="26"/>
  <c r="A178" i="26"/>
  <c r="E142" i="27" l="1"/>
  <c r="E143" i="27"/>
  <c r="G151" i="27" s="1"/>
  <c r="D142" i="27"/>
  <c r="A110" i="27"/>
  <c r="DD97" i="26"/>
  <c r="CR135" i="26" s="1"/>
  <c r="DD96" i="26"/>
  <c r="CR134" i="26" s="1"/>
  <c r="DD95" i="26"/>
  <c r="CR133" i="26" s="1"/>
  <c r="DD94" i="26"/>
  <c r="CR132" i="26" s="1"/>
  <c r="DD93" i="26"/>
  <c r="CR131" i="26" s="1"/>
  <c r="AA166" i="26"/>
  <c r="B157" i="26"/>
  <c r="DM93" i="26"/>
  <c r="DG132" i="26" s="1"/>
  <c r="D141" i="27" l="1"/>
  <c r="G143" i="27" s="1"/>
  <c r="E140" i="27" s="1"/>
  <c r="CL136" i="27" s="1"/>
  <c r="CL109" i="27" s="1"/>
  <c r="B156" i="26"/>
  <c r="D69" i="14" s="1"/>
  <c r="A6" i="35" s="1"/>
  <c r="Z162" i="26"/>
  <c r="Z166" i="26" s="1"/>
  <c r="A156" i="26"/>
  <c r="C131" i="25" s="1"/>
  <c r="I156" i="26"/>
  <c r="D70" i="14"/>
  <c r="AA162" i="26"/>
  <c r="AD136" i="27" l="1"/>
  <c r="AD109" i="27" s="1"/>
  <c r="DW136" i="27"/>
  <c r="DW109" i="27" s="1"/>
  <c r="FQ136" i="27"/>
  <c r="FQ109" i="27" s="1"/>
  <c r="DM136" i="27"/>
  <c r="DM109" i="27" s="1"/>
  <c r="II136" i="27"/>
  <c r="II109" i="27" s="1"/>
  <c r="EZ136" i="27"/>
  <c r="EZ109" i="27" s="1"/>
  <c r="S136" i="27"/>
  <c r="S109" i="27" s="1"/>
  <c r="CA136" i="27"/>
  <c r="CA109" i="27" s="1"/>
  <c r="DF136" i="27"/>
  <c r="DF109" i="27" s="1"/>
  <c r="U136" i="27"/>
  <c r="U109" i="27" s="1"/>
  <c r="DV136" i="27"/>
  <c r="DV109" i="27" s="1"/>
  <c r="GW136" i="27"/>
  <c r="GW109" i="27" s="1"/>
  <c r="O136" i="27"/>
  <c r="O109" i="27" s="1"/>
  <c r="AJ136" i="27"/>
  <c r="AJ109" i="27" s="1"/>
  <c r="FN136" i="27"/>
  <c r="FN109" i="27" s="1"/>
  <c r="AZ136" i="27"/>
  <c r="AZ109" i="27" s="1"/>
  <c r="CG136" i="27"/>
  <c r="CG109" i="27" s="1"/>
  <c r="IH136" i="27"/>
  <c r="IH109" i="27" s="1"/>
  <c r="GI136" i="27"/>
  <c r="GI109" i="27" s="1"/>
  <c r="BN136" i="27"/>
  <c r="BN109" i="27" s="1"/>
  <c r="BO136" i="27"/>
  <c r="BO109" i="27" s="1"/>
  <c r="BJ136" i="27"/>
  <c r="BJ109" i="27" s="1"/>
  <c r="AM136" i="27"/>
  <c r="AM109" i="27" s="1"/>
  <c r="BF136" i="27"/>
  <c r="BF109" i="27" s="1"/>
  <c r="HN136" i="27"/>
  <c r="HN109" i="27" s="1"/>
  <c r="AR136" i="27"/>
  <c r="AR109" i="27" s="1"/>
  <c r="FB136" i="27"/>
  <c r="FB109" i="27" s="1"/>
  <c r="FZ136" i="27"/>
  <c r="FZ109" i="27" s="1"/>
  <c r="AK136" i="27"/>
  <c r="AK109" i="27" s="1"/>
  <c r="FC136" i="27"/>
  <c r="FC109" i="27" s="1"/>
  <c r="BY136" i="27"/>
  <c r="BY109" i="27" s="1"/>
  <c r="J136" i="27"/>
  <c r="J109" i="27" s="1"/>
  <c r="CR136" i="27"/>
  <c r="CR109" i="27" s="1"/>
  <c r="FE136" i="27"/>
  <c r="FE109" i="27" s="1"/>
  <c r="R136" i="27"/>
  <c r="R109" i="27" s="1"/>
  <c r="AF136" i="27"/>
  <c r="AF109" i="27" s="1"/>
  <c r="EI136" i="27"/>
  <c r="EI109" i="27" s="1"/>
  <c r="GE136" i="27"/>
  <c r="GE109" i="27" s="1"/>
  <c r="CX136" i="27"/>
  <c r="CX109" i="27" s="1"/>
  <c r="FF136" i="27"/>
  <c r="FF109" i="27" s="1"/>
  <c r="BA136" i="27"/>
  <c r="BA109" i="27" s="1"/>
  <c r="Q136" i="27"/>
  <c r="Q109" i="27" s="1"/>
  <c r="IB136" i="27"/>
  <c r="IB109" i="27" s="1"/>
  <c r="EO136" i="27"/>
  <c r="EO109" i="27" s="1"/>
  <c r="DI136" i="27"/>
  <c r="DI109" i="27" s="1"/>
  <c r="HY136" i="27"/>
  <c r="HY109" i="27" s="1"/>
  <c r="FY136" i="27"/>
  <c r="FY109" i="27" s="1"/>
  <c r="EU136" i="27"/>
  <c r="EU109" i="27" s="1"/>
  <c r="DE136" i="27"/>
  <c r="DE109" i="27" s="1"/>
  <c r="FH136" i="27"/>
  <c r="FH109" i="27" s="1"/>
  <c r="BL136" i="27"/>
  <c r="BL109" i="27" s="1"/>
  <c r="CH136" i="27"/>
  <c r="CH109" i="27" s="1"/>
  <c r="EG136" i="27"/>
  <c r="EG109" i="27" s="1"/>
  <c r="AG136" i="27"/>
  <c r="AG109" i="27" s="1"/>
  <c r="CY136" i="27"/>
  <c r="CY109" i="27" s="1"/>
  <c r="FL136" i="27"/>
  <c r="FL109" i="27" s="1"/>
  <c r="HQ136" i="27"/>
  <c r="HQ109" i="27" s="1"/>
  <c r="HO136" i="27"/>
  <c r="HO109" i="27" s="1"/>
  <c r="DO136" i="27"/>
  <c r="DO109" i="27" s="1"/>
  <c r="AO136" i="27"/>
  <c r="AO109" i="27" s="1"/>
  <c r="GG136" i="27"/>
  <c r="GG109" i="27" s="1"/>
  <c r="I136" i="27"/>
  <c r="I109" i="27" s="1"/>
  <c r="CU136" i="27"/>
  <c r="CU109" i="27" s="1"/>
  <c r="HT136" i="27"/>
  <c r="HT109" i="27" s="1"/>
  <c r="AN136" i="27"/>
  <c r="AN109" i="27" s="1"/>
  <c r="DQ136" i="27"/>
  <c r="DQ109" i="27" s="1"/>
  <c r="HG136" i="27"/>
  <c r="HG109" i="27" s="1"/>
  <c r="BU136" i="27"/>
  <c r="BU109" i="27" s="1"/>
  <c r="BQ136" i="27"/>
  <c r="BQ109" i="27" s="1"/>
  <c r="ED136" i="27"/>
  <c r="ED109" i="27" s="1"/>
  <c r="HZ136" i="27"/>
  <c r="HZ109" i="27" s="1"/>
  <c r="ER136" i="27"/>
  <c r="ER109" i="27" s="1"/>
  <c r="FK136" i="27"/>
  <c r="FK109" i="27" s="1"/>
  <c r="HJ136" i="27"/>
  <c r="HJ109" i="27" s="1"/>
  <c r="HH136" i="27"/>
  <c r="HH109" i="27" s="1"/>
  <c r="FT136" i="27"/>
  <c r="FT109" i="27" s="1"/>
  <c r="DJ136" i="27"/>
  <c r="DJ109" i="27" s="1"/>
  <c r="GK136" i="27"/>
  <c r="GK109" i="27" s="1"/>
  <c r="DR136" i="27"/>
  <c r="DR109" i="27" s="1"/>
  <c r="EE136" i="27"/>
  <c r="EE109" i="27" s="1"/>
  <c r="W136" i="27"/>
  <c r="W109" i="27" s="1"/>
  <c r="GJ136" i="27"/>
  <c r="GJ109" i="27" s="1"/>
  <c r="CV136" i="27"/>
  <c r="CV109" i="27" s="1"/>
  <c r="AP136" i="27"/>
  <c r="AP109" i="27" s="1"/>
  <c r="BS136" i="27"/>
  <c r="BS109" i="27" s="1"/>
  <c r="AY136" i="27"/>
  <c r="AY109" i="27" s="1"/>
  <c r="GR136" i="27"/>
  <c r="GR109" i="27" s="1"/>
  <c r="CF136" i="27"/>
  <c r="CF109" i="27" s="1"/>
  <c r="GA136" i="27"/>
  <c r="GA109" i="27" s="1"/>
  <c r="DH136" i="27"/>
  <c r="DH109" i="27" s="1"/>
  <c r="CK136" i="27"/>
  <c r="CK109" i="27" s="1"/>
  <c r="IC136" i="27"/>
  <c r="IC109" i="27" s="1"/>
  <c r="HM136" i="27"/>
  <c r="HM109" i="27" s="1"/>
  <c r="EM136" i="27"/>
  <c r="EM109" i="27" s="1"/>
  <c r="ET136" i="27"/>
  <c r="ET109" i="27" s="1"/>
  <c r="CQ136" i="27"/>
  <c r="CQ109" i="27" s="1"/>
  <c r="FA136" i="27"/>
  <c r="FA109" i="27" s="1"/>
  <c r="BR136" i="27"/>
  <c r="BR109" i="27" s="1"/>
  <c r="FU136" i="27"/>
  <c r="FU109" i="27" s="1"/>
  <c r="AA136" i="27"/>
  <c r="AA109" i="27" s="1"/>
  <c r="GY136" i="27"/>
  <c r="GY109" i="27" s="1"/>
  <c r="ID136" i="27"/>
  <c r="ID109" i="27" s="1"/>
  <c r="X136" i="27"/>
  <c r="X109" i="27" s="1"/>
  <c r="FM136" i="27"/>
  <c r="FM109" i="27" s="1"/>
  <c r="DS136" i="27"/>
  <c r="DS109" i="27" s="1"/>
  <c r="DG136" i="27"/>
  <c r="DG109" i="27" s="1"/>
  <c r="HX136" i="27"/>
  <c r="HX109" i="27" s="1"/>
  <c r="EF136" i="27"/>
  <c r="EF109" i="27" s="1"/>
  <c r="BM136" i="27"/>
  <c r="BM109" i="27" s="1"/>
  <c r="FV136" i="27"/>
  <c r="FV109" i="27" s="1"/>
  <c r="CE136" i="27"/>
  <c r="CE109" i="27" s="1"/>
  <c r="HK136" i="27"/>
  <c r="HK109" i="27" s="1"/>
  <c r="AH136" i="27"/>
  <c r="AH109" i="27" s="1"/>
  <c r="DD136" i="27"/>
  <c r="DD109" i="27" s="1"/>
  <c r="FG136" i="27"/>
  <c r="FG109" i="27" s="1"/>
  <c r="CD136" i="27"/>
  <c r="CD109" i="27" s="1"/>
  <c r="Y136" i="27"/>
  <c r="Y109" i="27" s="1"/>
  <c r="HF136" i="27"/>
  <c r="HF109" i="27" s="1"/>
  <c r="CT136" i="27"/>
  <c r="CT109" i="27" s="1"/>
  <c r="EY136" i="27"/>
  <c r="EY109" i="27" s="1"/>
  <c r="FO136" i="27"/>
  <c r="FO109" i="27" s="1"/>
  <c r="H136" i="27"/>
  <c r="H109" i="27" s="1"/>
  <c r="CM136" i="27"/>
  <c r="CM109" i="27" s="1"/>
  <c r="IA136" i="27"/>
  <c r="IA109" i="27" s="1"/>
  <c r="V136" i="27"/>
  <c r="V109" i="27" s="1"/>
  <c r="HE136" i="27"/>
  <c r="HE109" i="27" s="1"/>
  <c r="GB136" i="27"/>
  <c r="GB109" i="27" s="1"/>
  <c r="FI136" i="27"/>
  <c r="FI109" i="27" s="1"/>
  <c r="EJ136" i="27"/>
  <c r="EJ109" i="27" s="1"/>
  <c r="HS136" i="27"/>
  <c r="HS109" i="27" s="1"/>
  <c r="BW136" i="27"/>
  <c r="BW109" i="27" s="1"/>
  <c r="FW136" i="27"/>
  <c r="FW109" i="27" s="1"/>
  <c r="M136" i="27"/>
  <c r="M109" i="27" s="1"/>
  <c r="CO136" i="27"/>
  <c r="CO109" i="27" s="1"/>
  <c r="DB136" i="27"/>
  <c r="DB109" i="27" s="1"/>
  <c r="EK136" i="27"/>
  <c r="EK109" i="27" s="1"/>
  <c r="HA136" i="27"/>
  <c r="HA109" i="27" s="1"/>
  <c r="GM136" i="27"/>
  <c r="GM109" i="27" s="1"/>
  <c r="L136" i="27"/>
  <c r="L109" i="27" s="1"/>
  <c r="HI136" i="27"/>
  <c r="HI109" i="27" s="1"/>
  <c r="CC136" i="27"/>
  <c r="CC109" i="27" s="1"/>
  <c r="CS136" i="27"/>
  <c r="CS109" i="27" s="1"/>
  <c r="BD136" i="27"/>
  <c r="BD109" i="27" s="1"/>
  <c r="AB136" i="27"/>
  <c r="AB109" i="27" s="1"/>
  <c r="DX136" i="27"/>
  <c r="DX109" i="27" s="1"/>
  <c r="DC136" i="27"/>
  <c r="DC109" i="27" s="1"/>
  <c r="DK136" i="27"/>
  <c r="DK109" i="27" s="1"/>
  <c r="BG136" i="27"/>
  <c r="BG109" i="27" s="1"/>
  <c r="GO136" i="27"/>
  <c r="GO109" i="27" s="1"/>
  <c r="AL136" i="27"/>
  <c r="AL109" i="27" s="1"/>
  <c r="BX136" i="27"/>
  <c r="BX109" i="27" s="1"/>
  <c r="GV136" i="27"/>
  <c r="GV109" i="27" s="1"/>
  <c r="IJ136" i="27"/>
  <c r="IJ109" i="27" s="1"/>
  <c r="EP136" i="27"/>
  <c r="EP109" i="27" s="1"/>
  <c r="GN136" i="27"/>
  <c r="GN109" i="27" s="1"/>
  <c r="DP136" i="27"/>
  <c r="DP109" i="27" s="1"/>
  <c r="ES136" i="27"/>
  <c r="ES109" i="27" s="1"/>
  <c r="EB136" i="27"/>
  <c r="EB109" i="27" s="1"/>
  <c r="HR136" i="27"/>
  <c r="HR109" i="27" s="1"/>
  <c r="HB136" i="27"/>
  <c r="HB109" i="27" s="1"/>
  <c r="AX136" i="27"/>
  <c r="AX109" i="27" s="1"/>
  <c r="DZ136" i="27"/>
  <c r="DZ109" i="27" s="1"/>
  <c r="AI136" i="27"/>
  <c r="AI109" i="27" s="1"/>
  <c r="GH136" i="27"/>
  <c r="GH109" i="27" s="1"/>
  <c r="DL136" i="27"/>
  <c r="DL109" i="27" s="1"/>
  <c r="FJ136" i="27"/>
  <c r="FJ109" i="27" s="1"/>
  <c r="FR136" i="27"/>
  <c r="FR109" i="27" s="1"/>
  <c r="EA136" i="27"/>
  <c r="EA109" i="27" s="1"/>
  <c r="EV136" i="27"/>
  <c r="EV109" i="27" s="1"/>
  <c r="GD136" i="27"/>
  <c r="GD109" i="27" s="1"/>
  <c r="N136" i="27"/>
  <c r="N109" i="27" s="1"/>
  <c r="AQ136" i="27"/>
  <c r="AQ109" i="27" s="1"/>
  <c r="FD136" i="27"/>
  <c r="FD109" i="27" s="1"/>
  <c r="EX136" i="27"/>
  <c r="EX109" i="27" s="1"/>
  <c r="HD136" i="27"/>
  <c r="HD109" i="27" s="1"/>
  <c r="AE136" i="27"/>
  <c r="AE109" i="27" s="1"/>
  <c r="HU136" i="27"/>
  <c r="HU109" i="27" s="1"/>
  <c r="AS136" i="27"/>
  <c r="AS109" i="27" s="1"/>
  <c r="AT136" i="27"/>
  <c r="AT109" i="27" s="1"/>
  <c r="AU136" i="27"/>
  <c r="AU109" i="27" s="1"/>
  <c r="GC136" i="27"/>
  <c r="GC109" i="27" s="1"/>
  <c r="DA136" i="27"/>
  <c r="DA109" i="27" s="1"/>
  <c r="BZ136" i="27"/>
  <c r="BZ109" i="27" s="1"/>
  <c r="BC136" i="27"/>
  <c r="BC109" i="27" s="1"/>
  <c r="AC136" i="27"/>
  <c r="AC109" i="27" s="1"/>
  <c r="EN136" i="27"/>
  <c r="EN109" i="27" s="1"/>
  <c r="GQ136" i="27"/>
  <c r="GQ109" i="27" s="1"/>
  <c r="GP136" i="27"/>
  <c r="GP109" i="27" s="1"/>
  <c r="GT136" i="27"/>
  <c r="GT109" i="27" s="1"/>
  <c r="BH136" i="27"/>
  <c r="BH109" i="27" s="1"/>
  <c r="CJ136" i="27"/>
  <c r="CJ109" i="27" s="1"/>
  <c r="HW136" i="27"/>
  <c r="HW109" i="27" s="1"/>
  <c r="EQ136" i="27"/>
  <c r="EQ109" i="27" s="1"/>
  <c r="IF136" i="27"/>
  <c r="IF109" i="27" s="1"/>
  <c r="CW136" i="27"/>
  <c r="CW109" i="27" s="1"/>
  <c r="FX136" i="27"/>
  <c r="FX109" i="27" s="1"/>
  <c r="AW136" i="27"/>
  <c r="AW109" i="27" s="1"/>
  <c r="GZ136" i="27"/>
  <c r="GZ109" i="27" s="1"/>
  <c r="IE136" i="27"/>
  <c r="IE109" i="27" s="1"/>
  <c r="CP136" i="27"/>
  <c r="CP109" i="27" s="1"/>
  <c r="EL136" i="27"/>
  <c r="EL109" i="27" s="1"/>
  <c r="FP136" i="27"/>
  <c r="FP109" i="27" s="1"/>
  <c r="IG136" i="27"/>
  <c r="IG109" i="27" s="1"/>
  <c r="DT136" i="27"/>
  <c r="DT109" i="27" s="1"/>
  <c r="Z136" i="27"/>
  <c r="Z109" i="27" s="1"/>
  <c r="HV136" i="27"/>
  <c r="HV109" i="27" s="1"/>
  <c r="T136" i="27"/>
  <c r="T109" i="27" s="1"/>
  <c r="FS136" i="27"/>
  <c r="FS109" i="27" s="1"/>
  <c r="CN136" i="27"/>
  <c r="CN109" i="27" s="1"/>
  <c r="IK136" i="27"/>
  <c r="IK109" i="27" s="1"/>
  <c r="AV136" i="27"/>
  <c r="AV109" i="27" s="1"/>
  <c r="GS136" i="27"/>
  <c r="GS109" i="27" s="1"/>
  <c r="EW136" i="27"/>
  <c r="EW109" i="27" s="1"/>
  <c r="HL136" i="27"/>
  <c r="HL109" i="27" s="1"/>
  <c r="EC136" i="27"/>
  <c r="EC109" i="27" s="1"/>
  <c r="HP136" i="27"/>
  <c r="HP109" i="27" s="1"/>
  <c r="CI136" i="27"/>
  <c r="CI109" i="27" s="1"/>
  <c r="BB136" i="27"/>
  <c r="BB109" i="27" s="1"/>
  <c r="CZ136" i="27"/>
  <c r="CZ109" i="27" s="1"/>
  <c r="DU136" i="27"/>
  <c r="DU109" i="27" s="1"/>
  <c r="HC136" i="27"/>
  <c r="HC109" i="27" s="1"/>
  <c r="P136" i="27"/>
  <c r="P109" i="27" s="1"/>
  <c r="GX136" i="27"/>
  <c r="GX109" i="27" s="1"/>
  <c r="BK136" i="27"/>
  <c r="BK109" i="27" s="1"/>
  <c r="DY136" i="27"/>
  <c r="DY109" i="27" s="1"/>
  <c r="K136" i="27"/>
  <c r="K109" i="27" s="1"/>
  <c r="GL136" i="27"/>
  <c r="GL109" i="27" s="1"/>
  <c r="BP136" i="27"/>
  <c r="BP109" i="27" s="1"/>
  <c r="BT136" i="27"/>
  <c r="BT109" i="27" s="1"/>
  <c r="BI136" i="27"/>
  <c r="BI109" i="27" s="1"/>
  <c r="BE136" i="27"/>
  <c r="BE109" i="27" s="1"/>
  <c r="CB136" i="27"/>
  <c r="CB109" i="27" s="1"/>
  <c r="EH136" i="27"/>
  <c r="EH109" i="27" s="1"/>
  <c r="BV136" i="27"/>
  <c r="BV109" i="27" s="1"/>
  <c r="GF136" i="27"/>
  <c r="GF109" i="27" s="1"/>
  <c r="GU136" i="27"/>
  <c r="GU109" i="27" s="1"/>
  <c r="DN136" i="27"/>
  <c r="DN109" i="27" s="1"/>
  <c r="D140" i="27"/>
  <c r="D150" i="27" s="1"/>
  <c r="G160" i="27" s="1"/>
  <c r="G161" i="27" s="1"/>
  <c r="C141" i="25"/>
  <c r="B141" i="25" s="1"/>
  <c r="A141" i="25" s="1"/>
  <c r="P111" i="26"/>
  <c r="Q111" i="26"/>
  <c r="E110" i="27" l="1"/>
  <c r="G147" i="27"/>
  <c r="G146" i="27" s="1"/>
  <c r="E150" i="27"/>
  <c r="G168" i="27"/>
  <c r="H111" i="26"/>
  <c r="K114" i="26" s="1"/>
  <c r="H146" i="26" s="1"/>
  <c r="D148" i="27" l="1"/>
  <c r="F111" i="27" s="1"/>
  <c r="D112" i="27" s="1"/>
  <c r="S117" i="26"/>
  <c r="H114" i="26"/>
  <c r="L407" i="26" s="1"/>
  <c r="N358" i="26" s="1"/>
  <c r="I111" i="26"/>
  <c r="H150" i="26"/>
  <c r="I150" i="26" s="1"/>
  <c r="S201" i="25"/>
  <c r="E111" i="27" l="1"/>
  <c r="D111" i="27"/>
  <c r="C112" i="27"/>
  <c r="B111" i="27"/>
  <c r="A111" i="27" s="1"/>
  <c r="G111" i="27"/>
  <c r="C111" i="27"/>
  <c r="E151" i="27"/>
  <c r="G219" i="27" s="1"/>
  <c r="D151" i="27"/>
  <c r="G169" i="27" s="1"/>
  <c r="E215" i="27" s="1"/>
  <c r="D220" i="27" s="1"/>
  <c r="F193" i="27" s="1"/>
  <c r="S119" i="26"/>
  <c r="H149" i="26"/>
  <c r="I149" i="26" s="1"/>
  <c r="I146" i="26"/>
  <c r="H147" i="26"/>
  <c r="G22" i="19" s="1"/>
  <c r="H151" i="26"/>
  <c r="H148" i="26"/>
  <c r="I148" i="26" s="1"/>
  <c r="L396" i="26"/>
  <c r="E112" i="27"/>
  <c r="G23" i="19"/>
  <c r="J23" i="19" s="1"/>
  <c r="I265" i="26"/>
  <c r="B113" i="27" l="1"/>
  <c r="B115" i="27" s="1"/>
  <c r="A116" i="27" s="1"/>
  <c r="D223" i="27"/>
  <c r="DX148" i="27"/>
  <c r="DX111" i="27" s="1"/>
  <c r="AG148" i="27"/>
  <c r="AG111" i="27" s="1"/>
  <c r="BQ148" i="27"/>
  <c r="BQ111" i="27" s="1"/>
  <c r="FD148" i="27"/>
  <c r="FD111" i="27" s="1"/>
  <c r="HY148" i="27"/>
  <c r="HY111" i="27" s="1"/>
  <c r="DF148" i="27"/>
  <c r="DF111" i="27" s="1"/>
  <c r="HP148" i="27"/>
  <c r="HP111" i="27" s="1"/>
  <c r="BU148" i="27"/>
  <c r="BU111" i="27" s="1"/>
  <c r="DH148" i="27"/>
  <c r="DH111" i="27" s="1"/>
  <c r="DY148" i="27"/>
  <c r="DY111" i="27" s="1"/>
  <c r="T148" i="27"/>
  <c r="T111" i="27" s="1"/>
  <c r="FM148" i="27"/>
  <c r="FM111" i="27" s="1"/>
  <c r="CG148" i="27"/>
  <c r="CG111" i="27" s="1"/>
  <c r="HT148" i="27"/>
  <c r="HT111" i="27" s="1"/>
  <c r="BP148" i="27"/>
  <c r="BP111" i="27" s="1"/>
  <c r="BR148" i="27"/>
  <c r="BR111" i="27" s="1"/>
  <c r="BN148" i="27"/>
  <c r="BN111" i="27" s="1"/>
  <c r="GZ148" i="27"/>
  <c r="GZ111" i="27" s="1"/>
  <c r="BH148" i="27"/>
  <c r="BH111" i="27" s="1"/>
  <c r="O148" i="27"/>
  <c r="O111" i="27" s="1"/>
  <c r="FU148" i="27"/>
  <c r="FU111" i="27" s="1"/>
  <c r="FV148" i="27"/>
  <c r="FV111" i="27" s="1"/>
  <c r="HU148" i="27"/>
  <c r="HU111" i="27" s="1"/>
  <c r="N148" i="27"/>
  <c r="N111" i="27" s="1"/>
  <c r="FX148" i="27"/>
  <c r="FX111" i="27" s="1"/>
  <c r="ET148" i="27"/>
  <c r="ET111" i="27" s="1"/>
  <c r="FJ148" i="27"/>
  <c r="FJ111" i="27" s="1"/>
  <c r="GQ148" i="27"/>
  <c r="GQ111" i="27" s="1"/>
  <c r="DE148" i="27"/>
  <c r="DE111" i="27" s="1"/>
  <c r="AX148" i="27"/>
  <c r="AX111" i="27" s="1"/>
  <c r="GJ148" i="27"/>
  <c r="GJ111" i="27" s="1"/>
  <c r="AT148" i="27"/>
  <c r="AT111" i="27" s="1"/>
  <c r="IB148" i="27"/>
  <c r="IB111" i="27" s="1"/>
  <c r="DZ148" i="27"/>
  <c r="DZ111" i="27" s="1"/>
  <c r="HN148" i="27"/>
  <c r="HN111" i="27" s="1"/>
  <c r="W148" i="27"/>
  <c r="W111" i="27" s="1"/>
  <c r="P148" i="27"/>
  <c r="P111" i="27" s="1"/>
  <c r="CL148" i="27"/>
  <c r="CL111" i="27" s="1"/>
  <c r="GO148" i="27"/>
  <c r="GO111" i="27" s="1"/>
  <c r="HF148" i="27"/>
  <c r="HF111" i="27" s="1"/>
  <c r="EB148" i="27"/>
  <c r="EB111" i="27" s="1"/>
  <c r="GP148" i="27"/>
  <c r="GP111" i="27" s="1"/>
  <c r="AJ148" i="27"/>
  <c r="AJ111" i="27" s="1"/>
  <c r="EU148" i="27"/>
  <c r="EU111" i="27" s="1"/>
  <c r="CS148" i="27"/>
  <c r="CS111" i="27" s="1"/>
  <c r="ED148" i="27"/>
  <c r="ED111" i="27" s="1"/>
  <c r="DM148" i="27"/>
  <c r="DM111" i="27" s="1"/>
  <c r="GB148" i="27"/>
  <c r="GB111" i="27" s="1"/>
  <c r="AI148" i="27"/>
  <c r="AI111" i="27" s="1"/>
  <c r="AC148" i="27"/>
  <c r="AC111" i="27" s="1"/>
  <c r="CI148" i="27"/>
  <c r="CI111" i="27" s="1"/>
  <c r="Z148" i="27"/>
  <c r="Z111" i="27" s="1"/>
  <c r="HL148" i="27"/>
  <c r="HL111" i="27" s="1"/>
  <c r="BK148" i="27"/>
  <c r="BK111" i="27" s="1"/>
  <c r="AM148" i="27"/>
  <c r="AM111" i="27" s="1"/>
  <c r="GS148" i="27"/>
  <c r="GS111" i="27" s="1"/>
  <c r="FW148" i="27"/>
  <c r="FW111" i="27" s="1"/>
  <c r="GV148" i="27"/>
  <c r="GV111" i="27" s="1"/>
  <c r="DQ148" i="27"/>
  <c r="DQ111" i="27" s="1"/>
  <c r="AH148" i="27"/>
  <c r="AH111" i="27" s="1"/>
  <c r="DD148" i="27"/>
  <c r="DD111" i="27" s="1"/>
  <c r="CK148" i="27"/>
  <c r="CK111" i="27" s="1"/>
  <c r="AU148" i="27"/>
  <c r="AU111" i="27" s="1"/>
  <c r="EJ148" i="27"/>
  <c r="EJ111" i="27" s="1"/>
  <c r="HI148" i="27"/>
  <c r="HI111" i="27" s="1"/>
  <c r="ID148" i="27"/>
  <c r="ID111" i="27" s="1"/>
  <c r="M148" i="27"/>
  <c r="M111" i="27" s="1"/>
  <c r="CD148" i="27"/>
  <c r="CD111" i="27" s="1"/>
  <c r="IK148" i="27"/>
  <c r="IK111" i="27" s="1"/>
  <c r="GH148" i="27"/>
  <c r="GH111" i="27" s="1"/>
  <c r="AW148" i="27"/>
  <c r="AW111" i="27" s="1"/>
  <c r="CJ148" i="27"/>
  <c r="CJ111" i="27" s="1"/>
  <c r="AD148" i="27"/>
  <c r="AD111" i="27" s="1"/>
  <c r="CZ148" i="27"/>
  <c r="CZ111" i="27" s="1"/>
  <c r="HW148" i="27"/>
  <c r="HW111" i="27" s="1"/>
  <c r="EA148" i="27"/>
  <c r="EA111" i="27" s="1"/>
  <c r="FF148" i="27"/>
  <c r="FF111" i="27" s="1"/>
  <c r="GK148" i="27"/>
  <c r="GK111" i="27" s="1"/>
  <c r="CQ148" i="27"/>
  <c r="CQ111" i="27" s="1"/>
  <c r="BT148" i="27"/>
  <c r="BT111" i="27" s="1"/>
  <c r="CH148" i="27"/>
  <c r="CH111" i="27" s="1"/>
  <c r="EN148" i="27"/>
  <c r="EN111" i="27" s="1"/>
  <c r="EK148" i="27"/>
  <c r="EK111" i="27" s="1"/>
  <c r="FE148" i="27"/>
  <c r="FE111" i="27" s="1"/>
  <c r="AF148" i="27"/>
  <c r="AF111" i="27" s="1"/>
  <c r="BY148" i="27"/>
  <c r="BY111" i="27" s="1"/>
  <c r="AE148" i="27"/>
  <c r="AE111" i="27" s="1"/>
  <c r="GU148" i="27"/>
  <c r="GU111" i="27" s="1"/>
  <c r="HD148" i="27"/>
  <c r="HD111" i="27" s="1"/>
  <c r="BI148" i="27"/>
  <c r="BI111" i="27" s="1"/>
  <c r="GA148" i="27"/>
  <c r="GA111" i="27" s="1"/>
  <c r="EO148" i="27"/>
  <c r="EO111" i="27" s="1"/>
  <c r="DC148" i="27"/>
  <c r="DC111" i="27" s="1"/>
  <c r="EI148" i="27"/>
  <c r="EI111" i="27" s="1"/>
  <c r="BO148" i="27"/>
  <c r="BO111" i="27" s="1"/>
  <c r="DV148" i="27"/>
  <c r="DV111" i="27" s="1"/>
  <c r="DN148" i="27"/>
  <c r="DN111" i="27" s="1"/>
  <c r="I148" i="27"/>
  <c r="I111" i="27" s="1"/>
  <c r="HQ148" i="27"/>
  <c r="HQ111" i="27" s="1"/>
  <c r="IJ148" i="27"/>
  <c r="IJ111" i="27" s="1"/>
  <c r="GX148" i="27"/>
  <c r="GX111" i="27" s="1"/>
  <c r="BW148" i="27"/>
  <c r="BW111" i="27" s="1"/>
  <c r="Q148" i="27"/>
  <c r="Q111" i="27" s="1"/>
  <c r="DI148" i="27"/>
  <c r="DI111" i="27" s="1"/>
  <c r="GF148" i="27"/>
  <c r="GF111" i="27" s="1"/>
  <c r="FZ148" i="27"/>
  <c r="FZ111" i="27" s="1"/>
  <c r="GG148" i="27"/>
  <c r="GG111" i="27" s="1"/>
  <c r="L148" i="27"/>
  <c r="L111" i="27" s="1"/>
  <c r="DT148" i="27"/>
  <c r="DT111" i="27" s="1"/>
  <c r="DG148" i="27"/>
  <c r="DG111" i="27" s="1"/>
  <c r="BZ148" i="27"/>
  <c r="BZ111" i="27" s="1"/>
  <c r="X148" i="27"/>
  <c r="X111" i="27" s="1"/>
  <c r="DR148" i="27"/>
  <c r="DR111" i="27" s="1"/>
  <c r="CV148" i="27"/>
  <c r="CV111" i="27" s="1"/>
  <c r="EH148" i="27"/>
  <c r="EH111" i="27" s="1"/>
  <c r="HR148" i="27"/>
  <c r="HR111" i="27" s="1"/>
  <c r="DB148" i="27"/>
  <c r="DB111" i="27" s="1"/>
  <c r="BJ148" i="27"/>
  <c r="BJ111" i="27" s="1"/>
  <c r="BM148" i="27"/>
  <c r="BM111" i="27" s="1"/>
  <c r="HE148" i="27"/>
  <c r="HE111" i="27" s="1"/>
  <c r="EX148" i="27"/>
  <c r="EX111" i="27" s="1"/>
  <c r="HM148" i="27"/>
  <c r="HM111" i="27" s="1"/>
  <c r="IC148" i="27"/>
  <c r="IC111" i="27" s="1"/>
  <c r="CR148" i="27"/>
  <c r="CR111" i="27" s="1"/>
  <c r="ES148" i="27"/>
  <c r="ES111" i="27" s="1"/>
  <c r="EC148" i="27"/>
  <c r="EC111" i="27" s="1"/>
  <c r="BL148" i="27"/>
  <c r="BL111" i="27" s="1"/>
  <c r="GR148" i="27"/>
  <c r="GR111" i="27" s="1"/>
  <c r="HX148" i="27"/>
  <c r="HX111" i="27" s="1"/>
  <c r="GI148" i="27"/>
  <c r="GI111" i="27" s="1"/>
  <c r="DW148" i="27"/>
  <c r="DW111" i="27" s="1"/>
  <c r="ER148" i="27"/>
  <c r="ER111" i="27" s="1"/>
  <c r="FO148" i="27"/>
  <c r="FO111" i="27" s="1"/>
  <c r="IE148" i="27"/>
  <c r="IE111" i="27" s="1"/>
  <c r="AZ148" i="27"/>
  <c r="AZ111" i="27" s="1"/>
  <c r="BS148" i="27"/>
  <c r="BS111" i="27" s="1"/>
  <c r="BC148" i="27"/>
  <c r="BC111" i="27" s="1"/>
  <c r="AB148" i="27"/>
  <c r="AB111" i="27" s="1"/>
  <c r="HO148" i="27"/>
  <c r="HO111" i="27" s="1"/>
  <c r="EE148" i="27"/>
  <c r="EE111" i="27" s="1"/>
  <c r="EW148" i="27"/>
  <c r="EW111" i="27" s="1"/>
  <c r="AS148" i="27"/>
  <c r="AS111" i="27" s="1"/>
  <c r="HH148" i="27"/>
  <c r="HH111" i="27" s="1"/>
  <c r="BB148" i="27"/>
  <c r="BB111" i="27" s="1"/>
  <c r="FS148" i="27"/>
  <c r="FS111" i="27" s="1"/>
  <c r="GN148" i="27"/>
  <c r="GN111" i="27" s="1"/>
  <c r="BF148" i="27"/>
  <c r="BF111" i="27" s="1"/>
  <c r="FQ148" i="27"/>
  <c r="FQ111" i="27" s="1"/>
  <c r="EQ148" i="27"/>
  <c r="EQ111" i="27" s="1"/>
  <c r="CA148" i="27"/>
  <c r="CA111" i="27" s="1"/>
  <c r="EZ148" i="27"/>
  <c r="EZ111" i="27" s="1"/>
  <c r="HC148" i="27"/>
  <c r="HC111" i="27" s="1"/>
  <c r="DJ148" i="27"/>
  <c r="DJ111" i="27" s="1"/>
  <c r="BG148" i="27"/>
  <c r="BG111" i="27" s="1"/>
  <c r="HS148" i="27"/>
  <c r="HS111" i="27" s="1"/>
  <c r="CE148" i="27"/>
  <c r="CE111" i="27" s="1"/>
  <c r="CU148" i="27"/>
  <c r="CU111" i="27" s="1"/>
  <c r="FC148" i="27"/>
  <c r="FC111" i="27" s="1"/>
  <c r="DK148" i="27"/>
  <c r="DK111" i="27" s="1"/>
  <c r="EL148" i="27"/>
  <c r="EL111" i="27" s="1"/>
  <c r="DL148" i="27"/>
  <c r="DL111" i="27" s="1"/>
  <c r="HZ148" i="27"/>
  <c r="HZ111" i="27" s="1"/>
  <c r="FH148" i="27"/>
  <c r="FH111" i="27" s="1"/>
  <c r="AA148" i="27"/>
  <c r="AA111" i="27" s="1"/>
  <c r="HA148" i="27"/>
  <c r="HA111" i="27" s="1"/>
  <c r="HB148" i="27"/>
  <c r="HB111" i="27" s="1"/>
  <c r="S148" i="27"/>
  <c r="S111" i="27" s="1"/>
  <c r="AP148" i="27"/>
  <c r="AP111" i="27" s="1"/>
  <c r="FG148" i="27"/>
  <c r="FG111" i="27" s="1"/>
  <c r="CP148" i="27"/>
  <c r="CP111" i="27" s="1"/>
  <c r="BE148" i="27"/>
  <c r="BE111" i="27" s="1"/>
  <c r="K148" i="27"/>
  <c r="K111" i="27" s="1"/>
  <c r="GY148" i="27"/>
  <c r="GY111" i="27" s="1"/>
  <c r="EG148" i="27"/>
  <c r="EG111" i="27" s="1"/>
  <c r="R148" i="27"/>
  <c r="R111" i="27" s="1"/>
  <c r="FK148" i="27"/>
  <c r="FK111" i="27" s="1"/>
  <c r="FL148" i="27"/>
  <c r="FL111" i="27" s="1"/>
  <c r="FP148" i="27"/>
  <c r="FP111" i="27" s="1"/>
  <c r="II148" i="27"/>
  <c r="II111" i="27" s="1"/>
  <c r="AY148" i="27"/>
  <c r="AY111" i="27" s="1"/>
  <c r="GL148" i="27"/>
  <c r="GL111" i="27" s="1"/>
  <c r="CB148" i="27"/>
  <c r="CB111" i="27" s="1"/>
  <c r="BD148" i="27"/>
  <c r="BD111" i="27" s="1"/>
  <c r="GD148" i="27"/>
  <c r="GD111" i="27" s="1"/>
  <c r="FR148" i="27"/>
  <c r="FR111" i="27" s="1"/>
  <c r="CX148" i="27"/>
  <c r="CX111" i="27" s="1"/>
  <c r="EM148" i="27"/>
  <c r="EM111" i="27" s="1"/>
  <c r="AN148" i="27"/>
  <c r="AN111" i="27" s="1"/>
  <c r="DP148" i="27"/>
  <c r="DP111" i="27" s="1"/>
  <c r="BV148" i="27"/>
  <c r="BV111" i="27" s="1"/>
  <c r="U148" i="27"/>
  <c r="U111" i="27" s="1"/>
  <c r="BA148" i="27"/>
  <c r="BA111" i="27" s="1"/>
  <c r="CW148" i="27"/>
  <c r="CW111" i="27" s="1"/>
  <c r="EF148" i="27"/>
  <c r="EF111" i="27" s="1"/>
  <c r="AV148" i="27"/>
  <c r="AV111" i="27" s="1"/>
  <c r="AL148" i="27"/>
  <c r="AL111" i="27" s="1"/>
  <c r="IH148" i="27"/>
  <c r="IH111" i="27" s="1"/>
  <c r="EY148" i="27"/>
  <c r="EY111" i="27" s="1"/>
  <c r="DO148" i="27"/>
  <c r="DO111" i="27" s="1"/>
  <c r="IF148" i="27"/>
  <c r="IF111" i="27" s="1"/>
  <c r="FN148" i="27"/>
  <c r="FN111" i="27" s="1"/>
  <c r="AO148" i="27"/>
  <c r="AO111" i="27" s="1"/>
  <c r="Y148" i="27"/>
  <c r="Y111" i="27" s="1"/>
  <c r="HG148" i="27"/>
  <c r="HG111" i="27" s="1"/>
  <c r="GT148" i="27"/>
  <c r="GT111" i="27" s="1"/>
  <c r="CM148" i="27"/>
  <c r="CM111" i="27" s="1"/>
  <c r="BX148" i="27"/>
  <c r="BX111" i="27" s="1"/>
  <c r="HV148" i="27"/>
  <c r="HV111" i="27" s="1"/>
  <c r="FY148" i="27"/>
  <c r="FY111" i="27" s="1"/>
  <c r="CN148" i="27"/>
  <c r="CN111" i="27" s="1"/>
  <c r="AR148" i="27"/>
  <c r="AR111" i="27" s="1"/>
  <c r="DA148" i="27"/>
  <c r="DA111" i="27" s="1"/>
  <c r="CT148" i="27"/>
  <c r="CT111" i="27" s="1"/>
  <c r="J148" i="27"/>
  <c r="J111" i="27" s="1"/>
  <c r="FB148" i="27"/>
  <c r="FB111" i="27" s="1"/>
  <c r="EV148" i="27"/>
  <c r="EV111" i="27" s="1"/>
  <c r="FA148" i="27"/>
  <c r="FA111" i="27" s="1"/>
  <c r="CY148" i="27"/>
  <c r="CY111" i="27" s="1"/>
  <c r="CO148" i="27"/>
  <c r="CO111" i="27" s="1"/>
  <c r="FT148" i="27"/>
  <c r="FT111" i="27" s="1"/>
  <c r="H148" i="27"/>
  <c r="H111" i="27" s="1"/>
  <c r="GW148" i="27"/>
  <c r="GW111" i="27" s="1"/>
  <c r="GM148" i="27"/>
  <c r="GM111" i="27" s="1"/>
  <c r="AK148" i="27"/>
  <c r="AK111" i="27" s="1"/>
  <c r="GE148" i="27"/>
  <c r="GE111" i="27" s="1"/>
  <c r="HK148" i="27"/>
  <c r="HK111" i="27" s="1"/>
  <c r="GC148" i="27"/>
  <c r="GC111" i="27" s="1"/>
  <c r="EP148" i="27"/>
  <c r="EP111" i="27" s="1"/>
  <c r="FI148" i="27"/>
  <c r="FI111" i="27" s="1"/>
  <c r="V148" i="27"/>
  <c r="V111" i="27" s="1"/>
  <c r="DS148" i="27"/>
  <c r="DS111" i="27" s="1"/>
  <c r="IA148" i="27"/>
  <c r="IA111" i="27" s="1"/>
  <c r="AQ148" i="27"/>
  <c r="AQ111" i="27" s="1"/>
  <c r="CC148" i="27"/>
  <c r="CC111" i="27" s="1"/>
  <c r="CF148" i="27"/>
  <c r="CF111" i="27" s="1"/>
  <c r="DU148" i="27"/>
  <c r="DU111" i="27" s="1"/>
  <c r="HJ148" i="27"/>
  <c r="HJ111" i="27" s="1"/>
  <c r="IG148" i="27"/>
  <c r="IG111" i="27" s="1"/>
  <c r="A112" i="27"/>
  <c r="C227" i="27"/>
  <c r="D215" i="27"/>
  <c r="D230" i="27" s="1"/>
  <c r="G242" i="27" s="1"/>
  <c r="G221" i="27"/>
  <c r="G222" i="27" s="1"/>
  <c r="G152" i="27"/>
  <c r="S120" i="26"/>
  <c r="S121" i="26" s="1"/>
  <c r="S122" i="26" s="1"/>
  <c r="S123" i="26" s="1"/>
  <c r="S124" i="26"/>
  <c r="G24" i="19"/>
  <c r="J24" i="19" s="1"/>
  <c r="I151" i="26"/>
  <c r="N154" i="26"/>
  <c r="I147" i="26"/>
  <c r="B193" i="27"/>
  <c r="C193" i="27"/>
  <c r="D194" i="27"/>
  <c r="G193" i="27"/>
  <c r="C194" i="27"/>
  <c r="D193" i="27"/>
  <c r="R268" i="14"/>
  <c r="C396" i="26"/>
  <c r="K136" i="14"/>
  <c r="R136" i="14" s="1"/>
  <c r="C387" i="26"/>
  <c r="J265" i="26"/>
  <c r="J22" i="19"/>
  <c r="A113" i="27" l="1"/>
  <c r="A114" i="27"/>
  <c r="A115" i="27"/>
  <c r="D222" i="27"/>
  <c r="E222" i="27" s="1"/>
  <c r="D231" i="27"/>
  <c r="G251" i="27" s="1"/>
  <c r="E230" i="27"/>
  <c r="E231" i="27" s="1"/>
  <c r="G225" i="27"/>
  <c r="S125" i="26"/>
  <c r="S127" i="26" s="1"/>
  <c r="S129" i="26"/>
  <c r="G25" i="19"/>
  <c r="J25" i="19" s="1"/>
  <c r="D380" i="26"/>
  <c r="J400" i="26"/>
  <c r="O394" i="26" s="1"/>
  <c r="O395" i="26" s="1"/>
  <c r="L395" i="26" s="1"/>
  <c r="S366" i="26"/>
  <c r="D366" i="26" s="1"/>
  <c r="Q379" i="26"/>
  <c r="N371" i="26" s="1"/>
  <c r="J375" i="26"/>
  <c r="L391" i="26"/>
  <c r="L388" i="26"/>
  <c r="M407" i="26"/>
  <c r="J363" i="26"/>
  <c r="H385" i="26" s="1"/>
  <c r="D376" i="26"/>
  <c r="J399" i="26"/>
  <c r="L399" i="26" s="1"/>
  <c r="S365" i="26"/>
  <c r="N365" i="26" s="1"/>
  <c r="S364" i="26"/>
  <c r="D364" i="26" s="1"/>
  <c r="N379" i="26"/>
  <c r="S363" i="26"/>
  <c r="N363" i="26" s="1"/>
  <c r="N375" i="26"/>
  <c r="J367" i="26"/>
  <c r="J379" i="26"/>
  <c r="J401" i="26"/>
  <c r="J365" i="26"/>
  <c r="A193" i="27"/>
  <c r="A194" i="27"/>
  <c r="G243" i="27" l="1"/>
  <c r="E193" i="27"/>
  <c r="E226" i="27"/>
  <c r="G224" i="27"/>
  <c r="G226" i="27" s="1"/>
  <c r="E225" i="27" s="1"/>
  <c r="DI229" i="27"/>
  <c r="E227" i="27"/>
  <c r="G235" i="27" s="1"/>
  <c r="Q9" i="19"/>
  <c r="R10" i="19"/>
  <c r="Q13" i="19"/>
  <c r="S126" i="26"/>
  <c r="S131" i="26" s="1"/>
  <c r="R13" i="19"/>
  <c r="R12" i="19"/>
  <c r="R11" i="19"/>
  <c r="Q12" i="19"/>
  <c r="R9" i="19"/>
  <c r="Q11" i="19"/>
  <c r="Q10" i="19"/>
  <c r="D226" i="27"/>
  <c r="S128" i="26"/>
  <c r="P10" i="19" s="1"/>
  <c r="J405" i="26"/>
  <c r="L412" i="26" s="1"/>
  <c r="N368" i="26"/>
  <c r="L384" i="26" s="1"/>
  <c r="N390" i="26" s="1"/>
  <c r="L390" i="26" s="1"/>
  <c r="J404" i="26"/>
  <c r="L404" i="26" s="1"/>
  <c r="N367" i="26"/>
  <c r="AA267" i="14"/>
  <c r="AU229" i="27"/>
  <c r="T229" i="27"/>
  <c r="FH229" i="27"/>
  <c r="Z229" i="27"/>
  <c r="EQ229" i="27"/>
  <c r="HH229" i="27"/>
  <c r="BH229" i="27"/>
  <c r="AY229" i="27"/>
  <c r="IE229" i="27"/>
  <c r="BL229" i="27"/>
  <c r="BS229" i="27"/>
  <c r="AC229" i="27"/>
  <c r="FA229" i="27"/>
  <c r="DQ229" i="27"/>
  <c r="EB229" i="27"/>
  <c r="GG229" i="27"/>
  <c r="EJ229" i="27"/>
  <c r="IA229" i="27"/>
  <c r="GS229" i="27"/>
  <c r="HA229" i="27"/>
  <c r="BP229" i="27"/>
  <c r="CS229" i="27"/>
  <c r="HE229" i="27"/>
  <c r="EO229" i="27"/>
  <c r="AB229" i="27"/>
  <c r="AS229" i="27"/>
  <c r="BG229" i="27"/>
  <c r="FT229" i="27"/>
  <c r="GO229" i="27"/>
  <c r="AX229" i="27"/>
  <c r="DB229" i="27"/>
  <c r="W229" i="27"/>
  <c r="EC229" i="27"/>
  <c r="CH229" i="27"/>
  <c r="EY229" i="27"/>
  <c r="IK229" i="27"/>
  <c r="L229" i="27"/>
  <c r="GY229" i="27"/>
  <c r="FE229" i="27"/>
  <c r="BE229" i="27"/>
  <c r="CO229" i="27"/>
  <c r="EN229" i="27"/>
  <c r="CU229" i="27"/>
  <c r="DA229" i="27"/>
  <c r="CD229" i="27"/>
  <c r="EM229" i="27"/>
  <c r="FS229" i="27"/>
  <c r="ED229" i="27"/>
  <c r="BZ229" i="27"/>
  <c r="HD229" i="27"/>
  <c r="FX229" i="27"/>
  <c r="GQ229" i="27"/>
  <c r="BV229" i="27"/>
  <c r="Y229" i="27"/>
  <c r="H229" i="27"/>
  <c r="FC229" i="27"/>
  <c r="CW229" i="27"/>
  <c r="HO229" i="27"/>
  <c r="FY229" i="27"/>
  <c r="AH229" i="27"/>
  <c r="AJ229" i="27"/>
  <c r="HL229" i="27"/>
  <c r="CX229" i="27"/>
  <c r="DV229" i="27"/>
  <c r="FG229" i="27"/>
  <c r="HR229" i="27"/>
  <c r="CT229" i="27"/>
  <c r="FB229" i="27"/>
  <c r="BC229" i="27"/>
  <c r="IG229" i="27"/>
  <c r="EK229" i="27"/>
  <c r="FR229" i="27"/>
  <c r="CE229" i="27"/>
  <c r="ID229" i="27"/>
  <c r="FQ229" i="27"/>
  <c r="GU229" i="27"/>
  <c r="FJ229" i="27"/>
  <c r="EW229" i="27"/>
  <c r="P229" i="27"/>
  <c r="AW229" i="27"/>
  <c r="CB229" i="27"/>
  <c r="BJ229" i="27"/>
  <c r="AL229" i="27"/>
  <c r="EP229" i="27"/>
  <c r="GB229" i="27"/>
  <c r="CL229" i="27"/>
  <c r="BM229" i="27"/>
  <c r="AE229" i="27"/>
  <c r="FV229" i="27"/>
  <c r="HZ229" i="27"/>
  <c r="FN229" i="27"/>
  <c r="EV229" i="27"/>
  <c r="GE229" i="27"/>
  <c r="GW229" i="27"/>
  <c r="ES229" i="27"/>
  <c r="CJ229" i="27"/>
  <c r="AI229" i="27"/>
  <c r="BO229" i="27"/>
  <c r="GF229" i="27"/>
  <c r="DG229" i="27"/>
  <c r="FM229" i="27"/>
  <c r="Q229" i="27"/>
  <c r="CA229" i="27"/>
  <c r="BN229" i="27"/>
  <c r="HW229" i="27"/>
  <c r="CZ229" i="27"/>
  <c r="DM229" i="27"/>
  <c r="AR229" i="27"/>
  <c r="R229" i="27"/>
  <c r="CQ229" i="27"/>
  <c r="ET229" i="27"/>
  <c r="CY229" i="27"/>
  <c r="FZ229" i="27"/>
  <c r="EE229" i="27"/>
  <c r="BI229" i="27"/>
  <c r="EG229" i="27"/>
  <c r="BK229" i="27"/>
  <c r="AT229" i="27"/>
  <c r="CK229" i="27"/>
  <c r="K229" i="27"/>
  <c r="AD229" i="27"/>
  <c r="EA229" i="27"/>
  <c r="ER229" i="27"/>
  <c r="GP229" i="27"/>
  <c r="CM229" i="27"/>
  <c r="CP229" i="27"/>
  <c r="BF229" i="27"/>
  <c r="DW229" i="27"/>
  <c r="IJ229" i="27"/>
  <c r="GH229" i="27"/>
  <c r="BR229" i="27"/>
  <c r="DH229" i="27"/>
  <c r="HM229" i="27"/>
  <c r="CG229" i="27"/>
  <c r="FO229" i="27"/>
  <c r="N229" i="27"/>
  <c r="AM229" i="27"/>
  <c r="AZ229" i="27"/>
  <c r="DE229" i="27"/>
  <c r="EH229" i="27"/>
  <c r="HT229" i="27"/>
  <c r="GN229" i="27"/>
  <c r="AQ229" i="27"/>
  <c r="BA229" i="27"/>
  <c r="GI229" i="27"/>
  <c r="O229" i="27"/>
  <c r="U229" i="27"/>
  <c r="DJ229" i="27"/>
  <c r="HU229" i="27"/>
  <c r="GD229" i="27"/>
  <c r="EF229" i="27"/>
  <c r="AO229" i="27"/>
  <c r="FW229" i="27"/>
  <c r="HY229" i="27"/>
  <c r="DY229" i="27"/>
  <c r="DX229" i="27"/>
  <c r="BB229" i="27"/>
  <c r="HX229" i="27"/>
  <c r="BU229" i="27"/>
  <c r="GR229" i="27"/>
  <c r="BD229" i="27"/>
  <c r="FK229" i="27"/>
  <c r="II229" i="27"/>
  <c r="DP229" i="27"/>
  <c r="AP229" i="27"/>
  <c r="DZ229" i="27"/>
  <c r="FI229" i="27"/>
  <c r="EU229" i="27"/>
  <c r="DU229" i="27"/>
  <c r="FL229" i="27"/>
  <c r="IB229" i="27"/>
  <c r="GC229" i="27"/>
  <c r="AV229" i="27"/>
  <c r="AA229" i="27"/>
  <c r="HB229" i="27"/>
  <c r="HI229" i="27"/>
  <c r="EX229" i="27"/>
  <c r="GX229" i="27"/>
  <c r="CN229" i="27"/>
  <c r="DD229" i="27"/>
  <c r="HG229" i="27"/>
  <c r="HC229" i="27"/>
  <c r="DS229" i="27"/>
  <c r="IC229" i="27"/>
  <c r="DO229" i="27"/>
  <c r="EZ229" i="27"/>
  <c r="GM229" i="27"/>
  <c r="DK229" i="27"/>
  <c r="FD229" i="27"/>
  <c r="HS229" i="27"/>
  <c r="BX229" i="27"/>
  <c r="BQ229" i="27"/>
  <c r="BY229" i="27"/>
  <c r="CC229" i="27"/>
  <c r="CF229" i="27"/>
  <c r="DT229" i="27"/>
  <c r="HV229" i="27"/>
  <c r="EL229" i="27"/>
  <c r="FF229" i="27"/>
  <c r="GZ229" i="27"/>
  <c r="AF229" i="27"/>
  <c r="HN229" i="27"/>
  <c r="CV229" i="27"/>
  <c r="CR229" i="27"/>
  <c r="GL229" i="27"/>
  <c r="HF229" i="27"/>
  <c r="AK229" i="27"/>
  <c r="X229" i="27"/>
  <c r="IF229" i="27"/>
  <c r="AN229" i="27"/>
  <c r="S229" i="27"/>
  <c r="GK229" i="27"/>
  <c r="V229" i="27"/>
  <c r="EI229" i="27"/>
  <c r="CI229" i="27"/>
  <c r="J229" i="27"/>
  <c r="GJ229" i="27"/>
  <c r="DF229" i="27"/>
  <c r="HP229" i="27"/>
  <c r="GT229" i="27"/>
  <c r="FU229" i="27"/>
  <c r="I229" i="27"/>
  <c r="BT229" i="27"/>
  <c r="GA229" i="27"/>
  <c r="M229" i="27"/>
  <c r="HK229" i="27"/>
  <c r="AG229" i="27"/>
  <c r="HJ229" i="27"/>
  <c r="DN229" i="27"/>
  <c r="FP229" i="27"/>
  <c r="IH229" i="27"/>
  <c r="GV229" i="27"/>
  <c r="DL229" i="27"/>
  <c r="HQ229" i="27"/>
  <c r="DC229" i="27"/>
  <c r="BW229" i="27"/>
  <c r="DR229" i="27"/>
  <c r="L386" i="26"/>
  <c r="D225" i="27" l="1"/>
  <c r="C225" i="27" s="1"/>
  <c r="P9" i="19"/>
  <c r="P13" i="19"/>
  <c r="P12" i="19"/>
  <c r="P11" i="19"/>
  <c r="H137" i="26"/>
  <c r="P8" i="19"/>
  <c r="S130" i="26"/>
  <c r="N360" i="26"/>
  <c r="H141" i="26"/>
  <c r="H142" i="26"/>
  <c r="H139" i="26"/>
  <c r="H140" i="26"/>
  <c r="H116" i="26"/>
  <c r="M412" i="26"/>
  <c r="L405" i="26"/>
  <c r="H138" i="26"/>
  <c r="G227" i="27" l="1"/>
  <c r="E224" i="27" s="1"/>
  <c r="HN220" i="27" s="1"/>
  <c r="HN193" i="27" s="1"/>
  <c r="I263" i="26"/>
  <c r="I264" i="26" s="1"/>
  <c r="L410" i="26"/>
  <c r="M410" i="26" s="1"/>
  <c r="D167" i="27"/>
  <c r="F115" i="27" s="1"/>
  <c r="V126" i="27" s="1"/>
  <c r="D251" i="27"/>
  <c r="F199" i="27" s="1"/>
  <c r="D200" i="27" s="1"/>
  <c r="W200" i="25"/>
  <c r="S207" i="25" s="1"/>
  <c r="I266" i="26"/>
  <c r="J266" i="26" s="1"/>
  <c r="D83" i="27"/>
  <c r="F31" i="27" s="1"/>
  <c r="C31" i="27" s="1"/>
  <c r="D335" i="27"/>
  <c r="F283" i="27" s="1"/>
  <c r="G283" i="27" s="1"/>
  <c r="K288" i="26"/>
  <c r="K212" i="14" s="1"/>
  <c r="R212" i="14" s="1"/>
  <c r="K286" i="26"/>
  <c r="K210" i="14" s="1"/>
  <c r="R210" i="14" s="1"/>
  <c r="K283" i="26"/>
  <c r="K207" i="14" s="1"/>
  <c r="R207" i="14" s="1"/>
  <c r="K282" i="26"/>
  <c r="K206" i="14" s="1"/>
  <c r="R206" i="14" s="1"/>
  <c r="K281" i="26"/>
  <c r="K205" i="14" s="1"/>
  <c r="R205" i="14" s="1"/>
  <c r="K285" i="26"/>
  <c r="K209" i="14" s="1"/>
  <c r="R209" i="14" s="1"/>
  <c r="K280" i="26"/>
  <c r="K204" i="14" s="1"/>
  <c r="R204" i="14" s="1"/>
  <c r="K279" i="26"/>
  <c r="K203" i="14" s="1"/>
  <c r="R203" i="14" s="1"/>
  <c r="K274" i="26"/>
  <c r="K198" i="14" s="1"/>
  <c r="R198" i="14" s="1"/>
  <c r="K277" i="26"/>
  <c r="K201" i="14" s="1"/>
  <c r="R201" i="14" s="1"/>
  <c r="K284" i="26"/>
  <c r="K208" i="14" s="1"/>
  <c r="R208" i="14" s="1"/>
  <c r="K287" i="26"/>
  <c r="K211" i="14" s="1"/>
  <c r="R211" i="14" s="1"/>
  <c r="V179" i="14"/>
  <c r="K278" i="26"/>
  <c r="K202" i="14" s="1"/>
  <c r="R202" i="14" s="1"/>
  <c r="K275" i="26"/>
  <c r="K199" i="14" s="1"/>
  <c r="R199" i="14" s="1"/>
  <c r="K276" i="26"/>
  <c r="K200" i="14" s="1"/>
  <c r="R200" i="14" s="1"/>
  <c r="N220" i="27" l="1"/>
  <c r="N193" i="27" s="1"/>
  <c r="HF220" i="27"/>
  <c r="HF193" i="27" s="1"/>
  <c r="FK220" i="27"/>
  <c r="FK193" i="27" s="1"/>
  <c r="GP220" i="27"/>
  <c r="GP193" i="27" s="1"/>
  <c r="CS220" i="27"/>
  <c r="CS193" i="27" s="1"/>
  <c r="GY220" i="27"/>
  <c r="GY193" i="27" s="1"/>
  <c r="EC220" i="27"/>
  <c r="EC193" i="27" s="1"/>
  <c r="GC220" i="27"/>
  <c r="GC193" i="27" s="1"/>
  <c r="HM220" i="27"/>
  <c r="HM193" i="27" s="1"/>
  <c r="EL220" i="27"/>
  <c r="EL193" i="27" s="1"/>
  <c r="DW220" i="27"/>
  <c r="DW193" i="27" s="1"/>
  <c r="FO220" i="27"/>
  <c r="FO193" i="27" s="1"/>
  <c r="HK220" i="27"/>
  <c r="HK193" i="27" s="1"/>
  <c r="HI220" i="27"/>
  <c r="HI193" i="27" s="1"/>
  <c r="HD220" i="27"/>
  <c r="HD193" i="27" s="1"/>
  <c r="W220" i="27"/>
  <c r="W193" i="27" s="1"/>
  <c r="GQ220" i="27"/>
  <c r="GQ193" i="27" s="1"/>
  <c r="BB220" i="27"/>
  <c r="BB193" i="27" s="1"/>
  <c r="BF220" i="27"/>
  <c r="BF193" i="27" s="1"/>
  <c r="ID220" i="27"/>
  <c r="ID193" i="27" s="1"/>
  <c r="HS220" i="27"/>
  <c r="HS193" i="27" s="1"/>
  <c r="GK220" i="27"/>
  <c r="GK193" i="27" s="1"/>
  <c r="GO220" i="27"/>
  <c r="GO193" i="27" s="1"/>
  <c r="DH220" i="27"/>
  <c r="DH193" i="27" s="1"/>
  <c r="BW220" i="27"/>
  <c r="BW193" i="27" s="1"/>
  <c r="V220" i="27"/>
  <c r="V193" i="27" s="1"/>
  <c r="CW220" i="27"/>
  <c r="CW193" i="27" s="1"/>
  <c r="CB220" i="27"/>
  <c r="CB193" i="27" s="1"/>
  <c r="GE220" i="27"/>
  <c r="GE193" i="27" s="1"/>
  <c r="BA220" i="27"/>
  <c r="BA193" i="27" s="1"/>
  <c r="CD220" i="27"/>
  <c r="CD193" i="27" s="1"/>
  <c r="BC220" i="27"/>
  <c r="BC193" i="27" s="1"/>
  <c r="BS220" i="27"/>
  <c r="BS193" i="27" s="1"/>
  <c r="HJ220" i="27"/>
  <c r="HJ193" i="27" s="1"/>
  <c r="DT220" i="27"/>
  <c r="DT193" i="27" s="1"/>
  <c r="FX220" i="27"/>
  <c r="FX193" i="27" s="1"/>
  <c r="HT220" i="27"/>
  <c r="HT193" i="27" s="1"/>
  <c r="GM220" i="27"/>
  <c r="GM193" i="27" s="1"/>
  <c r="AM220" i="27"/>
  <c r="AM193" i="27" s="1"/>
  <c r="IJ220" i="27"/>
  <c r="IJ193" i="27" s="1"/>
  <c r="IG220" i="27"/>
  <c r="IG193" i="27" s="1"/>
  <c r="CM220" i="27"/>
  <c r="CM193" i="27" s="1"/>
  <c r="D224" i="27"/>
  <c r="E194" i="27" s="1"/>
  <c r="GI220" i="27"/>
  <c r="GI193" i="27" s="1"/>
  <c r="CT220" i="27"/>
  <c r="CT193" i="27" s="1"/>
  <c r="DO220" i="27"/>
  <c r="DO193" i="27" s="1"/>
  <c r="AY220" i="27"/>
  <c r="AY193" i="27" s="1"/>
  <c r="DY220" i="27"/>
  <c r="DY193" i="27" s="1"/>
  <c r="DG220" i="27"/>
  <c r="DG193" i="27" s="1"/>
  <c r="GT220" i="27"/>
  <c r="GT193" i="27" s="1"/>
  <c r="BJ220" i="27"/>
  <c r="BJ193" i="27" s="1"/>
  <c r="GW220" i="27"/>
  <c r="GW193" i="27" s="1"/>
  <c r="DF220" i="27"/>
  <c r="DF193" i="27" s="1"/>
  <c r="BV220" i="27"/>
  <c r="BV193" i="27" s="1"/>
  <c r="O220" i="27"/>
  <c r="O193" i="27" s="1"/>
  <c r="FT220" i="27"/>
  <c r="FT193" i="27" s="1"/>
  <c r="HW220" i="27"/>
  <c r="HW193" i="27" s="1"/>
  <c r="L220" i="27"/>
  <c r="L193" i="27" s="1"/>
  <c r="GH220" i="27"/>
  <c r="GH193" i="27" s="1"/>
  <c r="GU220" i="27"/>
  <c r="GU193" i="27" s="1"/>
  <c r="HG220" i="27"/>
  <c r="HG193" i="27" s="1"/>
  <c r="FE220" i="27"/>
  <c r="FE193" i="27" s="1"/>
  <c r="FL220" i="27"/>
  <c r="FL193" i="27" s="1"/>
  <c r="BE220" i="27"/>
  <c r="BE193" i="27" s="1"/>
  <c r="GS220" i="27"/>
  <c r="GS193" i="27" s="1"/>
  <c r="AC220" i="27"/>
  <c r="AC193" i="27" s="1"/>
  <c r="DZ220" i="27"/>
  <c r="DZ193" i="27" s="1"/>
  <c r="AA220" i="27"/>
  <c r="AA193" i="27" s="1"/>
  <c r="CZ220" i="27"/>
  <c r="CZ193" i="27" s="1"/>
  <c r="K220" i="27"/>
  <c r="K193" i="27" s="1"/>
  <c r="I220" i="27"/>
  <c r="I193" i="27" s="1"/>
  <c r="FG220" i="27"/>
  <c r="FG193" i="27" s="1"/>
  <c r="CJ220" i="27"/>
  <c r="CJ193" i="27" s="1"/>
  <c r="CX220" i="27"/>
  <c r="CX193" i="27" s="1"/>
  <c r="G234" i="27"/>
  <c r="BG220" i="27"/>
  <c r="BG193" i="27" s="1"/>
  <c r="AO220" i="27"/>
  <c r="AO193" i="27" s="1"/>
  <c r="EH220" i="27"/>
  <c r="EH193" i="27" s="1"/>
  <c r="CL220" i="27"/>
  <c r="CL193" i="27" s="1"/>
  <c r="AG220" i="27"/>
  <c r="AG193" i="27" s="1"/>
  <c r="BP220" i="27"/>
  <c r="BP193" i="27" s="1"/>
  <c r="ET220" i="27"/>
  <c r="ET193" i="27" s="1"/>
  <c r="CK220" i="27"/>
  <c r="CK193" i="27" s="1"/>
  <c r="FW220" i="27"/>
  <c r="FW193" i="27" s="1"/>
  <c r="DP220" i="27"/>
  <c r="DP193" i="27" s="1"/>
  <c r="CV220" i="27"/>
  <c r="CV193" i="27" s="1"/>
  <c r="BQ220" i="27"/>
  <c r="BQ193" i="27" s="1"/>
  <c r="IF220" i="27"/>
  <c r="IF193" i="27" s="1"/>
  <c r="EO220" i="27"/>
  <c r="EO193" i="27" s="1"/>
  <c r="DM220" i="27"/>
  <c r="DM193" i="27" s="1"/>
  <c r="GV220" i="27"/>
  <c r="GV193" i="27" s="1"/>
  <c r="DX220" i="27"/>
  <c r="DX193" i="27" s="1"/>
  <c r="ER220" i="27"/>
  <c r="ER193" i="27" s="1"/>
  <c r="FY220" i="27"/>
  <c r="FY193" i="27" s="1"/>
  <c r="BD220" i="27"/>
  <c r="BD193" i="27" s="1"/>
  <c r="H220" i="27"/>
  <c r="H193" i="27" s="1"/>
  <c r="U220" i="27"/>
  <c r="U193" i="27" s="1"/>
  <c r="HP220" i="27"/>
  <c r="HP193" i="27" s="1"/>
  <c r="T220" i="27"/>
  <c r="T193" i="27" s="1"/>
  <c r="IB220" i="27"/>
  <c r="IB193" i="27" s="1"/>
  <c r="HE220" i="27"/>
  <c r="HE193" i="27" s="1"/>
  <c r="DR220" i="27"/>
  <c r="DR193" i="27" s="1"/>
  <c r="CO220" i="27"/>
  <c r="CO193" i="27" s="1"/>
  <c r="CR220" i="27"/>
  <c r="CR193" i="27" s="1"/>
  <c r="IH220" i="27"/>
  <c r="IH193" i="27" s="1"/>
  <c r="DU220" i="27"/>
  <c r="DU193" i="27" s="1"/>
  <c r="CI220" i="27"/>
  <c r="CI193" i="27" s="1"/>
  <c r="HA220" i="27"/>
  <c r="HA193" i="27" s="1"/>
  <c r="DN220" i="27"/>
  <c r="DN193" i="27" s="1"/>
  <c r="FF220" i="27"/>
  <c r="FF193" i="27" s="1"/>
  <c r="DA220" i="27"/>
  <c r="DA193" i="27" s="1"/>
  <c r="FI220" i="27"/>
  <c r="FI193" i="27" s="1"/>
  <c r="EV220" i="27"/>
  <c r="EV193" i="27" s="1"/>
  <c r="FP220" i="27"/>
  <c r="FP193" i="27" s="1"/>
  <c r="DE220" i="27"/>
  <c r="DE193" i="27" s="1"/>
  <c r="HL220" i="27"/>
  <c r="HL193" i="27" s="1"/>
  <c r="DV220" i="27"/>
  <c r="DV193" i="27" s="1"/>
  <c r="BY220" i="27"/>
  <c r="BY193" i="27" s="1"/>
  <c r="GX220" i="27"/>
  <c r="GX193" i="27" s="1"/>
  <c r="GN220" i="27"/>
  <c r="GN193" i="27" s="1"/>
  <c r="AW220" i="27"/>
  <c r="AW193" i="27" s="1"/>
  <c r="IA220" i="27"/>
  <c r="IA193" i="27" s="1"/>
  <c r="FD220" i="27"/>
  <c r="FD193" i="27" s="1"/>
  <c r="BO220" i="27"/>
  <c r="BO193" i="27" s="1"/>
  <c r="BZ220" i="27"/>
  <c r="BZ193" i="27" s="1"/>
  <c r="DB220" i="27"/>
  <c r="DB193" i="27" s="1"/>
  <c r="AV220" i="27"/>
  <c r="AV193" i="27" s="1"/>
  <c r="GF220" i="27"/>
  <c r="GF193" i="27" s="1"/>
  <c r="FR220" i="27"/>
  <c r="FR193" i="27" s="1"/>
  <c r="AD220" i="27"/>
  <c r="AD193" i="27" s="1"/>
  <c r="X220" i="27"/>
  <c r="X193" i="27" s="1"/>
  <c r="DS220" i="27"/>
  <c r="DS193" i="27" s="1"/>
  <c r="CN220" i="27"/>
  <c r="CN193" i="27" s="1"/>
  <c r="EG220" i="27"/>
  <c r="EG193" i="27" s="1"/>
  <c r="II220" i="27"/>
  <c r="II193" i="27" s="1"/>
  <c r="EA220" i="27"/>
  <c r="EA193" i="27" s="1"/>
  <c r="DD220" i="27"/>
  <c r="DD193" i="27" s="1"/>
  <c r="GJ220" i="27"/>
  <c r="GJ193" i="27" s="1"/>
  <c r="CH220" i="27"/>
  <c r="CH193" i="27" s="1"/>
  <c r="DK220" i="27"/>
  <c r="DK193" i="27" s="1"/>
  <c r="DI220" i="27"/>
  <c r="DI193" i="27" s="1"/>
  <c r="HH220" i="27"/>
  <c r="HH193" i="27" s="1"/>
  <c r="Q220" i="27"/>
  <c r="Q193" i="27" s="1"/>
  <c r="HY220" i="27"/>
  <c r="HY193" i="27" s="1"/>
  <c r="EP220" i="27"/>
  <c r="EP193" i="27" s="1"/>
  <c r="GR220" i="27"/>
  <c r="GR193" i="27" s="1"/>
  <c r="HB220" i="27"/>
  <c r="HB193" i="27" s="1"/>
  <c r="Y220" i="27"/>
  <c r="Y193" i="27" s="1"/>
  <c r="FA220" i="27"/>
  <c r="FA193" i="27" s="1"/>
  <c r="BK220" i="27"/>
  <c r="BK193" i="27" s="1"/>
  <c r="IC220" i="27"/>
  <c r="IC193" i="27" s="1"/>
  <c r="AX220" i="27"/>
  <c r="AX193" i="27" s="1"/>
  <c r="AQ220" i="27"/>
  <c r="AQ193" i="27" s="1"/>
  <c r="CQ220" i="27"/>
  <c r="CQ193" i="27" s="1"/>
  <c r="ED220" i="27"/>
  <c r="ED193" i="27" s="1"/>
  <c r="CC220" i="27"/>
  <c r="CC193" i="27" s="1"/>
  <c r="AK220" i="27"/>
  <c r="AK193" i="27" s="1"/>
  <c r="FJ220" i="27"/>
  <c r="FJ193" i="27" s="1"/>
  <c r="GZ220" i="27"/>
  <c r="GZ193" i="27" s="1"/>
  <c r="CP220" i="27"/>
  <c r="CP193" i="27" s="1"/>
  <c r="BX220" i="27"/>
  <c r="BX193" i="27" s="1"/>
  <c r="FN220" i="27"/>
  <c r="FN193" i="27" s="1"/>
  <c r="J220" i="27"/>
  <c r="J193" i="27" s="1"/>
  <c r="FV220" i="27"/>
  <c r="FV193" i="27" s="1"/>
  <c r="AB220" i="27"/>
  <c r="AB193" i="27" s="1"/>
  <c r="AI220" i="27"/>
  <c r="AI193" i="27" s="1"/>
  <c r="EX220" i="27"/>
  <c r="EX193" i="27" s="1"/>
  <c r="BR220" i="27"/>
  <c r="BR193" i="27" s="1"/>
  <c r="HQ220" i="27"/>
  <c r="HQ193" i="27" s="1"/>
  <c r="EQ220" i="27"/>
  <c r="EQ193" i="27" s="1"/>
  <c r="FZ220" i="27"/>
  <c r="FZ193" i="27" s="1"/>
  <c r="AL220" i="27"/>
  <c r="AL193" i="27" s="1"/>
  <c r="BT220" i="27"/>
  <c r="BT193" i="27" s="1"/>
  <c r="EM220" i="27"/>
  <c r="EM193" i="27" s="1"/>
  <c r="GD220" i="27"/>
  <c r="GD193" i="27" s="1"/>
  <c r="AE220" i="27"/>
  <c r="AE193" i="27" s="1"/>
  <c r="CG220" i="27"/>
  <c r="CG193" i="27" s="1"/>
  <c r="EB220" i="27"/>
  <c r="EB193" i="27" s="1"/>
  <c r="AS220" i="27"/>
  <c r="AS193" i="27" s="1"/>
  <c r="GB220" i="27"/>
  <c r="GB193" i="27" s="1"/>
  <c r="EW220" i="27"/>
  <c r="EW193" i="27" s="1"/>
  <c r="CA220" i="27"/>
  <c r="CA193" i="27" s="1"/>
  <c r="EY220" i="27"/>
  <c r="EY193" i="27" s="1"/>
  <c r="GG220" i="27"/>
  <c r="GG193" i="27" s="1"/>
  <c r="HC220" i="27"/>
  <c r="HC193" i="27" s="1"/>
  <c r="GA220" i="27"/>
  <c r="GA193" i="27" s="1"/>
  <c r="AJ220" i="27"/>
  <c r="AJ193" i="27" s="1"/>
  <c r="HU220" i="27"/>
  <c r="HU193" i="27" s="1"/>
  <c r="AH220" i="27"/>
  <c r="AH193" i="27" s="1"/>
  <c r="HV220" i="27"/>
  <c r="HV193" i="27" s="1"/>
  <c r="S220" i="27"/>
  <c r="S193" i="27" s="1"/>
  <c r="EJ220" i="27"/>
  <c r="EJ193" i="27" s="1"/>
  <c r="EI220" i="27"/>
  <c r="EI193" i="27" s="1"/>
  <c r="FH220" i="27"/>
  <c r="FH193" i="27" s="1"/>
  <c r="FB220" i="27"/>
  <c r="FB193" i="27" s="1"/>
  <c r="M220" i="27"/>
  <c r="M193" i="27" s="1"/>
  <c r="DJ220" i="27"/>
  <c r="DJ193" i="27" s="1"/>
  <c r="CF220" i="27"/>
  <c r="CF193" i="27" s="1"/>
  <c r="FQ220" i="27"/>
  <c r="FQ193" i="27" s="1"/>
  <c r="AR220" i="27"/>
  <c r="AR193" i="27" s="1"/>
  <c r="BH220" i="27"/>
  <c r="BH193" i="27" s="1"/>
  <c r="AT220" i="27"/>
  <c r="AT193" i="27" s="1"/>
  <c r="HZ220" i="27"/>
  <c r="HZ193" i="27" s="1"/>
  <c r="DL220" i="27"/>
  <c r="DL193" i="27" s="1"/>
  <c r="EK220" i="27"/>
  <c r="EK193" i="27" s="1"/>
  <c r="FM220" i="27"/>
  <c r="FM193" i="27" s="1"/>
  <c r="FC220" i="27"/>
  <c r="FC193" i="27" s="1"/>
  <c r="DQ220" i="27"/>
  <c r="DQ193" i="27" s="1"/>
  <c r="AN220" i="27"/>
  <c r="AN193" i="27" s="1"/>
  <c r="IE220" i="27"/>
  <c r="IE193" i="27" s="1"/>
  <c r="BU220" i="27"/>
  <c r="BU193" i="27" s="1"/>
  <c r="R220" i="27"/>
  <c r="R193" i="27" s="1"/>
  <c r="FS220" i="27"/>
  <c r="FS193" i="27" s="1"/>
  <c r="AP220" i="27"/>
  <c r="AP193" i="27" s="1"/>
  <c r="EU220" i="27"/>
  <c r="EU193" i="27" s="1"/>
  <c r="P220" i="27"/>
  <c r="P193" i="27" s="1"/>
  <c r="HX220" i="27"/>
  <c r="HX193" i="27" s="1"/>
  <c r="EE220" i="27"/>
  <c r="EE193" i="27" s="1"/>
  <c r="EN220" i="27"/>
  <c r="EN193" i="27" s="1"/>
  <c r="DC220" i="27"/>
  <c r="DC193" i="27" s="1"/>
  <c r="BM220" i="27"/>
  <c r="BM193" i="27" s="1"/>
  <c r="Z220" i="27"/>
  <c r="Z193" i="27" s="1"/>
  <c r="HR220" i="27"/>
  <c r="HR193" i="27" s="1"/>
  <c r="AF220" i="27"/>
  <c r="AF193" i="27" s="1"/>
  <c r="EZ220" i="27"/>
  <c r="EZ193" i="27" s="1"/>
  <c r="BI220" i="27"/>
  <c r="BI193" i="27" s="1"/>
  <c r="GL220" i="27"/>
  <c r="GL193" i="27" s="1"/>
  <c r="CY220" i="27"/>
  <c r="CY193" i="27" s="1"/>
  <c r="BL220" i="27"/>
  <c r="BL193" i="27" s="1"/>
  <c r="AU220" i="27"/>
  <c r="AU193" i="27" s="1"/>
  <c r="HO220" i="27"/>
  <c r="HO193" i="27" s="1"/>
  <c r="EF220" i="27"/>
  <c r="EF193" i="27" s="1"/>
  <c r="AZ220" i="27"/>
  <c r="AZ193" i="27" s="1"/>
  <c r="ES220" i="27"/>
  <c r="ES193" i="27" s="1"/>
  <c r="CE220" i="27"/>
  <c r="CE193" i="27" s="1"/>
  <c r="IK220" i="27"/>
  <c r="IK193" i="27" s="1"/>
  <c r="CU220" i="27"/>
  <c r="CU193" i="27" s="1"/>
  <c r="FU220" i="27"/>
  <c r="FU193" i="27" s="1"/>
  <c r="BN220" i="27"/>
  <c r="BN193" i="27" s="1"/>
  <c r="C115" i="27"/>
  <c r="D116" i="27"/>
  <c r="G115" i="27"/>
  <c r="D115" i="27"/>
  <c r="C199" i="27"/>
  <c r="G199" i="27"/>
  <c r="D199" i="27"/>
  <c r="Q380" i="26"/>
  <c r="N373" i="26" s="1"/>
  <c r="J403" i="26"/>
  <c r="L403" i="26" s="1"/>
  <c r="N377" i="26"/>
  <c r="V97" i="14"/>
  <c r="D284" i="27"/>
  <c r="C283" i="27"/>
  <c r="D283" i="27"/>
  <c r="V42" i="27"/>
  <c r="G31" i="27"/>
  <c r="D31" i="27"/>
  <c r="D32" i="27"/>
  <c r="V207" i="14"/>
  <c r="Q214" i="14"/>
  <c r="AC214" i="14" s="1"/>
  <c r="D234" i="27" l="1"/>
  <c r="G244" i="27" s="1"/>
  <c r="G245" i="27" s="1"/>
  <c r="G252" i="27"/>
  <c r="J402" i="26"/>
  <c r="L392" i="26" s="1"/>
  <c r="L393" i="26" s="1"/>
  <c r="G231" i="27" l="1"/>
  <c r="G230" i="27" s="1"/>
  <c r="E234" i="27"/>
  <c r="L389" i="26"/>
  <c r="L394" i="26"/>
  <c r="E311" i="27"/>
  <c r="E310" i="27"/>
  <c r="D232" i="27" l="1"/>
  <c r="E235" i="27" s="1"/>
  <c r="G303" i="27" s="1"/>
  <c r="V129" i="14"/>
  <c r="F195" i="27" l="1"/>
  <c r="D235" i="27"/>
  <c r="G236" i="27" s="1"/>
  <c r="EN232" i="27"/>
  <c r="EN195" i="27" s="1"/>
  <c r="HA232" i="27"/>
  <c r="HA195" i="27" s="1"/>
  <c r="HM232" i="27"/>
  <c r="HM195" i="27" s="1"/>
  <c r="CC232" i="27"/>
  <c r="CC195" i="27" s="1"/>
  <c r="EP232" i="27"/>
  <c r="EP195" i="27" s="1"/>
  <c r="BJ232" i="27"/>
  <c r="BJ195" i="27" s="1"/>
  <c r="BE232" i="27"/>
  <c r="BE195" i="27" s="1"/>
  <c r="O232" i="27"/>
  <c r="O195" i="27" s="1"/>
  <c r="FA232" i="27"/>
  <c r="FA195" i="27" s="1"/>
  <c r="GM232" i="27"/>
  <c r="GM195" i="27" s="1"/>
  <c r="CH232" i="27"/>
  <c r="CH195" i="27" s="1"/>
  <c r="DD232" i="27"/>
  <c r="DD195" i="27" s="1"/>
  <c r="FG232" i="27"/>
  <c r="FG195" i="27" s="1"/>
  <c r="T232" i="27"/>
  <c r="T195" i="27" s="1"/>
  <c r="J232" i="27"/>
  <c r="J195" i="27" s="1"/>
  <c r="CY232" i="27"/>
  <c r="CY195" i="27" s="1"/>
  <c r="BS232" i="27"/>
  <c r="BS195" i="27" s="1"/>
  <c r="CS232" i="27"/>
  <c r="CS195" i="27" s="1"/>
  <c r="GD232" i="27"/>
  <c r="GD195" i="27" s="1"/>
  <c r="BF232" i="27"/>
  <c r="BF195" i="27" s="1"/>
  <c r="CU232" i="27"/>
  <c r="CU195" i="27" s="1"/>
  <c r="GT232" i="27"/>
  <c r="GT195" i="27" s="1"/>
  <c r="AR232" i="27"/>
  <c r="AR195" i="27" s="1"/>
  <c r="CI232" i="27"/>
  <c r="CI195" i="27" s="1"/>
  <c r="DM232" i="27"/>
  <c r="DM195" i="27" s="1"/>
  <c r="P232" i="27"/>
  <c r="P195" i="27" s="1"/>
  <c r="FN232" i="27"/>
  <c r="FN195" i="27" s="1"/>
  <c r="ED232" i="27"/>
  <c r="ED195" i="27" s="1"/>
  <c r="HN232" i="27"/>
  <c r="HN195" i="27" s="1"/>
  <c r="ES232" i="27"/>
  <c r="ES195" i="27" s="1"/>
  <c r="AN232" i="27"/>
  <c r="AN195" i="27" s="1"/>
  <c r="CM232" i="27"/>
  <c r="CM195" i="27" s="1"/>
  <c r="GH232" i="27"/>
  <c r="GH195" i="27" s="1"/>
  <c r="FV232" i="27"/>
  <c r="FV195" i="27" s="1"/>
  <c r="AG232" i="27"/>
  <c r="AG195" i="27" s="1"/>
  <c r="GX232" i="27"/>
  <c r="GX195" i="27" s="1"/>
  <c r="GQ232" i="27"/>
  <c r="GQ195" i="27" s="1"/>
  <c r="GA232" i="27"/>
  <c r="GA195" i="27" s="1"/>
  <c r="Y232" i="27"/>
  <c r="Y195" i="27" s="1"/>
  <c r="GJ232" i="27"/>
  <c r="GJ195" i="27" s="1"/>
  <c r="AB232" i="27"/>
  <c r="AB195" i="27" s="1"/>
  <c r="CF232" i="27"/>
  <c r="CF195" i="27" s="1"/>
  <c r="AC232" i="27"/>
  <c r="AC195" i="27" s="1"/>
  <c r="U232" i="27"/>
  <c r="U195" i="27" s="1"/>
  <c r="BM232" i="27"/>
  <c r="BM195" i="27" s="1"/>
  <c r="EO232" i="27"/>
  <c r="EO195" i="27" s="1"/>
  <c r="HG232" i="27"/>
  <c r="HG195" i="27" s="1"/>
  <c r="GG232" i="27"/>
  <c r="GG195" i="27" s="1"/>
  <c r="BC232" i="27"/>
  <c r="BC195" i="27" s="1"/>
  <c r="IA232" i="27"/>
  <c r="IA195" i="27" s="1"/>
  <c r="BR232" i="27"/>
  <c r="BR195" i="27" s="1"/>
  <c r="FX232" i="27"/>
  <c r="FX195" i="27" s="1"/>
  <c r="IH232" i="27"/>
  <c r="IH195" i="27" s="1"/>
  <c r="HW232" i="27"/>
  <c r="HW195" i="27" s="1"/>
  <c r="BK232" i="27"/>
  <c r="BK195" i="27" s="1"/>
  <c r="AP232" i="27"/>
  <c r="AP195" i="27" s="1"/>
  <c r="BZ232" i="27"/>
  <c r="BZ195" i="27" s="1"/>
  <c r="IB232" i="27"/>
  <c r="IB195" i="27" s="1"/>
  <c r="CK232" i="27"/>
  <c r="CK195" i="27" s="1"/>
  <c r="GY232" i="27"/>
  <c r="GY195" i="27" s="1"/>
  <c r="EC232" i="27"/>
  <c r="EC195" i="27" s="1"/>
  <c r="X232" i="27"/>
  <c r="X195" i="27" s="1"/>
  <c r="CA232" i="27"/>
  <c r="CA195" i="27" s="1"/>
  <c r="GK232" i="27"/>
  <c r="GK195" i="27" s="1"/>
  <c r="EE232" i="27"/>
  <c r="EE195" i="27" s="1"/>
  <c r="FS232" i="27"/>
  <c r="FS195" i="27" s="1"/>
  <c r="FQ232" i="27"/>
  <c r="FQ195" i="27" s="1"/>
  <c r="R232" i="27"/>
  <c r="R195" i="27" s="1"/>
  <c r="EF232" i="27"/>
  <c r="EF195" i="27" s="1"/>
  <c r="K232" i="27"/>
  <c r="K195" i="27" s="1"/>
  <c r="Q232" i="27"/>
  <c r="Q195" i="27" s="1"/>
  <c r="W232" i="27"/>
  <c r="W195" i="27" s="1"/>
  <c r="DH232" i="27"/>
  <c r="DH195" i="27" s="1"/>
  <c r="IK232" i="27"/>
  <c r="IK195" i="27" s="1"/>
  <c r="CB232" i="27"/>
  <c r="CB195" i="27" s="1"/>
  <c r="CJ232" i="27"/>
  <c r="CJ195" i="27" s="1"/>
  <c r="AF232" i="27"/>
  <c r="AF195" i="27" s="1"/>
  <c r="AX232" i="27"/>
  <c r="AX195" i="27" s="1"/>
  <c r="HH232" i="27"/>
  <c r="HH195" i="27" s="1"/>
  <c r="CL232" i="27"/>
  <c r="CL195" i="27" s="1"/>
  <c r="CD232" i="27"/>
  <c r="CD195" i="27" s="1"/>
  <c r="BN232" i="27"/>
  <c r="BN195" i="27" s="1"/>
  <c r="HB232" i="27"/>
  <c r="HB195" i="27" s="1"/>
  <c r="BD232" i="27"/>
  <c r="BD195" i="27" s="1"/>
  <c r="GL232" i="27"/>
  <c r="GL195" i="27" s="1"/>
  <c r="FF232" i="27"/>
  <c r="FF195" i="27" s="1"/>
  <c r="GW232" i="27"/>
  <c r="GW195" i="27" s="1"/>
  <c r="AV232" i="27"/>
  <c r="AV195" i="27" s="1"/>
  <c r="HO232" i="27"/>
  <c r="HO195" i="27" s="1"/>
  <c r="BY232" i="27"/>
  <c r="BY195" i="27" s="1"/>
  <c r="AJ232" i="27"/>
  <c r="AJ195" i="27" s="1"/>
  <c r="HX232" i="27"/>
  <c r="HX195" i="27" s="1"/>
  <c r="AU232" i="27"/>
  <c r="AU195" i="27" s="1"/>
  <c r="GI232" i="27"/>
  <c r="GI195" i="27" s="1"/>
  <c r="H232" i="27"/>
  <c r="H195" i="27" s="1"/>
  <c r="EK232" i="27"/>
  <c r="EK195" i="27" s="1"/>
  <c r="DR232" i="27"/>
  <c r="DR195" i="27" s="1"/>
  <c r="GU232" i="27"/>
  <c r="GU195" i="27" s="1"/>
  <c r="HJ232" i="27"/>
  <c r="HJ195" i="27" s="1"/>
  <c r="DE232" i="27"/>
  <c r="DE195" i="27" s="1"/>
  <c r="GP232" i="27"/>
  <c r="GP195" i="27" s="1"/>
  <c r="FO232" i="27"/>
  <c r="FO195" i="27" s="1"/>
  <c r="DS232" i="27"/>
  <c r="DS195" i="27" s="1"/>
  <c r="FB232" i="27"/>
  <c r="FB195" i="27" s="1"/>
  <c r="FT232" i="27"/>
  <c r="FT195" i="27" s="1"/>
  <c r="BL232" i="27"/>
  <c r="BL195" i="27" s="1"/>
  <c r="N232" i="27"/>
  <c r="N195" i="27" s="1"/>
  <c r="BP232" i="27"/>
  <c r="BP195" i="27" s="1"/>
  <c r="FZ232" i="27"/>
  <c r="FZ195" i="27" s="1"/>
  <c r="HP232" i="27"/>
  <c r="HP195" i="27" s="1"/>
  <c r="DO232" i="27"/>
  <c r="DO195" i="27" s="1"/>
  <c r="EQ232" i="27"/>
  <c r="EQ195" i="27" s="1"/>
  <c r="EH232" i="27"/>
  <c r="EH195" i="27" s="1"/>
  <c r="GF232" i="27"/>
  <c r="GF195" i="27" s="1"/>
  <c r="V232" i="27"/>
  <c r="V195" i="27" s="1"/>
  <c r="CN232" i="27"/>
  <c r="CN195" i="27" s="1"/>
  <c r="AQ232" i="27"/>
  <c r="AQ195" i="27" s="1"/>
  <c r="DV232" i="27"/>
  <c r="DV195" i="27" s="1"/>
  <c r="IJ232" i="27"/>
  <c r="IJ195" i="27" s="1"/>
  <c r="AH232" i="27"/>
  <c r="AH195" i="27" s="1"/>
  <c r="GN232" i="27"/>
  <c r="GN195" i="27" s="1"/>
  <c r="DG232" i="27"/>
  <c r="DG195" i="27" s="1"/>
  <c r="EY232" i="27"/>
  <c r="EY195" i="27" s="1"/>
  <c r="HZ232" i="27"/>
  <c r="HZ195" i="27" s="1"/>
  <c r="CX232" i="27"/>
  <c r="CX195" i="27" s="1"/>
  <c r="EG232" i="27"/>
  <c r="EG195" i="27" s="1"/>
  <c r="EL232" i="27"/>
  <c r="EL195" i="27" s="1"/>
  <c r="AY232" i="27"/>
  <c r="AY195" i="27" s="1"/>
  <c r="L232" i="27"/>
  <c r="L195" i="27" s="1"/>
  <c r="ER232" i="27"/>
  <c r="ER195" i="27" s="1"/>
  <c r="GO232" i="27"/>
  <c r="GO195" i="27" s="1"/>
  <c r="HU232" i="27"/>
  <c r="HU195" i="27" s="1"/>
  <c r="CO232" i="27"/>
  <c r="CO195" i="27" s="1"/>
  <c r="II232" i="27"/>
  <c r="II195" i="27" s="1"/>
  <c r="HK232" i="27"/>
  <c r="HK195" i="27" s="1"/>
  <c r="HV232" i="27"/>
  <c r="HV195" i="27" s="1"/>
  <c r="ID232" i="27"/>
  <c r="ID195" i="27" s="1"/>
  <c r="HT232" i="27"/>
  <c r="HT195" i="27" s="1"/>
  <c r="BG232" i="27"/>
  <c r="BG195" i="27" s="1"/>
  <c r="FK232" i="27"/>
  <c r="FK195" i="27" s="1"/>
  <c r="GV232" i="27"/>
  <c r="GV195" i="27" s="1"/>
  <c r="HR232" i="27"/>
  <c r="HR195" i="27" s="1"/>
  <c r="DI232" i="27"/>
  <c r="DI195" i="27" s="1"/>
  <c r="DC232" i="27"/>
  <c r="DC195" i="27" s="1"/>
  <c r="AA232" i="27"/>
  <c r="AA195" i="27" s="1"/>
  <c r="GR232" i="27"/>
  <c r="GR195" i="27" s="1"/>
  <c r="CW232" i="27"/>
  <c r="CW195" i="27" s="1"/>
  <c r="CV232" i="27"/>
  <c r="CV195" i="27" s="1"/>
  <c r="HC232" i="27"/>
  <c r="HC195" i="27" s="1"/>
  <c r="EB232" i="27"/>
  <c r="EB195" i="27" s="1"/>
  <c r="HE232" i="27"/>
  <c r="HE195" i="27" s="1"/>
  <c r="IF232" i="27"/>
  <c r="IF195" i="27" s="1"/>
  <c r="DZ232" i="27"/>
  <c r="DZ195" i="27" s="1"/>
  <c r="HQ232" i="27"/>
  <c r="HQ195" i="27" s="1"/>
  <c r="FM232" i="27"/>
  <c r="FM195" i="27" s="1"/>
  <c r="AT232" i="27"/>
  <c r="AT195" i="27" s="1"/>
  <c r="EA232" i="27"/>
  <c r="EA195" i="27" s="1"/>
  <c r="AZ232" i="27"/>
  <c r="AZ195" i="27" s="1"/>
  <c r="FR232" i="27"/>
  <c r="FR195" i="27" s="1"/>
  <c r="I232" i="27"/>
  <c r="I195" i="27" s="1"/>
  <c r="AD232" i="27"/>
  <c r="AD195" i="27" s="1"/>
  <c r="DX232" i="27"/>
  <c r="DX195" i="27" s="1"/>
  <c r="IG232" i="27"/>
  <c r="IG195" i="27" s="1"/>
  <c r="BH232" i="27"/>
  <c r="BH195" i="27" s="1"/>
  <c r="GZ232" i="27"/>
  <c r="GZ195" i="27" s="1"/>
  <c r="EX232" i="27"/>
  <c r="EX195" i="27" s="1"/>
  <c r="EM232" i="27"/>
  <c r="EM195" i="27" s="1"/>
  <c r="BO232" i="27"/>
  <c r="BO195" i="27" s="1"/>
  <c r="HF232" i="27"/>
  <c r="HF195" i="27" s="1"/>
  <c r="FH232" i="27"/>
  <c r="FH195" i="27" s="1"/>
  <c r="EZ232" i="27"/>
  <c r="EZ195" i="27" s="1"/>
  <c r="HI232" i="27"/>
  <c r="HI195" i="27" s="1"/>
  <c r="CG232" i="27"/>
  <c r="CG195" i="27" s="1"/>
  <c r="DQ232" i="27"/>
  <c r="DQ195" i="27" s="1"/>
  <c r="BQ232" i="27"/>
  <c r="BQ195" i="27" s="1"/>
  <c r="IE232" i="27"/>
  <c r="IE195" i="27" s="1"/>
  <c r="Z232" i="27"/>
  <c r="Z195" i="27" s="1"/>
  <c r="BW232" i="27"/>
  <c r="BW195" i="27" s="1"/>
  <c r="EJ232" i="27"/>
  <c r="EJ195" i="27" s="1"/>
  <c r="AW232" i="27"/>
  <c r="AW195" i="27" s="1"/>
  <c r="DL232" i="27"/>
  <c r="DL195" i="27" s="1"/>
  <c r="DK232" i="27"/>
  <c r="DK195" i="27" s="1"/>
  <c r="BA232" i="27"/>
  <c r="BA195" i="27" s="1"/>
  <c r="CP232" i="27"/>
  <c r="CP195" i="27" s="1"/>
  <c r="BX232" i="27"/>
  <c r="BX195" i="27" s="1"/>
  <c r="DJ232" i="27"/>
  <c r="DJ195" i="27" s="1"/>
  <c r="FP232" i="27"/>
  <c r="FP195" i="27" s="1"/>
  <c r="DP232" i="27"/>
  <c r="DP195" i="27" s="1"/>
  <c r="HD232" i="27"/>
  <c r="HD195" i="27" s="1"/>
  <c r="CT232" i="27"/>
  <c r="CT195" i="27" s="1"/>
  <c r="EV232" i="27"/>
  <c r="EV195" i="27" s="1"/>
  <c r="BB232" i="27"/>
  <c r="BB195" i="27" s="1"/>
  <c r="AE232" i="27"/>
  <c r="AE195" i="27" s="1"/>
  <c r="DW232" i="27"/>
  <c r="DW195" i="27" s="1"/>
  <c r="AM232" i="27"/>
  <c r="AM195" i="27" s="1"/>
  <c r="GB232" i="27"/>
  <c r="GB195" i="27" s="1"/>
  <c r="CZ232" i="27"/>
  <c r="CZ195" i="27" s="1"/>
  <c r="CQ232" i="27"/>
  <c r="CQ195" i="27" s="1"/>
  <c r="BI232" i="27"/>
  <c r="BI195" i="27" s="1"/>
  <c r="IC232" i="27"/>
  <c r="IC195" i="27" s="1"/>
  <c r="CE232" i="27"/>
  <c r="CE195" i="27" s="1"/>
  <c r="AS232" i="27"/>
  <c r="AS195" i="27" s="1"/>
  <c r="AL232" i="27"/>
  <c r="AL195" i="27" s="1"/>
  <c r="FW232" i="27"/>
  <c r="FW195" i="27" s="1"/>
  <c r="FL232" i="27"/>
  <c r="FL195" i="27" s="1"/>
  <c r="AK232" i="27"/>
  <c r="AK195" i="27" s="1"/>
  <c r="FY232" i="27"/>
  <c r="FY195" i="27" s="1"/>
  <c r="DA232" i="27"/>
  <c r="DA195" i="27" s="1"/>
  <c r="HL232" i="27"/>
  <c r="HL195" i="27" s="1"/>
  <c r="FU232" i="27"/>
  <c r="FU195" i="27" s="1"/>
  <c r="DY232" i="27"/>
  <c r="DY195" i="27" s="1"/>
  <c r="DB232" i="27"/>
  <c r="DB195" i="27" s="1"/>
  <c r="DT232" i="27"/>
  <c r="DT195" i="27" s="1"/>
  <c r="HS232" i="27"/>
  <c r="HS195" i="27" s="1"/>
  <c r="GC232" i="27"/>
  <c r="GC195" i="27" s="1"/>
  <c r="EU232" i="27"/>
  <c r="EU195" i="27" s="1"/>
  <c r="FE232" i="27"/>
  <c r="FE195" i="27" s="1"/>
  <c r="DN232" i="27"/>
  <c r="DN195" i="27" s="1"/>
  <c r="FJ232" i="27"/>
  <c r="FJ195" i="27" s="1"/>
  <c r="AI232" i="27"/>
  <c r="AI195" i="27" s="1"/>
  <c r="CR232" i="27"/>
  <c r="CR195" i="27" s="1"/>
  <c r="GS232" i="27"/>
  <c r="GS195" i="27" s="1"/>
  <c r="BT232" i="27"/>
  <c r="BT195" i="27" s="1"/>
  <c r="FD232" i="27"/>
  <c r="FD195" i="27" s="1"/>
  <c r="DU232" i="27"/>
  <c r="DU195" i="27" s="1"/>
  <c r="FC232" i="27"/>
  <c r="FC195" i="27" s="1"/>
  <c r="AO232" i="27"/>
  <c r="AO195" i="27" s="1"/>
  <c r="EI232" i="27"/>
  <c r="EI195" i="27" s="1"/>
  <c r="BU232" i="27"/>
  <c r="BU195" i="27" s="1"/>
  <c r="EW232" i="27"/>
  <c r="EW195" i="27" s="1"/>
  <c r="S232" i="27"/>
  <c r="S195" i="27" s="1"/>
  <c r="M232" i="27"/>
  <c r="M195" i="27" s="1"/>
  <c r="ET232" i="27"/>
  <c r="ET195" i="27" s="1"/>
  <c r="BV232" i="27"/>
  <c r="BV195" i="27" s="1"/>
  <c r="HY232" i="27"/>
  <c r="HY195" i="27" s="1"/>
  <c r="GE232" i="27"/>
  <c r="GE195" i="27" s="1"/>
  <c r="FI232" i="27"/>
  <c r="FI195" i="27" s="1"/>
  <c r="DF232" i="27"/>
  <c r="DF195" i="27" s="1"/>
  <c r="E196" i="27" l="1"/>
  <c r="V210" i="27"/>
  <c r="D195" i="27"/>
  <c r="C195" i="27"/>
  <c r="C196" i="27"/>
  <c r="E195" i="27"/>
  <c r="D196" i="27"/>
  <c r="B195" i="27"/>
  <c r="A195" i="27" s="1"/>
  <c r="G195" i="27"/>
  <c r="G253" i="27"/>
  <c r="D299" i="27" s="1"/>
  <c r="D314" i="27" s="1"/>
  <c r="G326" i="27" s="1"/>
  <c r="G319" i="27"/>
  <c r="R266" i="14"/>
  <c r="Q275" i="14" s="1"/>
  <c r="D315" i="27" l="1"/>
  <c r="G335" i="27" s="1"/>
  <c r="B197" i="27"/>
  <c r="B199" i="27" s="1"/>
  <c r="A199" i="27" s="1"/>
  <c r="A196" i="27"/>
  <c r="E314" i="27"/>
  <c r="E315" i="27" s="1"/>
  <c r="G305" i="27"/>
  <c r="G306" i="27" s="1"/>
  <c r="E299" i="27"/>
  <c r="D304" i="27" s="1"/>
  <c r="F277" i="27" s="1"/>
  <c r="D277" i="27" s="1"/>
  <c r="AC275" i="14"/>
  <c r="X263" i="14"/>
  <c r="D306" i="27"/>
  <c r="G309" i="27" s="1"/>
  <c r="Q276" i="14"/>
  <c r="AC276" i="14" s="1"/>
  <c r="AA266" i="14"/>
  <c r="AA275" i="14" s="1"/>
  <c r="D307" i="27" l="1"/>
  <c r="G327" i="27" s="1"/>
  <c r="FN313" i="27"/>
  <c r="A200" i="27"/>
  <c r="A197" i="27"/>
  <c r="A198" i="27"/>
  <c r="C278" i="27"/>
  <c r="B277" i="27"/>
  <c r="A278" i="27" s="1"/>
  <c r="C277" i="27"/>
  <c r="D278" i="27"/>
  <c r="G277" i="27"/>
  <c r="S313" i="27"/>
  <c r="DO313" i="27"/>
  <c r="CP313" i="27"/>
  <c r="FC313" i="27"/>
  <c r="CR313" i="27"/>
  <c r="DE313" i="27"/>
  <c r="DY313" i="27"/>
  <c r="DF313" i="27"/>
  <c r="ET313" i="27"/>
  <c r="GR313" i="27"/>
  <c r="BW313" i="27"/>
  <c r="HJ313" i="27"/>
  <c r="HU313" i="27"/>
  <c r="GB313" i="27"/>
  <c r="T313" i="27"/>
  <c r="FF313" i="27"/>
  <c r="O313" i="27"/>
  <c r="EF313" i="27"/>
  <c r="CQ313" i="27"/>
  <c r="DV313" i="27"/>
  <c r="DP313" i="27"/>
  <c r="BL313" i="27"/>
  <c r="FH313" i="27"/>
  <c r="DL313" i="27"/>
  <c r="HQ313" i="27"/>
  <c r="U313" i="27"/>
  <c r="Q313" i="27"/>
  <c r="GT313" i="27"/>
  <c r="BI313" i="27"/>
  <c r="BM313" i="27"/>
  <c r="GQ313" i="27"/>
  <c r="CW313" i="27"/>
  <c r="BA313" i="27"/>
  <c r="GX313" i="27"/>
  <c r="BG313" i="27"/>
  <c r="CG313" i="27"/>
  <c r="GS313" i="27"/>
  <c r="AX313" i="27"/>
  <c r="AB313" i="27"/>
  <c r="HT313" i="27"/>
  <c r="IF313" i="27"/>
  <c r="DD313" i="27"/>
  <c r="FB313" i="27"/>
  <c r="DR313" i="27"/>
  <c r="AI313" i="27"/>
  <c r="Z313" i="27"/>
  <c r="DQ313" i="27"/>
  <c r="HZ313" i="27"/>
  <c r="CK313" i="27"/>
  <c r="DI313" i="27"/>
  <c r="ES313" i="27"/>
  <c r="EG313" i="27"/>
  <c r="GO313" i="27"/>
  <c r="AF313" i="27"/>
  <c r="CT313" i="27"/>
  <c r="P313" i="27"/>
  <c r="X313" i="27"/>
  <c r="BQ313" i="27"/>
  <c r="EH313" i="27"/>
  <c r="BD313" i="27"/>
  <c r="AS313" i="27"/>
  <c r="BU313" i="27"/>
  <c r="FP313" i="27"/>
  <c r="GD313" i="27"/>
  <c r="HO313" i="27"/>
  <c r="HA313" i="27"/>
  <c r="EK313" i="27"/>
  <c r="GF313" i="27"/>
  <c r="AA313" i="27"/>
  <c r="AR313" i="27"/>
  <c r="DA313" i="27"/>
  <c r="FU313" i="27"/>
  <c r="DK313" i="27"/>
  <c r="BH313" i="27"/>
  <c r="DT313" i="27"/>
  <c r="GW313" i="27"/>
  <c r="GP313" i="27"/>
  <c r="GE313" i="27"/>
  <c r="IB313" i="27"/>
  <c r="GM313" i="27"/>
  <c r="EJ313" i="27"/>
  <c r="AL313" i="27"/>
  <c r="HL313" i="27"/>
  <c r="CU313" i="27"/>
  <c r="BT313" i="27"/>
  <c r="BV313" i="27"/>
  <c r="CV313" i="27"/>
  <c r="AT313" i="27"/>
  <c r="BS313" i="27"/>
  <c r="FW313" i="27"/>
  <c r="HY313" i="27"/>
  <c r="CH313" i="27"/>
  <c r="FJ313" i="27"/>
  <c r="FY313" i="27"/>
  <c r="ED313" i="27"/>
  <c r="IG313" i="27"/>
  <c r="AW313" i="27"/>
  <c r="FI313" i="27"/>
  <c r="FR313" i="27"/>
  <c r="FO313" i="27"/>
  <c r="GL313" i="27"/>
  <c r="GA313" i="27"/>
  <c r="CM313" i="27"/>
  <c r="CD313" i="27"/>
  <c r="CJ313" i="27"/>
  <c r="BP313" i="27"/>
  <c r="EO313" i="27"/>
  <c r="GC313" i="27"/>
  <c r="HK313" i="27"/>
  <c r="HD313" i="27"/>
  <c r="EE313" i="27"/>
  <c r="AQ313" i="27"/>
  <c r="EC313" i="27"/>
  <c r="HC313" i="27"/>
  <c r="BN313" i="27"/>
  <c r="FL313" i="27"/>
  <c r="FA313" i="27"/>
  <c r="DZ313" i="27"/>
  <c r="EU313" i="27"/>
  <c r="AP313" i="27"/>
  <c r="AZ313" i="27"/>
  <c r="DN313" i="27"/>
  <c r="IC313" i="27"/>
  <c r="AJ313" i="27"/>
  <c r="HE313" i="27"/>
  <c r="BJ313" i="27"/>
  <c r="AK313" i="27"/>
  <c r="HP313" i="27"/>
  <c r="W313" i="27"/>
  <c r="CY313" i="27"/>
  <c r="ER313" i="27"/>
  <c r="CB313" i="27"/>
  <c r="FQ313" i="27"/>
  <c r="AU313" i="27"/>
  <c r="CF313" i="27"/>
  <c r="AG313" i="27"/>
  <c r="BZ313" i="27"/>
  <c r="EA313" i="27"/>
  <c r="CS313" i="27"/>
  <c r="FE313" i="27"/>
  <c r="ID313" i="27"/>
  <c r="AV313" i="27"/>
  <c r="AO313" i="27"/>
  <c r="GU313" i="27"/>
  <c r="IK313" i="27"/>
  <c r="DS313" i="27"/>
  <c r="AH313" i="27"/>
  <c r="HX313" i="27"/>
  <c r="HG313" i="27"/>
  <c r="GH313" i="27"/>
  <c r="FM313" i="27"/>
  <c r="AN313" i="27"/>
  <c r="GZ313" i="27"/>
  <c r="IH313" i="27"/>
  <c r="GV313" i="27"/>
  <c r="K313" i="27"/>
  <c r="AD313" i="27"/>
  <c r="FX313" i="27"/>
  <c r="FZ313" i="27"/>
  <c r="CA313" i="27"/>
  <c r="BX313" i="27"/>
  <c r="BE313" i="27"/>
  <c r="CI313" i="27"/>
  <c r="GI313" i="27"/>
  <c r="M313" i="27"/>
  <c r="FV313" i="27"/>
  <c r="L313" i="27"/>
  <c r="AE313" i="27"/>
  <c r="EV313" i="27"/>
  <c r="Y313" i="27"/>
  <c r="AY313" i="27"/>
  <c r="GJ313" i="27"/>
  <c r="AC313" i="27"/>
  <c r="FT313" i="27"/>
  <c r="FD313" i="27"/>
  <c r="CL313" i="27"/>
  <c r="HW313" i="27"/>
  <c r="GN313" i="27"/>
  <c r="HM313" i="27"/>
  <c r="BO313" i="27"/>
  <c r="BB313" i="27"/>
  <c r="DG313" i="27"/>
  <c r="J313" i="27"/>
  <c r="DU313" i="27"/>
  <c r="N313" i="27"/>
  <c r="FS313" i="27"/>
  <c r="EB313" i="27"/>
  <c r="H313" i="27"/>
  <c r="EL313" i="27"/>
  <c r="GY313" i="27"/>
  <c r="GK313" i="27"/>
  <c r="EI313" i="27"/>
  <c r="BY313" i="27"/>
  <c r="DB313" i="27"/>
  <c r="AM313" i="27"/>
  <c r="DJ313" i="27"/>
  <c r="CZ313" i="27"/>
  <c r="BC313" i="27"/>
  <c r="EZ313" i="27"/>
  <c r="EN313" i="27"/>
  <c r="BK313" i="27"/>
  <c r="FG313" i="27"/>
  <c r="IA313" i="27"/>
  <c r="DH313" i="27"/>
  <c r="R313" i="27"/>
  <c r="DW313" i="27"/>
  <c r="IJ313" i="27"/>
  <c r="HH313" i="27"/>
  <c r="CO313" i="27"/>
  <c r="I313" i="27"/>
  <c r="CX313" i="27"/>
  <c r="DM313" i="27"/>
  <c r="GG313" i="27"/>
  <c r="CC313" i="27"/>
  <c r="EQ313" i="27"/>
  <c r="EM313" i="27"/>
  <c r="BF313" i="27"/>
  <c r="V313" i="27"/>
  <c r="EX313" i="27"/>
  <c r="HN313" i="27"/>
  <c r="HI313" i="27"/>
  <c r="HR313" i="27"/>
  <c r="HV313" i="27"/>
  <c r="FK313" i="27"/>
  <c r="BR313" i="27"/>
  <c r="CN313" i="27"/>
  <c r="DC313" i="27"/>
  <c r="EY313" i="27"/>
  <c r="CE313" i="27"/>
  <c r="EP313" i="27"/>
  <c r="II313" i="27"/>
  <c r="IE313" i="27"/>
  <c r="HF313" i="27"/>
  <c r="DX313" i="27"/>
  <c r="HB313" i="27"/>
  <c r="HS313" i="27"/>
  <c r="EW313" i="27"/>
  <c r="X264" i="14"/>
  <c r="L19" i="24"/>
  <c r="E277" i="27" l="1"/>
  <c r="E306" i="27"/>
  <c r="G310" i="27" s="1"/>
  <c r="E309" i="27" s="1"/>
  <c r="A277" i="27"/>
  <c r="V257" i="14"/>
  <c r="D311" i="27" l="1"/>
  <c r="D310" i="27"/>
  <c r="D309" i="27" s="1"/>
  <c r="G311" i="27" s="1"/>
  <c r="GL304" i="27"/>
  <c r="GL277" i="27" s="1"/>
  <c r="CW304" i="27"/>
  <c r="CW277" i="27" s="1"/>
  <c r="EA304" i="27"/>
  <c r="EA277" i="27" s="1"/>
  <c r="ED304" i="27"/>
  <c r="ED277" i="27" s="1"/>
  <c r="BY304" i="27"/>
  <c r="BY277" i="27" s="1"/>
  <c r="DN304" i="27"/>
  <c r="DN277" i="27" s="1"/>
  <c r="CJ304" i="27"/>
  <c r="CJ277" i="27" s="1"/>
  <c r="BH304" i="27"/>
  <c r="BH277" i="27" s="1"/>
  <c r="HF304" i="27"/>
  <c r="HF277" i="27" s="1"/>
  <c r="CE304" i="27"/>
  <c r="CE277" i="27" s="1"/>
  <c r="AL304" i="27"/>
  <c r="AL277" i="27" s="1"/>
  <c r="AI304" i="27"/>
  <c r="AI277" i="27" s="1"/>
  <c r="AV304" i="27"/>
  <c r="AV277" i="27" s="1"/>
  <c r="GD304" i="27"/>
  <c r="GD277" i="27" s="1"/>
  <c r="IH304" i="27"/>
  <c r="IH277" i="27" s="1"/>
  <c r="HA304" i="27"/>
  <c r="HA277" i="27" s="1"/>
  <c r="IC304" i="27"/>
  <c r="IC277" i="27" s="1"/>
  <c r="FU304" i="27"/>
  <c r="FU277" i="27" s="1"/>
  <c r="CU304" i="27"/>
  <c r="CU277" i="27" s="1"/>
  <c r="IB304" i="27"/>
  <c r="IB277" i="27" s="1"/>
  <c r="HC304" i="27"/>
  <c r="HC277" i="27" s="1"/>
  <c r="K304" i="27"/>
  <c r="K277" i="27" s="1"/>
  <c r="FZ304" i="27"/>
  <c r="FZ277" i="27" s="1"/>
  <c r="AZ304" i="27"/>
  <c r="AZ277" i="27" s="1"/>
  <c r="GK304" i="27"/>
  <c r="GK277" i="27" s="1"/>
  <c r="BN304" i="27"/>
  <c r="BN277" i="27" s="1"/>
  <c r="HS304" i="27"/>
  <c r="HS277" i="27" s="1"/>
  <c r="BD304" i="27"/>
  <c r="BD277" i="27" s="1"/>
  <c r="EY304" i="27"/>
  <c r="EY277" i="27" s="1"/>
  <c r="IF304" i="27"/>
  <c r="IF277" i="27" s="1"/>
  <c r="HM304" i="27"/>
  <c r="HM277" i="27" s="1"/>
  <c r="EP304" i="27"/>
  <c r="EP277" i="27" s="1"/>
  <c r="BS304" i="27"/>
  <c r="BS277" i="27" s="1"/>
  <c r="EQ304" i="27"/>
  <c r="EQ277" i="27" s="1"/>
  <c r="EE304" i="27"/>
  <c r="EE277" i="27" s="1"/>
  <c r="GU304" i="27"/>
  <c r="GU277" i="27" s="1"/>
  <c r="V304" i="27"/>
  <c r="V277" i="27" s="1"/>
  <c r="GB304" i="27"/>
  <c r="GB277" i="27" s="1"/>
  <c r="EV304" i="27"/>
  <c r="EV277" i="27" s="1"/>
  <c r="HL304" i="27"/>
  <c r="HL277" i="27" s="1"/>
  <c r="HQ304" i="27"/>
  <c r="HQ277" i="27" s="1"/>
  <c r="X304" i="27"/>
  <c r="X277" i="27" s="1"/>
  <c r="CH304" i="27"/>
  <c r="CH277" i="27" s="1"/>
  <c r="DE304" i="27"/>
  <c r="DE277" i="27" s="1"/>
  <c r="DS304" i="27"/>
  <c r="DS277" i="27" s="1"/>
  <c r="FE304" i="27"/>
  <c r="FE277" i="27" s="1"/>
  <c r="EW304" i="27"/>
  <c r="EW277" i="27" s="1"/>
  <c r="DY304" i="27"/>
  <c r="DY277" i="27" s="1"/>
  <c r="T304" i="27"/>
  <c r="T277" i="27" s="1"/>
  <c r="AK304" i="27"/>
  <c r="AK277" i="27" s="1"/>
  <c r="CV304" i="27"/>
  <c r="CV277" i="27" s="1"/>
  <c r="DF304" i="27"/>
  <c r="DF277" i="27" s="1"/>
  <c r="R304" i="27"/>
  <c r="R277" i="27" s="1"/>
  <c r="AD304" i="27"/>
  <c r="AD277" i="27" s="1"/>
  <c r="N304" i="27"/>
  <c r="N277" i="27" s="1"/>
  <c r="DL304" i="27"/>
  <c r="DL277" i="27" s="1"/>
  <c r="P304" i="27"/>
  <c r="P277" i="27" s="1"/>
  <c r="DT304" i="27"/>
  <c r="DT277" i="27" s="1"/>
  <c r="BP304" i="27"/>
  <c r="BP277" i="27" s="1"/>
  <c r="GW304" i="27"/>
  <c r="GW277" i="27" s="1"/>
  <c r="DW304" i="27"/>
  <c r="DW277" i="27" s="1"/>
  <c r="HT304" i="27"/>
  <c r="HT277" i="27" s="1"/>
  <c r="DV304" i="27"/>
  <c r="DV277" i="27" s="1"/>
  <c r="AQ304" i="27"/>
  <c r="AQ277" i="27" s="1"/>
  <c r="FH304" i="27"/>
  <c r="FH277" i="27" s="1"/>
  <c r="CK304" i="27"/>
  <c r="CK277" i="27" s="1"/>
  <c r="AO304" i="27"/>
  <c r="AO277" i="27" s="1"/>
  <c r="GP304" i="27"/>
  <c r="GP277" i="27" s="1"/>
  <c r="BU304" i="27"/>
  <c r="BU277" i="27" s="1"/>
  <c r="FF304" i="27"/>
  <c r="FF277" i="27" s="1"/>
  <c r="EC304" i="27"/>
  <c r="EC277" i="27" s="1"/>
  <c r="DU304" i="27"/>
  <c r="DU277" i="27" s="1"/>
  <c r="AY304" i="27"/>
  <c r="AY277" i="27" s="1"/>
  <c r="BV304" i="27"/>
  <c r="BV277" i="27" s="1"/>
  <c r="DO304" i="27"/>
  <c r="DO277" i="27" s="1"/>
  <c r="BO304" i="27"/>
  <c r="BO277" i="27" s="1"/>
  <c r="FO304" i="27"/>
  <c r="FO277" i="27" s="1"/>
  <c r="FI304" i="27"/>
  <c r="FI277" i="27" s="1"/>
  <c r="S304" i="27"/>
  <c r="S277" i="27" s="1"/>
  <c r="GX304" i="27"/>
  <c r="GX277" i="27" s="1"/>
  <c r="DK304" i="27"/>
  <c r="DK277" i="27" s="1"/>
  <c r="EJ304" i="27"/>
  <c r="EJ277" i="27" s="1"/>
  <c r="DH304" i="27"/>
  <c r="DH277" i="27" s="1"/>
  <c r="GG304" i="27"/>
  <c r="GG277" i="27" s="1"/>
  <c r="BC304" i="27"/>
  <c r="BC277" i="27" s="1"/>
  <c r="AA304" i="27"/>
  <c r="AA277" i="27" s="1"/>
  <c r="CY304" i="27"/>
  <c r="CY277" i="27" s="1"/>
  <c r="EU304" i="27"/>
  <c r="EU277" i="27" s="1"/>
  <c r="EN304" i="27"/>
  <c r="EN277" i="27" s="1"/>
  <c r="HK304" i="27"/>
  <c r="HK277" i="27" s="1"/>
  <c r="HE304" i="27"/>
  <c r="HE277" i="27" s="1"/>
  <c r="EG304" i="27"/>
  <c r="EG277" i="27" s="1"/>
  <c r="GT304" i="27"/>
  <c r="GT277" i="27" s="1"/>
  <c r="II304" i="27"/>
  <c r="II277" i="27" s="1"/>
  <c r="DD304" i="27"/>
  <c r="DD277" i="27" s="1"/>
  <c r="Y304" i="27"/>
  <c r="Y277" i="27" s="1"/>
  <c r="CM304" i="27"/>
  <c r="CM277" i="27" s="1"/>
  <c r="ER304" i="27"/>
  <c r="ER277" i="27" s="1"/>
  <c r="BA304" i="27"/>
  <c r="BA277" i="27" s="1"/>
  <c r="DM304" i="27"/>
  <c r="DM277" i="27" s="1"/>
  <c r="FV304" i="27"/>
  <c r="FV277" i="27" s="1"/>
  <c r="AG304" i="27"/>
  <c r="AG277" i="27" s="1"/>
  <c r="DC304" i="27"/>
  <c r="DC277" i="27" s="1"/>
  <c r="FJ304" i="27"/>
  <c r="FJ277" i="27" s="1"/>
  <c r="GJ304" i="27"/>
  <c r="GJ277" i="27" s="1"/>
  <c r="BT304" i="27"/>
  <c r="BT277" i="27" s="1"/>
  <c r="CP304" i="27"/>
  <c r="CP277" i="27" s="1"/>
  <c r="U304" i="27"/>
  <c r="U277" i="27" s="1"/>
  <c r="EH304" i="27"/>
  <c r="EH277" i="27" s="1"/>
  <c r="FG304" i="27"/>
  <c r="FG277" i="27" s="1"/>
  <c r="EM304" i="27"/>
  <c r="EM277" i="27" s="1"/>
  <c r="IG304" i="27"/>
  <c r="IG277" i="27" s="1"/>
  <c r="BX304" i="27"/>
  <c r="BX277" i="27" s="1"/>
  <c r="BR304" i="27"/>
  <c r="BR277" i="27" s="1"/>
  <c r="AH304" i="27"/>
  <c r="AH277" i="27" s="1"/>
  <c r="HG304" i="27"/>
  <c r="HG277" i="27" s="1"/>
  <c r="FM304" i="27"/>
  <c r="FM277" i="27" s="1"/>
  <c r="HV304" i="27"/>
  <c r="HV277" i="27" s="1"/>
  <c r="W304" i="27"/>
  <c r="W277" i="27" s="1"/>
  <c r="BK304" i="27"/>
  <c r="BK277" i="27" s="1"/>
  <c r="GH304" i="27"/>
  <c r="GH277" i="27" s="1"/>
  <c r="J304" i="27"/>
  <c r="J277" i="27" s="1"/>
  <c r="CS304" i="27"/>
  <c r="CS277" i="27" s="1"/>
  <c r="AN304" i="27"/>
  <c r="AN277" i="27" s="1"/>
  <c r="CN304" i="27"/>
  <c r="CN277" i="27" s="1"/>
  <c r="BF304" i="27"/>
  <c r="BF277" i="27" s="1"/>
  <c r="Z304" i="27"/>
  <c r="Z277" i="27" s="1"/>
  <c r="EZ304" i="27"/>
  <c r="EZ277" i="27" s="1"/>
  <c r="DQ304" i="27"/>
  <c r="DQ277" i="27" s="1"/>
  <c r="AJ304" i="27"/>
  <c r="AJ277" i="27" s="1"/>
  <c r="FB304" i="27"/>
  <c r="FB277" i="27" s="1"/>
  <c r="M304" i="27"/>
  <c r="M277" i="27" s="1"/>
  <c r="IJ304" i="27"/>
  <c r="IJ277" i="27" s="1"/>
  <c r="BJ304" i="27"/>
  <c r="BJ277" i="27" s="1"/>
  <c r="GM304" i="27"/>
  <c r="GM277" i="27" s="1"/>
  <c r="FX304" i="27"/>
  <c r="FX277" i="27" s="1"/>
  <c r="AB304" i="27"/>
  <c r="AB277" i="27" s="1"/>
  <c r="HB304" i="27"/>
  <c r="HB277" i="27" s="1"/>
  <c r="AT304" i="27"/>
  <c r="AT277" i="27" s="1"/>
  <c r="DA304" i="27"/>
  <c r="DA277" i="27" s="1"/>
  <c r="FL304" i="27"/>
  <c r="FL277" i="27" s="1"/>
  <c r="HJ304" i="27"/>
  <c r="HJ277" i="27" s="1"/>
  <c r="DI304" i="27"/>
  <c r="DI277" i="27" s="1"/>
  <c r="IE304" i="27"/>
  <c r="IE277" i="27" s="1"/>
  <c r="BZ304" i="27"/>
  <c r="BZ277" i="27" s="1"/>
  <c r="CZ304" i="27"/>
  <c r="CZ277" i="27" s="1"/>
  <c r="CA304" i="27"/>
  <c r="CA277" i="27" s="1"/>
  <c r="HR304" i="27"/>
  <c r="HR277" i="27" s="1"/>
  <c r="EF304" i="27"/>
  <c r="EF277" i="27" s="1"/>
  <c r="EK304" i="27"/>
  <c r="EK277" i="27" s="1"/>
  <c r="DP304" i="27"/>
  <c r="DP277" i="27" s="1"/>
  <c r="CB304" i="27"/>
  <c r="CB277" i="27" s="1"/>
  <c r="DB304" i="27"/>
  <c r="DB277" i="27" s="1"/>
  <c r="CR304" i="27"/>
  <c r="CR277" i="27" s="1"/>
  <c r="BG304" i="27"/>
  <c r="BG277" i="27" s="1"/>
  <c r="HH304" i="27"/>
  <c r="HH277" i="27" s="1"/>
  <c r="CQ304" i="27"/>
  <c r="CQ277" i="27" s="1"/>
  <c r="AU304" i="27"/>
  <c r="AU277" i="27" s="1"/>
  <c r="FD304" i="27"/>
  <c r="FD277" i="27" s="1"/>
  <c r="GE304" i="27"/>
  <c r="GE277" i="27" s="1"/>
  <c r="IK304" i="27"/>
  <c r="IK277" i="27" s="1"/>
  <c r="HP304" i="27"/>
  <c r="HP277" i="27" s="1"/>
  <c r="GQ304" i="27"/>
  <c r="GQ277" i="27" s="1"/>
  <c r="ET304" i="27"/>
  <c r="ET277" i="27" s="1"/>
  <c r="FN304" i="27"/>
  <c r="FN277" i="27" s="1"/>
  <c r="FQ304" i="27"/>
  <c r="FQ277" i="27" s="1"/>
  <c r="HO304" i="27"/>
  <c r="HO277" i="27" s="1"/>
  <c r="EX304" i="27"/>
  <c r="EX277" i="27" s="1"/>
  <c r="GA304" i="27"/>
  <c r="GA277" i="27" s="1"/>
  <c r="AM304" i="27"/>
  <c r="AM277" i="27" s="1"/>
  <c r="CL304" i="27"/>
  <c r="CL277" i="27" s="1"/>
  <c r="ES304" i="27"/>
  <c r="ES277" i="27" s="1"/>
  <c r="FY304" i="27"/>
  <c r="FY277" i="27" s="1"/>
  <c r="BE304" i="27"/>
  <c r="BE277" i="27" s="1"/>
  <c r="GI304" i="27"/>
  <c r="GI277" i="27" s="1"/>
  <c r="HX304" i="27"/>
  <c r="HX277" i="27" s="1"/>
  <c r="AP304" i="27"/>
  <c r="AP277" i="27" s="1"/>
  <c r="AF304" i="27"/>
  <c r="AF277" i="27" s="1"/>
  <c r="FR304" i="27"/>
  <c r="FR277" i="27" s="1"/>
  <c r="ID304" i="27"/>
  <c r="ID277" i="27" s="1"/>
  <c r="BM304" i="27"/>
  <c r="BM277" i="27" s="1"/>
  <c r="HW304" i="27"/>
  <c r="HW277" i="27" s="1"/>
  <c r="DG304" i="27"/>
  <c r="DG277" i="27" s="1"/>
  <c r="GS304" i="27"/>
  <c r="GS277" i="27" s="1"/>
  <c r="CF304" i="27"/>
  <c r="CF277" i="27" s="1"/>
  <c r="AS304" i="27"/>
  <c r="AS277" i="27" s="1"/>
  <c r="CI304" i="27"/>
  <c r="CI277" i="27" s="1"/>
  <c r="CG304" i="27"/>
  <c r="CG277" i="27" s="1"/>
  <c r="Q304" i="27"/>
  <c r="Q277" i="27" s="1"/>
  <c r="BL304" i="27"/>
  <c r="BL277" i="27" s="1"/>
  <c r="O304" i="27"/>
  <c r="O277" i="27" s="1"/>
  <c r="GV304" i="27"/>
  <c r="GV277" i="27" s="1"/>
  <c r="DX304" i="27"/>
  <c r="DX277" i="27" s="1"/>
  <c r="CC304" i="27"/>
  <c r="CC277" i="27" s="1"/>
  <c r="FK304" i="27"/>
  <c r="FK277" i="27" s="1"/>
  <c r="HU304" i="27"/>
  <c r="HU277" i="27" s="1"/>
  <c r="DR304" i="27"/>
  <c r="DR277" i="27" s="1"/>
  <c r="AW304" i="27"/>
  <c r="AW277" i="27" s="1"/>
  <c r="CT304" i="27"/>
  <c r="CT277" i="27" s="1"/>
  <c r="GZ304" i="27"/>
  <c r="GZ277" i="27" s="1"/>
  <c r="GC304" i="27"/>
  <c r="GC277" i="27" s="1"/>
  <c r="GR304" i="27"/>
  <c r="GR277" i="27" s="1"/>
  <c r="HZ304" i="27"/>
  <c r="HZ277" i="27" s="1"/>
  <c r="CD304" i="27"/>
  <c r="CD277" i="27" s="1"/>
  <c r="FP304" i="27"/>
  <c r="FP277" i="27" s="1"/>
  <c r="FC304" i="27"/>
  <c r="FC277" i="27" s="1"/>
  <c r="IA304" i="27"/>
  <c r="IA277" i="27" s="1"/>
  <c r="AX304" i="27"/>
  <c r="AX277" i="27" s="1"/>
  <c r="BQ304" i="27"/>
  <c r="BQ277" i="27" s="1"/>
  <c r="GN304" i="27"/>
  <c r="GN277" i="27" s="1"/>
  <c r="GF304" i="27"/>
  <c r="GF277" i="27" s="1"/>
  <c r="AC304" i="27"/>
  <c r="AC277" i="27" s="1"/>
  <c r="BI304" i="27"/>
  <c r="BI277" i="27" s="1"/>
  <c r="BB304" i="27"/>
  <c r="BB277" i="27" s="1"/>
  <c r="GO304" i="27"/>
  <c r="GO277" i="27" s="1"/>
  <c r="HI304" i="27"/>
  <c r="HI277" i="27" s="1"/>
  <c r="EL304" i="27"/>
  <c r="EL277" i="27" s="1"/>
  <c r="L304" i="27"/>
  <c r="L277" i="27" s="1"/>
  <c r="EO304" i="27"/>
  <c r="EO277" i="27" s="1"/>
  <c r="CX304" i="27"/>
  <c r="CX277" i="27" s="1"/>
  <c r="HY304" i="27"/>
  <c r="HY277" i="27" s="1"/>
  <c r="FT304" i="27"/>
  <c r="FT277" i="27" s="1"/>
  <c r="EB304" i="27"/>
  <c r="EB277" i="27" s="1"/>
  <c r="AE304" i="27"/>
  <c r="AE277" i="27" s="1"/>
  <c r="DZ304" i="27"/>
  <c r="DZ277" i="27" s="1"/>
  <c r="HD304" i="27"/>
  <c r="HD277" i="27" s="1"/>
  <c r="H304" i="27"/>
  <c r="H277" i="27" s="1"/>
  <c r="DJ304" i="27"/>
  <c r="DJ277" i="27" s="1"/>
  <c r="FS304" i="27"/>
  <c r="FS277" i="27" s="1"/>
  <c r="FA304" i="27"/>
  <c r="FA277" i="27" s="1"/>
  <c r="HN304" i="27"/>
  <c r="HN277" i="27" s="1"/>
  <c r="AR304" i="27"/>
  <c r="AR277" i="27" s="1"/>
  <c r="CO304" i="27"/>
  <c r="CO277" i="27" s="1"/>
  <c r="EI304" i="27"/>
  <c r="EI277" i="27" s="1"/>
  <c r="I304" i="27"/>
  <c r="I277" i="27" s="1"/>
  <c r="BW304" i="27"/>
  <c r="BW277" i="27" s="1"/>
  <c r="GY304" i="27"/>
  <c r="GY277" i="27" s="1"/>
  <c r="FW304" i="27"/>
  <c r="FW277" i="27" s="1"/>
  <c r="D35" i="14"/>
  <c r="G35" i="14" s="1"/>
  <c r="G34" i="14" s="1"/>
  <c r="O279" i="11"/>
  <c r="G103" i="31" s="1"/>
  <c r="F130" i="11"/>
  <c r="E308" i="27" l="1"/>
  <c r="G318" i="27" s="1"/>
  <c r="G90" i="31"/>
  <c r="I153" i="26"/>
  <c r="I22" i="31"/>
  <c r="L63" i="31"/>
  <c r="I279" i="11"/>
  <c r="D308" i="27" l="1"/>
  <c r="E278" i="27" s="1"/>
  <c r="S91" i="31"/>
  <c r="S89" i="31" s="1"/>
  <c r="V91" i="31"/>
  <c r="V89" i="31" s="1"/>
  <c r="Q61" i="14"/>
  <c r="AC61" i="14" s="1"/>
  <c r="F22" i="31"/>
  <c r="H58" i="14" s="1"/>
  <c r="H257" i="14" s="1"/>
  <c r="V104" i="31"/>
  <c r="F54" i="31"/>
  <c r="S104" i="31"/>
  <c r="D318" i="27" l="1"/>
  <c r="G315" i="27" s="1"/>
  <c r="G314" i="27" s="1"/>
  <c r="G336" i="27"/>
  <c r="C23" i="14"/>
  <c r="F23" i="14" s="1"/>
  <c r="G77" i="31"/>
  <c r="V78" i="31" s="1"/>
  <c r="V76" i="31" s="1"/>
  <c r="Q58" i="14"/>
  <c r="AC58" i="14" s="1"/>
  <c r="S102" i="31"/>
  <c r="V102" i="31"/>
  <c r="E318" i="27" l="1"/>
  <c r="G328" i="27"/>
  <c r="G329" i="27" s="1"/>
  <c r="D316" i="27"/>
  <c r="F279" i="27" s="1"/>
  <c r="C280" i="27" s="1"/>
  <c r="D319" i="27"/>
  <c r="G337" i="27" s="1"/>
  <c r="S12" i="31"/>
  <c r="S10" i="31"/>
  <c r="S78" i="31"/>
  <c r="S76" i="31" s="1"/>
  <c r="C20" i="14"/>
  <c r="F20" i="14" s="1"/>
  <c r="V294" i="27" l="1"/>
  <c r="C279" i="27"/>
  <c r="E319" i="27"/>
  <c r="HT316" i="27" s="1"/>
  <c r="HT279" i="27" s="1"/>
  <c r="E279" i="27"/>
  <c r="B279" i="27"/>
  <c r="B281" i="27" s="1"/>
  <c r="B283" i="27" s="1"/>
  <c r="A283" i="27" s="1"/>
  <c r="E280" i="27"/>
  <c r="G279" i="27"/>
  <c r="D279" i="27"/>
  <c r="D280" i="27"/>
  <c r="N316" i="27"/>
  <c r="N279" i="27" s="1"/>
  <c r="S316" i="27"/>
  <c r="S279" i="27" s="1"/>
  <c r="BC316" i="27"/>
  <c r="BC279" i="27" s="1"/>
  <c r="FZ316" i="27"/>
  <c r="FZ279" i="27" s="1"/>
  <c r="HZ316" i="27"/>
  <c r="HZ279" i="27" s="1"/>
  <c r="BP316" i="27"/>
  <c r="BP279" i="27" s="1"/>
  <c r="HX316" i="27"/>
  <c r="HX279" i="27" s="1"/>
  <c r="G320" i="27"/>
  <c r="AI316" i="27"/>
  <c r="AI279" i="27" s="1"/>
  <c r="CD316" i="27"/>
  <c r="CD279" i="27" s="1"/>
  <c r="GY316" i="27"/>
  <c r="GY279" i="27" s="1"/>
  <c r="DR316" i="27"/>
  <c r="DR279" i="27" s="1"/>
  <c r="CZ316" i="27"/>
  <c r="CZ279" i="27" s="1"/>
  <c r="DG316" i="27"/>
  <c r="DG279" i="27" s="1"/>
  <c r="FN316" i="27"/>
  <c r="FN279" i="27" s="1"/>
  <c r="FJ316" i="27"/>
  <c r="FJ279" i="27" s="1"/>
  <c r="IF316" i="27"/>
  <c r="IF279" i="27" s="1"/>
  <c r="BX316" i="27"/>
  <c r="BX279" i="27" s="1"/>
  <c r="AS316" i="27"/>
  <c r="AS279" i="27" s="1"/>
  <c r="BR316" i="27"/>
  <c r="BR279" i="27" s="1"/>
  <c r="AK316" i="27"/>
  <c r="AK279" i="27" s="1"/>
  <c r="HJ316" i="27"/>
  <c r="HJ279" i="27" s="1"/>
  <c r="DM316" i="27"/>
  <c r="DM279" i="27" s="1"/>
  <c r="I316" i="27"/>
  <c r="I279" i="27" s="1"/>
  <c r="EF316" i="27"/>
  <c r="EF279" i="27" s="1"/>
  <c r="CX316" i="27"/>
  <c r="CX279" i="27" s="1"/>
  <c r="BN316" i="27"/>
  <c r="BN279" i="27" s="1"/>
  <c r="HI316" i="27"/>
  <c r="HI279" i="27" s="1"/>
  <c r="HA316" i="27"/>
  <c r="HA279" i="27" s="1"/>
  <c r="HG316" i="27"/>
  <c r="HG279" i="27" s="1"/>
  <c r="GE316" i="27"/>
  <c r="GE279" i="27" s="1"/>
  <c r="GH316" i="27"/>
  <c r="GH279" i="27" s="1"/>
  <c r="IE316" i="27"/>
  <c r="IE279" i="27" s="1"/>
  <c r="BY316" i="27"/>
  <c r="BY279" i="27" s="1"/>
  <c r="FH316" i="27"/>
  <c r="FH279" i="27" s="1"/>
  <c r="ES316" i="27"/>
  <c r="ES279" i="27" s="1"/>
  <c r="CV316" i="27"/>
  <c r="CV279" i="27" s="1"/>
  <c r="FR316" i="27"/>
  <c r="FR279" i="27" s="1"/>
  <c r="DO316" i="27"/>
  <c r="DO279" i="27" s="1"/>
  <c r="HB316" i="27"/>
  <c r="HB279" i="27" s="1"/>
  <c r="AQ316" i="27"/>
  <c r="AQ279" i="27" s="1"/>
  <c r="GC316" i="27"/>
  <c r="GC279" i="27" s="1"/>
  <c r="HD316" i="27"/>
  <c r="HD279" i="27" s="1"/>
  <c r="CG316" i="27"/>
  <c r="CG279" i="27" s="1"/>
  <c r="BU316" i="27"/>
  <c r="BU279" i="27" s="1"/>
  <c r="HV316" i="27"/>
  <c r="HV279" i="27" s="1"/>
  <c r="CB316" i="27"/>
  <c r="CB279" i="27" s="1"/>
  <c r="R316" i="27"/>
  <c r="R279" i="27" s="1"/>
  <c r="Y316" i="27"/>
  <c r="Y279" i="27" s="1"/>
  <c r="HR316" i="27"/>
  <c r="HR279" i="27" s="1"/>
  <c r="AG316" i="27"/>
  <c r="AG279" i="27" s="1"/>
  <c r="HM316" i="27"/>
  <c r="HM279" i="27" s="1"/>
  <c r="ET316" i="27"/>
  <c r="ET279" i="27" s="1"/>
  <c r="EM316" i="27"/>
  <c r="EM279" i="27" s="1"/>
  <c r="GW316" i="27"/>
  <c r="GW279" i="27" s="1"/>
  <c r="EJ316" i="27"/>
  <c r="EJ279" i="27" s="1"/>
  <c r="EA316" i="27"/>
  <c r="EA279" i="27" s="1"/>
  <c r="EU316" i="27"/>
  <c r="EU279" i="27" s="1"/>
  <c r="DU316" i="27"/>
  <c r="DU279" i="27" s="1"/>
  <c r="CU316" i="27"/>
  <c r="CU279" i="27" s="1"/>
  <c r="HN316" i="27"/>
  <c r="HN279" i="27" s="1"/>
  <c r="W316" i="27"/>
  <c r="W279" i="27" s="1"/>
  <c r="CS316" i="27"/>
  <c r="CS279" i="27" s="1"/>
  <c r="GF316" i="27"/>
  <c r="GF279" i="27" s="1"/>
  <c r="AH316" i="27"/>
  <c r="AH279" i="27" s="1"/>
  <c r="AY316" i="27"/>
  <c r="AY279" i="27" s="1"/>
  <c r="CH316" i="27"/>
  <c r="CH279" i="27" s="1"/>
  <c r="EN316" i="27"/>
  <c r="EN279" i="27" s="1"/>
  <c r="DT316" i="27"/>
  <c r="DT279" i="27" s="1"/>
  <c r="HL316" i="27"/>
  <c r="HL279" i="27" s="1"/>
  <c r="GU316" i="27"/>
  <c r="GU279" i="27" s="1"/>
  <c r="U316" i="27"/>
  <c r="U279" i="27" s="1"/>
  <c r="AU316" i="27"/>
  <c r="AU279" i="27" s="1"/>
  <c r="BO316" i="27"/>
  <c r="BO279" i="27" s="1"/>
  <c r="ID316" i="27"/>
  <c r="ID279" i="27" s="1"/>
  <c r="H316" i="27"/>
  <c r="H279" i="27" s="1"/>
  <c r="AV316" i="27"/>
  <c r="AV279" i="27" s="1"/>
  <c r="IH316" i="27"/>
  <c r="IH279" i="27" s="1"/>
  <c r="GN316" i="27"/>
  <c r="GN279" i="27" s="1"/>
  <c r="BH316" i="27"/>
  <c r="BH279" i="27" s="1"/>
  <c r="CK316" i="27"/>
  <c r="CK279" i="27" s="1"/>
  <c r="X316" i="27"/>
  <c r="X279" i="27" s="1"/>
  <c r="EL316" i="27"/>
  <c r="EL279" i="27" s="1"/>
  <c r="FM316" i="27"/>
  <c r="FM279" i="27" s="1"/>
  <c r="FF316" i="27"/>
  <c r="FF279" i="27" s="1"/>
  <c r="FO316" i="27"/>
  <c r="FO279" i="27" s="1"/>
  <c r="BB316" i="27"/>
  <c r="BB279" i="27" s="1"/>
  <c r="DQ316" i="27"/>
  <c r="DQ279" i="27" s="1"/>
  <c r="HU316" i="27"/>
  <c r="HU279" i="27" s="1"/>
  <c r="CL316" i="27"/>
  <c r="CL279" i="27" s="1"/>
  <c r="FD316" i="27"/>
  <c r="FD279" i="27" s="1"/>
  <c r="CJ316" i="27"/>
  <c r="CJ279" i="27" s="1"/>
  <c r="BI316" i="27"/>
  <c r="BI279" i="27" s="1"/>
  <c r="DV316" i="27"/>
  <c r="DV279" i="27" s="1"/>
  <c r="AF316" i="27"/>
  <c r="AF279" i="27" s="1"/>
  <c r="HQ316" i="27"/>
  <c r="HQ279" i="27" s="1"/>
  <c r="EB316" i="27"/>
  <c r="EB279" i="27" s="1"/>
  <c r="DA316" i="27"/>
  <c r="DA279" i="27" s="1"/>
  <c r="IC316" i="27"/>
  <c r="IC279" i="27" s="1"/>
  <c r="CA316" i="27"/>
  <c r="CA279" i="27" s="1"/>
  <c r="EV316" i="27"/>
  <c r="EV279" i="27" s="1"/>
  <c r="O316" i="27"/>
  <c r="O279" i="27" s="1"/>
  <c r="EQ316" i="27"/>
  <c r="EQ279" i="27" s="1"/>
  <c r="DY316" i="27"/>
  <c r="DY279" i="27" s="1"/>
  <c r="AR316" i="27"/>
  <c r="AR279" i="27" s="1"/>
  <c r="IK316" i="27"/>
  <c r="IK279" i="27" s="1"/>
  <c r="BK316" i="27"/>
  <c r="BK279" i="27" s="1"/>
  <c r="BQ316" i="27"/>
  <c r="BQ279" i="27" s="1"/>
  <c r="GT316" i="27"/>
  <c r="GT279" i="27" s="1"/>
  <c r="EX316" i="27"/>
  <c r="EX279" i="27" s="1"/>
  <c r="BT316" i="27"/>
  <c r="BT279" i="27" s="1"/>
  <c r="HW316" i="27"/>
  <c r="HW279" i="27" s="1"/>
  <c r="FB316" i="27"/>
  <c r="FB279" i="27" s="1"/>
  <c r="CT316" i="27"/>
  <c r="CT279" i="27" s="1"/>
  <c r="FU316" i="27"/>
  <c r="FU279" i="27" s="1"/>
  <c r="AP316" i="27"/>
  <c r="AP279" i="27" s="1"/>
  <c r="HK316" i="27"/>
  <c r="HK279" i="27" s="1"/>
  <c r="AJ316" i="27"/>
  <c r="AJ279" i="27" s="1"/>
  <c r="V316" i="27"/>
  <c r="V279" i="27" s="1"/>
  <c r="HE316" i="27"/>
  <c r="HE279" i="27" s="1"/>
  <c r="IB316" i="27"/>
  <c r="IB279" i="27" s="1"/>
  <c r="DF316" i="27"/>
  <c r="DF279" i="27" s="1"/>
  <c r="HH316" i="27"/>
  <c r="HH279" i="27" s="1"/>
  <c r="DD316" i="27"/>
  <c r="DD279" i="27" s="1"/>
  <c r="GP316" i="27"/>
  <c r="GP279" i="27" s="1"/>
  <c r="BE316" i="27"/>
  <c r="BE279" i="27" s="1"/>
  <c r="CN316" i="27"/>
  <c r="CN279" i="27" s="1"/>
  <c r="BG316" i="27"/>
  <c r="BG279" i="27" s="1"/>
  <c r="DH316" i="27"/>
  <c r="DH279" i="27" s="1"/>
  <c r="CP316" i="27"/>
  <c r="CP279" i="27" s="1"/>
  <c r="DE316" i="27"/>
  <c r="DE279" i="27" s="1"/>
  <c r="EH316" i="27"/>
  <c r="EH279" i="27" s="1"/>
  <c r="GV316" i="27"/>
  <c r="GV279" i="27" s="1"/>
  <c r="AX316" i="27"/>
  <c r="AX279" i="27" s="1"/>
  <c r="DL316" i="27"/>
  <c r="DL279" i="27" s="1"/>
  <c r="HS316" i="27"/>
  <c r="HS279" i="27" s="1"/>
  <c r="GZ316" i="27"/>
  <c r="GZ279" i="27" s="1"/>
  <c r="IJ316" i="27"/>
  <c r="IJ279" i="27" s="1"/>
  <c r="EY316" i="27"/>
  <c r="EY279" i="27" s="1"/>
  <c r="BV316" i="27"/>
  <c r="BV279" i="27" s="1"/>
  <c r="FQ316" i="27"/>
  <c r="FQ279" i="27" s="1"/>
  <c r="BS316" i="27"/>
  <c r="BS279" i="27" s="1"/>
  <c r="ED316" i="27"/>
  <c r="ED279" i="27" s="1"/>
  <c r="BL316" i="27"/>
  <c r="BL279" i="27" s="1"/>
  <c r="BD316" i="27"/>
  <c r="BD279" i="27" s="1"/>
  <c r="GD316" i="27"/>
  <c r="GD279" i="27" s="1"/>
  <c r="FI316" i="27"/>
  <c r="FI279" i="27" s="1"/>
  <c r="ER316" i="27"/>
  <c r="ER279" i="27" s="1"/>
  <c r="BJ316" i="27"/>
  <c r="BJ279" i="27" s="1"/>
  <c r="AW316" i="27"/>
  <c r="AW279" i="27" s="1"/>
  <c r="FE316" i="27"/>
  <c r="FE279" i="27" s="1"/>
  <c r="FL316" i="27"/>
  <c r="FL279" i="27" s="1"/>
  <c r="DW316" i="27"/>
  <c r="DW279" i="27" s="1"/>
  <c r="T316" i="27"/>
  <c r="T279" i="27" s="1"/>
  <c r="DC316" i="27"/>
  <c r="DC279" i="27" s="1"/>
  <c r="EZ316" i="27"/>
  <c r="EZ279" i="27" s="1"/>
  <c r="J316" i="27"/>
  <c r="J279" i="27" s="1"/>
  <c r="BZ316" i="27"/>
  <c r="BZ279" i="27" s="1"/>
  <c r="HP316" i="27"/>
  <c r="HP279" i="27" s="1"/>
  <c r="GA316" i="27"/>
  <c r="GA279" i="27" s="1"/>
  <c r="DX316" i="27"/>
  <c r="DX279" i="27" s="1"/>
  <c r="BA316" i="27"/>
  <c r="BA279" i="27" s="1"/>
  <c r="FV316" i="27"/>
  <c r="FV279" i="27" s="1"/>
  <c r="DI316" i="27"/>
  <c r="DI279" i="27" s="1"/>
  <c r="DS316" i="27"/>
  <c r="DS279" i="27" s="1"/>
  <c r="DJ316" i="27"/>
  <c r="DJ279" i="27" s="1"/>
  <c r="BF316" i="27"/>
  <c r="BF279" i="27" s="1"/>
  <c r="GR316" i="27"/>
  <c r="GR279" i="27" s="1"/>
  <c r="DN316" i="27"/>
  <c r="DN279" i="27" s="1"/>
  <c r="DZ316" i="27"/>
  <c r="DZ279" i="27" s="1"/>
  <c r="AL316" i="27"/>
  <c r="AL279" i="27" s="1"/>
  <c r="AB316" i="27"/>
  <c r="AB279" i="27" s="1"/>
  <c r="HO316" i="27"/>
  <c r="HO279" i="27" s="1"/>
  <c r="EE316" i="27"/>
  <c r="EE279" i="27" s="1"/>
  <c r="GG316" i="27"/>
  <c r="GG279" i="27" s="1"/>
  <c r="FA316" i="27"/>
  <c r="FA279" i="27" s="1"/>
  <c r="GJ316" i="27"/>
  <c r="GJ279" i="27" s="1"/>
  <c r="DK316" i="27"/>
  <c r="DK279" i="27" s="1"/>
  <c r="AZ316" i="27"/>
  <c r="AZ279" i="27" s="1"/>
  <c r="FC316" i="27"/>
  <c r="FC279" i="27" s="1"/>
  <c r="GB316" i="27"/>
  <c r="GB279" i="27" s="1"/>
  <c r="GS316" i="27"/>
  <c r="GS279" i="27" s="1"/>
  <c r="AA316" i="27"/>
  <c r="AA279" i="27" s="1"/>
  <c r="GK316" i="27"/>
  <c r="GK279" i="27" s="1"/>
  <c r="GO316" i="27"/>
  <c r="GO279" i="27" s="1"/>
  <c r="FG316" i="27"/>
  <c r="FG279" i="27" s="1"/>
  <c r="AO316" i="27"/>
  <c r="AO279" i="27" s="1"/>
  <c r="FT316" i="27"/>
  <c r="FT279" i="27" s="1"/>
  <c r="AN316" i="27"/>
  <c r="AN279" i="27" s="1"/>
  <c r="GX316" i="27"/>
  <c r="GX279" i="27" s="1"/>
  <c r="L316" i="27"/>
  <c r="L279" i="27" s="1"/>
  <c r="EP316" i="27"/>
  <c r="EP279" i="27" s="1"/>
  <c r="GM316" i="27"/>
  <c r="GM279" i="27" s="1"/>
  <c r="FK316" i="27"/>
  <c r="FK279" i="27" s="1"/>
  <c r="AD316" i="27"/>
  <c r="AD279" i="27" s="1"/>
  <c r="EI316" i="27"/>
  <c r="EI279" i="27" s="1"/>
  <c r="BW316" i="27"/>
  <c r="BW279" i="27" s="1"/>
  <c r="FW316" i="27"/>
  <c r="FW279" i="27" s="1"/>
  <c r="HC316" i="27"/>
  <c r="HC279" i="27" s="1"/>
  <c r="CQ316" i="27"/>
  <c r="CQ279" i="27" s="1"/>
  <c r="M316" i="27"/>
  <c r="M279" i="27" s="1"/>
  <c r="HF316" i="27"/>
  <c r="HF279" i="27" s="1"/>
  <c r="GL316" i="27"/>
  <c r="GL279" i="27" s="1"/>
  <c r="CW316" i="27"/>
  <c r="CW279" i="27" s="1"/>
  <c r="EC316" i="27"/>
  <c r="EC279" i="27" s="1"/>
  <c r="BM316" i="27"/>
  <c r="BM279" i="27" s="1"/>
  <c r="Z316" i="27"/>
  <c r="Z279" i="27" s="1"/>
  <c r="P316" i="27"/>
  <c r="P279" i="27" s="1"/>
  <c r="AM316" i="27"/>
  <c r="AM279" i="27" s="1"/>
  <c r="CO316" i="27"/>
  <c r="CO279" i="27" s="1"/>
  <c r="CM316" i="27"/>
  <c r="CM279" i="27" s="1"/>
  <c r="EG316" i="27"/>
  <c r="EG279" i="27" s="1"/>
  <c r="CE316" i="27"/>
  <c r="CE279" i="27" s="1"/>
  <c r="FS316" i="27"/>
  <c r="FS279" i="27" s="1"/>
  <c r="FX316" i="27"/>
  <c r="FX279" i="27" s="1"/>
  <c r="IG316" i="27"/>
  <c r="IG279" i="27" s="1"/>
  <c r="EW316" i="27"/>
  <c r="EW279" i="27" s="1"/>
  <c r="CI316" i="27"/>
  <c r="CI279" i="27" s="1"/>
  <c r="HY316" i="27"/>
  <c r="HY279" i="27" s="1"/>
  <c r="FY316" i="27"/>
  <c r="FY279" i="27" s="1"/>
  <c r="DP316" i="27"/>
  <c r="DP279" i="27" s="1"/>
  <c r="GI316" i="27"/>
  <c r="GI279" i="27" s="1"/>
  <c r="DB316" i="27"/>
  <c r="DB279" i="27" s="1"/>
  <c r="CC316" i="27"/>
  <c r="CC279" i="27" s="1"/>
  <c r="CF316" i="27"/>
  <c r="CF279" i="27" s="1"/>
  <c r="EK316" i="27"/>
  <c r="EK279" i="27" s="1"/>
  <c r="FP316" i="27"/>
  <c r="FP279" i="27" s="1"/>
  <c r="Q316" i="27"/>
  <c r="Q279" i="27" s="1"/>
  <c r="CR316" i="27"/>
  <c r="CR279" i="27" s="1"/>
  <c r="II316" i="27"/>
  <c r="II279" i="27" s="1"/>
  <c r="IA316" i="27"/>
  <c r="IA279" i="27" s="1"/>
  <c r="AE316" i="27"/>
  <c r="AE279" i="27" s="1"/>
  <c r="AC316" i="27"/>
  <c r="AC279" i="27" s="1"/>
  <c r="GQ316" i="27"/>
  <c r="GQ279" i="27" s="1"/>
  <c r="AT316" i="27"/>
  <c r="AT279" i="27" s="1"/>
  <c r="EO316" i="27"/>
  <c r="EO279" i="27" s="1"/>
  <c r="K316" i="27"/>
  <c r="K279" i="27" s="1"/>
  <c r="CY316" i="27"/>
  <c r="CY279" i="27" s="1"/>
  <c r="W177" i="25" l="1"/>
  <c r="L632" i="11" s="1"/>
  <c r="K170" i="14" s="1"/>
  <c r="R170" i="14" s="1"/>
  <c r="A281" i="27"/>
  <c r="A284" i="27"/>
  <c r="A279" i="27"/>
  <c r="A280" i="27"/>
  <c r="A282" i="27"/>
  <c r="R192" i="14"/>
  <c r="L629" i="11" l="1"/>
  <c r="K167" i="14" s="1"/>
  <c r="R167" i="14" s="1"/>
  <c r="R187" i="14"/>
  <c r="L774" i="11" l="1"/>
  <c r="H37" i="19" l="1"/>
  <c r="K193" i="14"/>
  <c r="R193" i="14" s="1"/>
  <c r="O98" i="14" l="1"/>
  <c r="O97" i="14"/>
  <c r="DQ72" i="26" l="1"/>
  <c r="AF135" i="26" s="1"/>
  <c r="CX72" i="26"/>
  <c r="AE135" i="26" s="1"/>
  <c r="AF138" i="26" l="1"/>
  <c r="O587" i="11" l="1"/>
  <c r="H11" i="22" l="1"/>
  <c r="G1243" i="23"/>
  <c r="H18" i="22" s="1"/>
  <c r="D109" i="22" s="1"/>
  <c r="J587" i="11"/>
  <c r="Z157" i="11" s="1"/>
  <c r="Z158" i="11" s="1"/>
  <c r="Z234" i="11"/>
  <c r="Z238" i="11" s="1"/>
  <c r="G109" i="22" l="1"/>
  <c r="D110" i="22"/>
  <c r="D112" i="22" s="1"/>
  <c r="Z225" i="11"/>
  <c r="AD157" i="11"/>
  <c r="AD158" i="11" s="1"/>
  <c r="AD161" i="11" s="1"/>
  <c r="AD164" i="11" s="1"/>
  <c r="AE163" i="11"/>
  <c r="Z163" i="11"/>
  <c r="Z161" i="11"/>
  <c r="Z164" i="11" s="1"/>
  <c r="AC234" i="11"/>
  <c r="AC238" i="11" s="1"/>
  <c r="AC164" i="11"/>
  <c r="I668" i="11"/>
  <c r="I309" i="23" s="1"/>
  <c r="G110" i="22" l="1"/>
  <c r="G112" i="22" s="1"/>
  <c r="Z226" i="11"/>
  <c r="Z233" i="11" s="1"/>
  <c r="Z237" i="11" s="1"/>
  <c r="AB225" i="11"/>
  <c r="AC225" i="11" s="1"/>
  <c r="AD163" i="11"/>
  <c r="AB226" i="11" l="1"/>
  <c r="AB233" i="11" s="1"/>
  <c r="AB157" i="11"/>
  <c r="AB158" i="11" s="1"/>
  <c r="AB161" i="11" s="1"/>
  <c r="AB164" i="11" s="1"/>
  <c r="W16" i="25"/>
  <c r="W17" i="25" s="1"/>
  <c r="W18" i="25"/>
  <c r="AC157" i="11"/>
  <c r="AC158" i="11" s="1"/>
  <c r="AC163" i="11" s="1"/>
  <c r="AA189" i="11" s="1"/>
  <c r="AC226" i="11"/>
  <c r="AC233" i="11" s="1"/>
  <c r="AC237" i="11" s="1"/>
  <c r="J589" i="11"/>
  <c r="N619" i="11" s="1"/>
  <c r="O38" i="20" s="1"/>
  <c r="Z229" i="11"/>
  <c r="AJ242" i="11"/>
  <c r="H218" i="11" s="1"/>
  <c r="AJ238" i="11"/>
  <c r="H209" i="11" s="1"/>
  <c r="AJ235" i="11"/>
  <c r="H200" i="11" s="1"/>
  <c r="AJ237" i="11"/>
  <c r="H206" i="11" s="1"/>
  <c r="AJ241" i="11"/>
  <c r="H215" i="11" s="1"/>
  <c r="AJ225" i="11"/>
  <c r="AJ233" i="11"/>
  <c r="H194" i="11" s="1"/>
  <c r="AJ239" i="11"/>
  <c r="H212" i="11" s="1"/>
  <c r="AJ229" i="11"/>
  <c r="AJ234" i="11"/>
  <c r="H197" i="11" s="1"/>
  <c r="AJ226" i="11"/>
  <c r="AJ228" i="11"/>
  <c r="AJ232" i="11"/>
  <c r="H191" i="11" s="1"/>
  <c r="AJ227" i="11"/>
  <c r="AJ236" i="11"/>
  <c r="H203" i="11" s="1"/>
  <c r="L619" i="11" l="1"/>
  <c r="K154" i="14" s="1"/>
  <c r="I75" i="33" s="1"/>
  <c r="E61" i="33" s="1"/>
  <c r="AB229" i="11"/>
  <c r="AE637" i="11" s="1"/>
  <c r="AN637" i="11" s="1"/>
  <c r="AM637" i="11" s="1"/>
  <c r="AL637" i="11" s="1"/>
  <c r="AB163" i="11"/>
  <c r="W23" i="25"/>
  <c r="AC165" i="26" s="1"/>
  <c r="AC229" i="11"/>
  <c r="F87" i="11" s="1"/>
  <c r="AC161" i="11"/>
  <c r="Y610" i="11" s="1"/>
  <c r="AE610" i="11" s="1"/>
  <c r="AD610" i="11" s="1"/>
  <c r="L622" i="11"/>
  <c r="K160" i="14" s="1"/>
  <c r="R160" i="14" s="1"/>
  <c r="H21" i="22"/>
  <c r="F116" i="22" s="1"/>
  <c r="E122" i="22" s="1"/>
  <c r="F122" i="22" s="1"/>
  <c r="D124" i="22" s="1"/>
  <c r="W25" i="25"/>
  <c r="W26" i="25" s="1"/>
  <c r="W19" i="25"/>
  <c r="W20" i="25" s="1"/>
  <c r="AE189" i="11"/>
  <c r="AB196" i="11"/>
  <c r="AB195" i="11"/>
  <c r="AB194" i="11"/>
  <c r="AB197" i="11"/>
  <c r="AB192" i="11"/>
  <c r="AB191" i="11"/>
  <c r="AB193" i="11"/>
  <c r="AB237" i="11"/>
  <c r="AK231" i="11"/>
  <c r="AK230" i="11"/>
  <c r="AB234" i="11"/>
  <c r="AB238" i="11" s="1"/>
  <c r="AO225" i="11"/>
  <c r="AN225" i="11"/>
  <c r="D215" i="11"/>
  <c r="D527" i="23" s="1"/>
  <c r="N216" i="11"/>
  <c r="N528" i="23" s="1"/>
  <c r="H527" i="23"/>
  <c r="O216" i="11"/>
  <c r="O528" i="23" s="1"/>
  <c r="F216" i="11"/>
  <c r="F528" i="23" s="1"/>
  <c r="R215" i="11"/>
  <c r="E216" i="11"/>
  <c r="E528" i="23" s="1"/>
  <c r="I215" i="11"/>
  <c r="I527" i="23" s="1"/>
  <c r="O213" i="11"/>
  <c r="O525" i="23" s="1"/>
  <c r="E213" i="11"/>
  <c r="E525" i="23" s="1"/>
  <c r="H524" i="23"/>
  <c r="N213" i="11"/>
  <c r="N525" i="23" s="1"/>
  <c r="R212" i="11"/>
  <c r="D212" i="11"/>
  <c r="D524" i="23" s="1"/>
  <c r="I212" i="11"/>
  <c r="I524" i="23" s="1"/>
  <c r="F213" i="11"/>
  <c r="F525" i="23" s="1"/>
  <c r="O195" i="11"/>
  <c r="O507" i="23" s="1"/>
  <c r="I194" i="11"/>
  <c r="I506" i="23" s="1"/>
  <c r="E195" i="11"/>
  <c r="E507" i="23" s="1"/>
  <c r="F195" i="11"/>
  <c r="F507" i="23" s="1"/>
  <c r="F314" i="26" s="1"/>
  <c r="N195" i="11"/>
  <c r="N507" i="23" s="1"/>
  <c r="R194" i="11"/>
  <c r="H506" i="23"/>
  <c r="D194" i="11"/>
  <c r="D506" i="23" s="1"/>
  <c r="I206" i="11"/>
  <c r="I518" i="23" s="1"/>
  <c r="N207" i="11"/>
  <c r="N519" i="23" s="1"/>
  <c r="O207" i="11"/>
  <c r="O519" i="23" s="1"/>
  <c r="R206" i="11"/>
  <c r="F207" i="11"/>
  <c r="F519" i="23" s="1"/>
  <c r="E207" i="11"/>
  <c r="E519" i="23" s="1"/>
  <c r="H518" i="23"/>
  <c r="D206" i="11"/>
  <c r="D518" i="23" s="1"/>
  <c r="D200" i="11"/>
  <c r="D512" i="23" s="1"/>
  <c r="R200" i="11"/>
  <c r="E201" i="11"/>
  <c r="E513" i="23" s="1"/>
  <c r="N201" i="11"/>
  <c r="N513" i="23" s="1"/>
  <c r="H512" i="23"/>
  <c r="I200" i="11"/>
  <c r="I512" i="23" s="1"/>
  <c r="F201" i="11"/>
  <c r="F513" i="23" s="1"/>
  <c r="O201" i="11"/>
  <c r="O513" i="23" s="1"/>
  <c r="AN227" i="11"/>
  <c r="AO227" i="11"/>
  <c r="R209" i="11"/>
  <c r="E210" i="11"/>
  <c r="E522" i="23" s="1"/>
  <c r="F210" i="11"/>
  <c r="F522" i="23" s="1"/>
  <c r="N210" i="11"/>
  <c r="N522" i="23" s="1"/>
  <c r="H521" i="23"/>
  <c r="D209" i="11"/>
  <c r="D521" i="23" s="1"/>
  <c r="O210" i="11"/>
  <c r="O522" i="23" s="1"/>
  <c r="I209" i="11"/>
  <c r="I521" i="23" s="1"/>
  <c r="H503" i="23"/>
  <c r="F192" i="11"/>
  <c r="F504" i="23" s="1"/>
  <c r="E192" i="11"/>
  <c r="E504" i="23" s="1"/>
  <c r="N192" i="11"/>
  <c r="N504" i="23" s="1"/>
  <c r="R191" i="11"/>
  <c r="I191" i="11"/>
  <c r="I503" i="23" s="1"/>
  <c r="D191" i="11"/>
  <c r="D503" i="23" s="1"/>
  <c r="O192" i="11"/>
  <c r="O504" i="23" s="1"/>
  <c r="E219" i="11"/>
  <c r="E531" i="23" s="1"/>
  <c r="I218" i="11"/>
  <c r="I530" i="23" s="1"/>
  <c r="D218" i="11"/>
  <c r="D530" i="23" s="1"/>
  <c r="H530" i="23"/>
  <c r="F219" i="11"/>
  <c r="F531" i="23" s="1"/>
  <c r="N219" i="11"/>
  <c r="N531" i="23" s="1"/>
  <c r="R218" i="11"/>
  <c r="O219" i="11"/>
  <c r="O531" i="23" s="1"/>
  <c r="F204" i="11"/>
  <c r="F516" i="23" s="1"/>
  <c r="D203" i="11"/>
  <c r="D515" i="23" s="1"/>
  <c r="E204" i="11"/>
  <c r="E516" i="23" s="1"/>
  <c r="I203" i="11"/>
  <c r="I515" i="23" s="1"/>
  <c r="N204" i="11"/>
  <c r="N516" i="23" s="1"/>
  <c r="H515" i="23"/>
  <c r="O204" i="11"/>
  <c r="O516" i="23" s="1"/>
  <c r="R203" i="11"/>
  <c r="AN228" i="11"/>
  <c r="AO228" i="11"/>
  <c r="AN226" i="11"/>
  <c r="AO226" i="11"/>
  <c r="AO229" i="11"/>
  <c r="AN229" i="11"/>
  <c r="O198" i="11"/>
  <c r="O510" i="23" s="1"/>
  <c r="R197" i="11"/>
  <c r="I197" i="11"/>
  <c r="I509" i="23" s="1"/>
  <c r="F198" i="11"/>
  <c r="F510" i="23" s="1"/>
  <c r="F317" i="26" s="1"/>
  <c r="E198" i="11"/>
  <c r="E510" i="23" s="1"/>
  <c r="H509" i="23"/>
  <c r="D197" i="11"/>
  <c r="D509" i="23" s="1"/>
  <c r="N198" i="11"/>
  <c r="N510" i="23" s="1"/>
  <c r="R154" i="14" l="1"/>
  <c r="K155" i="14"/>
  <c r="R155" i="14" s="1"/>
  <c r="D24" i="35" s="1"/>
  <c r="E24" i="35" s="1"/>
  <c r="U27" i="20"/>
  <c r="L24" i="24"/>
  <c r="D29" i="35"/>
  <c r="E29" i="35" s="1"/>
  <c r="Y606" i="11"/>
  <c r="AE606" i="11" s="1"/>
  <c r="AD606" i="11" s="1"/>
  <c r="L287" i="11"/>
  <c r="K77" i="14" s="1"/>
  <c r="AP227" i="11"/>
  <c r="H182" i="11" s="1"/>
  <c r="E183" i="11" s="1"/>
  <c r="E495" i="23" s="1"/>
  <c r="AP226" i="11"/>
  <c r="H179" i="11" s="1"/>
  <c r="AP228" i="11"/>
  <c r="AF228" i="11" s="1"/>
  <c r="AN639" i="11"/>
  <c r="AM639" i="11" s="1"/>
  <c r="AL639" i="11" s="1"/>
  <c r="AK637" i="11"/>
  <c r="AJ637" i="11" s="1"/>
  <c r="AI637" i="11" s="1"/>
  <c r="AH637" i="11" s="1"/>
  <c r="G606" i="11" s="1"/>
  <c r="I606" i="11" s="1"/>
  <c r="J140" i="14" s="1"/>
  <c r="AK639" i="11"/>
  <c r="AJ639" i="11" s="1"/>
  <c r="AI639" i="11" s="1"/>
  <c r="AE639" i="11"/>
  <c r="AE619" i="11"/>
  <c r="AQ619" i="11" s="1"/>
  <c r="AP619" i="11" s="1"/>
  <c r="AO619" i="11" s="1"/>
  <c r="Y609" i="11"/>
  <c r="AC609" i="11" s="1"/>
  <c r="AE648" i="11"/>
  <c r="AE280" i="11" s="1"/>
  <c r="F86" i="11"/>
  <c r="W24" i="25"/>
  <c r="W27" i="25" s="1"/>
  <c r="Y607" i="11"/>
  <c r="AE621" i="11"/>
  <c r="AT623" i="11" s="1"/>
  <c r="AS623" i="11" s="1"/>
  <c r="AR623" i="11" s="1"/>
  <c r="AQ623" i="11" s="1"/>
  <c r="AP623" i="11" s="1"/>
  <c r="AO623" i="11" s="1"/>
  <c r="AI607" i="11"/>
  <c r="AE638" i="11"/>
  <c r="AK638" i="11" s="1"/>
  <c r="AJ638" i="11" s="1"/>
  <c r="AI638" i="11" s="1"/>
  <c r="AE649" i="11"/>
  <c r="L621" i="11"/>
  <c r="K159" i="14" s="1"/>
  <c r="R159" i="14" s="1"/>
  <c r="D28" i="35" s="1"/>
  <c r="E28" i="35" s="1"/>
  <c r="D118" i="22"/>
  <c r="J746" i="11" s="1"/>
  <c r="L746" i="11" s="1"/>
  <c r="L217" i="23"/>
  <c r="L220" i="23" s="1"/>
  <c r="AC610" i="11"/>
  <c r="AI610" i="11"/>
  <c r="AH610" i="11" s="1"/>
  <c r="AG610" i="11" s="1"/>
  <c r="AF610" i="11" s="1"/>
  <c r="AB189" i="11"/>
  <c r="AF194" i="11"/>
  <c r="AF195" i="11"/>
  <c r="AF191" i="11"/>
  <c r="AF192" i="11"/>
  <c r="AF193" i="11"/>
  <c r="AF196" i="11"/>
  <c r="AF197" i="11"/>
  <c r="AF198" i="11"/>
  <c r="AP225" i="11"/>
  <c r="H176" i="11" s="1"/>
  <c r="H488" i="23" s="1"/>
  <c r="AP229" i="11"/>
  <c r="L23" i="24" l="1"/>
  <c r="AI606" i="11"/>
  <c r="AH606" i="11" s="1"/>
  <c r="AG606" i="11" s="1"/>
  <c r="AF606" i="11" s="1"/>
  <c r="AC606" i="11"/>
  <c r="BD226" i="11"/>
  <c r="BC226" i="11" s="1"/>
  <c r="AF226" i="11"/>
  <c r="F183" i="11"/>
  <c r="F495" i="23" s="1"/>
  <c r="H185" i="11"/>
  <c r="I185" i="11" s="1"/>
  <c r="I497" i="23" s="1"/>
  <c r="BD228" i="11"/>
  <c r="BF228" i="11" s="1"/>
  <c r="H494" i="23"/>
  <c r="BD227" i="11"/>
  <c r="BE227" i="11" s="1"/>
  <c r="AF227" i="11"/>
  <c r="O183" i="11"/>
  <c r="O495" i="23" s="1"/>
  <c r="O182" i="11"/>
  <c r="R182" i="11"/>
  <c r="N183" i="11"/>
  <c r="N495" i="23" s="1"/>
  <c r="I182" i="11"/>
  <c r="I494" i="23" s="1"/>
  <c r="T188" i="11"/>
  <c r="D182" i="11"/>
  <c r="D494" i="23" s="1"/>
  <c r="D495" i="23" s="1"/>
  <c r="AE609" i="11"/>
  <c r="AD609" i="11" s="1"/>
  <c r="AB610" i="11"/>
  <c r="AC607" i="11"/>
  <c r="AE607" i="11"/>
  <c r="AD607" i="11" s="1"/>
  <c r="AH639" i="11"/>
  <c r="L606" i="11" s="1"/>
  <c r="K140" i="14" s="1"/>
  <c r="AN619" i="11"/>
  <c r="AM619" i="11" s="1"/>
  <c r="AL619" i="11" s="1"/>
  <c r="AK619" i="11" s="1"/>
  <c r="AJ619" i="11" s="1"/>
  <c r="AI619" i="11" s="1"/>
  <c r="AT622" i="11"/>
  <c r="AS622" i="11" s="1"/>
  <c r="AR622" i="11" s="1"/>
  <c r="AQ622" i="11" s="1"/>
  <c r="AP622" i="11" s="1"/>
  <c r="AO622" i="11" s="1"/>
  <c r="AN622" i="11"/>
  <c r="AM622" i="11" s="1"/>
  <c r="AL622" i="11" s="1"/>
  <c r="AK622" i="11" s="1"/>
  <c r="AJ622" i="11" s="1"/>
  <c r="AI622" i="11" s="1"/>
  <c r="AI609" i="11"/>
  <c r="AH609" i="11" s="1"/>
  <c r="AG609" i="11" s="1"/>
  <c r="AF609" i="11" s="1"/>
  <c r="AE652" i="11"/>
  <c r="AE282" i="11" s="1"/>
  <c r="H140" i="14"/>
  <c r="Q140" i="14" s="1"/>
  <c r="AC140" i="14" s="1"/>
  <c r="AE622" i="11"/>
  <c r="AT619" i="11"/>
  <c r="AS619" i="11" s="1"/>
  <c r="AR619" i="11" s="1"/>
  <c r="AN652" i="11"/>
  <c r="AN282" i="11" s="1"/>
  <c r="AK652" i="11"/>
  <c r="AK282" i="11" s="1"/>
  <c r="AN648" i="11"/>
  <c r="AN280" i="11" s="1"/>
  <c r="AK648" i="11"/>
  <c r="AK280" i="11" s="1"/>
  <c r="AE653" i="11"/>
  <c r="AE283" i="11" s="1"/>
  <c r="AN649" i="11"/>
  <c r="AN281" i="11" s="1"/>
  <c r="AK649" i="11"/>
  <c r="AK281" i="11" s="1"/>
  <c r="AN653" i="11"/>
  <c r="AN283" i="11" s="1"/>
  <c r="AN621" i="11"/>
  <c r="AM621" i="11" s="1"/>
  <c r="AL621" i="11" s="1"/>
  <c r="AK621" i="11" s="1"/>
  <c r="AJ621" i="11" s="1"/>
  <c r="AI621" i="11" s="1"/>
  <c r="AE623" i="11"/>
  <c r="AK653" i="11"/>
  <c r="AK283" i="11" s="1"/>
  <c r="AN623" i="11"/>
  <c r="AM623" i="11" s="1"/>
  <c r="AL623" i="11" s="1"/>
  <c r="AK623" i="11" s="1"/>
  <c r="AJ623" i="11" s="1"/>
  <c r="AI623" i="11" s="1"/>
  <c r="AH623" i="11" s="1"/>
  <c r="AT621" i="11"/>
  <c r="AS621" i="11" s="1"/>
  <c r="AR621" i="11" s="1"/>
  <c r="AQ621" i="11" s="1"/>
  <c r="AP621" i="11" s="1"/>
  <c r="AO621" i="11" s="1"/>
  <c r="AH607" i="11"/>
  <c r="AG607" i="11" s="1"/>
  <c r="AF607" i="11" s="1"/>
  <c r="AK640" i="11"/>
  <c r="AJ640" i="11" s="1"/>
  <c r="AI640" i="11" s="1"/>
  <c r="AE281" i="11"/>
  <c r="AN640" i="11"/>
  <c r="AM640" i="11" s="1"/>
  <c r="AL640" i="11" s="1"/>
  <c r="AN638" i="11"/>
  <c r="AM638" i="11" s="1"/>
  <c r="AL638" i="11" s="1"/>
  <c r="AH638" i="11" s="1"/>
  <c r="G607" i="11" s="1"/>
  <c r="AE640" i="11"/>
  <c r="L624" i="11"/>
  <c r="K162" i="14" s="1"/>
  <c r="R162" i="14" s="1"/>
  <c r="I87" i="33"/>
  <c r="O773" i="11"/>
  <c r="L773" i="11" s="1"/>
  <c r="H32" i="19" s="1"/>
  <c r="AF189" i="11"/>
  <c r="I130" i="11" s="1"/>
  <c r="T186" i="11"/>
  <c r="U186" i="11" s="1"/>
  <c r="F177" i="11"/>
  <c r="F489" i="23" s="1"/>
  <c r="N177" i="11"/>
  <c r="N489" i="23" s="1"/>
  <c r="BD225" i="11"/>
  <c r="BE225" i="11" s="1"/>
  <c r="I176" i="11"/>
  <c r="I488" i="23" s="1"/>
  <c r="AF225" i="11"/>
  <c r="E177" i="11"/>
  <c r="E489" i="23" s="1"/>
  <c r="D176" i="11"/>
  <c r="D488" i="23" s="1"/>
  <c r="D489" i="23" s="1"/>
  <c r="R176" i="11"/>
  <c r="O177" i="11"/>
  <c r="O489" i="23" s="1"/>
  <c r="AF229" i="11"/>
  <c r="BD229" i="11"/>
  <c r="H188" i="11"/>
  <c r="I179" i="11"/>
  <c r="I491" i="23" s="1"/>
  <c r="R179" i="11"/>
  <c r="O179" i="11"/>
  <c r="O180" i="11"/>
  <c r="O492" i="23" s="1"/>
  <c r="N180" i="11"/>
  <c r="N492" i="23" s="1"/>
  <c r="H491" i="23"/>
  <c r="F180" i="11"/>
  <c r="F492" i="23" s="1"/>
  <c r="E180" i="11"/>
  <c r="E492" i="23" s="1"/>
  <c r="D179" i="11"/>
  <c r="D491" i="23" s="1"/>
  <c r="D492" i="23" s="1"/>
  <c r="T187" i="11"/>
  <c r="G43" i="19"/>
  <c r="J43" i="19" s="1"/>
  <c r="J763" i="11"/>
  <c r="J754" i="11"/>
  <c r="AB606" i="11" l="1"/>
  <c r="L15" i="24"/>
  <c r="D31" i="35"/>
  <c r="E31" i="35" s="1"/>
  <c r="BC227" i="11"/>
  <c r="BF226" i="11"/>
  <c r="BE226" i="11"/>
  <c r="O186" i="11"/>
  <c r="O498" i="23" s="1"/>
  <c r="BF227" i="11"/>
  <c r="H497" i="23"/>
  <c r="BC228" i="11"/>
  <c r="E186" i="11"/>
  <c r="E498" i="23" s="1"/>
  <c r="R185" i="11"/>
  <c r="T189" i="11"/>
  <c r="F186" i="11"/>
  <c r="F498" i="23" s="1"/>
  <c r="O185" i="11"/>
  <c r="BE228" i="11"/>
  <c r="D185" i="11"/>
  <c r="D497" i="23" s="1"/>
  <c r="D498" i="23" s="1"/>
  <c r="U188" i="11"/>
  <c r="N186" i="11"/>
  <c r="N498" i="23" s="1"/>
  <c r="AB609" i="11"/>
  <c r="AM653" i="11"/>
  <c r="AL653" i="11" s="1"/>
  <c r="AL283" i="11" s="1"/>
  <c r="AH622" i="11"/>
  <c r="AB607" i="11"/>
  <c r="AM649" i="11"/>
  <c r="AM281" i="11" s="1"/>
  <c r="AH619" i="11"/>
  <c r="G608" i="11" s="1"/>
  <c r="I608" i="11" s="1"/>
  <c r="J142" i="14" s="1"/>
  <c r="AH640" i="11"/>
  <c r="L607" i="11" s="1"/>
  <c r="AM652" i="11"/>
  <c r="AL652" i="11" s="1"/>
  <c r="AL282" i="11" s="1"/>
  <c r="AJ652" i="11"/>
  <c r="AJ282" i="11" s="1"/>
  <c r="AJ653" i="11"/>
  <c r="AJ283" i="11" s="1"/>
  <c r="AH621" i="11"/>
  <c r="G609" i="11" s="1"/>
  <c r="I609" i="11" s="1"/>
  <c r="J143" i="14" s="1"/>
  <c r="AM648" i="11"/>
  <c r="AJ648" i="11"/>
  <c r="AJ649" i="11"/>
  <c r="R140" i="14"/>
  <c r="C258" i="23"/>
  <c r="B258" i="23" s="1"/>
  <c r="K32" i="19" s="1"/>
  <c r="N32" i="19" s="1"/>
  <c r="K188" i="14"/>
  <c r="R188" i="14" s="1"/>
  <c r="I607" i="11"/>
  <c r="J141" i="14" s="1"/>
  <c r="H141" i="14"/>
  <c r="Q141" i="14" s="1"/>
  <c r="AC141" i="14" s="1"/>
  <c r="BF225" i="11"/>
  <c r="BC225" i="11"/>
  <c r="U187" i="11"/>
  <c r="I188" i="11"/>
  <c r="I500" i="23" s="1"/>
  <c r="H500" i="23"/>
  <c r="E189" i="11"/>
  <c r="E501" i="23" s="1"/>
  <c r="O188" i="11"/>
  <c r="T190" i="11"/>
  <c r="D188" i="11"/>
  <c r="D500" i="23" s="1"/>
  <c r="D501" i="23" s="1"/>
  <c r="N189" i="11"/>
  <c r="N501" i="23" s="1"/>
  <c r="F189" i="11"/>
  <c r="F501" i="23" s="1"/>
  <c r="O189" i="11"/>
  <c r="O501" i="23" s="1"/>
  <c r="R188" i="11"/>
  <c r="BE229" i="11"/>
  <c r="BF229" i="11"/>
  <c r="BC229" i="11"/>
  <c r="C255" i="23"/>
  <c r="D255" i="23"/>
  <c r="D10" i="35" l="1"/>
  <c r="E10" i="35" s="1"/>
  <c r="AI652" i="11"/>
  <c r="AI282" i="11" s="1"/>
  <c r="AI653" i="11"/>
  <c r="AI283" i="11" s="1"/>
  <c r="AJ280" i="11"/>
  <c r="AI648" i="11"/>
  <c r="AI280" i="11" s="1"/>
  <c r="AM280" i="11"/>
  <c r="AL648" i="11"/>
  <c r="AL280" i="11" s="1"/>
  <c r="AL649" i="11"/>
  <c r="AL281" i="11" s="1"/>
  <c r="U189" i="11"/>
  <c r="AM283" i="11"/>
  <c r="AM282" i="11"/>
  <c r="L608" i="11"/>
  <c r="L609" i="11"/>
  <c r="K143" i="14" s="1"/>
  <c r="H142" i="14"/>
  <c r="Q142" i="14" s="1"/>
  <c r="AC142" i="14" s="1"/>
  <c r="H143" i="14"/>
  <c r="Q143" i="14" s="1"/>
  <c r="AC143" i="14" s="1"/>
  <c r="AI649" i="11"/>
  <c r="AI281" i="11" s="1"/>
  <c r="AJ281" i="11"/>
  <c r="L32" i="19"/>
  <c r="M32" i="19"/>
  <c r="K141" i="14"/>
  <c r="R141" i="14" s="1"/>
  <c r="D11" i="35" s="1"/>
  <c r="E11" i="35" s="1"/>
  <c r="U190" i="11"/>
  <c r="L890" i="23"/>
  <c r="L902" i="23"/>
  <c r="G276" i="23"/>
  <c r="J276" i="23" s="1"/>
  <c r="L894" i="23"/>
  <c r="G279" i="23"/>
  <c r="J279" i="23" s="1"/>
  <c r="L279" i="23" s="1"/>
  <c r="M279" i="23" s="1"/>
  <c r="L901" i="23"/>
  <c r="G277" i="23"/>
  <c r="J277" i="23" s="1"/>
  <c r="L277" i="23" s="1"/>
  <c r="M277" i="23" s="1"/>
  <c r="L898" i="23"/>
  <c r="G281" i="23"/>
  <c r="J281" i="23" s="1"/>
  <c r="L281" i="23" s="1"/>
  <c r="M281" i="23" s="1"/>
  <c r="G275" i="23"/>
  <c r="J275" i="23" s="1"/>
  <c r="L275" i="23" s="1"/>
  <c r="G278" i="23"/>
  <c r="J278" i="23" s="1"/>
  <c r="L278" i="23" s="1"/>
  <c r="M278" i="23" s="1"/>
  <c r="G282" i="23"/>
  <c r="J282" i="23" s="1"/>
  <c r="L282" i="23" s="1"/>
  <c r="M282" i="23" s="1"/>
  <c r="L899" i="23"/>
  <c r="L900" i="23"/>
  <c r="L896" i="23"/>
  <c r="L895" i="23"/>
  <c r="L892" i="23"/>
  <c r="G280" i="23"/>
  <c r="J280" i="23" s="1"/>
  <c r="L280" i="23" s="1"/>
  <c r="M280" i="23" s="1"/>
  <c r="L897" i="23"/>
  <c r="L891" i="23"/>
  <c r="B255" i="23"/>
  <c r="L893" i="23"/>
  <c r="AH653" i="11" l="1"/>
  <c r="AH283" i="11" s="1"/>
  <c r="AH652" i="11"/>
  <c r="AH282" i="11" s="1"/>
  <c r="AH648" i="11"/>
  <c r="G610" i="11" s="1"/>
  <c r="C613" i="11" s="1"/>
  <c r="D148" i="14" s="1"/>
  <c r="U192" i="11"/>
  <c r="V192" i="11" s="1"/>
  <c r="C179" i="11" s="1"/>
  <c r="L406" i="11"/>
  <c r="K118" i="14" s="1"/>
  <c r="R118" i="14" s="1"/>
  <c r="R143" i="14"/>
  <c r="D13" i="35" s="1"/>
  <c r="E13" i="35" s="1"/>
  <c r="L405" i="11"/>
  <c r="K117" i="14" s="1"/>
  <c r="R117" i="14" s="1"/>
  <c r="K142" i="14"/>
  <c r="R142" i="14" s="1"/>
  <c r="D12" i="35" s="1"/>
  <c r="E12" i="35" s="1"/>
  <c r="AH649" i="11"/>
  <c r="AH281" i="11" s="1"/>
  <c r="G240" i="11" s="1"/>
  <c r="H47" i="14" s="1"/>
  <c r="L276" i="23"/>
  <c r="M276" i="23" s="1"/>
  <c r="J283" i="23"/>
  <c r="M275" i="23"/>
  <c r="C646" i="11"/>
  <c r="L794" i="11"/>
  <c r="K234" i="14" s="1"/>
  <c r="R234" i="14" s="1"/>
  <c r="L795" i="11"/>
  <c r="K235" i="14" s="1"/>
  <c r="R235" i="14" s="1"/>
  <c r="L793" i="11"/>
  <c r="Q148" i="14" l="1"/>
  <c r="R148" i="14" s="1"/>
  <c r="D18" i="35" s="1"/>
  <c r="E18" i="35" s="1"/>
  <c r="A18" i="35"/>
  <c r="J610" i="11"/>
  <c r="J145" i="14" s="1"/>
  <c r="L610" i="11"/>
  <c r="K145" i="14" s="1"/>
  <c r="H610" i="11"/>
  <c r="I145" i="14" s="1"/>
  <c r="AH280" i="11"/>
  <c r="G239" i="11" s="1"/>
  <c r="H46" i="14" s="1"/>
  <c r="H145" i="14"/>
  <c r="C188" i="11"/>
  <c r="A188" i="11" s="1"/>
  <c r="C185" i="11"/>
  <c r="A185" i="11" s="1"/>
  <c r="C182" i="11"/>
  <c r="A182" i="11" s="1"/>
  <c r="C176" i="11"/>
  <c r="A176" i="11" s="1"/>
  <c r="Q119" i="14"/>
  <c r="AC119" i="14" s="1"/>
  <c r="X115" i="14"/>
  <c r="L16" i="24"/>
  <c r="G611" i="11"/>
  <c r="J611" i="11" s="1"/>
  <c r="J146" i="14" s="1"/>
  <c r="H240" i="11"/>
  <c r="I47" i="14" s="1"/>
  <c r="J240" i="11"/>
  <c r="J47" i="14" s="1"/>
  <c r="Q47" i="14" s="1"/>
  <c r="R47" i="14" s="1"/>
  <c r="M283" i="23"/>
  <c r="L787" i="11"/>
  <c r="G663" i="11"/>
  <c r="J663" i="11" s="1"/>
  <c r="L663" i="11" s="1"/>
  <c r="M663" i="11" s="1"/>
  <c r="L785" i="11"/>
  <c r="L789" i="11"/>
  <c r="G665" i="11"/>
  <c r="J665" i="11" s="1"/>
  <c r="L665" i="11" s="1"/>
  <c r="M665" i="11" s="1"/>
  <c r="L782" i="11"/>
  <c r="G664" i="11"/>
  <c r="J664" i="11" s="1"/>
  <c r="L664" i="11" s="1"/>
  <c r="M664" i="11" s="1"/>
  <c r="L781" i="11"/>
  <c r="L779" i="11"/>
  <c r="L790" i="11"/>
  <c r="L778" i="11"/>
  <c r="G662" i="11"/>
  <c r="J662" i="11" s="1"/>
  <c r="L662" i="11" s="1"/>
  <c r="M662" i="11" s="1"/>
  <c r="L786" i="11"/>
  <c r="O770" i="11"/>
  <c r="L770" i="11" s="1"/>
  <c r="L780" i="11"/>
  <c r="K34" i="19"/>
  <c r="G658" i="11"/>
  <c r="J658" i="11" s="1"/>
  <c r="L784" i="11"/>
  <c r="L788" i="11"/>
  <c r="G661" i="11"/>
  <c r="J661" i="11" s="1"/>
  <c r="L661" i="11" s="1"/>
  <c r="M661" i="11" s="1"/>
  <c r="L783" i="11"/>
  <c r="C180" i="11"/>
  <c r="A179" i="11"/>
  <c r="K233" i="14"/>
  <c r="R233" i="14" s="1"/>
  <c r="Q236" i="14" s="1"/>
  <c r="AC236" i="14" s="1"/>
  <c r="X234" i="14"/>
  <c r="L283" i="23"/>
  <c r="AC148" i="14" l="1"/>
  <c r="Q145" i="14"/>
  <c r="AC145" i="14" s="1"/>
  <c r="C610" i="11"/>
  <c r="D145" i="14" s="1"/>
  <c r="A15" i="35" s="1"/>
  <c r="J239" i="11"/>
  <c r="J46" i="14" s="1"/>
  <c r="Q46" i="14" s="1"/>
  <c r="AC46" i="14" s="1"/>
  <c r="C238" i="11"/>
  <c r="D45" i="14" s="1"/>
  <c r="Q45" i="14" s="1"/>
  <c r="AC45" i="14" s="1"/>
  <c r="H239" i="11"/>
  <c r="I46" i="14" s="1"/>
  <c r="C186" i="11"/>
  <c r="C189" i="11"/>
  <c r="C183" i="11"/>
  <c r="C177" i="11"/>
  <c r="Q73" i="14"/>
  <c r="AC73" i="14" s="1"/>
  <c r="H146" i="14"/>
  <c r="Q146" i="14" s="1"/>
  <c r="AC146" i="14" s="1"/>
  <c r="C611" i="11"/>
  <c r="D146" i="14" s="1"/>
  <c r="A16" i="35" s="1"/>
  <c r="H611" i="11"/>
  <c r="I146" i="14" s="1"/>
  <c r="C240" i="11"/>
  <c r="D47" i="14" s="1"/>
  <c r="AC47" i="14"/>
  <c r="H27" i="17"/>
  <c r="K219" i="14"/>
  <c r="R219" i="14" s="1"/>
  <c r="H32" i="17"/>
  <c r="K224" i="14"/>
  <c r="R224" i="14" s="1"/>
  <c r="K218" i="14"/>
  <c r="R218" i="14" s="1"/>
  <c r="H26" i="17"/>
  <c r="K220" i="14"/>
  <c r="R220" i="14" s="1"/>
  <c r="H28" i="17"/>
  <c r="H29" i="17"/>
  <c r="K221" i="14"/>
  <c r="R221" i="14" s="1"/>
  <c r="L906" i="23"/>
  <c r="F308" i="23"/>
  <c r="L387" i="23"/>
  <c r="J362" i="23"/>
  <c r="I310" i="23"/>
  <c r="C312" i="23" s="1"/>
  <c r="J361" i="23"/>
  <c r="L907" i="23"/>
  <c r="L905" i="23"/>
  <c r="L388" i="23"/>
  <c r="J364" i="23"/>
  <c r="J363" i="23"/>
  <c r="M34" i="19"/>
  <c r="L34" i="19"/>
  <c r="N34" i="19"/>
  <c r="K228" i="14"/>
  <c r="R228" i="14" s="1"/>
  <c r="H36" i="17"/>
  <c r="X189" i="14"/>
  <c r="K190" i="14"/>
  <c r="R190" i="14" s="1"/>
  <c r="Q195" i="14" s="1"/>
  <c r="H34" i="19"/>
  <c r="H35" i="17"/>
  <c r="K227" i="14"/>
  <c r="R227" i="14" s="1"/>
  <c r="H33" i="17"/>
  <c r="K225" i="14"/>
  <c r="R225" i="14" s="1"/>
  <c r="K226" i="14"/>
  <c r="R226" i="14" s="1"/>
  <c r="H34" i="17"/>
  <c r="K229" i="14"/>
  <c r="R229" i="14" s="1"/>
  <c r="H37" i="17"/>
  <c r="K223" i="14"/>
  <c r="R223" i="14" s="1"/>
  <c r="H31" i="17"/>
  <c r="L658" i="11"/>
  <c r="J666" i="11"/>
  <c r="H30" i="17"/>
  <c r="K222" i="14"/>
  <c r="R222" i="14" s="1"/>
  <c r="H25" i="17"/>
  <c r="X225" i="14"/>
  <c r="K217" i="14"/>
  <c r="R217" i="14" s="1"/>
  <c r="C239" i="11" l="1"/>
  <c r="D46" i="14" s="1"/>
  <c r="C286" i="11"/>
  <c r="A285" i="11" s="1"/>
  <c r="R145" i="14"/>
  <c r="R46" i="14"/>
  <c r="O286" i="11"/>
  <c r="AA165" i="26" s="1"/>
  <c r="R146" i="14"/>
  <c r="D16" i="35" s="1"/>
  <c r="E16" i="35" s="1"/>
  <c r="M658" i="11"/>
  <c r="M666" i="11" s="1"/>
  <c r="L666" i="11"/>
  <c r="I66" i="33"/>
  <c r="AC195" i="14"/>
  <c r="J376" i="23"/>
  <c r="L361" i="23"/>
  <c r="J368" i="23"/>
  <c r="J377" i="23"/>
  <c r="L362" i="23"/>
  <c r="J369" i="23"/>
  <c r="J378" i="23"/>
  <c r="L363" i="23"/>
  <c r="J370" i="23"/>
  <c r="L364" i="23"/>
  <c r="J371" i="23"/>
  <c r="J379" i="23"/>
  <c r="Q230" i="14"/>
  <c r="E11" i="36" l="1"/>
  <c r="H11" i="36" s="1"/>
  <c r="T66" i="20" s="1"/>
  <c r="D15" i="35"/>
  <c r="E15" i="35" s="1"/>
  <c r="D74" i="14"/>
  <c r="C127" i="25" s="1"/>
  <c r="B127" i="25" s="1"/>
  <c r="A127" i="25" s="1"/>
  <c r="C285" i="11"/>
  <c r="D73" i="14" s="1"/>
  <c r="L285" i="11"/>
  <c r="N292" i="11" s="1"/>
  <c r="J292" i="11" s="1"/>
  <c r="O287" i="11"/>
  <c r="AD165" i="26" s="1"/>
  <c r="AE165" i="26" s="1"/>
  <c r="T155" i="26" s="1"/>
  <c r="V155" i="26" s="1"/>
  <c r="X145" i="14"/>
  <c r="X278" i="14" s="1"/>
  <c r="Q174" i="14"/>
  <c r="L377" i="23"/>
  <c r="L384" i="23"/>
  <c r="L369" i="23"/>
  <c r="L28" i="24"/>
  <c r="AC230" i="14"/>
  <c r="J380" i="23"/>
  <c r="L385" i="23"/>
  <c r="L370" i="23"/>
  <c r="L378" i="23"/>
  <c r="J372" i="23"/>
  <c r="L383" i="23"/>
  <c r="L368" i="23"/>
  <c r="L376" i="23"/>
  <c r="L371" i="23"/>
  <c r="L379" i="23"/>
  <c r="L386" i="23"/>
  <c r="I669" i="11"/>
  <c r="J745" i="11"/>
  <c r="L745" i="11" s="1"/>
  <c r="J744" i="11"/>
  <c r="L744" i="11" s="1"/>
  <c r="E22" i="36" l="1"/>
  <c r="AC66" i="20"/>
  <c r="C126" i="25"/>
  <c r="R126" i="25" s="1"/>
  <c r="A8" i="35"/>
  <c r="K73" i="14"/>
  <c r="W126" i="25" s="1"/>
  <c r="X126" i="25" s="1"/>
  <c r="Z165" i="26"/>
  <c r="AB165" i="26" s="1"/>
  <c r="M292" i="11"/>
  <c r="S137" i="26"/>
  <c r="U137" i="26" s="1"/>
  <c r="CG95" i="26" s="1"/>
  <c r="S142" i="26"/>
  <c r="T142" i="26" s="1"/>
  <c r="V142" i="26" s="1"/>
  <c r="AA142" i="26" s="1"/>
  <c r="S140" i="26"/>
  <c r="T140" i="26" s="1"/>
  <c r="V140" i="26" s="1"/>
  <c r="AA140" i="26" s="1"/>
  <c r="S145" i="26"/>
  <c r="T145" i="26" s="1"/>
  <c r="V145" i="26" s="1"/>
  <c r="AA145" i="26" s="1"/>
  <c r="S148" i="26"/>
  <c r="T148" i="26" s="1"/>
  <c r="V148" i="26" s="1"/>
  <c r="AA148" i="26" s="1"/>
  <c r="S146" i="26"/>
  <c r="U146" i="26" s="1"/>
  <c r="S135" i="26"/>
  <c r="U135" i="26" s="1"/>
  <c r="CG93" i="26" s="1"/>
  <c r="S138" i="26"/>
  <c r="S143" i="26"/>
  <c r="U143" i="26" s="1"/>
  <c r="S139" i="26"/>
  <c r="T139" i="26" s="1"/>
  <c r="V139" i="26" s="1"/>
  <c r="AA139" i="26" s="1"/>
  <c r="S134" i="26"/>
  <c r="T134" i="26" s="1"/>
  <c r="V134" i="26" s="1"/>
  <c r="CH93" i="26" s="1"/>
  <c r="S149" i="26"/>
  <c r="U149" i="26" s="1"/>
  <c r="S136" i="26"/>
  <c r="S141" i="26"/>
  <c r="T141" i="26" s="1"/>
  <c r="V141" i="26" s="1"/>
  <c r="AA141" i="26" s="1"/>
  <c r="S147" i="26"/>
  <c r="U147" i="26" s="1"/>
  <c r="S144" i="26"/>
  <c r="U144" i="26" s="1"/>
  <c r="AC174" i="14"/>
  <c r="L380" i="23"/>
  <c r="L372" i="23"/>
  <c r="G44" i="19"/>
  <c r="J762" i="11"/>
  <c r="J753" i="11"/>
  <c r="J761" i="11"/>
  <c r="J752" i="11"/>
  <c r="G45" i="19"/>
  <c r="J45" i="19" s="1"/>
  <c r="J669" i="11"/>
  <c r="C670" i="11"/>
  <c r="C671" i="11"/>
  <c r="S183" i="25"/>
  <c r="K292" i="11"/>
  <c r="N450" i="11"/>
  <c r="O518" i="11"/>
  <c r="AA66" i="20" l="1"/>
  <c r="AB66" i="20"/>
  <c r="B126" i="25"/>
  <c r="A126" i="25" s="1"/>
  <c r="T126" i="25"/>
  <c r="U126" i="25" s="1"/>
  <c r="R73" i="14"/>
  <c r="T137" i="26"/>
  <c r="V137" i="26" s="1"/>
  <c r="AA137" i="26" s="1"/>
  <c r="CF96" i="26" s="1"/>
  <c r="CH96" i="26" s="1"/>
  <c r="X134" i="26"/>
  <c r="Y134" i="26" s="1"/>
  <c r="Z134" i="26" s="1"/>
  <c r="T135" i="26" s="1"/>
  <c r="V135" i="26" s="1"/>
  <c r="U139" i="26"/>
  <c r="CG97" i="26" s="1"/>
  <c r="T149" i="26"/>
  <c r="V149" i="26" s="1"/>
  <c r="AA149" i="26" s="1"/>
  <c r="X149" i="26" s="1"/>
  <c r="U142" i="26"/>
  <c r="P142" i="26" s="1"/>
  <c r="CE100" i="26" s="1"/>
  <c r="U140" i="26"/>
  <c r="CG98" i="26" s="1"/>
  <c r="U148" i="26"/>
  <c r="CG106" i="26" s="1"/>
  <c r="T143" i="26"/>
  <c r="V143" i="26" s="1"/>
  <c r="AA143" i="26" s="1"/>
  <c r="X143" i="26" s="1"/>
  <c r="T146" i="26"/>
  <c r="V146" i="26" s="1"/>
  <c r="AA146" i="26" s="1"/>
  <c r="CF105" i="26" s="1"/>
  <c r="CH105" i="26" s="1"/>
  <c r="U138" i="26"/>
  <c r="CG96" i="26" s="1"/>
  <c r="U145" i="26"/>
  <c r="P145" i="26" s="1"/>
  <c r="CE103" i="26" s="1"/>
  <c r="P135" i="26"/>
  <c r="CE93" i="26" s="1"/>
  <c r="U141" i="26"/>
  <c r="P141" i="26" s="1"/>
  <c r="CE99" i="26" s="1"/>
  <c r="T144" i="26"/>
  <c r="V144" i="26" s="1"/>
  <c r="AA144" i="26" s="1"/>
  <c r="CF103" i="26" s="1"/>
  <c r="CH103" i="26" s="1"/>
  <c r="T147" i="26"/>
  <c r="V147" i="26" s="1"/>
  <c r="AA147" i="26" s="1"/>
  <c r="X147" i="26" s="1"/>
  <c r="J755" i="11"/>
  <c r="J764" i="11"/>
  <c r="X141" i="26"/>
  <c r="CF100" i="26"/>
  <c r="CH100" i="26" s="1"/>
  <c r="X140" i="26"/>
  <c r="CF99" i="26"/>
  <c r="CH99" i="26" s="1"/>
  <c r="CF101" i="26"/>
  <c r="CH101" i="26" s="1"/>
  <c r="X142" i="26"/>
  <c r="P146" i="26"/>
  <c r="CE104" i="26" s="1"/>
  <c r="CG104" i="26"/>
  <c r="G46" i="19"/>
  <c r="J46" i="19" s="1"/>
  <c r="J44" i="19"/>
  <c r="CG107" i="26"/>
  <c r="P149" i="26"/>
  <c r="CE107" i="26" s="1"/>
  <c r="X139" i="26"/>
  <c r="CF98" i="26"/>
  <c r="CH98" i="26" s="1"/>
  <c r="X148" i="26"/>
  <c r="CF107" i="26"/>
  <c r="CH107" i="26" s="1"/>
  <c r="CF104" i="26"/>
  <c r="CH104" i="26" s="1"/>
  <c r="X145" i="26"/>
  <c r="P147" i="26"/>
  <c r="CE105" i="26" s="1"/>
  <c r="CG105" i="26"/>
  <c r="P143" i="26"/>
  <c r="CE101" i="26" s="1"/>
  <c r="CG101" i="26"/>
  <c r="P144" i="26"/>
  <c r="CE102" i="26" s="1"/>
  <c r="CG102" i="26"/>
  <c r="J545" i="11"/>
  <c r="J540" i="11"/>
  <c r="L540" i="11" s="1"/>
  <c r="N764" i="23"/>
  <c r="O764" i="23" s="1"/>
  <c r="J542" i="11"/>
  <c r="O450" i="11"/>
  <c r="J544" i="11"/>
  <c r="O531" i="11"/>
  <c r="J524" i="11" s="1"/>
  <c r="X537" i="11" s="1"/>
  <c r="X534" i="11"/>
  <c r="J543" i="11"/>
  <c r="J541" i="11"/>
  <c r="D8" i="35" l="1"/>
  <c r="E8" i="35" s="1"/>
  <c r="X137" i="26"/>
  <c r="W135" i="26"/>
  <c r="O135" i="26" s="1"/>
  <c r="CF93" i="26"/>
  <c r="AB134" i="26"/>
  <c r="CB93" i="26" s="1"/>
  <c r="CF102" i="26"/>
  <c r="CH102" i="26" s="1"/>
  <c r="CF108" i="26"/>
  <c r="CH108" i="26" s="1"/>
  <c r="CG103" i="26"/>
  <c r="P139" i="26"/>
  <c r="CE97" i="26" s="1"/>
  <c r="CG99" i="26"/>
  <c r="P148" i="26"/>
  <c r="CE106" i="26" s="1"/>
  <c r="X146" i="26"/>
  <c r="CF106" i="26"/>
  <c r="CH106" i="26" s="1"/>
  <c r="X144" i="26"/>
  <c r="CG100" i="26"/>
  <c r="P140" i="26"/>
  <c r="CE98" i="26" s="1"/>
  <c r="AA135" i="26"/>
  <c r="CF94" i="26" s="1"/>
  <c r="U136" i="26"/>
  <c r="CG94" i="26" s="1"/>
  <c r="L542" i="11"/>
  <c r="L550" i="11" s="1"/>
  <c r="J550" i="11"/>
  <c r="L545" i="11"/>
  <c r="J553" i="11"/>
  <c r="M531" i="11"/>
  <c r="P487" i="11"/>
  <c r="P489" i="11"/>
  <c r="J525" i="11"/>
  <c r="Q489" i="11"/>
  <c r="J503" i="11"/>
  <c r="J825" i="23" s="1"/>
  <c r="Q523" i="11"/>
  <c r="P523" i="11"/>
  <c r="D504" i="11"/>
  <c r="D826" i="23" s="1"/>
  <c r="J499" i="11"/>
  <c r="J821" i="23" s="1"/>
  <c r="T505" i="11"/>
  <c r="D500" i="11"/>
  <c r="D822" i="23" s="1"/>
  <c r="T504" i="11"/>
  <c r="Q487" i="11"/>
  <c r="S505" i="11"/>
  <c r="J495" i="11" s="1"/>
  <c r="J817" i="23" s="1"/>
  <c r="J489" i="11"/>
  <c r="J491" i="11"/>
  <c r="J810" i="23" s="1"/>
  <c r="G275" i="11"/>
  <c r="L275" i="11"/>
  <c r="L238" i="11" s="1"/>
  <c r="K45" i="14" s="1"/>
  <c r="R45" i="14" s="1"/>
  <c r="S504" i="11"/>
  <c r="D496" i="11" s="1"/>
  <c r="J487" i="11"/>
  <c r="P488" i="11"/>
  <c r="P490" i="11"/>
  <c r="L544" i="11"/>
  <c r="J552" i="11"/>
  <c r="L541" i="11"/>
  <c r="J549" i="11"/>
  <c r="L543" i="11"/>
  <c r="L551" i="11" s="1"/>
  <c r="J551" i="11"/>
  <c r="J808" i="23" l="1"/>
  <c r="H858" i="23" s="1"/>
  <c r="H509" i="11"/>
  <c r="I125" i="14" s="1"/>
  <c r="AD134" i="26"/>
  <c r="CZ71" i="26" s="1"/>
  <c r="DQ71" i="26" s="1"/>
  <c r="AF134" i="26" s="1"/>
  <c r="Q134" i="26"/>
  <c r="R134" i="26" s="1"/>
  <c r="CC93" i="26" s="1"/>
  <c r="X135" i="26"/>
  <c r="Y135" i="26" s="1"/>
  <c r="AB135" i="26" s="1"/>
  <c r="CB94" i="26" s="1"/>
  <c r="CD94" i="26" s="1"/>
  <c r="CH94" i="26" s="1"/>
  <c r="N489" i="11"/>
  <c r="N810" i="23" s="1"/>
  <c r="N487" i="11"/>
  <c r="N808" i="23" s="1"/>
  <c r="L549" i="11"/>
  <c r="G16" i="19"/>
  <c r="J554" i="11"/>
  <c r="L552" i="11"/>
  <c r="G17" i="19"/>
  <c r="J17" i="19" s="1"/>
  <c r="G18" i="19"/>
  <c r="J18" i="19" s="1"/>
  <c r="L553" i="11"/>
  <c r="F34" i="16"/>
  <c r="H309" i="14"/>
  <c r="D818" i="23"/>
  <c r="C860" i="23" s="1"/>
  <c r="C511" i="11"/>
  <c r="D127" i="14" s="1"/>
  <c r="J523" i="11"/>
  <c r="L141" i="11" s="1"/>
  <c r="L37" i="31" s="1"/>
  <c r="N309" i="14"/>
  <c r="R309" i="14" s="1"/>
  <c r="Q331" i="14" s="1"/>
  <c r="I34" i="16"/>
  <c r="L236" i="11"/>
  <c r="CD93" i="26"/>
  <c r="CK93" i="26"/>
  <c r="DS71" i="26" l="1"/>
  <c r="EJ71" i="26" s="1"/>
  <c r="AG134" i="26" s="1"/>
  <c r="EL71" i="26"/>
  <c r="FC71" i="26" s="1"/>
  <c r="AH134" i="26" s="1"/>
  <c r="CI93" i="26"/>
  <c r="CG71" i="26"/>
  <c r="CX71" i="26" s="1"/>
  <c r="CT93" i="26" s="1"/>
  <c r="FE71" i="26"/>
  <c r="FV71" i="26" s="1"/>
  <c r="AI134" i="26" s="1"/>
  <c r="AD135" i="26"/>
  <c r="CI94" i="26" s="1"/>
  <c r="Z135" i="26"/>
  <c r="T136" i="26" s="1"/>
  <c r="V136" i="26" s="1"/>
  <c r="AA136" i="26" s="1"/>
  <c r="CF95" i="26" s="1"/>
  <c r="W136" i="26"/>
  <c r="O136" i="26" s="1"/>
  <c r="G297" i="11"/>
  <c r="L554" i="11"/>
  <c r="X536" i="11"/>
  <c r="L523" i="11"/>
  <c r="Q519" i="11"/>
  <c r="O519" i="11" s="1"/>
  <c r="L519" i="11" s="1"/>
  <c r="K135" i="14" s="1"/>
  <c r="R135" i="14" s="1"/>
  <c r="Q492" i="11"/>
  <c r="N492" i="11" s="1"/>
  <c r="Q488" i="11"/>
  <c r="D488" i="11" s="1"/>
  <c r="D809" i="23" s="1"/>
  <c r="Q490" i="11"/>
  <c r="D490" i="11" s="1"/>
  <c r="D811" i="23" s="1"/>
  <c r="J528" i="11"/>
  <c r="J529" i="11"/>
  <c r="L529" i="11" s="1"/>
  <c r="S141" i="11"/>
  <c r="Q491" i="11"/>
  <c r="N491" i="11" s="1"/>
  <c r="N812" i="23" s="1"/>
  <c r="K43" i="14"/>
  <c r="R43" i="14" s="1"/>
  <c r="L242" i="11"/>
  <c r="K49" i="14" s="1"/>
  <c r="R49" i="14" s="1"/>
  <c r="L243" i="11"/>
  <c r="K50" i="14" s="1"/>
  <c r="R50" i="14" s="1"/>
  <c r="T38" i="20"/>
  <c r="U53" i="20" s="1"/>
  <c r="E38" i="20" s="1"/>
  <c r="T38" i="30"/>
  <c r="U53" i="30" s="1"/>
  <c r="E38" i="30" s="1"/>
  <c r="AE134" i="26"/>
  <c r="G19" i="19"/>
  <c r="J19" i="19" s="1"/>
  <c r="J16" i="19"/>
  <c r="X544" i="11"/>
  <c r="Z539" i="11" l="1"/>
  <c r="X539" i="11" s="1"/>
  <c r="CU93" i="26"/>
  <c r="CK110" i="26" s="1"/>
  <c r="CK131" i="26" s="1"/>
  <c r="C142" i="25" s="1"/>
  <c r="B142" i="25" s="1"/>
  <c r="A142" i="25" s="1"/>
  <c r="DS72" i="26"/>
  <c r="EJ72" i="26" s="1"/>
  <c r="AG135" i="26" s="1"/>
  <c r="FE72" i="26"/>
  <c r="FV72" i="26" s="1"/>
  <c r="CT94" i="26" s="1"/>
  <c r="CU94" i="26" s="1"/>
  <c r="CK111" i="26" s="1"/>
  <c r="CK132" i="26" s="1"/>
  <c r="C143" i="25" s="1"/>
  <c r="B143" i="25" s="1"/>
  <c r="A143" i="25" s="1"/>
  <c r="EL72" i="26"/>
  <c r="FC72" i="26" s="1"/>
  <c r="AH135" i="26" s="1"/>
  <c r="CG72" i="26"/>
  <c r="CZ72" i="26"/>
  <c r="X136" i="26"/>
  <c r="Y136" i="26"/>
  <c r="W137" i="26" s="1"/>
  <c r="P137" i="26" s="1"/>
  <c r="CE95" i="26" s="1"/>
  <c r="P136" i="26"/>
  <c r="CE94" i="26" s="1"/>
  <c r="L34" i="24"/>
  <c r="L528" i="11"/>
  <c r="M528" i="11"/>
  <c r="N813" i="23"/>
  <c r="L857" i="23" s="1"/>
  <c r="L863" i="23" s="1"/>
  <c r="L508" i="11"/>
  <c r="X540" i="11" l="1"/>
  <c r="Z541" i="11" s="1"/>
  <c r="X541" i="11" s="1"/>
  <c r="L531" i="11"/>
  <c r="U279" i="11" s="1"/>
  <c r="AI135" i="26"/>
  <c r="Z136" i="26"/>
  <c r="Y137" i="26" s="1"/>
  <c r="W138" i="26" s="1"/>
  <c r="O138" i="26" s="1"/>
  <c r="AB136" i="26"/>
  <c r="Q136" i="26" s="1"/>
  <c r="R136" i="26" s="1"/>
  <c r="CC95" i="26" s="1"/>
  <c r="O137" i="26"/>
  <c r="Q135" i="26"/>
  <c r="R135" i="26" s="1"/>
  <c r="CC94" i="26" s="1"/>
  <c r="CK94" i="26" s="1"/>
  <c r="N482" i="11"/>
  <c r="N802" i="23" s="1"/>
  <c r="K124" i="14"/>
  <c r="L514" i="11"/>
  <c r="K130" i="14" s="1"/>
  <c r="R130" i="14" s="1"/>
  <c r="N11" i="19"/>
  <c r="M11" i="19"/>
  <c r="N499" i="11" l="1"/>
  <c r="N821" i="23" s="1"/>
  <c r="V241" i="11"/>
  <c r="N503" i="11"/>
  <c r="N825" i="23" s="1"/>
  <c r="L878" i="23"/>
  <c r="S503" i="11"/>
  <c r="N495" i="11"/>
  <c r="N817" i="23" s="1"/>
  <c r="L859" i="23" s="1"/>
  <c r="X545" i="11"/>
  <c r="X549" i="11"/>
  <c r="X542" i="11"/>
  <c r="X543" i="11" s="1"/>
  <c r="AD136" i="26"/>
  <c r="CZ73" i="26" s="1"/>
  <c r="DQ73" i="26" s="1"/>
  <c r="CB95" i="26"/>
  <c r="CD95" i="26" s="1"/>
  <c r="CH95" i="26" s="1"/>
  <c r="P138" i="26"/>
  <c r="CE96" i="26" s="1"/>
  <c r="Z137" i="26"/>
  <c r="AB137" i="26"/>
  <c r="AD137" i="26" s="1"/>
  <c r="CG74" i="26" s="1"/>
  <c r="CX74" i="26" s="1"/>
  <c r="AE137" i="26" s="1"/>
  <c r="K122" i="14"/>
  <c r="R122" i="14" s="1"/>
  <c r="D482" i="11"/>
  <c r="D802" i="23" s="1"/>
  <c r="R124" i="14"/>
  <c r="D124" i="14"/>
  <c r="L11" i="19"/>
  <c r="L574" i="23" l="1"/>
  <c r="J871" i="23"/>
  <c r="L867" i="23" s="1"/>
  <c r="Y138" i="26"/>
  <c r="AB138" i="26" s="1"/>
  <c r="AD138" i="26" s="1"/>
  <c r="EL75" i="26" s="1"/>
  <c r="FC75" i="26" s="1"/>
  <c r="AH138" i="26" s="1"/>
  <c r="T138" i="26"/>
  <c r="V138" i="26" s="1"/>
  <c r="AA138" i="26" s="1"/>
  <c r="L562" i="23"/>
  <c r="L573" i="23"/>
  <c r="J690" i="23"/>
  <c r="K690" i="23" s="1"/>
  <c r="Q810" i="23"/>
  <c r="L586" i="23"/>
  <c r="L709" i="23"/>
  <c r="L570" i="23"/>
  <c r="L585" i="23"/>
  <c r="P810" i="23"/>
  <c r="L583" i="23"/>
  <c r="J139" i="23"/>
  <c r="J147" i="23" s="1"/>
  <c r="J670" i="23"/>
  <c r="J143" i="23"/>
  <c r="L143" i="23" s="1"/>
  <c r="L151" i="23" s="1"/>
  <c r="P811" i="23"/>
  <c r="L580" i="23"/>
  <c r="J812" i="23"/>
  <c r="J140" i="23"/>
  <c r="J148" i="23" s="1"/>
  <c r="L563" i="23"/>
  <c r="L581" i="23"/>
  <c r="L561" i="23"/>
  <c r="M878" i="23"/>
  <c r="J142" i="23"/>
  <c r="L142" i="23" s="1"/>
  <c r="L150" i="23" s="1"/>
  <c r="J671" i="23"/>
  <c r="J691" i="23"/>
  <c r="K691" i="23" s="1"/>
  <c r="J870" i="23"/>
  <c r="Q811" i="23" s="1"/>
  <c r="L568" i="23"/>
  <c r="L710" i="23"/>
  <c r="L582" i="23"/>
  <c r="L567" i="23"/>
  <c r="L587" i="23"/>
  <c r="L553" i="23" s="1"/>
  <c r="L572" i="23"/>
  <c r="L578" i="23"/>
  <c r="L579" i="23"/>
  <c r="G587" i="23"/>
  <c r="L575" i="23"/>
  <c r="L864" i="23"/>
  <c r="J666" i="23"/>
  <c r="L565" i="23"/>
  <c r="L576" i="23"/>
  <c r="J667" i="23"/>
  <c r="L861" i="23"/>
  <c r="L569" i="23"/>
  <c r="L571" i="23"/>
  <c r="L577" i="23"/>
  <c r="L584" i="23"/>
  <c r="J872" i="23"/>
  <c r="J669" i="23"/>
  <c r="J141" i="23"/>
  <c r="L141" i="23" s="1"/>
  <c r="L149" i="23" s="1"/>
  <c r="J668" i="23"/>
  <c r="L510" i="11"/>
  <c r="L126" i="14" s="1"/>
  <c r="R126" i="14" s="1"/>
  <c r="L516" i="11"/>
  <c r="K132" i="14" s="1"/>
  <c r="R132" i="14" s="1"/>
  <c r="L513" i="11"/>
  <c r="K129" i="14" s="1"/>
  <c r="R129" i="14" s="1"/>
  <c r="N513" i="11"/>
  <c r="L515" i="11"/>
  <c r="C532" i="11"/>
  <c r="C879" i="23" s="1"/>
  <c r="L518" i="11"/>
  <c r="K134" i="14" s="1"/>
  <c r="R134" i="14" s="1"/>
  <c r="L512" i="11"/>
  <c r="K128" i="14" s="1"/>
  <c r="R128" i="14" s="1"/>
  <c r="X547" i="11"/>
  <c r="X548" i="11"/>
  <c r="X546" i="11"/>
  <c r="M13" i="19"/>
  <c r="N12" i="19"/>
  <c r="M9" i="19"/>
  <c r="M12" i="19"/>
  <c r="M10" i="19"/>
  <c r="N9" i="19"/>
  <c r="N10" i="19"/>
  <c r="N13" i="19"/>
  <c r="FE73" i="26"/>
  <c r="FV73" i="26" s="1"/>
  <c r="CZ74" i="26"/>
  <c r="DQ74" i="26" s="1"/>
  <c r="DS73" i="26"/>
  <c r="EJ73" i="26" s="1"/>
  <c r="CI95" i="26"/>
  <c r="EL73" i="26"/>
  <c r="FC73" i="26" s="1"/>
  <c r="CG73" i="26"/>
  <c r="CX73" i="26" s="1"/>
  <c r="AE136" i="26" s="1"/>
  <c r="CK95" i="26"/>
  <c r="FE74" i="26"/>
  <c r="FV74" i="26" s="1"/>
  <c r="AI137" i="26" s="1"/>
  <c r="Q137" i="26"/>
  <c r="R137" i="26" s="1"/>
  <c r="CC96" i="26" s="1"/>
  <c r="CB96" i="26"/>
  <c r="CD96" i="26" s="1"/>
  <c r="CI96" i="26"/>
  <c r="EL74" i="26"/>
  <c r="FC74" i="26" s="1"/>
  <c r="AH137" i="26" s="1"/>
  <c r="DS74" i="26"/>
  <c r="EJ74" i="26" s="1"/>
  <c r="AG137" i="26" s="1"/>
  <c r="AF136" i="26"/>
  <c r="CB97" i="26" l="1"/>
  <c r="CK97" i="26" s="1"/>
  <c r="CZ75" i="26"/>
  <c r="DQ75" i="26" s="1"/>
  <c r="DQ87" i="26" s="1"/>
  <c r="DS75" i="26"/>
  <c r="EJ75" i="26" s="1"/>
  <c r="AG138" i="26" s="1"/>
  <c r="FE75" i="26"/>
  <c r="FV75" i="26" s="1"/>
  <c r="FV87" i="26" s="1"/>
  <c r="W139" i="26"/>
  <c r="O139" i="26" s="1"/>
  <c r="Z138" i="26"/>
  <c r="Q138" i="26"/>
  <c r="R138" i="26" s="1"/>
  <c r="CC97" i="26" s="1"/>
  <c r="CG75" i="26"/>
  <c r="CX75" i="26" s="1"/>
  <c r="AE138" i="26" s="1"/>
  <c r="AE150" i="26" s="1"/>
  <c r="CI97" i="26"/>
  <c r="CU97" i="26" s="1"/>
  <c r="X138" i="26"/>
  <c r="CF97" i="26"/>
  <c r="CH97" i="26" s="1"/>
  <c r="L870" i="23"/>
  <c r="Q812" i="23"/>
  <c r="J150" i="23"/>
  <c r="J151" i="23"/>
  <c r="L139" i="23"/>
  <c r="L147" i="23" s="1"/>
  <c r="J875" i="23"/>
  <c r="L875" i="23" s="1"/>
  <c r="S813" i="23"/>
  <c r="L140" i="23"/>
  <c r="L148" i="23" s="1"/>
  <c r="L152" i="23" s="1"/>
  <c r="L551" i="23"/>
  <c r="L556" i="23" s="1"/>
  <c r="J876" i="23"/>
  <c r="L876" i="23" s="1"/>
  <c r="Q813" i="23"/>
  <c r="J149" i="23"/>
  <c r="X551" i="11"/>
  <c r="L517" i="11"/>
  <c r="K133" i="14" s="1"/>
  <c r="R133" i="14" s="1"/>
  <c r="K131" i="14"/>
  <c r="R131" i="14" s="1"/>
  <c r="L534" i="11"/>
  <c r="L536" i="11"/>
  <c r="L13" i="19"/>
  <c r="L10" i="19"/>
  <c r="X550" i="11"/>
  <c r="L12" i="19"/>
  <c r="L8" i="19"/>
  <c r="L9" i="19"/>
  <c r="O558" i="11"/>
  <c r="L558" i="11" s="1"/>
  <c r="FC87" i="26"/>
  <c r="AF137" i="26"/>
  <c r="AF150" i="26" s="1"/>
  <c r="CT96" i="26"/>
  <c r="CU96" i="26" s="1"/>
  <c r="CK113" i="26" s="1"/>
  <c r="CK134" i="26" s="1"/>
  <c r="C145" i="25" s="1"/>
  <c r="B145" i="25" s="1"/>
  <c r="A145" i="25" s="1"/>
  <c r="AI136" i="26"/>
  <c r="AI150" i="26" s="1"/>
  <c r="AH136" i="26"/>
  <c r="AG136" i="26"/>
  <c r="CT95" i="26"/>
  <c r="CU95" i="26" s="1"/>
  <c r="CK112" i="26" s="1"/>
  <c r="CK133" i="26" s="1"/>
  <c r="C144" i="25" s="1"/>
  <c r="B144" i="25" s="1"/>
  <c r="A144" i="25" s="1"/>
  <c r="CK96" i="26"/>
  <c r="E328" i="27"/>
  <c r="D328" i="27"/>
  <c r="CK114" i="26" l="1"/>
  <c r="CK135" i="26" s="1"/>
  <c r="C146" i="25" s="1"/>
  <c r="B146" i="25" s="1"/>
  <c r="A146" i="25" s="1"/>
  <c r="CD97" i="26"/>
  <c r="CX87" i="26"/>
  <c r="Y139" i="26"/>
  <c r="AB139" i="26" s="1"/>
  <c r="CB98" i="26" s="1"/>
  <c r="CD98" i="26" s="1"/>
  <c r="CT97" i="26"/>
  <c r="EJ87" i="26"/>
  <c r="J152" i="23"/>
  <c r="O560" i="11"/>
  <c r="L560" i="11" s="1"/>
  <c r="O563" i="11"/>
  <c r="L563" i="11" s="1"/>
  <c r="O559" i="11"/>
  <c r="L559" i="11" s="1"/>
  <c r="O562" i="11"/>
  <c r="L562" i="11" s="1"/>
  <c r="O561" i="11"/>
  <c r="L561" i="11" s="1"/>
  <c r="N484" i="11"/>
  <c r="P558" i="11"/>
  <c r="P559" i="11"/>
  <c r="W180" i="25"/>
  <c r="S197" i="25" s="1"/>
  <c r="P560" i="11"/>
  <c r="M536" i="11"/>
  <c r="L883" i="23"/>
  <c r="M883" i="23" s="1"/>
  <c r="D240" i="27"/>
  <c r="P561" i="11"/>
  <c r="D72" i="27"/>
  <c r="P562" i="11"/>
  <c r="D156" i="27"/>
  <c r="P563" i="11"/>
  <c r="L885" i="23"/>
  <c r="D324" i="27"/>
  <c r="F281" i="27" s="1"/>
  <c r="X293" i="27" s="1"/>
  <c r="W294" i="27" s="1"/>
  <c r="F295" i="27" s="1"/>
  <c r="H8" i="19"/>
  <c r="K177" i="14"/>
  <c r="R177" i="14" s="1"/>
  <c r="U353" i="11"/>
  <c r="Y353" i="11" s="1"/>
  <c r="J353" i="11" s="1"/>
  <c r="K98" i="14" s="1"/>
  <c r="R98" i="14" s="1"/>
  <c r="L277" i="11"/>
  <c r="U352" i="11"/>
  <c r="Y352" i="11" s="1"/>
  <c r="J352" i="11" s="1"/>
  <c r="L276" i="11"/>
  <c r="J527" i="11"/>
  <c r="U351" i="11"/>
  <c r="N501" i="11"/>
  <c r="N823" i="23" s="1"/>
  <c r="M534" i="11"/>
  <c r="E398" i="11"/>
  <c r="N497" i="11"/>
  <c r="N819" i="23" s="1"/>
  <c r="S506" i="11"/>
  <c r="L881" i="23"/>
  <c r="F292" i="27"/>
  <c r="Z139" i="26" l="1"/>
  <c r="W140" i="26"/>
  <c r="O140" i="26" s="1"/>
  <c r="AD139" i="26"/>
  <c r="CI98" i="26" s="1"/>
  <c r="CU98" i="26" s="1"/>
  <c r="CK115" i="26" s="1"/>
  <c r="CK136" i="26" s="1"/>
  <c r="C147" i="25" s="1"/>
  <c r="B147" i="25" s="1"/>
  <c r="A147" i="25" s="1"/>
  <c r="CK98" i="26"/>
  <c r="Q139" i="26"/>
  <c r="R139" i="26" s="1"/>
  <c r="CC98" i="26" s="1"/>
  <c r="N804" i="23"/>
  <c r="D484" i="11"/>
  <c r="D804" i="23" s="1"/>
  <c r="K123" i="14"/>
  <c r="R123" i="14" s="1"/>
  <c r="E76" i="27"/>
  <c r="D76" i="27"/>
  <c r="F197" i="27"/>
  <c r="D244" i="27"/>
  <c r="E244" i="27"/>
  <c r="K180" i="14"/>
  <c r="R180" i="14" s="1"/>
  <c r="H11" i="19"/>
  <c r="K181" i="14"/>
  <c r="R181" i="14" s="1"/>
  <c r="H12" i="19"/>
  <c r="K178" i="14"/>
  <c r="R178" i="14" s="1"/>
  <c r="X179" i="14"/>
  <c r="H9" i="19"/>
  <c r="K182" i="14"/>
  <c r="R182" i="14" s="1"/>
  <c r="H13" i="19"/>
  <c r="H10" i="19"/>
  <c r="K179" i="14"/>
  <c r="R179" i="14" s="1"/>
  <c r="C352" i="11"/>
  <c r="C353" i="11"/>
  <c r="D98" i="14" s="1"/>
  <c r="J526" i="11"/>
  <c r="L527" i="11"/>
  <c r="L159" i="23"/>
  <c r="L158" i="23"/>
  <c r="L160" i="23"/>
  <c r="L157" i="23"/>
  <c r="L156" i="23"/>
  <c r="M885" i="23"/>
  <c r="J874" i="23"/>
  <c r="L588" i="23"/>
  <c r="L589" i="23"/>
  <c r="L590" i="23" s="1"/>
  <c r="E710" i="23"/>
  <c r="M881" i="23"/>
  <c r="J664" i="23"/>
  <c r="K664" i="23" s="1"/>
  <c r="J665" i="23"/>
  <c r="K665" i="23" s="1"/>
  <c r="K97" i="14"/>
  <c r="R97" i="14" s="1"/>
  <c r="X97" i="14"/>
  <c r="E160" i="27"/>
  <c r="F113" i="27"/>
  <c r="D160" i="27"/>
  <c r="K56" i="14"/>
  <c r="R56" i="14" s="1"/>
  <c r="L278" i="11"/>
  <c r="K57" i="14" s="1"/>
  <c r="R57" i="14" s="1"/>
  <c r="F326" i="14"/>
  <c r="D51" i="16"/>
  <c r="F29" i="27"/>
  <c r="D75" i="27"/>
  <c r="E75" i="27"/>
  <c r="Y140" i="26" l="1"/>
  <c r="Z140" i="26" s="1"/>
  <c r="DS76" i="26"/>
  <c r="CZ76" i="26"/>
  <c r="CG76" i="26"/>
  <c r="EL76" i="26"/>
  <c r="FE76" i="26"/>
  <c r="X129" i="14"/>
  <c r="Q137" i="14"/>
  <c r="E78" i="27"/>
  <c r="GA72" i="27" s="1"/>
  <c r="GA29" i="27" s="1"/>
  <c r="GA345" i="27" s="1"/>
  <c r="X41" i="27"/>
  <c r="W42" i="27" s="1"/>
  <c r="F43" i="27" s="1"/>
  <c r="F40" i="27"/>
  <c r="X209" i="27"/>
  <c r="W210" i="27" s="1"/>
  <c r="F211" i="27" s="1"/>
  <c r="F208" i="27"/>
  <c r="D78" i="27"/>
  <c r="E30" i="27" s="1"/>
  <c r="G156" i="27" s="1"/>
  <c r="D157" i="27"/>
  <c r="Q183" i="14"/>
  <c r="AC183" i="14" s="1"/>
  <c r="X125" i="27"/>
  <c r="W126" i="27" s="1"/>
  <c r="F127" i="27" s="1"/>
  <c r="F124" i="27"/>
  <c r="L874" i="23"/>
  <c r="J873" i="23"/>
  <c r="Q99" i="14"/>
  <c r="AC99" i="14" s="1"/>
  <c r="L17" i="24"/>
  <c r="B265" i="26"/>
  <c r="D97" i="14"/>
  <c r="BV72" i="27" l="1"/>
  <c r="BV29" i="27" s="1"/>
  <c r="BV345" i="27" s="1"/>
  <c r="W141" i="26"/>
  <c r="O141" i="26" s="1"/>
  <c r="AB140" i="26"/>
  <c r="Q140" i="26" s="1"/>
  <c r="R140" i="26" s="1"/>
  <c r="CC99" i="26" s="1"/>
  <c r="AC137" i="14"/>
  <c r="L36" i="24"/>
  <c r="DA72" i="27"/>
  <c r="DA29" i="27" s="1"/>
  <c r="DA345" i="27" s="1"/>
  <c r="GG72" i="27"/>
  <c r="GG29" i="27" s="1"/>
  <c r="GG345" i="27" s="1"/>
  <c r="DQ72" i="27"/>
  <c r="DQ29" i="27" s="1"/>
  <c r="DQ345" i="27" s="1"/>
  <c r="EU72" i="27"/>
  <c r="EU29" i="27" s="1"/>
  <c r="EU345" i="27" s="1"/>
  <c r="GQ72" i="27"/>
  <c r="GQ29" i="27" s="1"/>
  <c r="GQ345" i="27" s="1"/>
  <c r="AM72" i="27"/>
  <c r="AM29" i="27" s="1"/>
  <c r="AM345" i="27" s="1"/>
  <c r="GE72" i="27"/>
  <c r="GE29" i="27" s="1"/>
  <c r="GE345" i="27" s="1"/>
  <c r="FC72" i="27"/>
  <c r="FC29" i="27" s="1"/>
  <c r="FC345" i="27" s="1"/>
  <c r="DF72" i="27"/>
  <c r="DF29" i="27" s="1"/>
  <c r="DF345" i="27" s="1"/>
  <c r="CG72" i="27"/>
  <c r="CG29" i="27" s="1"/>
  <c r="CG345" i="27" s="1"/>
  <c r="L72" i="27"/>
  <c r="L29" i="27" s="1"/>
  <c r="L345" i="27" s="1"/>
  <c r="AG72" i="27"/>
  <c r="AG29" i="27" s="1"/>
  <c r="AG345" i="27" s="1"/>
  <c r="GN72" i="27"/>
  <c r="GN29" i="27" s="1"/>
  <c r="GN345" i="27" s="1"/>
  <c r="EC72" i="27"/>
  <c r="EC29" i="27" s="1"/>
  <c r="EC345" i="27" s="1"/>
  <c r="I72" i="27"/>
  <c r="I29" i="27" s="1"/>
  <c r="I345" i="27" s="1"/>
  <c r="FZ72" i="27"/>
  <c r="FZ29" i="27" s="1"/>
  <c r="FZ345" i="27" s="1"/>
  <c r="HW72" i="27"/>
  <c r="HW29" i="27" s="1"/>
  <c r="HW345" i="27" s="1"/>
  <c r="CB72" i="27"/>
  <c r="CB29" i="27" s="1"/>
  <c r="CB345" i="27" s="1"/>
  <c r="DC72" i="27"/>
  <c r="DC29" i="27" s="1"/>
  <c r="DC345" i="27" s="1"/>
  <c r="IK72" i="27"/>
  <c r="IK29" i="27" s="1"/>
  <c r="IK345" i="27" s="1"/>
  <c r="GD72" i="27"/>
  <c r="GD29" i="27" s="1"/>
  <c r="GD345" i="27" s="1"/>
  <c r="AH72" i="27"/>
  <c r="AH29" i="27" s="1"/>
  <c r="AH345" i="27" s="1"/>
  <c r="GC72" i="27"/>
  <c r="GC29" i="27" s="1"/>
  <c r="GC345" i="27" s="1"/>
  <c r="HV72" i="27"/>
  <c r="HV29" i="27" s="1"/>
  <c r="HV345" i="27" s="1"/>
  <c r="J72" i="27"/>
  <c r="J29" i="27" s="1"/>
  <c r="J345" i="27" s="1"/>
  <c r="FS72" i="27"/>
  <c r="FS29" i="27" s="1"/>
  <c r="FS345" i="27" s="1"/>
  <c r="K72" i="27"/>
  <c r="K29" i="27" s="1"/>
  <c r="K345" i="27" s="1"/>
  <c r="CU72" i="27"/>
  <c r="CU29" i="27" s="1"/>
  <c r="CU345" i="27" s="1"/>
  <c r="FW72" i="27"/>
  <c r="FW29" i="27" s="1"/>
  <c r="FW345" i="27" s="1"/>
  <c r="X72" i="27"/>
  <c r="X29" i="27" s="1"/>
  <c r="X345" i="27" s="1"/>
  <c r="IF72" i="27"/>
  <c r="IF29" i="27" s="1"/>
  <c r="IF345" i="27" s="1"/>
  <c r="IG72" i="27"/>
  <c r="IG29" i="27" s="1"/>
  <c r="IG345" i="27" s="1"/>
  <c r="HQ72" i="27"/>
  <c r="HQ29" i="27" s="1"/>
  <c r="HQ345" i="27" s="1"/>
  <c r="DR72" i="27"/>
  <c r="DR29" i="27" s="1"/>
  <c r="DR345" i="27" s="1"/>
  <c r="EG72" i="27"/>
  <c r="EG29" i="27" s="1"/>
  <c r="EG345" i="27" s="1"/>
  <c r="EK72" i="27"/>
  <c r="EK29" i="27" s="1"/>
  <c r="EK345" i="27" s="1"/>
  <c r="N72" i="27"/>
  <c r="N29" i="27" s="1"/>
  <c r="N345" i="27" s="1"/>
  <c r="CO72" i="27"/>
  <c r="CO29" i="27" s="1"/>
  <c r="CO345" i="27" s="1"/>
  <c r="W72" i="27"/>
  <c r="W29" i="27" s="1"/>
  <c r="W345" i="27" s="1"/>
  <c r="R72" i="27"/>
  <c r="R29" i="27" s="1"/>
  <c r="R345" i="27" s="1"/>
  <c r="AU72" i="27"/>
  <c r="AU29" i="27" s="1"/>
  <c r="AU345" i="27" s="1"/>
  <c r="FI72" i="27"/>
  <c r="FI29" i="27" s="1"/>
  <c r="FI345" i="27" s="1"/>
  <c r="BA72" i="27"/>
  <c r="BA29" i="27" s="1"/>
  <c r="BA345" i="27" s="1"/>
  <c r="GP72" i="27"/>
  <c r="GP29" i="27" s="1"/>
  <c r="GP345" i="27" s="1"/>
  <c r="HZ72" i="27"/>
  <c r="HZ29" i="27" s="1"/>
  <c r="HZ345" i="27" s="1"/>
  <c r="BY72" i="27"/>
  <c r="BY29" i="27" s="1"/>
  <c r="BY345" i="27" s="1"/>
  <c r="HY72" i="27"/>
  <c r="HY29" i="27" s="1"/>
  <c r="HY345" i="27" s="1"/>
  <c r="GR72" i="27"/>
  <c r="GR29" i="27" s="1"/>
  <c r="GR345" i="27" s="1"/>
  <c r="HN72" i="27"/>
  <c r="HN29" i="27" s="1"/>
  <c r="HN345" i="27" s="1"/>
  <c r="Y72" i="27"/>
  <c r="Y29" i="27" s="1"/>
  <c r="Y345" i="27" s="1"/>
  <c r="DX72" i="27"/>
  <c r="DX29" i="27" s="1"/>
  <c r="DX345" i="27" s="1"/>
  <c r="CZ72" i="27"/>
  <c r="CZ29" i="27" s="1"/>
  <c r="CZ345" i="27" s="1"/>
  <c r="BC72" i="27"/>
  <c r="BC29" i="27" s="1"/>
  <c r="BC345" i="27" s="1"/>
  <c r="FU72" i="27"/>
  <c r="FU29" i="27" s="1"/>
  <c r="FU345" i="27" s="1"/>
  <c r="FN72" i="27"/>
  <c r="FN29" i="27" s="1"/>
  <c r="FN345" i="27" s="1"/>
  <c r="HX72" i="27"/>
  <c r="HX29" i="27" s="1"/>
  <c r="HX345" i="27" s="1"/>
  <c r="EM72" i="27"/>
  <c r="EM29" i="27" s="1"/>
  <c r="EM345" i="27" s="1"/>
  <c r="BW72" i="27"/>
  <c r="BW29" i="27" s="1"/>
  <c r="BW345" i="27" s="1"/>
  <c r="ET72" i="27"/>
  <c r="ET29" i="27" s="1"/>
  <c r="ET345" i="27" s="1"/>
  <c r="EP72" i="27"/>
  <c r="EP29" i="27" s="1"/>
  <c r="EP345" i="27" s="1"/>
  <c r="ER72" i="27"/>
  <c r="ER29" i="27" s="1"/>
  <c r="ER345" i="27" s="1"/>
  <c r="BI72" i="27"/>
  <c r="BI29" i="27" s="1"/>
  <c r="BI345" i="27" s="1"/>
  <c r="O72" i="27"/>
  <c r="O29" i="27" s="1"/>
  <c r="O345" i="27" s="1"/>
  <c r="GT72" i="27"/>
  <c r="GT29" i="27" s="1"/>
  <c r="GT345" i="27" s="1"/>
  <c r="DU72" i="27"/>
  <c r="DU29" i="27" s="1"/>
  <c r="DU345" i="27" s="1"/>
  <c r="HJ72" i="27"/>
  <c r="HJ29" i="27" s="1"/>
  <c r="HJ345" i="27" s="1"/>
  <c r="FT72" i="27"/>
  <c r="FT29" i="27" s="1"/>
  <c r="FT345" i="27" s="1"/>
  <c r="HH72" i="27"/>
  <c r="HH29" i="27" s="1"/>
  <c r="HH345" i="27" s="1"/>
  <c r="AA72" i="27"/>
  <c r="AA29" i="27" s="1"/>
  <c r="AA345" i="27" s="1"/>
  <c r="DI72" i="27"/>
  <c r="DI29" i="27" s="1"/>
  <c r="DI345" i="27" s="1"/>
  <c r="BO72" i="27"/>
  <c r="BO29" i="27" s="1"/>
  <c r="BO345" i="27" s="1"/>
  <c r="AQ72" i="27"/>
  <c r="AQ29" i="27" s="1"/>
  <c r="AQ345" i="27" s="1"/>
  <c r="AN72" i="27"/>
  <c r="AN29" i="27" s="1"/>
  <c r="AN345" i="27" s="1"/>
  <c r="ID72" i="27"/>
  <c r="ID29" i="27" s="1"/>
  <c r="ID345" i="27" s="1"/>
  <c r="GH72" i="27"/>
  <c r="GH29" i="27" s="1"/>
  <c r="GH345" i="27" s="1"/>
  <c r="CF72" i="27"/>
  <c r="CF29" i="27" s="1"/>
  <c r="CF345" i="27" s="1"/>
  <c r="BN72" i="27"/>
  <c r="BN29" i="27" s="1"/>
  <c r="BN345" i="27" s="1"/>
  <c r="EZ72" i="27"/>
  <c r="EZ29" i="27" s="1"/>
  <c r="EZ345" i="27" s="1"/>
  <c r="AY72" i="27"/>
  <c r="AY29" i="27" s="1"/>
  <c r="AY345" i="27" s="1"/>
  <c r="EA72" i="27"/>
  <c r="EA29" i="27" s="1"/>
  <c r="EA345" i="27" s="1"/>
  <c r="CT72" i="27"/>
  <c r="CT29" i="27" s="1"/>
  <c r="CT345" i="27" s="1"/>
  <c r="EQ72" i="27"/>
  <c r="EQ29" i="27" s="1"/>
  <c r="EQ345" i="27" s="1"/>
  <c r="GZ72" i="27"/>
  <c r="GZ29" i="27" s="1"/>
  <c r="GZ345" i="27" s="1"/>
  <c r="DO72" i="27"/>
  <c r="DO29" i="27" s="1"/>
  <c r="DO345" i="27" s="1"/>
  <c r="GK72" i="27"/>
  <c r="GK29" i="27" s="1"/>
  <c r="GK345" i="27" s="1"/>
  <c r="CP72" i="27"/>
  <c r="CP29" i="27" s="1"/>
  <c r="CP345" i="27" s="1"/>
  <c r="EI72" i="27"/>
  <c r="EI29" i="27" s="1"/>
  <c r="EI345" i="27" s="1"/>
  <c r="BF72" i="27"/>
  <c r="BF29" i="27" s="1"/>
  <c r="BF345" i="27" s="1"/>
  <c r="AX72" i="27"/>
  <c r="AX29" i="27" s="1"/>
  <c r="AX345" i="27" s="1"/>
  <c r="HL72" i="27"/>
  <c r="HL29" i="27" s="1"/>
  <c r="HL345" i="27" s="1"/>
  <c r="CC72" i="27"/>
  <c r="CC29" i="27" s="1"/>
  <c r="CC345" i="27" s="1"/>
  <c r="AS72" i="27"/>
  <c r="AS29" i="27" s="1"/>
  <c r="AS345" i="27" s="1"/>
  <c r="EV72" i="27"/>
  <c r="EV29" i="27" s="1"/>
  <c r="EV345" i="27" s="1"/>
  <c r="AV72" i="27"/>
  <c r="AV29" i="27" s="1"/>
  <c r="AV345" i="27" s="1"/>
  <c r="AO72" i="27"/>
  <c r="AO29" i="27" s="1"/>
  <c r="AO345" i="27" s="1"/>
  <c r="BD72" i="27"/>
  <c r="BD29" i="27" s="1"/>
  <c r="BD345" i="27" s="1"/>
  <c r="HU72" i="27"/>
  <c r="HU29" i="27" s="1"/>
  <c r="HU345" i="27" s="1"/>
  <c r="FD72" i="27"/>
  <c r="FD29" i="27" s="1"/>
  <c r="FD345" i="27" s="1"/>
  <c r="DM72" i="27"/>
  <c r="DM29" i="27" s="1"/>
  <c r="DM345" i="27" s="1"/>
  <c r="GF72" i="27"/>
  <c r="GF29" i="27" s="1"/>
  <c r="GF345" i="27" s="1"/>
  <c r="GI72" i="27"/>
  <c r="GI29" i="27" s="1"/>
  <c r="GI345" i="27" s="1"/>
  <c r="CY72" i="27"/>
  <c r="CY29" i="27" s="1"/>
  <c r="CY345" i="27" s="1"/>
  <c r="DB72" i="27"/>
  <c r="DB29" i="27" s="1"/>
  <c r="DB345" i="27" s="1"/>
  <c r="BK72" i="27"/>
  <c r="BK29" i="27" s="1"/>
  <c r="BK345" i="27" s="1"/>
  <c r="ES72" i="27"/>
  <c r="ES29" i="27" s="1"/>
  <c r="ES345" i="27" s="1"/>
  <c r="DN72" i="27"/>
  <c r="DN29" i="27" s="1"/>
  <c r="DN345" i="27" s="1"/>
  <c r="AK72" i="27"/>
  <c r="AK29" i="27" s="1"/>
  <c r="AK345" i="27" s="1"/>
  <c r="V72" i="27"/>
  <c r="V29" i="27" s="1"/>
  <c r="V345" i="27" s="1"/>
  <c r="AZ72" i="27"/>
  <c r="AZ29" i="27" s="1"/>
  <c r="AZ345" i="27" s="1"/>
  <c r="EB72" i="27"/>
  <c r="EB29" i="27" s="1"/>
  <c r="EB345" i="27" s="1"/>
  <c r="DY72" i="27"/>
  <c r="DY29" i="27" s="1"/>
  <c r="DY345" i="27" s="1"/>
  <c r="HD72" i="27"/>
  <c r="HD29" i="27" s="1"/>
  <c r="HD345" i="27" s="1"/>
  <c r="GM72" i="27"/>
  <c r="GM29" i="27" s="1"/>
  <c r="GM345" i="27" s="1"/>
  <c r="AE72" i="27"/>
  <c r="AE29" i="27" s="1"/>
  <c r="AE345" i="27" s="1"/>
  <c r="BS72" i="27"/>
  <c r="BS29" i="27" s="1"/>
  <c r="BS345" i="27" s="1"/>
  <c r="FX72" i="27"/>
  <c r="FX29" i="27" s="1"/>
  <c r="FX345" i="27" s="1"/>
  <c r="FK72" i="27"/>
  <c r="FK29" i="27" s="1"/>
  <c r="FK345" i="27" s="1"/>
  <c r="CW72" i="27"/>
  <c r="CW29" i="27" s="1"/>
  <c r="CW345" i="27" s="1"/>
  <c r="FL72" i="27"/>
  <c r="FL29" i="27" s="1"/>
  <c r="FL345" i="27" s="1"/>
  <c r="BE72" i="27"/>
  <c r="BE29" i="27" s="1"/>
  <c r="BE345" i="27" s="1"/>
  <c r="IA72" i="27"/>
  <c r="IA29" i="27" s="1"/>
  <c r="IA345" i="27" s="1"/>
  <c r="GS72" i="27"/>
  <c r="GS29" i="27" s="1"/>
  <c r="GS345" i="27" s="1"/>
  <c r="CN72" i="27"/>
  <c r="CN29" i="27" s="1"/>
  <c r="CN345" i="27" s="1"/>
  <c r="DW72" i="27"/>
  <c r="DW29" i="27" s="1"/>
  <c r="DW345" i="27" s="1"/>
  <c r="DT72" i="27"/>
  <c r="DT29" i="27" s="1"/>
  <c r="DT345" i="27" s="1"/>
  <c r="BQ72" i="27"/>
  <c r="BQ29" i="27" s="1"/>
  <c r="BQ345" i="27" s="1"/>
  <c r="FP72" i="27"/>
  <c r="FP29" i="27" s="1"/>
  <c r="FP345" i="27" s="1"/>
  <c r="CD72" i="27"/>
  <c r="CD29" i="27" s="1"/>
  <c r="CD345" i="27" s="1"/>
  <c r="GJ72" i="27"/>
  <c r="GJ29" i="27" s="1"/>
  <c r="GJ345" i="27" s="1"/>
  <c r="BG72" i="27"/>
  <c r="BG29" i="27" s="1"/>
  <c r="BG345" i="27" s="1"/>
  <c r="CV72" i="27"/>
  <c r="CV29" i="27" s="1"/>
  <c r="CV345" i="27" s="1"/>
  <c r="HP72" i="27"/>
  <c r="HP29" i="27" s="1"/>
  <c r="HP345" i="27" s="1"/>
  <c r="AL72" i="27"/>
  <c r="AL29" i="27" s="1"/>
  <c r="AL345" i="27" s="1"/>
  <c r="GO72" i="27"/>
  <c r="GO29" i="27" s="1"/>
  <c r="GO345" i="27" s="1"/>
  <c r="Q72" i="27"/>
  <c r="Q29" i="27" s="1"/>
  <c r="Q345" i="27" s="1"/>
  <c r="CL72" i="27"/>
  <c r="CL29" i="27" s="1"/>
  <c r="CL345" i="27" s="1"/>
  <c r="CX72" i="27"/>
  <c r="CX29" i="27" s="1"/>
  <c r="CX345" i="27" s="1"/>
  <c r="AP72" i="27"/>
  <c r="AP29" i="27" s="1"/>
  <c r="AP345" i="27" s="1"/>
  <c r="CR72" i="27"/>
  <c r="CR29" i="27" s="1"/>
  <c r="CR345" i="27" s="1"/>
  <c r="GL72" i="27"/>
  <c r="GL29" i="27" s="1"/>
  <c r="GL345" i="27" s="1"/>
  <c r="HS72" i="27"/>
  <c r="HS29" i="27" s="1"/>
  <c r="HS345" i="27" s="1"/>
  <c r="ED72" i="27"/>
  <c r="ED29" i="27" s="1"/>
  <c r="ED345" i="27" s="1"/>
  <c r="AR72" i="27"/>
  <c r="AR29" i="27" s="1"/>
  <c r="AR345" i="27" s="1"/>
  <c r="H72" i="27"/>
  <c r="H29" i="27" s="1"/>
  <c r="H345" i="27" s="1"/>
  <c r="IH72" i="27"/>
  <c r="IH29" i="27" s="1"/>
  <c r="IH345" i="27" s="1"/>
  <c r="BM72" i="27"/>
  <c r="BM29" i="27" s="1"/>
  <c r="BM345" i="27" s="1"/>
  <c r="DJ72" i="27"/>
  <c r="DJ29" i="27" s="1"/>
  <c r="DJ345" i="27" s="1"/>
  <c r="CA72" i="27"/>
  <c r="CA29" i="27" s="1"/>
  <c r="CA345" i="27" s="1"/>
  <c r="HG72" i="27"/>
  <c r="HG29" i="27" s="1"/>
  <c r="HG345" i="27" s="1"/>
  <c r="FA72" i="27"/>
  <c r="FA29" i="27" s="1"/>
  <c r="FA345" i="27" s="1"/>
  <c r="GX72" i="27"/>
  <c r="GX29" i="27" s="1"/>
  <c r="GX345" i="27" s="1"/>
  <c r="FH72" i="27"/>
  <c r="FH29" i="27" s="1"/>
  <c r="FH345" i="27" s="1"/>
  <c r="HM72" i="27"/>
  <c r="HM29" i="27" s="1"/>
  <c r="HM345" i="27" s="1"/>
  <c r="HE72" i="27"/>
  <c r="HE29" i="27" s="1"/>
  <c r="HE345" i="27" s="1"/>
  <c r="S72" i="27"/>
  <c r="S29" i="27" s="1"/>
  <c r="S345" i="27" s="1"/>
  <c r="DD72" i="27"/>
  <c r="DD29" i="27" s="1"/>
  <c r="DD345" i="27" s="1"/>
  <c r="II72" i="27"/>
  <c r="II29" i="27" s="1"/>
  <c r="II345" i="27" s="1"/>
  <c r="BL72" i="27"/>
  <c r="BL29" i="27" s="1"/>
  <c r="BL345" i="27" s="1"/>
  <c r="FO72" i="27"/>
  <c r="FO29" i="27" s="1"/>
  <c r="FO345" i="27" s="1"/>
  <c r="IJ72" i="27"/>
  <c r="IJ29" i="27" s="1"/>
  <c r="IJ345" i="27" s="1"/>
  <c r="FV72" i="27"/>
  <c r="FV29" i="27" s="1"/>
  <c r="FV345" i="27" s="1"/>
  <c r="HA72" i="27"/>
  <c r="HA29" i="27" s="1"/>
  <c r="HA345" i="27" s="1"/>
  <c r="FQ72" i="27"/>
  <c r="FQ29" i="27" s="1"/>
  <c r="FQ345" i="27" s="1"/>
  <c r="AD72" i="27"/>
  <c r="AD29" i="27" s="1"/>
  <c r="AD345" i="27" s="1"/>
  <c r="FB72" i="27"/>
  <c r="FB29" i="27" s="1"/>
  <c r="FB345" i="27" s="1"/>
  <c r="EY72" i="27"/>
  <c r="EY29" i="27" s="1"/>
  <c r="EY345" i="27" s="1"/>
  <c r="FM72" i="27"/>
  <c r="FM29" i="27" s="1"/>
  <c r="FM345" i="27" s="1"/>
  <c r="EL72" i="27"/>
  <c r="EL29" i="27" s="1"/>
  <c r="EL345" i="27" s="1"/>
  <c r="EE72" i="27"/>
  <c r="EE29" i="27" s="1"/>
  <c r="EE345" i="27" s="1"/>
  <c r="HB72" i="27"/>
  <c r="HB29" i="27" s="1"/>
  <c r="HB345" i="27" s="1"/>
  <c r="AI72" i="27"/>
  <c r="AI29" i="27" s="1"/>
  <c r="AI345" i="27" s="1"/>
  <c r="DE72" i="27"/>
  <c r="DE29" i="27" s="1"/>
  <c r="DE345" i="27" s="1"/>
  <c r="CS72" i="27"/>
  <c r="CS29" i="27" s="1"/>
  <c r="CS345" i="27" s="1"/>
  <c r="FE72" i="27"/>
  <c r="FE29" i="27" s="1"/>
  <c r="FE345" i="27" s="1"/>
  <c r="AC72" i="27"/>
  <c r="AC29" i="27" s="1"/>
  <c r="AC345" i="27" s="1"/>
  <c r="P72" i="27"/>
  <c r="P29" i="27" s="1"/>
  <c r="P345" i="27" s="1"/>
  <c r="FF72" i="27"/>
  <c r="FF29" i="27" s="1"/>
  <c r="FF345" i="27" s="1"/>
  <c r="BU72" i="27"/>
  <c r="BU29" i="27" s="1"/>
  <c r="BU345" i="27" s="1"/>
  <c r="IB72" i="27"/>
  <c r="IB29" i="27" s="1"/>
  <c r="IB345" i="27" s="1"/>
  <c r="AT72" i="27"/>
  <c r="AT29" i="27" s="1"/>
  <c r="AT345" i="27" s="1"/>
  <c r="DZ72" i="27"/>
  <c r="DZ29" i="27" s="1"/>
  <c r="DZ345" i="27" s="1"/>
  <c r="HI72" i="27"/>
  <c r="HI29" i="27" s="1"/>
  <c r="HI345" i="27" s="1"/>
  <c r="CI72" i="27"/>
  <c r="CI29" i="27" s="1"/>
  <c r="CI345" i="27" s="1"/>
  <c r="AF72" i="27"/>
  <c r="AF29" i="27" s="1"/>
  <c r="AF345" i="27" s="1"/>
  <c r="DS72" i="27"/>
  <c r="DS29" i="27" s="1"/>
  <c r="DS345" i="27" s="1"/>
  <c r="IE72" i="27"/>
  <c r="IE29" i="27" s="1"/>
  <c r="IE345" i="27" s="1"/>
  <c r="BZ72" i="27"/>
  <c r="BZ29" i="27" s="1"/>
  <c r="BZ345" i="27" s="1"/>
  <c r="FR72" i="27"/>
  <c r="FR29" i="27" s="1"/>
  <c r="FR345" i="27" s="1"/>
  <c r="FJ72" i="27"/>
  <c r="FJ29" i="27" s="1"/>
  <c r="FJ345" i="27" s="1"/>
  <c r="EH72" i="27"/>
  <c r="EH29" i="27" s="1"/>
  <c r="EH345" i="27" s="1"/>
  <c r="HF72" i="27"/>
  <c r="HF29" i="27" s="1"/>
  <c r="HF345" i="27" s="1"/>
  <c r="AW72" i="27"/>
  <c r="AW29" i="27" s="1"/>
  <c r="AW345" i="27" s="1"/>
  <c r="U72" i="27"/>
  <c r="U29" i="27" s="1"/>
  <c r="U345" i="27" s="1"/>
  <c r="DG72" i="27"/>
  <c r="DG29" i="27" s="1"/>
  <c r="DG345" i="27" s="1"/>
  <c r="HT72" i="27"/>
  <c r="HT29" i="27" s="1"/>
  <c r="HT345" i="27" s="1"/>
  <c r="BB72" i="27"/>
  <c r="BB29" i="27" s="1"/>
  <c r="BB345" i="27" s="1"/>
  <c r="DH72" i="27"/>
  <c r="DH29" i="27" s="1"/>
  <c r="DH345" i="27" s="1"/>
  <c r="GU72" i="27"/>
  <c r="GU29" i="27" s="1"/>
  <c r="GU345" i="27" s="1"/>
  <c r="BT72" i="27"/>
  <c r="BT29" i="27" s="1"/>
  <c r="BT345" i="27" s="1"/>
  <c r="AB72" i="27"/>
  <c r="AB29" i="27" s="1"/>
  <c r="AB345" i="27" s="1"/>
  <c r="EO72" i="27"/>
  <c r="EO29" i="27" s="1"/>
  <c r="EO345" i="27" s="1"/>
  <c r="DV72" i="27"/>
  <c r="DV29" i="27" s="1"/>
  <c r="DV345" i="27" s="1"/>
  <c r="T72" i="27"/>
  <c r="T29" i="27" s="1"/>
  <c r="T345" i="27" s="1"/>
  <c r="CM72" i="27"/>
  <c r="CM29" i="27" s="1"/>
  <c r="CM345" i="27" s="1"/>
  <c r="HK72" i="27"/>
  <c r="HK29" i="27" s="1"/>
  <c r="HK345" i="27" s="1"/>
  <c r="CE72" i="27"/>
  <c r="CE29" i="27" s="1"/>
  <c r="CE345" i="27" s="1"/>
  <c r="M72" i="27"/>
  <c r="M29" i="27" s="1"/>
  <c r="M345" i="27" s="1"/>
  <c r="EX72" i="27"/>
  <c r="EX29" i="27" s="1"/>
  <c r="EX345" i="27" s="1"/>
  <c r="GV72" i="27"/>
  <c r="GV29" i="27" s="1"/>
  <c r="GV345" i="27" s="1"/>
  <c r="EJ72" i="27"/>
  <c r="EJ29" i="27" s="1"/>
  <c r="EJ345" i="27" s="1"/>
  <c r="EN72" i="27"/>
  <c r="EN29" i="27" s="1"/>
  <c r="EN345" i="27" s="1"/>
  <c r="BX72" i="27"/>
  <c r="BX29" i="27" s="1"/>
  <c r="BX345" i="27" s="1"/>
  <c r="DL72" i="27"/>
  <c r="DL29" i="27" s="1"/>
  <c r="DL345" i="27" s="1"/>
  <c r="BJ72" i="27"/>
  <c r="BJ29" i="27" s="1"/>
  <c r="BJ345" i="27" s="1"/>
  <c r="EW72" i="27"/>
  <c r="EW29" i="27" s="1"/>
  <c r="EW345" i="27" s="1"/>
  <c r="GY72" i="27"/>
  <c r="GY29" i="27" s="1"/>
  <c r="GY345" i="27" s="1"/>
  <c r="FY72" i="27"/>
  <c r="FY29" i="27" s="1"/>
  <c r="FY345" i="27" s="1"/>
  <c r="IC72" i="27"/>
  <c r="IC29" i="27" s="1"/>
  <c r="IC345" i="27" s="1"/>
  <c r="EF72" i="27"/>
  <c r="EF29" i="27" s="1"/>
  <c r="EF345" i="27" s="1"/>
  <c r="GB72" i="27"/>
  <c r="GB29" i="27" s="1"/>
  <c r="GB345" i="27" s="1"/>
  <c r="HO72" i="27"/>
  <c r="HO29" i="27" s="1"/>
  <c r="HO345" i="27" s="1"/>
  <c r="BH72" i="27"/>
  <c r="BH29" i="27" s="1"/>
  <c r="BH345" i="27" s="1"/>
  <c r="CH72" i="27"/>
  <c r="CH29" i="27" s="1"/>
  <c r="CH345" i="27" s="1"/>
  <c r="CQ72" i="27"/>
  <c r="CQ29" i="27" s="1"/>
  <c r="CQ345" i="27" s="1"/>
  <c r="BP72" i="27"/>
  <c r="BP29" i="27" s="1"/>
  <c r="BP345" i="27" s="1"/>
  <c r="DK72" i="27"/>
  <c r="DK29" i="27" s="1"/>
  <c r="DK345" i="27" s="1"/>
  <c r="AJ72" i="27"/>
  <c r="AJ29" i="27" s="1"/>
  <c r="AJ345" i="27" s="1"/>
  <c r="Z72" i="27"/>
  <c r="Z29" i="27" s="1"/>
  <c r="Z345" i="27" s="1"/>
  <c r="CJ72" i="27"/>
  <c r="CJ29" i="27" s="1"/>
  <c r="CJ345" i="27" s="1"/>
  <c r="GW72" i="27"/>
  <c r="GW29" i="27" s="1"/>
  <c r="GW345" i="27" s="1"/>
  <c r="HR72" i="27"/>
  <c r="HR29" i="27" s="1"/>
  <c r="HR345" i="27" s="1"/>
  <c r="HC72" i="27"/>
  <c r="HC29" i="27" s="1"/>
  <c r="HC345" i="27" s="1"/>
  <c r="FG72" i="27"/>
  <c r="FG29" i="27" s="1"/>
  <c r="FG345" i="27" s="1"/>
  <c r="DP72" i="27"/>
  <c r="DP29" i="27" s="1"/>
  <c r="DP345" i="27" s="1"/>
  <c r="CK72" i="27"/>
  <c r="CK29" i="27" s="1"/>
  <c r="CK345" i="27" s="1"/>
  <c r="BR72" i="27"/>
  <c r="BR29" i="27" s="1"/>
  <c r="BR345" i="27" s="1"/>
  <c r="D154" i="27"/>
  <c r="G86" i="27"/>
  <c r="G87" i="27" s="1"/>
  <c r="L32" i="24"/>
  <c r="E157" i="27"/>
  <c r="D159" i="27"/>
  <c r="D161" i="27"/>
  <c r="E113" i="27" s="1"/>
  <c r="L865" i="23"/>
  <c r="L866" i="23"/>
  <c r="L862" i="23"/>
  <c r="AD140" i="26"/>
  <c r="CZ77" i="26" s="1"/>
  <c r="CB99" i="26" l="1"/>
  <c r="CK99" i="26" s="1"/>
  <c r="Y141" i="26"/>
  <c r="Z141" i="26" s="1"/>
  <c r="D84" i="27"/>
  <c r="E84" i="27"/>
  <c r="E88" i="27" s="1"/>
  <c r="CI99" i="26"/>
  <c r="CU99" i="26" s="1"/>
  <c r="EL77" i="26"/>
  <c r="D162" i="27"/>
  <c r="G170" i="27" s="1"/>
  <c r="G171" i="27" s="1"/>
  <c r="D168" i="27" s="1"/>
  <c r="D170" i="27" s="1"/>
  <c r="D173" i="27" s="1"/>
  <c r="E116" i="27" s="1"/>
  <c r="F128" i="27" s="1"/>
  <c r="C97" i="27" s="1"/>
  <c r="D241" i="27"/>
  <c r="DS77" i="26"/>
  <c r="FE77" i="26"/>
  <c r="CG77" i="26"/>
  <c r="U348" i="27"/>
  <c r="CY348" i="27"/>
  <c r="CU348" i="27"/>
  <c r="CT348" i="27"/>
  <c r="EI348" i="27"/>
  <c r="AH348" i="27"/>
  <c r="EH348" i="27"/>
  <c r="CG348" i="27"/>
  <c r="HT348" i="27"/>
  <c r="HR348" i="27"/>
  <c r="FU348" i="27"/>
  <c r="CS348" i="27"/>
  <c r="CE348" i="27"/>
  <c r="FT348" i="27"/>
  <c r="HI348" i="27"/>
  <c r="GS348" i="27"/>
  <c r="DB348" i="27"/>
  <c r="AG348" i="27"/>
  <c r="AS348" i="27"/>
  <c r="CA348" i="27"/>
  <c r="CH348" i="27"/>
  <c r="ER348" i="27"/>
  <c r="CB348" i="27"/>
  <c r="FJ348" i="27"/>
  <c r="AI348" i="27"/>
  <c r="GY348" i="27"/>
  <c r="GE348" i="27"/>
  <c r="DX348" i="27"/>
  <c r="AY348" i="27"/>
  <c r="AF348" i="27"/>
  <c r="FM348" i="27"/>
  <c r="EO348" i="27"/>
  <c r="DU348" i="27"/>
  <c r="GN348" i="27"/>
  <c r="BM348" i="27"/>
  <c r="M348" i="27"/>
  <c r="AT348" i="27"/>
  <c r="CK348" i="27"/>
  <c r="HH348" i="27"/>
  <c r="GP348" i="27"/>
  <c r="DI348" i="27"/>
  <c r="S348" i="27"/>
  <c r="GJ348" i="27"/>
  <c r="FW348" i="27"/>
  <c r="EQ348" i="27"/>
  <c r="GO348" i="27"/>
  <c r="IK348" i="27"/>
  <c r="BI348" i="27"/>
  <c r="ED348" i="27"/>
  <c r="HU348" i="27"/>
  <c r="IH348" i="27"/>
  <c r="AQ348" i="27"/>
  <c r="HQ348" i="27"/>
  <c r="HP348" i="27"/>
  <c r="ID348" i="27"/>
  <c r="AU348" i="27"/>
  <c r="BR348" i="27"/>
  <c r="AZ348" i="27"/>
  <c r="BT348" i="27"/>
  <c r="AV348" i="27"/>
  <c r="CN348" i="27"/>
  <c r="ET348" i="27"/>
  <c r="DS348" i="27"/>
  <c r="CQ348" i="27"/>
  <c r="HD348" i="27"/>
  <c r="DA348" i="27"/>
  <c r="Z348" i="27"/>
  <c r="BG348" i="27"/>
  <c r="AJ348" i="27"/>
  <c r="BH348" i="27"/>
  <c r="FS348" i="27"/>
  <c r="BU348" i="27"/>
  <c r="DE348" i="27"/>
  <c r="BZ348" i="27"/>
  <c r="CR348" i="27"/>
  <c r="EV348" i="27"/>
  <c r="GQ348" i="27"/>
  <c r="BV348" i="27"/>
  <c r="DT348" i="27"/>
  <c r="IC348" i="27"/>
  <c r="CX348" i="27"/>
  <c r="HS348" i="27"/>
  <c r="BW348" i="27"/>
  <c r="HM348" i="27"/>
  <c r="GL348" i="27"/>
  <c r="GC348" i="27"/>
  <c r="AO348" i="27"/>
  <c r="FZ348" i="27"/>
  <c r="GI348" i="27"/>
  <c r="GG348" i="27"/>
  <c r="EB348" i="27"/>
  <c r="BF348" i="27"/>
  <c r="EA348" i="27"/>
  <c r="DQ348" i="27"/>
  <c r="CC348" i="27"/>
  <c r="BX348" i="27"/>
  <c r="DL348" i="27"/>
  <c r="FL348" i="27"/>
  <c r="BL348" i="27"/>
  <c r="GD348" i="27"/>
  <c r="EN348" i="27"/>
  <c r="CZ348" i="27"/>
  <c r="L348" i="27"/>
  <c r="AX348" i="27"/>
  <c r="N348" i="27"/>
  <c r="EW348" i="27"/>
  <c r="IE348" i="27"/>
  <c r="H348" i="27"/>
  <c r="CD348" i="27"/>
  <c r="DG348" i="27"/>
  <c r="GB348" i="27"/>
  <c r="FY348" i="27"/>
  <c r="IG348" i="27"/>
  <c r="CP348" i="27"/>
  <c r="CM348" i="27"/>
  <c r="HY348" i="27"/>
  <c r="HG348" i="27"/>
  <c r="IB348" i="27"/>
  <c r="EU348" i="27"/>
  <c r="DF348" i="27"/>
  <c r="GU348" i="27"/>
  <c r="BD348" i="27"/>
  <c r="FB348" i="27"/>
  <c r="EL348" i="27"/>
  <c r="EZ348" i="27"/>
  <c r="AL348" i="27"/>
  <c r="CO348" i="27"/>
  <c r="HX348" i="27"/>
  <c r="K348" i="27"/>
  <c r="FC348" i="27"/>
  <c r="GV348" i="27"/>
  <c r="AD348" i="27"/>
  <c r="IA348" i="27"/>
  <c r="AC348" i="27"/>
  <c r="AB348" i="27"/>
  <c r="IF348" i="27"/>
  <c r="DR348" i="27"/>
  <c r="FN348" i="27"/>
  <c r="CI348" i="27"/>
  <c r="HA348" i="27"/>
  <c r="BE348" i="27"/>
  <c r="CW348" i="27"/>
  <c r="AA348" i="27"/>
  <c r="FG348" i="27"/>
  <c r="EG348" i="27"/>
  <c r="CF348" i="27"/>
  <c r="FH348" i="27"/>
  <c r="HZ348" i="27"/>
  <c r="AE348" i="27"/>
  <c r="CV348" i="27"/>
  <c r="GW348" i="27"/>
  <c r="BS348" i="27"/>
  <c r="X348" i="27"/>
  <c r="HK348" i="27"/>
  <c r="GX348" i="27"/>
  <c r="BO348" i="27"/>
  <c r="HW348" i="27"/>
  <c r="GF348" i="27"/>
  <c r="BK348" i="27"/>
  <c r="AW348" i="27"/>
  <c r="BC348" i="27"/>
  <c r="FI348" i="27"/>
  <c r="EP348" i="27"/>
  <c r="EM348" i="27"/>
  <c r="DY348" i="27"/>
  <c r="FP348" i="27"/>
  <c r="FV348" i="27"/>
  <c r="II348" i="27"/>
  <c r="FD348" i="27"/>
  <c r="AP348" i="27"/>
  <c r="HB348" i="27"/>
  <c r="AK348" i="27"/>
  <c r="DN348" i="27"/>
  <c r="FK348" i="27"/>
  <c r="V348" i="27"/>
  <c r="GA348" i="27"/>
  <c r="FF348" i="27"/>
  <c r="FR348" i="27"/>
  <c r="EX348" i="27"/>
  <c r="DO348" i="27"/>
  <c r="DC348" i="27"/>
  <c r="IJ348" i="27"/>
  <c r="BP348" i="27"/>
  <c r="AR348" i="27"/>
  <c r="BA348" i="27"/>
  <c r="EC348" i="27"/>
  <c r="AN348" i="27"/>
  <c r="BN348" i="27"/>
  <c r="HO348" i="27"/>
  <c r="DZ348" i="27"/>
  <c r="GR348" i="27"/>
  <c r="FQ348" i="27"/>
  <c r="HV348" i="27"/>
  <c r="ES348" i="27"/>
  <c r="CJ348" i="27"/>
  <c r="DP348" i="27"/>
  <c r="DH348" i="27"/>
  <c r="GH348" i="27"/>
  <c r="HE348" i="27"/>
  <c r="DV348" i="27"/>
  <c r="R348" i="27"/>
  <c r="GM348" i="27"/>
  <c r="Y348" i="27"/>
  <c r="AM348" i="27"/>
  <c r="P348" i="27"/>
  <c r="GT348" i="27"/>
  <c r="EJ348" i="27"/>
  <c r="EF348" i="27"/>
  <c r="DM348" i="27"/>
  <c r="Q348" i="27"/>
  <c r="GZ348" i="27"/>
  <c r="BB348" i="27"/>
  <c r="HC348" i="27"/>
  <c r="BY348" i="27"/>
  <c r="EY348" i="27"/>
  <c r="FO348" i="27"/>
  <c r="DD348" i="27"/>
  <c r="FE348" i="27"/>
  <c r="DW348" i="27"/>
  <c r="GK348" i="27"/>
  <c r="O348" i="27"/>
  <c r="I348" i="27"/>
  <c r="HL348" i="27"/>
  <c r="HF348" i="27"/>
  <c r="FA348" i="27"/>
  <c r="BJ348" i="27"/>
  <c r="DK348" i="27"/>
  <c r="HJ348" i="27"/>
  <c r="EE348" i="27"/>
  <c r="J348" i="27"/>
  <c r="HN348" i="27"/>
  <c r="T348" i="27"/>
  <c r="CL348" i="27"/>
  <c r="DJ348" i="27"/>
  <c r="W348" i="27"/>
  <c r="FX348" i="27"/>
  <c r="BQ348" i="27"/>
  <c r="EK348" i="27"/>
  <c r="E159" i="27"/>
  <c r="E162" i="27" s="1"/>
  <c r="E161" i="27"/>
  <c r="CD99" i="26" l="1"/>
  <c r="AB141" i="26"/>
  <c r="AD141" i="26" s="1"/>
  <c r="EL78" i="26" s="1"/>
  <c r="W142" i="26"/>
  <c r="O142" i="26" s="1"/>
  <c r="CK116" i="26"/>
  <c r="CK137" i="26" s="1"/>
  <c r="C148" i="25" s="1"/>
  <c r="B148" i="25" s="1"/>
  <c r="A148" i="25" s="1"/>
  <c r="E168" i="27"/>
  <c r="E114" i="27"/>
  <c r="E106" i="27" s="1"/>
  <c r="D88" i="27"/>
  <c r="E31" i="27" s="1"/>
  <c r="D86" i="27"/>
  <c r="D172" i="27"/>
  <c r="E115" i="27" s="1"/>
  <c r="E241" i="27"/>
  <c r="D243" i="27"/>
  <c r="D245" i="27"/>
  <c r="E197" i="27" s="1"/>
  <c r="CN156" i="27"/>
  <c r="CN113" i="27" s="1"/>
  <c r="CN352" i="27" s="1"/>
  <c r="BN156" i="27"/>
  <c r="BN113" i="27" s="1"/>
  <c r="BN352" i="27" s="1"/>
  <c r="HC156" i="27"/>
  <c r="HC113" i="27" s="1"/>
  <c r="HC352" i="27" s="1"/>
  <c r="AH156" i="27"/>
  <c r="AH113" i="27" s="1"/>
  <c r="AH352" i="27" s="1"/>
  <c r="AO156" i="27"/>
  <c r="AO113" i="27" s="1"/>
  <c r="AO352" i="27" s="1"/>
  <c r="GQ156" i="27"/>
  <c r="GQ113" i="27" s="1"/>
  <c r="GQ352" i="27" s="1"/>
  <c r="HP156" i="27"/>
  <c r="HP113" i="27" s="1"/>
  <c r="HP352" i="27" s="1"/>
  <c r="AQ156" i="27"/>
  <c r="AQ113" i="27" s="1"/>
  <c r="AQ352" i="27" s="1"/>
  <c r="DZ156" i="27"/>
  <c r="DZ113" i="27" s="1"/>
  <c r="DZ352" i="27" s="1"/>
  <c r="HU156" i="27"/>
  <c r="HU113" i="27" s="1"/>
  <c r="HU352" i="27" s="1"/>
  <c r="GS156" i="27"/>
  <c r="GS113" i="27" s="1"/>
  <c r="GS352" i="27" s="1"/>
  <c r="S156" i="27"/>
  <c r="S113" i="27" s="1"/>
  <c r="S352" i="27" s="1"/>
  <c r="FB156" i="27"/>
  <c r="FB113" i="27" s="1"/>
  <c r="FB352" i="27" s="1"/>
  <c r="DH156" i="27"/>
  <c r="DH113" i="27" s="1"/>
  <c r="DH352" i="27" s="1"/>
  <c r="GI156" i="27"/>
  <c r="GI113" i="27" s="1"/>
  <c r="GI352" i="27" s="1"/>
  <c r="EQ156" i="27"/>
  <c r="EQ113" i="27" s="1"/>
  <c r="EQ352" i="27" s="1"/>
  <c r="BE156" i="27"/>
  <c r="BE113" i="27" s="1"/>
  <c r="BE352" i="27" s="1"/>
  <c r="GK156" i="27"/>
  <c r="GK113" i="27" s="1"/>
  <c r="GK352" i="27" s="1"/>
  <c r="HX156" i="27"/>
  <c r="HX113" i="27" s="1"/>
  <c r="HX352" i="27" s="1"/>
  <c r="HA156" i="27"/>
  <c r="HA113" i="27" s="1"/>
  <c r="HA352" i="27" s="1"/>
  <c r="AX156" i="27"/>
  <c r="AX113" i="27" s="1"/>
  <c r="AX352" i="27" s="1"/>
  <c r="HD156" i="27"/>
  <c r="HD113" i="27" s="1"/>
  <c r="HD352" i="27" s="1"/>
  <c r="GV156" i="27"/>
  <c r="GV113" i="27" s="1"/>
  <c r="GV352" i="27" s="1"/>
  <c r="T156" i="27"/>
  <c r="T113" i="27" s="1"/>
  <c r="T352" i="27" s="1"/>
  <c r="BB156" i="27"/>
  <c r="BB113" i="27" s="1"/>
  <c r="BB352" i="27" s="1"/>
  <c r="EM156" i="27"/>
  <c r="EM113" i="27" s="1"/>
  <c r="EM352" i="27" s="1"/>
  <c r="AW156" i="27"/>
  <c r="AW113" i="27" s="1"/>
  <c r="AW352" i="27" s="1"/>
  <c r="DI156" i="27"/>
  <c r="DI113" i="27" s="1"/>
  <c r="DI352" i="27" s="1"/>
  <c r="DD156" i="27"/>
  <c r="DD113" i="27" s="1"/>
  <c r="DD352" i="27" s="1"/>
  <c r="CQ156" i="27"/>
  <c r="CQ113" i="27" s="1"/>
  <c r="CQ352" i="27" s="1"/>
  <c r="IJ156" i="27"/>
  <c r="IJ113" i="27" s="1"/>
  <c r="IJ352" i="27" s="1"/>
  <c r="X156" i="27"/>
  <c r="X113" i="27" s="1"/>
  <c r="X352" i="27" s="1"/>
  <c r="AA156" i="27"/>
  <c r="AA113" i="27" s="1"/>
  <c r="AA352" i="27" s="1"/>
  <c r="DM156" i="27"/>
  <c r="DM113" i="27" s="1"/>
  <c r="DM352" i="27" s="1"/>
  <c r="BL156" i="27"/>
  <c r="BL113" i="27" s="1"/>
  <c r="BL352" i="27" s="1"/>
  <c r="CS156" i="27"/>
  <c r="CS113" i="27" s="1"/>
  <c r="CS352" i="27" s="1"/>
  <c r="DT156" i="27"/>
  <c r="DT113" i="27" s="1"/>
  <c r="DT352" i="27" s="1"/>
  <c r="CH156" i="27"/>
  <c r="CH113" i="27" s="1"/>
  <c r="CH352" i="27" s="1"/>
  <c r="FI156" i="27"/>
  <c r="FI113" i="27" s="1"/>
  <c r="FI352" i="27" s="1"/>
  <c r="AB156" i="27"/>
  <c r="AB113" i="27" s="1"/>
  <c r="AB352" i="27" s="1"/>
  <c r="AI156" i="27"/>
  <c r="AI113" i="27" s="1"/>
  <c r="AI352" i="27" s="1"/>
  <c r="HE156" i="27"/>
  <c r="HE113" i="27" s="1"/>
  <c r="HE352" i="27" s="1"/>
  <c r="BS156" i="27"/>
  <c r="BS113" i="27" s="1"/>
  <c r="BS352" i="27" s="1"/>
  <c r="FF156" i="27"/>
  <c r="FF113" i="27" s="1"/>
  <c r="FF352" i="27" s="1"/>
  <c r="HT156" i="27"/>
  <c r="HT113" i="27" s="1"/>
  <c r="HT352" i="27" s="1"/>
  <c r="EA156" i="27"/>
  <c r="EA113" i="27" s="1"/>
  <c r="EA352" i="27" s="1"/>
  <c r="HH156" i="27"/>
  <c r="HH113" i="27" s="1"/>
  <c r="HH352" i="27" s="1"/>
  <c r="IF156" i="27"/>
  <c r="IF113" i="27" s="1"/>
  <c r="IF352" i="27" s="1"/>
  <c r="IH156" i="27"/>
  <c r="IH113" i="27" s="1"/>
  <c r="IH352" i="27" s="1"/>
  <c r="FZ156" i="27"/>
  <c r="FZ113" i="27" s="1"/>
  <c r="FZ352" i="27" s="1"/>
  <c r="EO156" i="27"/>
  <c r="EO113" i="27" s="1"/>
  <c r="EO352" i="27" s="1"/>
  <c r="CD156" i="27"/>
  <c r="CD113" i="27" s="1"/>
  <c r="CD352" i="27" s="1"/>
  <c r="FV156" i="27"/>
  <c r="FV113" i="27" s="1"/>
  <c r="FV352" i="27" s="1"/>
  <c r="DN156" i="27"/>
  <c r="DN113" i="27" s="1"/>
  <c r="DN352" i="27" s="1"/>
  <c r="GU156" i="27"/>
  <c r="GU113" i="27" s="1"/>
  <c r="GU352" i="27" s="1"/>
  <c r="DB156" i="27"/>
  <c r="DB113" i="27" s="1"/>
  <c r="DB352" i="27" s="1"/>
  <c r="IB156" i="27"/>
  <c r="IB113" i="27" s="1"/>
  <c r="IB352" i="27" s="1"/>
  <c r="EV156" i="27"/>
  <c r="EV113" i="27" s="1"/>
  <c r="EV352" i="27" s="1"/>
  <c r="R156" i="27"/>
  <c r="R113" i="27" s="1"/>
  <c r="R352" i="27" s="1"/>
  <c r="P156" i="27"/>
  <c r="P113" i="27" s="1"/>
  <c r="P352" i="27" s="1"/>
  <c r="HM156" i="27"/>
  <c r="HM113" i="27" s="1"/>
  <c r="HM352" i="27" s="1"/>
  <c r="FS156" i="27"/>
  <c r="FS113" i="27" s="1"/>
  <c r="FS352" i="27" s="1"/>
  <c r="HV156" i="27"/>
  <c r="HV113" i="27" s="1"/>
  <c r="HV352" i="27" s="1"/>
  <c r="FO156" i="27"/>
  <c r="FO113" i="27" s="1"/>
  <c r="FO352" i="27" s="1"/>
  <c r="CK156" i="27"/>
  <c r="CK113" i="27" s="1"/>
  <c r="CK352" i="27" s="1"/>
  <c r="FH156" i="27"/>
  <c r="FH113" i="27" s="1"/>
  <c r="FH352" i="27" s="1"/>
  <c r="GN156" i="27"/>
  <c r="GN113" i="27" s="1"/>
  <c r="GN352" i="27" s="1"/>
  <c r="I156" i="27"/>
  <c r="I113" i="27" s="1"/>
  <c r="I352" i="27" s="1"/>
  <c r="U156" i="27"/>
  <c r="U113" i="27" s="1"/>
  <c r="U352" i="27" s="1"/>
  <c r="AE156" i="27"/>
  <c r="AE113" i="27" s="1"/>
  <c r="AE352" i="27" s="1"/>
  <c r="IA156" i="27"/>
  <c r="IA113" i="27" s="1"/>
  <c r="IA352" i="27" s="1"/>
  <c r="GH156" i="27"/>
  <c r="GH113" i="27" s="1"/>
  <c r="GH352" i="27" s="1"/>
  <c r="IE156" i="27"/>
  <c r="IE113" i="27" s="1"/>
  <c r="IE352" i="27" s="1"/>
  <c r="HL156" i="27"/>
  <c r="HL113" i="27" s="1"/>
  <c r="HL352" i="27" s="1"/>
  <c r="GL156" i="27"/>
  <c r="GL113" i="27" s="1"/>
  <c r="GL352" i="27" s="1"/>
  <c r="IC156" i="27"/>
  <c r="IC113" i="27" s="1"/>
  <c r="IC352" i="27" s="1"/>
  <c r="IG156" i="27"/>
  <c r="IG113" i="27" s="1"/>
  <c r="IG352" i="27" s="1"/>
  <c r="EX156" i="27"/>
  <c r="EX113" i="27" s="1"/>
  <c r="EX352" i="27" s="1"/>
  <c r="FL156" i="27"/>
  <c r="FL113" i="27" s="1"/>
  <c r="FL352" i="27" s="1"/>
  <c r="AL156" i="27"/>
  <c r="AL113" i="27" s="1"/>
  <c r="AL352" i="27" s="1"/>
  <c r="AP156" i="27"/>
  <c r="AP113" i="27" s="1"/>
  <c r="AP352" i="27" s="1"/>
  <c r="CI156" i="27"/>
  <c r="CI113" i="27" s="1"/>
  <c r="CI352" i="27" s="1"/>
  <c r="ES156" i="27"/>
  <c r="ES113" i="27" s="1"/>
  <c r="ES352" i="27" s="1"/>
  <c r="BP156" i="27"/>
  <c r="BP113" i="27" s="1"/>
  <c r="BP352" i="27" s="1"/>
  <c r="CR156" i="27"/>
  <c r="CR113" i="27" s="1"/>
  <c r="CR352" i="27" s="1"/>
  <c r="HF156" i="27"/>
  <c r="HF113" i="27" s="1"/>
  <c r="HF352" i="27" s="1"/>
  <c r="CP156" i="27"/>
  <c r="CP113" i="27" s="1"/>
  <c r="CP352" i="27" s="1"/>
  <c r="HG156" i="27"/>
  <c r="HG113" i="27" s="1"/>
  <c r="HG352" i="27" s="1"/>
  <c r="CY156" i="27"/>
  <c r="CY113" i="27" s="1"/>
  <c r="CY352" i="27" s="1"/>
  <c r="BI156" i="27"/>
  <c r="BI113" i="27" s="1"/>
  <c r="BI352" i="27" s="1"/>
  <c r="AT156" i="27"/>
  <c r="AT113" i="27" s="1"/>
  <c r="AT352" i="27" s="1"/>
  <c r="FM156" i="27"/>
  <c r="FM113" i="27" s="1"/>
  <c r="FM352" i="27" s="1"/>
  <c r="AC156" i="27"/>
  <c r="AC113" i="27" s="1"/>
  <c r="AC352" i="27" s="1"/>
  <c r="BT156" i="27"/>
  <c r="BT113" i="27" s="1"/>
  <c r="BT352" i="27" s="1"/>
  <c r="GC156" i="27"/>
  <c r="GC113" i="27" s="1"/>
  <c r="GC352" i="27" s="1"/>
  <c r="GT156" i="27"/>
  <c r="GT113" i="27" s="1"/>
  <c r="GT352" i="27" s="1"/>
  <c r="CC156" i="27"/>
  <c r="CC113" i="27" s="1"/>
  <c r="CC352" i="27" s="1"/>
  <c r="GP156" i="27"/>
  <c r="GP113" i="27" s="1"/>
  <c r="GP352" i="27" s="1"/>
  <c r="AG156" i="27"/>
  <c r="AG113" i="27" s="1"/>
  <c r="AG352" i="27" s="1"/>
  <c r="AU156" i="27"/>
  <c r="AU113" i="27" s="1"/>
  <c r="AU352" i="27" s="1"/>
  <c r="HJ156" i="27"/>
  <c r="HJ113" i="27" s="1"/>
  <c r="HJ352" i="27" s="1"/>
  <c r="HI156" i="27"/>
  <c r="HI113" i="27" s="1"/>
  <c r="HI352" i="27" s="1"/>
  <c r="BZ156" i="27"/>
  <c r="BZ113" i="27" s="1"/>
  <c r="BZ352" i="27" s="1"/>
  <c r="L156" i="27"/>
  <c r="L113" i="27" s="1"/>
  <c r="L352" i="27" s="1"/>
  <c r="EE156" i="27"/>
  <c r="EE113" i="27" s="1"/>
  <c r="EE352" i="27" s="1"/>
  <c r="AS156" i="27"/>
  <c r="AS113" i="27" s="1"/>
  <c r="AS352" i="27" s="1"/>
  <c r="CV156" i="27"/>
  <c r="CV113" i="27" s="1"/>
  <c r="CV352" i="27" s="1"/>
  <c r="DG156" i="27"/>
  <c r="DG113" i="27" s="1"/>
  <c r="DG352" i="27" s="1"/>
  <c r="BX156" i="27"/>
  <c r="BX113" i="27" s="1"/>
  <c r="BX352" i="27" s="1"/>
  <c r="GA156" i="27"/>
  <c r="GA113" i="27" s="1"/>
  <c r="GA352" i="27" s="1"/>
  <c r="CF156" i="27"/>
  <c r="CF113" i="27" s="1"/>
  <c r="CF352" i="27" s="1"/>
  <c r="AD156" i="27"/>
  <c r="AD113" i="27" s="1"/>
  <c r="AD352" i="27" s="1"/>
  <c r="BC156" i="27"/>
  <c r="BC113" i="27" s="1"/>
  <c r="BC352" i="27" s="1"/>
  <c r="FE156" i="27"/>
  <c r="FE113" i="27" s="1"/>
  <c r="FE352" i="27" s="1"/>
  <c r="BA156" i="27"/>
  <c r="BA113" i="27" s="1"/>
  <c r="BA352" i="27" s="1"/>
  <c r="DY156" i="27"/>
  <c r="DY113" i="27" s="1"/>
  <c r="DY352" i="27" s="1"/>
  <c r="GD156" i="27"/>
  <c r="GD113" i="27" s="1"/>
  <c r="GD352" i="27" s="1"/>
  <c r="BG156" i="27"/>
  <c r="BG113" i="27" s="1"/>
  <c r="BG352" i="27" s="1"/>
  <c r="FQ156" i="27"/>
  <c r="FQ113" i="27" s="1"/>
  <c r="FQ352" i="27" s="1"/>
  <c r="CB156" i="27"/>
  <c r="CB113" i="27" s="1"/>
  <c r="CB352" i="27" s="1"/>
  <c r="K156" i="27"/>
  <c r="K113" i="27" s="1"/>
  <c r="K352" i="27" s="1"/>
  <c r="AN156" i="27"/>
  <c r="AN113" i="27" s="1"/>
  <c r="AN352" i="27" s="1"/>
  <c r="W156" i="27"/>
  <c r="W113" i="27" s="1"/>
  <c r="W352" i="27" s="1"/>
  <c r="M156" i="27"/>
  <c r="M113" i="27" s="1"/>
  <c r="M352" i="27" s="1"/>
  <c r="EN156" i="27"/>
  <c r="EN113" i="27" s="1"/>
  <c r="EN352" i="27" s="1"/>
  <c r="CX156" i="27"/>
  <c r="CX113" i="27" s="1"/>
  <c r="CX352" i="27" s="1"/>
  <c r="GX156" i="27"/>
  <c r="GX113" i="27" s="1"/>
  <c r="GX352" i="27" s="1"/>
  <c r="AJ156" i="27"/>
  <c r="AJ113" i="27" s="1"/>
  <c r="AJ352" i="27" s="1"/>
  <c r="FK156" i="27"/>
  <c r="FK113" i="27" s="1"/>
  <c r="FK352" i="27" s="1"/>
  <c r="FC156" i="27"/>
  <c r="FC113" i="27" s="1"/>
  <c r="FC352" i="27" s="1"/>
  <c r="J156" i="27"/>
  <c r="J113" i="27" s="1"/>
  <c r="J352" i="27" s="1"/>
  <c r="DO156" i="27"/>
  <c r="DO113" i="27" s="1"/>
  <c r="DO352" i="27" s="1"/>
  <c r="FR156" i="27"/>
  <c r="FR113" i="27" s="1"/>
  <c r="FR352" i="27" s="1"/>
  <c r="BK156" i="27"/>
  <c r="BK113" i="27" s="1"/>
  <c r="BK352" i="27" s="1"/>
  <c r="DQ156" i="27"/>
  <c r="DQ113" i="27" s="1"/>
  <c r="DQ352" i="27" s="1"/>
  <c r="DE156" i="27"/>
  <c r="DE113" i="27" s="1"/>
  <c r="DE352" i="27" s="1"/>
  <c r="EP156" i="27"/>
  <c r="EP113" i="27" s="1"/>
  <c r="EP352" i="27" s="1"/>
  <c r="HY156" i="27"/>
  <c r="HY113" i="27" s="1"/>
  <c r="HY352" i="27" s="1"/>
  <c r="DP156" i="27"/>
  <c r="DP113" i="27" s="1"/>
  <c r="DP352" i="27" s="1"/>
  <c r="DK156" i="27"/>
  <c r="DK113" i="27" s="1"/>
  <c r="DK352" i="27" s="1"/>
  <c r="FP156" i="27"/>
  <c r="FP113" i="27" s="1"/>
  <c r="FP352" i="27" s="1"/>
  <c r="DS156" i="27"/>
  <c r="DS113" i="27" s="1"/>
  <c r="DS352" i="27" s="1"/>
  <c r="FN156" i="27"/>
  <c r="FN113" i="27" s="1"/>
  <c r="FN352" i="27" s="1"/>
  <c r="DC156" i="27"/>
  <c r="DC113" i="27" s="1"/>
  <c r="DC352" i="27" s="1"/>
  <c r="DJ156" i="27"/>
  <c r="DJ113" i="27" s="1"/>
  <c r="DJ352" i="27" s="1"/>
  <c r="AY156" i="27"/>
  <c r="AY113" i="27" s="1"/>
  <c r="AY352" i="27" s="1"/>
  <c r="CZ156" i="27"/>
  <c r="CZ113" i="27" s="1"/>
  <c r="CZ352" i="27" s="1"/>
  <c r="GJ156" i="27"/>
  <c r="GJ113" i="27" s="1"/>
  <c r="GJ352" i="27" s="1"/>
  <c r="ED156" i="27"/>
  <c r="ED113" i="27" s="1"/>
  <c r="ED352" i="27" s="1"/>
  <c r="GB156" i="27"/>
  <c r="GB113" i="27" s="1"/>
  <c r="GB352" i="27" s="1"/>
  <c r="Y156" i="27"/>
  <c r="Y113" i="27" s="1"/>
  <c r="Y352" i="27" s="1"/>
  <c r="GY156" i="27"/>
  <c r="GY113" i="27" s="1"/>
  <c r="GY352" i="27" s="1"/>
  <c r="FT156" i="27"/>
  <c r="FT113" i="27" s="1"/>
  <c r="FT352" i="27" s="1"/>
  <c r="FA156" i="27"/>
  <c r="FA113" i="27" s="1"/>
  <c r="FA352" i="27" s="1"/>
  <c r="CW156" i="27"/>
  <c r="CW113" i="27" s="1"/>
  <c r="CW352" i="27" s="1"/>
  <c r="V156" i="27"/>
  <c r="V113" i="27" s="1"/>
  <c r="V352" i="27" s="1"/>
  <c r="FG156" i="27"/>
  <c r="FG113" i="27" s="1"/>
  <c r="FG352" i="27" s="1"/>
  <c r="EY156" i="27"/>
  <c r="EY113" i="27" s="1"/>
  <c r="EY352" i="27" s="1"/>
  <c r="DA156" i="27"/>
  <c r="DA113" i="27" s="1"/>
  <c r="DA352" i="27" s="1"/>
  <c r="EU156" i="27"/>
  <c r="EU113" i="27" s="1"/>
  <c r="EU352" i="27" s="1"/>
  <c r="HO156" i="27"/>
  <c r="HO113" i="27" s="1"/>
  <c r="HO352" i="27" s="1"/>
  <c r="BF156" i="27"/>
  <c r="BF113" i="27" s="1"/>
  <c r="BF352" i="27" s="1"/>
  <c r="BD156" i="27"/>
  <c r="BD113" i="27" s="1"/>
  <c r="BD352" i="27" s="1"/>
  <c r="GE156" i="27"/>
  <c r="GE113" i="27" s="1"/>
  <c r="GE352" i="27" s="1"/>
  <c r="FJ156" i="27"/>
  <c r="FJ113" i="27" s="1"/>
  <c r="FJ352" i="27" s="1"/>
  <c r="ID156" i="27"/>
  <c r="ID113" i="27" s="1"/>
  <c r="ID352" i="27" s="1"/>
  <c r="AM156" i="27"/>
  <c r="AM113" i="27" s="1"/>
  <c r="AM352" i="27" s="1"/>
  <c r="EL156" i="27"/>
  <c r="EL113" i="27" s="1"/>
  <c r="EL352" i="27" s="1"/>
  <c r="DX156" i="27"/>
  <c r="DX113" i="27" s="1"/>
  <c r="DX352" i="27" s="1"/>
  <c r="DF156" i="27"/>
  <c r="DF113" i="27" s="1"/>
  <c r="DF352" i="27" s="1"/>
  <c r="GW156" i="27"/>
  <c r="GW113" i="27" s="1"/>
  <c r="GW352" i="27" s="1"/>
  <c r="CT156" i="27"/>
  <c r="CT113" i="27" s="1"/>
  <c r="CT352" i="27" s="1"/>
  <c r="CU156" i="27"/>
  <c r="CU113" i="27" s="1"/>
  <c r="CU352" i="27" s="1"/>
  <c r="AK156" i="27"/>
  <c r="AK113" i="27" s="1"/>
  <c r="AK352" i="27" s="1"/>
  <c r="CM156" i="27"/>
  <c r="CM113" i="27" s="1"/>
  <c r="CM352" i="27" s="1"/>
  <c r="HZ156" i="27"/>
  <c r="HZ113" i="27" s="1"/>
  <c r="HZ352" i="27" s="1"/>
  <c r="CJ156" i="27"/>
  <c r="CJ113" i="27" s="1"/>
  <c r="CJ352" i="27" s="1"/>
  <c r="ER156" i="27"/>
  <c r="ER113" i="27" s="1"/>
  <c r="ER352" i="27" s="1"/>
  <c r="BM156" i="27"/>
  <c r="BM113" i="27" s="1"/>
  <c r="BM352" i="27" s="1"/>
  <c r="CE156" i="27"/>
  <c r="CE113" i="27" s="1"/>
  <c r="CE352" i="27" s="1"/>
  <c r="AV156" i="27"/>
  <c r="AV113" i="27" s="1"/>
  <c r="AV352" i="27" s="1"/>
  <c r="HS156" i="27"/>
  <c r="HS113" i="27" s="1"/>
  <c r="HS352" i="27" s="1"/>
  <c r="GM156" i="27"/>
  <c r="GM113" i="27" s="1"/>
  <c r="GM352" i="27" s="1"/>
  <c r="GZ156" i="27"/>
  <c r="GZ113" i="27" s="1"/>
  <c r="GZ352" i="27" s="1"/>
  <c r="CL156" i="27"/>
  <c r="CL113" i="27" s="1"/>
  <c r="CL352" i="27" s="1"/>
  <c r="DU156" i="27"/>
  <c r="DU113" i="27" s="1"/>
  <c r="DU352" i="27" s="1"/>
  <c r="BY156" i="27"/>
  <c r="BY113" i="27" s="1"/>
  <c r="BY352" i="27" s="1"/>
  <c r="H156" i="27"/>
  <c r="H113" i="27" s="1"/>
  <c r="H352" i="27" s="1"/>
  <c r="O156" i="27"/>
  <c r="O113" i="27" s="1"/>
  <c r="O352" i="27" s="1"/>
  <c r="HK156" i="27"/>
  <c r="HK113" i="27" s="1"/>
  <c r="HK352" i="27" s="1"/>
  <c r="N156" i="27"/>
  <c r="N113" i="27" s="1"/>
  <c r="N352" i="27" s="1"/>
  <c r="IK156" i="27"/>
  <c r="IK113" i="27" s="1"/>
  <c r="IK352" i="27" s="1"/>
  <c r="II156" i="27"/>
  <c r="II113" i="27" s="1"/>
  <c r="II352" i="27" s="1"/>
  <c r="BO156" i="27"/>
  <c r="BO113" i="27" s="1"/>
  <c r="BO352" i="27" s="1"/>
  <c r="EG156" i="27"/>
  <c r="EG113" i="27" s="1"/>
  <c r="EG352" i="27" s="1"/>
  <c r="EJ156" i="27"/>
  <c r="EJ113" i="27" s="1"/>
  <c r="EJ352" i="27" s="1"/>
  <c r="Z156" i="27"/>
  <c r="Z113" i="27" s="1"/>
  <c r="Z352" i="27" s="1"/>
  <c r="DR156" i="27"/>
  <c r="DR113" i="27" s="1"/>
  <c r="DR352" i="27" s="1"/>
  <c r="EK156" i="27"/>
  <c r="EK113" i="27" s="1"/>
  <c r="EK352" i="27" s="1"/>
  <c r="BJ156" i="27"/>
  <c r="BJ113" i="27" s="1"/>
  <c r="BJ352" i="27" s="1"/>
  <c r="GR156" i="27"/>
  <c r="GR113" i="27" s="1"/>
  <c r="GR352" i="27" s="1"/>
  <c r="BU156" i="27"/>
  <c r="BU113" i="27" s="1"/>
  <c r="BU352" i="27" s="1"/>
  <c r="EB156" i="27"/>
  <c r="EB113" i="27" s="1"/>
  <c r="EB352" i="27" s="1"/>
  <c r="DW156" i="27"/>
  <c r="DW113" i="27" s="1"/>
  <c r="DW352" i="27" s="1"/>
  <c r="AZ156" i="27"/>
  <c r="AZ113" i="27" s="1"/>
  <c r="AZ352" i="27" s="1"/>
  <c r="GG156" i="27"/>
  <c r="GG113" i="27" s="1"/>
  <c r="GG352" i="27" s="1"/>
  <c r="AR156" i="27"/>
  <c r="AR113" i="27" s="1"/>
  <c r="AR352" i="27" s="1"/>
  <c r="DL156" i="27"/>
  <c r="DL113" i="27" s="1"/>
  <c r="DL352" i="27" s="1"/>
  <c r="CA156" i="27"/>
  <c r="CA113" i="27" s="1"/>
  <c r="CA352" i="27" s="1"/>
  <c r="HN156" i="27"/>
  <c r="HN113" i="27" s="1"/>
  <c r="HN352" i="27" s="1"/>
  <c r="EW156" i="27"/>
  <c r="EW113" i="27" s="1"/>
  <c r="EW352" i="27" s="1"/>
  <c r="EF156" i="27"/>
  <c r="EF113" i="27" s="1"/>
  <c r="EF352" i="27" s="1"/>
  <c r="HW156" i="27"/>
  <c r="HW113" i="27" s="1"/>
  <c r="HW352" i="27" s="1"/>
  <c r="EC156" i="27"/>
  <c r="EC113" i="27" s="1"/>
  <c r="EC352" i="27" s="1"/>
  <c r="FW156" i="27"/>
  <c r="FW113" i="27" s="1"/>
  <c r="FW352" i="27" s="1"/>
  <c r="GF156" i="27"/>
  <c r="GF113" i="27" s="1"/>
  <c r="GF352" i="27" s="1"/>
  <c r="DV156" i="27"/>
  <c r="DV113" i="27" s="1"/>
  <c r="DV352" i="27" s="1"/>
  <c r="CO156" i="27"/>
  <c r="CO113" i="27" s="1"/>
  <c r="CO352" i="27" s="1"/>
  <c r="FX156" i="27"/>
  <c r="FX113" i="27" s="1"/>
  <c r="FX352" i="27" s="1"/>
  <c r="BW156" i="27"/>
  <c r="BW113" i="27" s="1"/>
  <c r="BW352" i="27" s="1"/>
  <c r="BR156" i="27"/>
  <c r="BR113" i="27" s="1"/>
  <c r="BR352" i="27" s="1"/>
  <c r="ET156" i="27"/>
  <c r="ET113" i="27" s="1"/>
  <c r="ET352" i="27" s="1"/>
  <c r="FD156" i="27"/>
  <c r="FD113" i="27" s="1"/>
  <c r="FD352" i="27" s="1"/>
  <c r="Q156" i="27"/>
  <c r="Q113" i="27" s="1"/>
  <c r="Q352" i="27" s="1"/>
  <c r="CG156" i="27"/>
  <c r="CG113" i="27" s="1"/>
  <c r="CG352" i="27" s="1"/>
  <c r="BH156" i="27"/>
  <c r="BH113" i="27" s="1"/>
  <c r="BH352" i="27" s="1"/>
  <c r="BV156" i="27"/>
  <c r="BV113" i="27" s="1"/>
  <c r="BV352" i="27" s="1"/>
  <c r="AF156" i="27"/>
  <c r="AF113" i="27" s="1"/>
  <c r="AF352" i="27" s="1"/>
  <c r="FU156" i="27"/>
  <c r="FU113" i="27" s="1"/>
  <c r="FU352" i="27" s="1"/>
  <c r="EH156" i="27"/>
  <c r="EH113" i="27" s="1"/>
  <c r="EH352" i="27" s="1"/>
  <c r="EZ156" i="27"/>
  <c r="EZ113" i="27" s="1"/>
  <c r="EZ352" i="27" s="1"/>
  <c r="GO156" i="27"/>
  <c r="GO113" i="27" s="1"/>
  <c r="GO352" i="27" s="1"/>
  <c r="FY156" i="27"/>
  <c r="FY113" i="27" s="1"/>
  <c r="FY352" i="27" s="1"/>
  <c r="EI156" i="27"/>
  <c r="EI113" i="27" s="1"/>
  <c r="EI352" i="27" s="1"/>
  <c r="HR156" i="27"/>
  <c r="HR113" i="27" s="1"/>
  <c r="HR352" i="27" s="1"/>
  <c r="HB156" i="27"/>
  <c r="HB113" i="27" s="1"/>
  <c r="HB352" i="27" s="1"/>
  <c r="HQ156" i="27"/>
  <c r="HQ113" i="27" s="1"/>
  <c r="HQ352" i="27" s="1"/>
  <c r="BQ156" i="27"/>
  <c r="BQ113" i="27" s="1"/>
  <c r="BQ352" i="27" s="1"/>
  <c r="E348" i="27"/>
  <c r="D246" i="27" l="1"/>
  <c r="E198" i="27" s="1"/>
  <c r="D325" i="27"/>
  <c r="FE78" i="26"/>
  <c r="CB100" i="26"/>
  <c r="CD100" i="26" s="1"/>
  <c r="DS78" i="26"/>
  <c r="Q141" i="26"/>
  <c r="R141" i="26" s="1"/>
  <c r="CC100" i="26" s="1"/>
  <c r="CG78" i="26"/>
  <c r="CI100" i="26"/>
  <c r="CU100" i="26" s="1"/>
  <c r="Y142" i="26"/>
  <c r="AB142" i="26" s="1"/>
  <c r="AD142" i="26" s="1"/>
  <c r="CZ78" i="26"/>
  <c r="C123" i="27"/>
  <c r="E172" i="27"/>
  <c r="E170" i="27"/>
  <c r="E173" i="27" s="1"/>
  <c r="D89" i="27"/>
  <c r="E32" i="27" s="1"/>
  <c r="E86" i="27"/>
  <c r="E89" i="27" s="1"/>
  <c r="EM355" i="27"/>
  <c r="GY355" i="27"/>
  <c r="R355" i="27"/>
  <c r="BK355" i="27"/>
  <c r="GA355" i="27"/>
  <c r="CK355" i="27"/>
  <c r="FJ355" i="27"/>
  <c r="CG355" i="27"/>
  <c r="HE355" i="27"/>
  <c r="IF355" i="27"/>
  <c r="IG355" i="27"/>
  <c r="EG355" i="27"/>
  <c r="AG355" i="27"/>
  <c r="HY355" i="27"/>
  <c r="AC355" i="27"/>
  <c r="AV355" i="27"/>
  <c r="X355" i="27"/>
  <c r="FW355" i="27"/>
  <c r="IJ355" i="27"/>
  <c r="GH355" i="27"/>
  <c r="FP355" i="27"/>
  <c r="CC355" i="27"/>
  <c r="EO355" i="27"/>
  <c r="CN355" i="27"/>
  <c r="AI355" i="27"/>
  <c r="BF355" i="27"/>
  <c r="AS355" i="27"/>
  <c r="DD355" i="27"/>
  <c r="EU355" i="27"/>
  <c r="GS355" i="27"/>
  <c r="BD355" i="27"/>
  <c r="DV357" i="27"/>
  <c r="IF357" i="27"/>
  <c r="GC357" i="27"/>
  <c r="GT357" i="27"/>
  <c r="GZ357" i="27"/>
  <c r="BS357" i="27"/>
  <c r="HQ357" i="27"/>
  <c r="DW357" i="27"/>
  <c r="GL357" i="27"/>
  <c r="BT357" i="27"/>
  <c r="EN357" i="27"/>
  <c r="IE357" i="27"/>
  <c r="GV357" i="27"/>
  <c r="S357" i="27"/>
  <c r="ET357" i="27"/>
  <c r="DF357" i="27"/>
  <c r="AH357" i="27"/>
  <c r="FS357" i="27"/>
  <c r="CZ357" i="27"/>
  <c r="EF357" i="27"/>
  <c r="CN357" i="27"/>
  <c r="L357" i="27"/>
  <c r="AE357" i="27"/>
  <c r="HL357" i="27"/>
  <c r="EV357" i="27"/>
  <c r="FN357" i="27"/>
  <c r="EZ357" i="27"/>
  <c r="N355" i="27"/>
  <c r="EJ355" i="27"/>
  <c r="U355" i="27"/>
  <c r="DT355" i="27"/>
  <c r="BC355" i="27"/>
  <c r="AN355" i="27"/>
  <c r="K355" i="27"/>
  <c r="FG355" i="27"/>
  <c r="BH355" i="27"/>
  <c r="GM355" i="27"/>
  <c r="HV355" i="27"/>
  <c r="EZ355" i="27"/>
  <c r="J355" i="27"/>
  <c r="DP355" i="27"/>
  <c r="FS355" i="27"/>
  <c r="GX355" i="27"/>
  <c r="FC355" i="27"/>
  <c r="AR355" i="27"/>
  <c r="HZ355" i="27"/>
  <c r="GB355" i="27"/>
  <c r="HC355" i="27"/>
  <c r="HG355" i="27"/>
  <c r="L355" i="27"/>
  <c r="S355" i="27"/>
  <c r="AQ355" i="27"/>
  <c r="BL355" i="27"/>
  <c r="BA355" i="27"/>
  <c r="DZ355" i="27"/>
  <c r="CQ355" i="27"/>
  <c r="FH355" i="27"/>
  <c r="BI355" i="27"/>
  <c r="CC357" i="27"/>
  <c r="CY357" i="27"/>
  <c r="HK357" i="27"/>
  <c r="GM357" i="27"/>
  <c r="BR357" i="27"/>
  <c r="EG357" i="27"/>
  <c r="CH357" i="27"/>
  <c r="DE357" i="27"/>
  <c r="DX357" i="27"/>
  <c r="W357" i="27"/>
  <c r="EY357" i="27"/>
  <c r="FG357" i="27"/>
  <c r="CV357" i="27"/>
  <c r="GF357" i="27"/>
  <c r="GA357" i="27"/>
  <c r="EM357" i="27"/>
  <c r="I357" i="27"/>
  <c r="EP357" i="27"/>
  <c r="BU357" i="27"/>
  <c r="AB357" i="27"/>
  <c r="FX357" i="27"/>
  <c r="HD357" i="27"/>
  <c r="GO357" i="27"/>
  <c r="AR357" i="27"/>
  <c r="II357" i="27"/>
  <c r="GI357" i="27"/>
  <c r="DB357" i="27"/>
  <c r="GW357" i="27"/>
  <c r="FO357" i="27"/>
  <c r="HZ357" i="27"/>
  <c r="FK357" i="27"/>
  <c r="DS357" i="27"/>
  <c r="FI357" i="27"/>
  <c r="GY357" i="27"/>
  <c r="ID357" i="27"/>
  <c r="FR357" i="27"/>
  <c r="DR355" i="27"/>
  <c r="DW355" i="27"/>
  <c r="FD355" i="27"/>
  <c r="FI355" i="27"/>
  <c r="DJ355" i="27"/>
  <c r="ED355" i="27"/>
  <c r="IB355" i="27"/>
  <c r="HH355" i="27"/>
  <c r="GT355" i="27"/>
  <c r="W355" i="27"/>
  <c r="P355" i="27"/>
  <c r="ER355" i="27"/>
  <c r="DS355" i="27"/>
  <c r="GP355" i="27"/>
  <c r="EC355" i="27"/>
  <c r="EL355" i="27"/>
  <c r="EA355" i="27"/>
  <c r="BX355" i="27"/>
  <c r="DE355" i="27"/>
  <c r="CR355" i="27"/>
  <c r="BN355" i="27"/>
  <c r="GJ355" i="27"/>
  <c r="GE355" i="27"/>
  <c r="GV355" i="27"/>
  <c r="DK355" i="27"/>
  <c r="AF355" i="27"/>
  <c r="HM355" i="27"/>
  <c r="EK355" i="27"/>
  <c r="DQ355" i="27"/>
  <c r="HP357" i="27"/>
  <c r="BY357" i="27"/>
  <c r="HI357" i="27"/>
  <c r="CQ357" i="27"/>
  <c r="FD357" i="27"/>
  <c r="BE357" i="27"/>
  <c r="BW357" i="27"/>
  <c r="HN357" i="27"/>
  <c r="IC357" i="27"/>
  <c r="GG357" i="27"/>
  <c r="HH357" i="27"/>
  <c r="DA357" i="27"/>
  <c r="FM357" i="27"/>
  <c r="AC357" i="27"/>
  <c r="M357" i="27"/>
  <c r="BA357" i="27"/>
  <c r="BB357" i="27"/>
  <c r="EH357" i="27"/>
  <c r="GD357" i="27"/>
  <c r="AY357" i="27"/>
  <c r="BZ357" i="27"/>
  <c r="AI357" i="27"/>
  <c r="IB357" i="27"/>
  <c r="AP357" i="27"/>
  <c r="HM357" i="27"/>
  <c r="CA357" i="27"/>
  <c r="AK357" i="27"/>
  <c r="AM357" i="27"/>
  <c r="HJ357" i="27"/>
  <c r="EL357" i="27"/>
  <c r="EW357" i="27"/>
  <c r="DJ357" i="27"/>
  <c r="BM357" i="27"/>
  <c r="EC357" i="27"/>
  <c r="HY357" i="27"/>
  <c r="GR355" i="27"/>
  <c r="DO355" i="27"/>
  <c r="GG355" i="27"/>
  <c r="CF355" i="27"/>
  <c r="FY355" i="27"/>
  <c r="AU355" i="27"/>
  <c r="AM355" i="27"/>
  <c r="Z355" i="27"/>
  <c r="GU355" i="27"/>
  <c r="CE355" i="27"/>
  <c r="M355" i="27"/>
  <c r="EQ355" i="27"/>
  <c r="ES355" i="27"/>
  <c r="CY355" i="27"/>
  <c r="HS355" i="27"/>
  <c r="Y355" i="27"/>
  <c r="CS355" i="27"/>
  <c r="EX355" i="27"/>
  <c r="FZ355" i="27"/>
  <c r="DI355" i="27"/>
  <c r="DL355" i="27"/>
  <c r="EY355" i="27"/>
  <c r="CO355" i="27"/>
  <c r="DC355" i="27"/>
  <c r="II355" i="27"/>
  <c r="ET355" i="27"/>
  <c r="AY355" i="27"/>
  <c r="GF355" i="27"/>
  <c r="GK355" i="27"/>
  <c r="N357" i="27"/>
  <c r="HA357" i="27"/>
  <c r="EQ357" i="27"/>
  <c r="DH357" i="27"/>
  <c r="HB357" i="27"/>
  <c r="DN357" i="27"/>
  <c r="HX357" i="27"/>
  <c r="AT357" i="27"/>
  <c r="GP357" i="27"/>
  <c r="EK357" i="27"/>
  <c r="CR357" i="27"/>
  <c r="FY357" i="27"/>
  <c r="GJ357" i="27"/>
  <c r="BK357" i="27"/>
  <c r="FQ357" i="27"/>
  <c r="DG357" i="27"/>
  <c r="T357" i="27"/>
  <c r="AX357" i="27"/>
  <c r="DT357" i="27"/>
  <c r="FA357" i="27"/>
  <c r="BN357" i="27"/>
  <c r="BF357" i="27"/>
  <c r="BJ357" i="27"/>
  <c r="CI357" i="27"/>
  <c r="BQ357" i="27"/>
  <c r="EB357" i="27"/>
  <c r="AL355" i="27"/>
  <c r="BV355" i="27"/>
  <c r="AO355" i="27"/>
  <c r="DV355" i="27"/>
  <c r="FQ355" i="27"/>
  <c r="EW355" i="27"/>
  <c r="HI355" i="27"/>
  <c r="BZ355" i="27"/>
  <c r="FB355" i="27"/>
  <c r="CX355" i="27"/>
  <c r="AJ355" i="27"/>
  <c r="H355" i="27"/>
  <c r="BS355" i="27"/>
  <c r="V355" i="27"/>
  <c r="CU355" i="27"/>
  <c r="BW355" i="27"/>
  <c r="FM355" i="27"/>
  <c r="IH355" i="27"/>
  <c r="FN355" i="27"/>
  <c r="HQ355" i="27"/>
  <c r="GD355" i="27"/>
  <c r="CM355" i="27"/>
  <c r="CT355" i="27"/>
  <c r="BU355" i="27"/>
  <c r="EI355" i="27"/>
  <c r="O355" i="27"/>
  <c r="DH355" i="27"/>
  <c r="BR355" i="27"/>
  <c r="AZ355" i="27"/>
  <c r="DL357" i="27"/>
  <c r="EU357" i="27"/>
  <c r="IG357" i="27"/>
  <c r="FB357" i="27"/>
  <c r="H357" i="27"/>
  <c r="ES357" i="27"/>
  <c r="R357" i="27"/>
  <c r="GU357" i="27"/>
  <c r="AV357" i="27"/>
  <c r="EX357" i="27"/>
  <c r="IA357" i="27"/>
  <c r="AN357" i="27"/>
  <c r="HV357" i="27"/>
  <c r="DP357" i="27"/>
  <c r="AJ357" i="27"/>
  <c r="BD357" i="27"/>
  <c r="ED357" i="27"/>
  <c r="GX357" i="27"/>
  <c r="CP357" i="27"/>
  <c r="CG357" i="27"/>
  <c r="Z357" i="27"/>
  <c r="FC357" i="27"/>
  <c r="DR357" i="27"/>
  <c r="DO357" i="27"/>
  <c r="FH357" i="27"/>
  <c r="CO357" i="27"/>
  <c r="GW355" i="27"/>
  <c r="T355" i="27"/>
  <c r="FR355" i="27"/>
  <c r="HX355" i="27"/>
  <c r="GQ355" i="27"/>
  <c r="GN355" i="27"/>
  <c r="BE355" i="27"/>
  <c r="CA355" i="27"/>
  <c r="FT355" i="27"/>
  <c r="AX355" i="27"/>
  <c r="FA355" i="27"/>
  <c r="FX355" i="27"/>
  <c r="IE355" i="27"/>
  <c r="HO355" i="27"/>
  <c r="HU355" i="27"/>
  <c r="FE355" i="27"/>
  <c r="I355" i="27"/>
  <c r="BG355" i="27"/>
  <c r="BM355" i="27"/>
  <c r="DY355" i="27"/>
  <c r="GZ355" i="27"/>
  <c r="EF355" i="27"/>
  <c r="HW355" i="27"/>
  <c r="EE355" i="27"/>
  <c r="CD355" i="27"/>
  <c r="BO355" i="27"/>
  <c r="Q355" i="27"/>
  <c r="EH355" i="27"/>
  <c r="HB355" i="27"/>
  <c r="DG355" i="27"/>
  <c r="DF355" i="27"/>
  <c r="BV357" i="27"/>
  <c r="BG357" i="27"/>
  <c r="AF357" i="27"/>
  <c r="FZ357" i="27"/>
  <c r="FF357" i="27"/>
  <c r="DU357" i="27"/>
  <c r="Y357" i="27"/>
  <c r="CL357" i="27"/>
  <c r="GQ357" i="27"/>
  <c r="EI357" i="27"/>
  <c r="CJ357" i="27"/>
  <c r="GN357" i="27"/>
  <c r="BI357" i="27"/>
  <c r="IK357" i="27"/>
  <c r="Q357" i="27"/>
  <c r="HO357" i="27"/>
  <c r="GS357" i="27"/>
  <c r="DC357" i="27"/>
  <c r="HG357" i="27"/>
  <c r="ER357" i="27"/>
  <c r="BC357" i="27"/>
  <c r="CU357" i="27"/>
  <c r="HW357" i="27"/>
  <c r="AW357" i="27"/>
  <c r="DK357" i="27"/>
  <c r="DD357" i="27"/>
  <c r="CK357" i="27"/>
  <c r="GB357" i="27"/>
  <c r="GK357" i="27"/>
  <c r="AO357" i="27"/>
  <c r="AG357" i="27"/>
  <c r="AQ357" i="27"/>
  <c r="BP357" i="27"/>
  <c r="IJ357" i="27"/>
  <c r="GH357" i="27"/>
  <c r="BH357" i="27"/>
  <c r="CB355" i="27"/>
  <c r="HD355" i="27"/>
  <c r="HR355" i="27"/>
  <c r="IC355" i="27"/>
  <c r="CV355" i="27"/>
  <c r="FV355" i="27"/>
  <c r="DB355" i="27"/>
  <c r="FU355" i="27"/>
  <c r="BY355" i="27"/>
  <c r="GC355" i="27"/>
  <c r="BT355" i="27"/>
  <c r="CL355" i="27"/>
  <c r="HF355" i="27"/>
  <c r="IK355" i="27"/>
  <c r="HJ355" i="27"/>
  <c r="AE355" i="27"/>
  <c r="AK355" i="27"/>
  <c r="FF355" i="27"/>
  <c r="IA355" i="27"/>
  <c r="AT355" i="27"/>
  <c r="DM355" i="27"/>
  <c r="CW355" i="27"/>
  <c r="FK355" i="27"/>
  <c r="AA355" i="27"/>
  <c r="CP355" i="27"/>
  <c r="BQ355" i="27"/>
  <c r="EV355" i="27"/>
  <c r="HL355" i="27"/>
  <c r="AB355" i="27"/>
  <c r="HT355" i="27"/>
  <c r="EE357" i="27"/>
  <c r="CS357" i="27"/>
  <c r="FW357" i="27"/>
  <c r="DQ357" i="27"/>
  <c r="FJ357" i="27"/>
  <c r="BX357" i="27"/>
  <c r="FV357" i="27"/>
  <c r="CD357" i="27"/>
  <c r="AD357" i="27"/>
  <c r="HS357" i="27"/>
  <c r="HR357" i="27"/>
  <c r="EA357" i="27"/>
  <c r="X357" i="27"/>
  <c r="FT357" i="27"/>
  <c r="CM357" i="27"/>
  <c r="P357" i="27"/>
  <c r="DI357" i="27"/>
  <c r="CB357" i="27"/>
  <c r="FL357" i="27"/>
  <c r="O357" i="27"/>
  <c r="FE357" i="27"/>
  <c r="HT357" i="27"/>
  <c r="BO357" i="27"/>
  <c r="IH357" i="27"/>
  <c r="V357" i="27"/>
  <c r="AU357" i="27"/>
  <c r="ID355" i="27"/>
  <c r="GI355" i="27"/>
  <c r="DN355" i="27"/>
  <c r="HA355" i="27"/>
  <c r="AW355" i="27"/>
  <c r="BP355" i="27"/>
  <c r="HK355" i="27"/>
  <c r="FO355" i="27"/>
  <c r="AP355" i="27"/>
  <c r="EB355" i="27"/>
  <c r="GL355" i="27"/>
  <c r="CZ355" i="27"/>
  <c r="AD355" i="27"/>
  <c r="AH355" i="27"/>
  <c r="EN355" i="27"/>
  <c r="HP355" i="27"/>
  <c r="EP355" i="27"/>
  <c r="BJ355" i="27"/>
  <c r="FL355" i="27"/>
  <c r="CH355" i="27"/>
  <c r="DA355" i="27"/>
  <c r="HN355" i="27"/>
  <c r="CJ355" i="27"/>
  <c r="DU355" i="27"/>
  <c r="GO355" i="27"/>
  <c r="BB355" i="27"/>
  <c r="CI355" i="27"/>
  <c r="DX355" i="27"/>
  <c r="CF357" i="27"/>
  <c r="GR357" i="27"/>
  <c r="AL357" i="27"/>
  <c r="DM357" i="27"/>
  <c r="EO357" i="27"/>
  <c r="DY357" i="27"/>
  <c r="CT357" i="27"/>
  <c r="CW357" i="27"/>
  <c r="BL357" i="27"/>
  <c r="AA357" i="27"/>
  <c r="AS357" i="27"/>
  <c r="FU357" i="27"/>
  <c r="K357" i="27"/>
  <c r="HC357" i="27"/>
  <c r="J357" i="27"/>
  <c r="FP357" i="27"/>
  <c r="CE357" i="27"/>
  <c r="CX357" i="27"/>
  <c r="GE357" i="27"/>
  <c r="HF357" i="27"/>
  <c r="U357" i="27"/>
  <c r="DZ357" i="27"/>
  <c r="HU357" i="27"/>
  <c r="AZ357" i="27"/>
  <c r="HE357" i="27"/>
  <c r="EJ357" i="27"/>
  <c r="E245" i="27"/>
  <c r="E243" i="27"/>
  <c r="E246" i="27" s="1"/>
  <c r="G254" i="27" l="1"/>
  <c r="G255" i="27" s="1"/>
  <c r="D252" i="27" s="1"/>
  <c r="D254" i="27" s="1"/>
  <c r="D257" i="27" s="1"/>
  <c r="E200" i="27" s="1"/>
  <c r="E190" i="27" s="1"/>
  <c r="D329" i="27"/>
  <c r="E281" i="27" s="1"/>
  <c r="D327" i="27"/>
  <c r="D330" i="27" s="1"/>
  <c r="E325" i="27"/>
  <c r="CK117" i="26"/>
  <c r="CK138" i="26" s="1"/>
  <c r="C149" i="25" s="1"/>
  <c r="B149" i="25" s="1"/>
  <c r="A149" i="25" s="1"/>
  <c r="W143" i="26"/>
  <c r="O143" i="26" s="1"/>
  <c r="Z142" i="26"/>
  <c r="Q142" i="26"/>
  <c r="R142" i="26" s="1"/>
  <c r="CC101" i="26" s="1"/>
  <c r="CB101" i="26"/>
  <c r="CD101" i="26" s="1"/>
  <c r="CK100" i="26"/>
  <c r="GE349" i="27"/>
  <c r="E22" i="27"/>
  <c r="AY349" i="27"/>
  <c r="HM349" i="27"/>
  <c r="EM349" i="27"/>
  <c r="FE349" i="27"/>
  <c r="FH349" i="27"/>
  <c r="Y349" i="27"/>
  <c r="BJ349" i="27"/>
  <c r="EW349" i="27"/>
  <c r="DV349" i="27"/>
  <c r="AT349" i="27"/>
  <c r="EU349" i="27"/>
  <c r="AL349" i="27"/>
  <c r="BH349" i="27"/>
  <c r="AQ349" i="27"/>
  <c r="BZ349" i="27"/>
  <c r="EX349" i="27"/>
  <c r="DH349" i="27"/>
  <c r="U349" i="27"/>
  <c r="FD349" i="27"/>
  <c r="AB349" i="27"/>
  <c r="AA349" i="27"/>
  <c r="BB349" i="27"/>
  <c r="CU349" i="27"/>
  <c r="AP167" i="27"/>
  <c r="AP174" i="27" s="1"/>
  <c r="AP173" i="27" s="1"/>
  <c r="DG349" i="27"/>
  <c r="DO349" i="27"/>
  <c r="HG349" i="27"/>
  <c r="HB349" i="27"/>
  <c r="AC349" i="27"/>
  <c r="CZ349" i="27"/>
  <c r="CJ349" i="27"/>
  <c r="FO349" i="27"/>
  <c r="BP167" i="27"/>
  <c r="BN167" i="27"/>
  <c r="CF167" i="27"/>
  <c r="AH167" i="27"/>
  <c r="EN167" i="27"/>
  <c r="CK167" i="27"/>
  <c r="DF167" i="27"/>
  <c r="GT167" i="27"/>
  <c r="IC167" i="27"/>
  <c r="DL167" i="27"/>
  <c r="AI167" i="27"/>
  <c r="IF167" i="27"/>
  <c r="FE167" i="27"/>
  <c r="EU167" i="27"/>
  <c r="DR167" i="27"/>
  <c r="AU167" i="27"/>
  <c r="IA167" i="27"/>
  <c r="CG167" i="27"/>
  <c r="HC167" i="27"/>
  <c r="FP167" i="27"/>
  <c r="FI167" i="27"/>
  <c r="DC167" i="27"/>
  <c r="FS167" i="27"/>
  <c r="CS167" i="27"/>
  <c r="EW167" i="27"/>
  <c r="AV167" i="27"/>
  <c r="FV167" i="27"/>
  <c r="FO167" i="27"/>
  <c r="AM167" i="27"/>
  <c r="GR167" i="27"/>
  <c r="CL167" i="27"/>
  <c r="HK167" i="27"/>
  <c r="HB167" i="27"/>
  <c r="EO167" i="27"/>
  <c r="CT167" i="27"/>
  <c r="FX167" i="27"/>
  <c r="GA167" i="27"/>
  <c r="AN167" i="27"/>
  <c r="BH167" i="27"/>
  <c r="DK167" i="27"/>
  <c r="HF167" i="27"/>
  <c r="FD167" i="27"/>
  <c r="GZ167" i="27"/>
  <c r="EX167" i="27"/>
  <c r="CY167" i="27"/>
  <c r="BE167" i="27"/>
  <c r="DX167" i="27"/>
  <c r="DY167" i="27"/>
  <c r="IJ167" i="27"/>
  <c r="CW167" i="27"/>
  <c r="DU167" i="27"/>
  <c r="AD167" i="27"/>
  <c r="U167" i="27"/>
  <c r="BM167" i="27"/>
  <c r="ED167" i="27"/>
  <c r="X167" i="27"/>
  <c r="GH167" i="27"/>
  <c r="ET167" i="27"/>
  <c r="CX167" i="27"/>
  <c r="HW167" i="27"/>
  <c r="BZ167" i="27"/>
  <c r="GM167" i="27"/>
  <c r="EL167" i="27"/>
  <c r="DW167" i="27"/>
  <c r="AG167" i="27"/>
  <c r="AB167" i="27"/>
  <c r="FW167" i="27"/>
  <c r="AR167" i="27"/>
  <c r="BA167" i="27"/>
  <c r="DO167" i="27"/>
  <c r="IE167" i="27"/>
  <c r="AL167" i="27"/>
  <c r="DD167" i="27"/>
  <c r="BW167" i="27"/>
  <c r="EE167" i="27"/>
  <c r="BF167" i="27"/>
  <c r="AE167" i="27"/>
  <c r="BI167" i="27"/>
  <c r="FA167" i="27"/>
  <c r="HG167" i="27"/>
  <c r="HL167" i="27"/>
  <c r="CI167" i="27"/>
  <c r="BB167" i="27"/>
  <c r="HU167" i="27"/>
  <c r="GN167" i="27"/>
  <c r="BS167" i="27"/>
  <c r="AS167" i="27"/>
  <c r="FN167" i="27"/>
  <c r="EV167" i="27"/>
  <c r="EJ167" i="27"/>
  <c r="HO167" i="27"/>
  <c r="CP167" i="27"/>
  <c r="FK167" i="27"/>
  <c r="AA167" i="27"/>
  <c r="GG167" i="27"/>
  <c r="GE167" i="27"/>
  <c r="HJ167" i="27"/>
  <c r="FR167" i="27"/>
  <c r="DZ167" i="27"/>
  <c r="DG167" i="27"/>
  <c r="FJ167" i="27"/>
  <c r="HS167" i="27"/>
  <c r="DB167" i="27"/>
  <c r="BG167" i="27"/>
  <c r="BO167" i="27"/>
  <c r="DN167" i="27"/>
  <c r="O167" i="27"/>
  <c r="P167" i="27"/>
  <c r="GQ167" i="27"/>
  <c r="BL167" i="27"/>
  <c r="EK167" i="27"/>
  <c r="AY167" i="27"/>
  <c r="DI167" i="27"/>
  <c r="HV167" i="27"/>
  <c r="I167" i="27"/>
  <c r="ES167" i="27"/>
  <c r="DM167" i="27"/>
  <c r="GJ167" i="27"/>
  <c r="R167" i="27"/>
  <c r="GP167" i="27"/>
  <c r="HH167" i="27"/>
  <c r="N167" i="27"/>
  <c r="AF167" i="27"/>
  <c r="FG167" i="27"/>
  <c r="GI167" i="27"/>
  <c r="BD167" i="27"/>
  <c r="HM167" i="27"/>
  <c r="CR167" i="27"/>
  <c r="GF167" i="27"/>
  <c r="HD167" i="27"/>
  <c r="W167" i="27"/>
  <c r="EI167" i="27"/>
  <c r="HI167" i="27"/>
  <c r="Z167" i="27"/>
  <c r="K167" i="27"/>
  <c r="FL167" i="27"/>
  <c r="BV167" i="27"/>
  <c r="AW167" i="27"/>
  <c r="HZ167" i="27"/>
  <c r="AT167" i="27"/>
  <c r="CM167" i="27"/>
  <c r="HE167" i="27"/>
  <c r="ID167" i="27"/>
  <c r="GS167" i="27"/>
  <c r="Q167" i="27"/>
  <c r="AQ167" i="27"/>
  <c r="CJ167" i="27"/>
  <c r="GL167" i="27"/>
  <c r="IG167" i="27"/>
  <c r="BX167" i="27"/>
  <c r="DS167" i="27"/>
  <c r="ER167" i="27"/>
  <c r="GW167" i="27"/>
  <c r="HX167" i="27"/>
  <c r="CC167" i="27"/>
  <c r="GU167" i="27"/>
  <c r="HP167" i="27"/>
  <c r="BY167" i="27"/>
  <c r="CH167" i="27"/>
  <c r="IK167" i="27"/>
  <c r="FF167" i="27"/>
  <c r="DV167" i="27"/>
  <c r="BT167" i="27"/>
  <c r="BR167" i="27"/>
  <c r="FZ167" i="27"/>
  <c r="GO167" i="27"/>
  <c r="GC167" i="27"/>
  <c r="CV167" i="27"/>
  <c r="S167" i="27"/>
  <c r="GD167" i="27"/>
  <c r="HA167" i="27"/>
  <c r="CQ167" i="27"/>
  <c r="GY167" i="27"/>
  <c r="CO167" i="27"/>
  <c r="CD167" i="27"/>
  <c r="GB167" i="27"/>
  <c r="EP167" i="27"/>
  <c r="CZ167" i="27"/>
  <c r="EF167" i="27"/>
  <c r="FT167" i="27"/>
  <c r="FH167" i="27"/>
  <c r="HN167" i="27"/>
  <c r="HT167" i="27"/>
  <c r="DE167" i="27"/>
  <c r="AJ167" i="27"/>
  <c r="Y167" i="27"/>
  <c r="BQ167" i="27"/>
  <c r="EZ167" i="27"/>
  <c r="DA167" i="27"/>
  <c r="II167" i="27"/>
  <c r="GX167" i="27"/>
  <c r="FY167" i="27"/>
  <c r="CU167" i="27"/>
  <c r="AC167" i="27"/>
  <c r="EY167" i="27"/>
  <c r="M167" i="27"/>
  <c r="EG167" i="27"/>
  <c r="GV167" i="27"/>
  <c r="DH167" i="27"/>
  <c r="FC167" i="27"/>
  <c r="BU167" i="27"/>
  <c r="AZ167" i="27"/>
  <c r="CN167" i="27"/>
  <c r="T167" i="27"/>
  <c r="FQ167" i="27"/>
  <c r="BC167" i="27"/>
  <c r="HR167" i="27"/>
  <c r="EQ167" i="27"/>
  <c r="BK167" i="27"/>
  <c r="EM167" i="27"/>
  <c r="CB167" i="27"/>
  <c r="AO167" i="27"/>
  <c r="CA167" i="27"/>
  <c r="EA167" i="27"/>
  <c r="H167" i="27"/>
  <c r="BJ167" i="27"/>
  <c r="DQ167" i="27"/>
  <c r="V167" i="27"/>
  <c r="AX167" i="27"/>
  <c r="CE167" i="27"/>
  <c r="DT167" i="27"/>
  <c r="HQ167" i="27"/>
  <c r="GK167" i="27"/>
  <c r="IB167" i="27"/>
  <c r="EH167" i="27"/>
  <c r="J167" i="27"/>
  <c r="EC167" i="27"/>
  <c r="FB167" i="27"/>
  <c r="AK167" i="27"/>
  <c r="L167" i="27"/>
  <c r="DJ167" i="27"/>
  <c r="FU167" i="27"/>
  <c r="IH167" i="27"/>
  <c r="EB167" i="27"/>
  <c r="DP167" i="27"/>
  <c r="FM167" i="27"/>
  <c r="HY167" i="27"/>
  <c r="GW83" i="27"/>
  <c r="CV83" i="27"/>
  <c r="GD83" i="27"/>
  <c r="K83" i="27"/>
  <c r="BM83" i="27"/>
  <c r="HY83" i="27"/>
  <c r="AU83" i="27"/>
  <c r="EC83" i="27"/>
  <c r="CU83" i="27"/>
  <c r="DF83" i="27"/>
  <c r="BD83" i="27"/>
  <c r="HN83" i="27"/>
  <c r="EN83" i="27"/>
  <c r="HO83" i="27"/>
  <c r="IJ83" i="27"/>
  <c r="HP83" i="27"/>
  <c r="GP83" i="27"/>
  <c r="L83" i="27"/>
  <c r="CH83" i="27"/>
  <c r="DR83" i="27"/>
  <c r="CA83" i="27"/>
  <c r="HG83" i="27"/>
  <c r="BO83" i="27"/>
  <c r="AE83" i="27"/>
  <c r="BS83" i="27"/>
  <c r="HS83" i="27"/>
  <c r="FV83" i="27"/>
  <c r="FO83" i="27"/>
  <c r="AA83" i="27"/>
  <c r="DV83" i="27"/>
  <c r="FT83" i="27"/>
  <c r="CG83" i="27"/>
  <c r="FL83" i="27"/>
  <c r="AZ83" i="27"/>
  <c r="FN83" i="27"/>
  <c r="BB83" i="27"/>
  <c r="Y83" i="27"/>
  <c r="BX83" i="27"/>
  <c r="BT83" i="27"/>
  <c r="HE83" i="27"/>
  <c r="FG83" i="27"/>
  <c r="BW83" i="27"/>
  <c r="BG83" i="27"/>
  <c r="CI83" i="27"/>
  <c r="AN83" i="27"/>
  <c r="ID83" i="27"/>
  <c r="EH83" i="27"/>
  <c r="AG83" i="27"/>
  <c r="DB83" i="27"/>
  <c r="CD83" i="27"/>
  <c r="O83" i="27"/>
  <c r="EU83" i="27"/>
  <c r="FS83" i="27"/>
  <c r="IB83" i="27"/>
  <c r="GG83" i="27"/>
  <c r="DL83" i="27"/>
  <c r="FH83" i="27"/>
  <c r="BI83" i="27"/>
  <c r="CS83" i="27"/>
  <c r="DX83" i="27"/>
  <c r="BC83" i="27"/>
  <c r="HU83" i="27"/>
  <c r="CO83" i="27"/>
  <c r="BL83" i="27"/>
  <c r="AR83" i="27"/>
  <c r="FX83" i="27"/>
  <c r="AS83" i="27"/>
  <c r="EX83" i="27"/>
  <c r="HL83" i="27"/>
  <c r="EV83" i="27"/>
  <c r="ER83" i="27"/>
  <c r="N83" i="27"/>
  <c r="BA83" i="27"/>
  <c r="S83" i="27"/>
  <c r="AT83" i="27"/>
  <c r="CZ83" i="27"/>
  <c r="IE83" i="27"/>
  <c r="EG83" i="27"/>
  <c r="AI83" i="27"/>
  <c r="DS83" i="27"/>
  <c r="CW83" i="27"/>
  <c r="Q83" i="27"/>
  <c r="GV83" i="27"/>
  <c r="BU83" i="27"/>
  <c r="GY83" i="27"/>
  <c r="BH83" i="27"/>
  <c r="GH83" i="27"/>
  <c r="IG83" i="27"/>
  <c r="FP83" i="27"/>
  <c r="HM83" i="27"/>
  <c r="ES83" i="27"/>
  <c r="HH83" i="27"/>
  <c r="GM83" i="27"/>
  <c r="EY83" i="27"/>
  <c r="HK83" i="27"/>
  <c r="FM83" i="27"/>
  <c r="I83" i="27"/>
  <c r="HX83" i="27"/>
  <c r="DC83" i="27"/>
  <c r="BZ83" i="27"/>
  <c r="EL83" i="27"/>
  <c r="P83" i="27"/>
  <c r="BR83" i="27"/>
  <c r="IF83" i="27"/>
  <c r="HZ83" i="27"/>
  <c r="HF83" i="27"/>
  <c r="CT83" i="27"/>
  <c r="CR83" i="27"/>
  <c r="EF83" i="27"/>
  <c r="BN83" i="27"/>
  <c r="DP83" i="27"/>
  <c r="HI83" i="27"/>
  <c r="AW83" i="27"/>
  <c r="BV83" i="27"/>
  <c r="CJ83" i="27"/>
  <c r="DY83" i="27"/>
  <c r="EW83" i="27"/>
  <c r="DJ83" i="27"/>
  <c r="IA83" i="27"/>
  <c r="AB83" i="27"/>
  <c r="GZ83" i="27"/>
  <c r="FF83" i="27"/>
  <c r="HD83" i="27"/>
  <c r="FA83" i="27"/>
  <c r="EB83" i="27"/>
  <c r="J83" i="27"/>
  <c r="X83" i="27"/>
  <c r="DO83" i="27"/>
  <c r="HC83" i="27"/>
  <c r="H83" i="27"/>
  <c r="CP83" i="27"/>
  <c r="ET83" i="27"/>
  <c r="FW83" i="27"/>
  <c r="GC83" i="27"/>
  <c r="DW83" i="27"/>
  <c r="GQ83" i="27"/>
  <c r="FI83" i="27"/>
  <c r="U83" i="27"/>
  <c r="FU83" i="27"/>
  <c r="IC83" i="27"/>
  <c r="EP83" i="27"/>
  <c r="HB83" i="27"/>
  <c r="GU83" i="27"/>
  <c r="V83" i="27"/>
  <c r="AD83" i="27"/>
  <c r="GE83" i="27"/>
  <c r="BJ83" i="27"/>
  <c r="DN83" i="27"/>
  <c r="II83" i="27"/>
  <c r="T83" i="27"/>
  <c r="GO83" i="27"/>
  <c r="Z83" i="27"/>
  <c r="HT83" i="27"/>
  <c r="HW83" i="27"/>
  <c r="FC83" i="27"/>
  <c r="DE83" i="27"/>
  <c r="HQ83" i="27"/>
  <c r="GR83" i="27"/>
  <c r="GJ83" i="27"/>
  <c r="AV83" i="27"/>
  <c r="EQ83" i="27"/>
  <c r="GB83" i="27"/>
  <c r="DA83" i="27"/>
  <c r="CN83" i="27"/>
  <c r="HA83" i="27"/>
  <c r="CY83" i="27"/>
  <c r="CE83" i="27"/>
  <c r="DZ83" i="27"/>
  <c r="DI83" i="27"/>
  <c r="GS83" i="27"/>
  <c r="AJ83" i="27"/>
  <c r="AF83" i="27"/>
  <c r="CM83" i="27"/>
  <c r="EZ83" i="27"/>
  <c r="AO83" i="27"/>
  <c r="BQ83" i="27"/>
  <c r="EK83" i="27"/>
  <c r="IK83" i="27"/>
  <c r="DM83" i="27"/>
  <c r="GK83" i="27"/>
  <c r="DU83" i="27"/>
  <c r="AY83" i="27"/>
  <c r="GX83" i="27"/>
  <c r="FQ83" i="27"/>
  <c r="FD83" i="27"/>
  <c r="BE83" i="27"/>
  <c r="BF83" i="27"/>
  <c r="EE83" i="27"/>
  <c r="AX83" i="27"/>
  <c r="AL83" i="27"/>
  <c r="GN83" i="27"/>
  <c r="BY83" i="27"/>
  <c r="CK83" i="27"/>
  <c r="FR83" i="27"/>
  <c r="FE83" i="27"/>
  <c r="ED83" i="27"/>
  <c r="EA83" i="27"/>
  <c r="FY83" i="27"/>
  <c r="M83" i="27"/>
  <c r="W83" i="27"/>
  <c r="GL83" i="27"/>
  <c r="CX83" i="27"/>
  <c r="AQ83" i="27"/>
  <c r="GA83" i="27"/>
  <c r="AM83" i="27"/>
  <c r="DQ83" i="27"/>
  <c r="FK83" i="27"/>
  <c r="BK83" i="27"/>
  <c r="AK83" i="27"/>
  <c r="HJ83" i="27"/>
  <c r="EJ83" i="27"/>
  <c r="FJ83" i="27"/>
  <c r="GT83" i="27"/>
  <c r="DD83" i="27"/>
  <c r="EO83" i="27"/>
  <c r="DH83" i="27"/>
  <c r="R83" i="27"/>
  <c r="CL83" i="27"/>
  <c r="AC83" i="27"/>
  <c r="CF83" i="27"/>
  <c r="BP83" i="27"/>
  <c r="DT83" i="27"/>
  <c r="GI83" i="27"/>
  <c r="AH83" i="27"/>
  <c r="FZ83" i="27"/>
  <c r="FB83" i="27"/>
  <c r="HV83" i="27"/>
  <c r="GF83" i="27"/>
  <c r="CB83" i="27"/>
  <c r="DK83" i="27"/>
  <c r="AP83" i="27"/>
  <c r="CC83" i="27"/>
  <c r="DG83" i="27"/>
  <c r="CQ83" i="27"/>
  <c r="HR83" i="27"/>
  <c r="EI83" i="27"/>
  <c r="IH83" i="27"/>
  <c r="EM83" i="27"/>
  <c r="C39" i="27"/>
  <c r="P350" i="27"/>
  <c r="HH350" i="27"/>
  <c r="FE350" i="27"/>
  <c r="GZ350" i="27"/>
  <c r="CI350" i="27"/>
  <c r="BP350" i="27"/>
  <c r="BF350" i="27"/>
  <c r="GB350" i="27"/>
  <c r="F44" i="27"/>
  <c r="C12" i="27" s="1"/>
  <c r="HT350" i="27"/>
  <c r="CW350" i="27"/>
  <c r="EO350" i="27"/>
  <c r="AZ350" i="27"/>
  <c r="CB350" i="27"/>
  <c r="W350" i="27"/>
  <c r="DJ350" i="27"/>
  <c r="BV350" i="27"/>
  <c r="CP350" i="27"/>
  <c r="HC350" i="27"/>
  <c r="FM350" i="27"/>
  <c r="FF350" i="27"/>
  <c r="I350" i="27"/>
  <c r="EN350" i="27"/>
  <c r="EM350" i="27"/>
  <c r="DD350" i="27"/>
  <c r="DW350" i="27"/>
  <c r="BQ350" i="27"/>
  <c r="CZ350" i="27"/>
  <c r="EY350" i="27"/>
  <c r="IK350" i="27"/>
  <c r="FH350" i="27"/>
  <c r="GW350" i="27"/>
  <c r="GO350" i="27"/>
  <c r="S350" i="27"/>
  <c r="AA350" i="27"/>
  <c r="BD350" i="27"/>
  <c r="DM350" i="27"/>
  <c r="BC350" i="27"/>
  <c r="HG350" i="27"/>
  <c r="AJ350" i="27"/>
  <c r="EK350" i="27"/>
  <c r="BO350" i="27"/>
  <c r="GP350" i="27"/>
  <c r="CU350" i="27"/>
  <c r="CK350" i="27"/>
  <c r="IF350" i="27"/>
  <c r="BU350" i="27"/>
  <c r="HP350" i="27"/>
  <c r="FX350" i="27"/>
  <c r="FL350" i="27"/>
  <c r="FC350" i="27"/>
  <c r="AB350" i="27"/>
  <c r="CT350" i="27"/>
  <c r="HY350" i="27"/>
  <c r="H350" i="27"/>
  <c r="HD350" i="27"/>
  <c r="FZ350" i="27"/>
  <c r="AX350" i="27"/>
  <c r="BS350" i="27"/>
  <c r="AV350" i="27"/>
  <c r="BH350" i="27"/>
  <c r="HM350" i="27"/>
  <c r="EG350" i="27"/>
  <c r="HF350" i="27"/>
  <c r="AO350" i="27"/>
  <c r="AE350" i="27"/>
  <c r="AU350" i="27"/>
  <c r="FQ350" i="27"/>
  <c r="FU350" i="27"/>
  <c r="BW350" i="27"/>
  <c r="FJ350" i="27"/>
  <c r="AD350" i="27"/>
  <c r="HN350" i="27"/>
  <c r="HR350" i="27"/>
  <c r="AR350" i="27"/>
  <c r="BL350" i="27"/>
  <c r="GM350" i="27"/>
  <c r="CD350" i="27"/>
  <c r="FR350" i="27"/>
  <c r="FY350" i="27"/>
  <c r="DH350" i="27"/>
  <c r="HO350" i="27"/>
  <c r="AQ350" i="27"/>
  <c r="II350" i="27"/>
  <c r="DV350" i="27"/>
  <c r="GK350" i="27"/>
  <c r="CY350" i="27"/>
  <c r="IE350" i="27"/>
  <c r="FN350" i="27"/>
  <c r="HK350" i="27"/>
  <c r="AL350" i="27"/>
  <c r="EE350" i="27"/>
  <c r="ID350" i="27"/>
  <c r="AF350" i="27"/>
  <c r="EW350" i="27"/>
  <c r="BX350" i="27"/>
  <c r="GT350" i="27"/>
  <c r="K350" i="27"/>
  <c r="FG350" i="27"/>
  <c r="BG350" i="27"/>
  <c r="V350" i="27"/>
  <c r="FK350" i="27"/>
  <c r="HS350" i="27"/>
  <c r="FW350" i="27"/>
  <c r="AG350" i="27"/>
  <c r="GE350" i="27"/>
  <c r="EU350" i="27"/>
  <c r="CA350" i="27"/>
  <c r="FI350" i="27"/>
  <c r="AK350" i="27"/>
  <c r="BM350" i="27"/>
  <c r="CJ350" i="27"/>
  <c r="CO350" i="27"/>
  <c r="DN350" i="27"/>
  <c r="DZ350" i="27"/>
  <c r="FV350" i="27"/>
  <c r="GL350" i="27"/>
  <c r="CQ350" i="27"/>
  <c r="CL350" i="27"/>
  <c r="AS350" i="27"/>
  <c r="DU350" i="27"/>
  <c r="DF350" i="27"/>
  <c r="GD350" i="27"/>
  <c r="HX350" i="27"/>
  <c r="EH350" i="27"/>
  <c r="BY350" i="27"/>
  <c r="AC350" i="27"/>
  <c r="BT350" i="27"/>
  <c r="CF350" i="27"/>
  <c r="Y350" i="27"/>
  <c r="EZ350" i="27"/>
  <c r="EQ350" i="27"/>
  <c r="R350" i="27"/>
  <c r="FO350" i="27"/>
  <c r="AH350" i="27"/>
  <c r="BR350" i="27"/>
  <c r="U350" i="27"/>
  <c r="CV350" i="27"/>
  <c r="CC350" i="27"/>
  <c r="GC350" i="27"/>
  <c r="DO350" i="27"/>
  <c r="Z350" i="27"/>
  <c r="GX350" i="27"/>
  <c r="CG350" i="27"/>
  <c r="BN350" i="27"/>
  <c r="HA350" i="27"/>
  <c r="T350" i="27"/>
  <c r="DG350" i="27"/>
  <c r="GU350" i="27"/>
  <c r="DC350" i="27"/>
  <c r="ET350" i="27"/>
  <c r="EF350" i="27"/>
  <c r="GV350" i="27"/>
  <c r="GS350" i="27"/>
  <c r="HU350" i="27"/>
  <c r="CX350" i="27"/>
  <c r="L350" i="27"/>
  <c r="O350" i="27"/>
  <c r="HV350" i="27"/>
  <c r="AI350" i="27"/>
  <c r="IG350" i="27"/>
  <c r="DK350" i="27"/>
  <c r="FP350" i="27"/>
  <c r="BE350" i="27"/>
  <c r="BJ350" i="27"/>
  <c r="IC350" i="27"/>
  <c r="EV350" i="27"/>
  <c r="BZ350" i="27"/>
  <c r="HL350" i="27"/>
  <c r="EA350" i="27"/>
  <c r="EI350" i="27"/>
  <c r="BB350" i="27"/>
  <c r="DS350" i="27"/>
  <c r="N350" i="27"/>
  <c r="DE350" i="27"/>
  <c r="ED350" i="27"/>
  <c r="CE350" i="27"/>
  <c r="GR350" i="27"/>
  <c r="AP350" i="27"/>
  <c r="X350" i="27"/>
  <c r="AN350" i="27"/>
  <c r="J350" i="27"/>
  <c r="EC350" i="27"/>
  <c r="AM350" i="27"/>
  <c r="DY350" i="27"/>
  <c r="BI350" i="27"/>
  <c r="ER350" i="27"/>
  <c r="DT350" i="27"/>
  <c r="CH350" i="27"/>
  <c r="EB350" i="27"/>
  <c r="EP350" i="27"/>
  <c r="CS350" i="27"/>
  <c r="GI350" i="27"/>
  <c r="CN350" i="27"/>
  <c r="ES350" i="27"/>
  <c r="IJ350" i="27"/>
  <c r="BK350" i="27"/>
  <c r="GA350" i="27"/>
  <c r="HE350" i="27"/>
  <c r="EJ350" i="27"/>
  <c r="GQ350" i="27"/>
  <c r="IA350" i="27"/>
  <c r="FT350" i="27"/>
  <c r="EX350" i="27"/>
  <c r="AW350" i="27"/>
  <c r="GN350" i="27"/>
  <c r="DR350" i="27"/>
  <c r="CM350" i="27"/>
  <c r="AT350" i="27"/>
  <c r="FS350" i="27"/>
  <c r="FB350" i="27"/>
  <c r="Q350" i="27"/>
  <c r="GH350" i="27"/>
  <c r="IH350" i="27"/>
  <c r="HZ350" i="27"/>
  <c r="BA350" i="27"/>
  <c r="DL350" i="27"/>
  <c r="GJ350" i="27"/>
  <c r="GY350" i="27"/>
  <c r="AY350" i="27"/>
  <c r="HB350" i="27"/>
  <c r="DQ350" i="27"/>
  <c r="FD350" i="27"/>
  <c r="DB350" i="27"/>
  <c r="EL350" i="27"/>
  <c r="FA350" i="27"/>
  <c r="DX350" i="27"/>
  <c r="CR350" i="27"/>
  <c r="DI350" i="27"/>
  <c r="DP350" i="27"/>
  <c r="DA350" i="27"/>
  <c r="HI350" i="27"/>
  <c r="HW350" i="27"/>
  <c r="GF350" i="27"/>
  <c r="M350" i="27"/>
  <c r="HQ350" i="27"/>
  <c r="HJ350" i="27"/>
  <c r="GG350" i="27"/>
  <c r="IB350" i="27"/>
  <c r="GV349" i="27"/>
  <c r="R349" i="27"/>
  <c r="AD349" i="27"/>
  <c r="BF349" i="27"/>
  <c r="IB349" i="27"/>
  <c r="AS349" i="27"/>
  <c r="FK349" i="27"/>
  <c r="CR349" i="27"/>
  <c r="P349" i="27"/>
  <c r="CB349" i="27"/>
  <c r="AU349" i="27"/>
  <c r="EE349" i="27"/>
  <c r="BK349" i="27"/>
  <c r="BL349" i="27"/>
  <c r="AO349" i="27"/>
  <c r="FP349" i="27"/>
  <c r="CV349" i="27"/>
  <c r="GN349" i="27"/>
  <c r="ED349" i="27"/>
  <c r="BY349" i="27"/>
  <c r="HP349" i="27"/>
  <c r="HO349" i="27"/>
  <c r="Q349" i="27"/>
  <c r="DU349" i="27"/>
  <c r="DC349" i="27"/>
  <c r="I349" i="27"/>
  <c r="BA349" i="27"/>
  <c r="BC349" i="27"/>
  <c r="FB349" i="27"/>
  <c r="FA349" i="27"/>
  <c r="CH349" i="27"/>
  <c r="HD349" i="27"/>
  <c r="CC349" i="27"/>
  <c r="EA349" i="27"/>
  <c r="DL349" i="27"/>
  <c r="M349" i="27"/>
  <c r="GP349" i="27"/>
  <c r="V349" i="27"/>
  <c r="L349" i="27"/>
  <c r="HT349" i="27"/>
  <c r="HX349" i="27"/>
  <c r="BM349" i="27"/>
  <c r="HZ349" i="27"/>
  <c r="GF349" i="27"/>
  <c r="HW349" i="27"/>
  <c r="HU349" i="27"/>
  <c r="DW349" i="27"/>
  <c r="GI349" i="27"/>
  <c r="DS349" i="27"/>
  <c r="HC349" i="27"/>
  <c r="FF349" i="27"/>
  <c r="EL349" i="27"/>
  <c r="FC349" i="27"/>
  <c r="S349" i="27"/>
  <c r="BD349" i="27"/>
  <c r="DY349" i="27"/>
  <c r="FG349" i="27"/>
  <c r="DK349" i="27"/>
  <c r="FX349" i="27"/>
  <c r="AP349" i="27"/>
  <c r="HK349" i="27"/>
  <c r="H349" i="27"/>
  <c r="AF349" i="27"/>
  <c r="DD349" i="27"/>
  <c r="CK349" i="27"/>
  <c r="GL349" i="27"/>
  <c r="IK349" i="27"/>
  <c r="FM349" i="27"/>
  <c r="CP349" i="27"/>
  <c r="CA349" i="27"/>
  <c r="FN349" i="27"/>
  <c r="FZ349" i="27"/>
  <c r="AH349" i="27"/>
  <c r="HI349" i="27"/>
  <c r="DF349" i="27"/>
  <c r="IG349" i="27"/>
  <c r="HL349" i="27"/>
  <c r="FQ349" i="27"/>
  <c r="EI349" i="27"/>
  <c r="BE349" i="27"/>
  <c r="GH349" i="27"/>
  <c r="HS349" i="27"/>
  <c r="BT349" i="27"/>
  <c r="AN349" i="27"/>
  <c r="DA349" i="27"/>
  <c r="DT349" i="27"/>
  <c r="DB349" i="27"/>
  <c r="EZ349" i="27"/>
  <c r="K349" i="27"/>
  <c r="CD349" i="27"/>
  <c r="GO349" i="27"/>
  <c r="AM349" i="27"/>
  <c r="CO349" i="27"/>
  <c r="GC349" i="27"/>
  <c r="ID349" i="27"/>
  <c r="AX349" i="27"/>
  <c r="GD349" i="27"/>
  <c r="CS349" i="27"/>
  <c r="GJ349" i="27"/>
  <c r="HN349" i="27"/>
  <c r="EH349" i="27"/>
  <c r="EK349" i="27"/>
  <c r="EY349" i="27"/>
  <c r="GM349" i="27"/>
  <c r="CI349" i="27"/>
  <c r="IA349" i="27"/>
  <c r="EV349" i="27"/>
  <c r="ER349" i="27"/>
  <c r="J349" i="27"/>
  <c r="EQ349" i="27"/>
  <c r="DX349" i="27"/>
  <c r="GU349" i="27"/>
  <c r="FL349" i="27"/>
  <c r="AE349" i="27"/>
  <c r="IF349" i="27"/>
  <c r="FV349" i="27"/>
  <c r="CW349" i="27"/>
  <c r="FW349" i="27"/>
  <c r="IE349" i="27"/>
  <c r="T349" i="27"/>
  <c r="BP349" i="27"/>
  <c r="GX349" i="27"/>
  <c r="DJ349" i="27"/>
  <c r="AG349" i="27"/>
  <c r="GS349" i="27"/>
  <c r="GQ349" i="27"/>
  <c r="CM349" i="27"/>
  <c r="EO349" i="27"/>
  <c r="EC349" i="27"/>
  <c r="HF349" i="27"/>
  <c r="BG349" i="27"/>
  <c r="Z349" i="27"/>
  <c r="EJ349" i="27"/>
  <c r="CX349" i="27"/>
  <c r="FS349" i="27"/>
  <c r="EB349" i="27"/>
  <c r="FR349" i="27"/>
  <c r="CN349" i="27"/>
  <c r="X349" i="27"/>
  <c r="N349" i="27"/>
  <c r="DN349" i="27"/>
  <c r="BO349" i="27"/>
  <c r="AR349" i="27"/>
  <c r="HV349" i="27"/>
  <c r="CQ349" i="27"/>
  <c r="FJ349" i="27"/>
  <c r="GW349" i="27"/>
  <c r="EN349" i="27"/>
  <c r="AZ349" i="27"/>
  <c r="AK349" i="27"/>
  <c r="HH349" i="27"/>
  <c r="HQ349" i="27"/>
  <c r="CF349" i="27"/>
  <c r="IJ349" i="27"/>
  <c r="HR349" i="27"/>
  <c r="DE349" i="27"/>
  <c r="O349" i="27"/>
  <c r="HY349" i="27"/>
  <c r="EG349" i="27"/>
  <c r="AW349" i="27"/>
  <c r="GK349" i="27"/>
  <c r="II349" i="27"/>
  <c r="CE349" i="27"/>
  <c r="HA349" i="27"/>
  <c r="EF349" i="27"/>
  <c r="FY349" i="27"/>
  <c r="GY349" i="27"/>
  <c r="IC349" i="27"/>
  <c r="EP349" i="27"/>
  <c r="AV349" i="27"/>
  <c r="FI349" i="27"/>
  <c r="BU349" i="27"/>
  <c r="IH349" i="27"/>
  <c r="HE349" i="27"/>
  <c r="CG349" i="27"/>
  <c r="AJ349" i="27"/>
  <c r="DR349" i="27"/>
  <c r="DM349" i="27"/>
  <c r="CY349" i="27"/>
  <c r="GA349" i="27"/>
  <c r="CT349" i="27"/>
  <c r="ET349" i="27"/>
  <c r="AI349" i="27"/>
  <c r="ES349" i="27"/>
  <c r="GB349" i="27"/>
  <c r="DP349" i="27"/>
  <c r="W349" i="27"/>
  <c r="BR349" i="27"/>
  <c r="FU349" i="27"/>
  <c r="BN349" i="27"/>
  <c r="BS349" i="27"/>
  <c r="DZ349" i="27"/>
  <c r="GG349" i="27"/>
  <c r="BX349" i="27"/>
  <c r="DQ349" i="27"/>
  <c r="BI349" i="27"/>
  <c r="CL349" i="27"/>
  <c r="BV349" i="27"/>
  <c r="GR349" i="27"/>
  <c r="GT349" i="27"/>
  <c r="GZ349" i="27"/>
  <c r="BQ349" i="27"/>
  <c r="DI349" i="27"/>
  <c r="HJ349" i="27"/>
  <c r="FT349" i="27"/>
  <c r="BW349" i="27"/>
  <c r="E355" i="27"/>
  <c r="E357" i="27"/>
  <c r="HI240" i="27"/>
  <c r="HI197" i="27" s="1"/>
  <c r="HI359" i="27" s="1"/>
  <c r="EZ240" i="27"/>
  <c r="EZ197" i="27" s="1"/>
  <c r="EZ359" i="27" s="1"/>
  <c r="EK240" i="27"/>
  <c r="EK197" i="27" s="1"/>
  <c r="EK359" i="27" s="1"/>
  <c r="FY240" i="27"/>
  <c r="FY197" i="27" s="1"/>
  <c r="FY359" i="27" s="1"/>
  <c r="IA240" i="27"/>
  <c r="IA197" i="27" s="1"/>
  <c r="IA359" i="27" s="1"/>
  <c r="DK240" i="27"/>
  <c r="DK197" i="27" s="1"/>
  <c r="DK359" i="27" s="1"/>
  <c r="DC240" i="27"/>
  <c r="DC197" i="27" s="1"/>
  <c r="DC359" i="27" s="1"/>
  <c r="BN240" i="27"/>
  <c r="BN197" i="27" s="1"/>
  <c r="BN359" i="27" s="1"/>
  <c r="AG240" i="27"/>
  <c r="AG197" i="27" s="1"/>
  <c r="AG359" i="27" s="1"/>
  <c r="DR240" i="27"/>
  <c r="DR197" i="27" s="1"/>
  <c r="DR359" i="27" s="1"/>
  <c r="DI240" i="27"/>
  <c r="DI197" i="27" s="1"/>
  <c r="DI359" i="27" s="1"/>
  <c r="HU240" i="27"/>
  <c r="HU197" i="27" s="1"/>
  <c r="HU359" i="27" s="1"/>
  <c r="HZ240" i="27"/>
  <c r="HZ197" i="27" s="1"/>
  <c r="HZ359" i="27" s="1"/>
  <c r="IB240" i="27"/>
  <c r="IB197" i="27" s="1"/>
  <c r="IB359" i="27" s="1"/>
  <c r="CU240" i="27"/>
  <c r="CU197" i="27" s="1"/>
  <c r="CU359" i="27" s="1"/>
  <c r="GQ240" i="27"/>
  <c r="GQ197" i="27" s="1"/>
  <c r="GQ359" i="27" s="1"/>
  <c r="ER240" i="27"/>
  <c r="ER197" i="27" s="1"/>
  <c r="ER359" i="27" s="1"/>
  <c r="T240" i="27"/>
  <c r="T197" i="27" s="1"/>
  <c r="T359" i="27" s="1"/>
  <c r="EQ240" i="27"/>
  <c r="EQ197" i="27" s="1"/>
  <c r="EQ359" i="27" s="1"/>
  <c r="AE240" i="27"/>
  <c r="AE197" i="27" s="1"/>
  <c r="AE359" i="27" s="1"/>
  <c r="GH240" i="27"/>
  <c r="GH197" i="27" s="1"/>
  <c r="GH359" i="27" s="1"/>
  <c r="EN240" i="27"/>
  <c r="EN197" i="27" s="1"/>
  <c r="EN359" i="27" s="1"/>
  <c r="N240" i="27"/>
  <c r="N197" i="27" s="1"/>
  <c r="N359" i="27" s="1"/>
  <c r="DW240" i="27"/>
  <c r="DW197" i="27" s="1"/>
  <c r="DW359" i="27" s="1"/>
  <c r="EV240" i="27"/>
  <c r="EV197" i="27" s="1"/>
  <c r="EV359" i="27" s="1"/>
  <c r="BM240" i="27"/>
  <c r="BM197" i="27" s="1"/>
  <c r="BM359" i="27" s="1"/>
  <c r="CD240" i="27"/>
  <c r="CD197" i="27" s="1"/>
  <c r="CD359" i="27" s="1"/>
  <c r="P240" i="27"/>
  <c r="P197" i="27" s="1"/>
  <c r="P359" i="27" s="1"/>
  <c r="BG240" i="27"/>
  <c r="BG197" i="27" s="1"/>
  <c r="BG359" i="27" s="1"/>
  <c r="CY240" i="27"/>
  <c r="CY197" i="27" s="1"/>
  <c r="CY359" i="27" s="1"/>
  <c r="BC240" i="27"/>
  <c r="BC197" i="27" s="1"/>
  <c r="BC359" i="27" s="1"/>
  <c r="EP240" i="27"/>
  <c r="EP197" i="27" s="1"/>
  <c r="EP359" i="27" s="1"/>
  <c r="GT240" i="27"/>
  <c r="GT197" i="27" s="1"/>
  <c r="GT359" i="27" s="1"/>
  <c r="GI240" i="27"/>
  <c r="GI197" i="27" s="1"/>
  <c r="GI359" i="27" s="1"/>
  <c r="AF240" i="27"/>
  <c r="AF197" i="27" s="1"/>
  <c r="AF359" i="27" s="1"/>
  <c r="EE240" i="27"/>
  <c r="EE197" i="27" s="1"/>
  <c r="EE359" i="27" s="1"/>
  <c r="DO240" i="27"/>
  <c r="DO197" i="27" s="1"/>
  <c r="DO359" i="27" s="1"/>
  <c r="HE240" i="27"/>
  <c r="HE197" i="27" s="1"/>
  <c r="HE359" i="27" s="1"/>
  <c r="BF240" i="27"/>
  <c r="BF197" i="27" s="1"/>
  <c r="BF359" i="27" s="1"/>
  <c r="W240" i="27"/>
  <c r="W197" i="27" s="1"/>
  <c r="W359" i="27" s="1"/>
  <c r="ED240" i="27"/>
  <c r="ED197" i="27" s="1"/>
  <c r="ED359" i="27" s="1"/>
  <c r="IE240" i="27"/>
  <c r="IE197" i="27" s="1"/>
  <c r="IE359" i="27" s="1"/>
  <c r="HB240" i="27"/>
  <c r="HB197" i="27" s="1"/>
  <c r="HB359" i="27" s="1"/>
  <c r="GD240" i="27"/>
  <c r="GD197" i="27" s="1"/>
  <c r="GD359" i="27" s="1"/>
  <c r="EC240" i="27"/>
  <c r="EC197" i="27" s="1"/>
  <c r="EC359" i="27" s="1"/>
  <c r="BI240" i="27"/>
  <c r="BI197" i="27" s="1"/>
  <c r="BI359" i="27" s="1"/>
  <c r="GR240" i="27"/>
  <c r="GR197" i="27" s="1"/>
  <c r="GR359" i="27" s="1"/>
  <c r="CG240" i="27"/>
  <c r="CG197" i="27" s="1"/>
  <c r="CG359" i="27" s="1"/>
  <c r="AO240" i="27"/>
  <c r="AO197" i="27" s="1"/>
  <c r="AO359" i="27" s="1"/>
  <c r="CR240" i="27"/>
  <c r="CR197" i="27" s="1"/>
  <c r="CR359" i="27" s="1"/>
  <c r="GS240" i="27"/>
  <c r="GS197" i="27" s="1"/>
  <c r="GS359" i="27" s="1"/>
  <c r="CV240" i="27"/>
  <c r="CV197" i="27" s="1"/>
  <c r="CV359" i="27" s="1"/>
  <c r="HV240" i="27"/>
  <c r="HV197" i="27" s="1"/>
  <c r="HV359" i="27" s="1"/>
  <c r="BE240" i="27"/>
  <c r="BE197" i="27" s="1"/>
  <c r="BE359" i="27" s="1"/>
  <c r="BL240" i="27"/>
  <c r="BL197" i="27" s="1"/>
  <c r="BL359" i="27" s="1"/>
  <c r="AP240" i="27"/>
  <c r="AP197" i="27" s="1"/>
  <c r="AP359" i="27" s="1"/>
  <c r="AR240" i="27"/>
  <c r="AR197" i="27" s="1"/>
  <c r="AR359" i="27" s="1"/>
  <c r="EH240" i="27"/>
  <c r="EH197" i="27" s="1"/>
  <c r="EH359" i="27" s="1"/>
  <c r="BB240" i="27"/>
  <c r="BB197" i="27" s="1"/>
  <c r="BB359" i="27" s="1"/>
  <c r="FC240" i="27"/>
  <c r="FC197" i="27" s="1"/>
  <c r="FC359" i="27" s="1"/>
  <c r="FX240" i="27"/>
  <c r="FX197" i="27" s="1"/>
  <c r="FX359" i="27" s="1"/>
  <c r="HY240" i="27"/>
  <c r="HY197" i="27" s="1"/>
  <c r="HY359" i="27" s="1"/>
  <c r="IG240" i="27"/>
  <c r="IG197" i="27" s="1"/>
  <c r="IG359" i="27" s="1"/>
  <c r="GL240" i="27"/>
  <c r="GL197" i="27" s="1"/>
  <c r="GL359" i="27" s="1"/>
  <c r="AB240" i="27"/>
  <c r="AB197" i="27" s="1"/>
  <c r="AB359" i="27" s="1"/>
  <c r="EI240" i="27"/>
  <c r="EI197" i="27" s="1"/>
  <c r="EI359" i="27" s="1"/>
  <c r="AI240" i="27"/>
  <c r="AI197" i="27" s="1"/>
  <c r="AI359" i="27" s="1"/>
  <c r="AJ240" i="27"/>
  <c r="AJ197" i="27" s="1"/>
  <c r="AJ359" i="27" s="1"/>
  <c r="HF240" i="27"/>
  <c r="HF197" i="27" s="1"/>
  <c r="HF359" i="27" s="1"/>
  <c r="FL240" i="27"/>
  <c r="FL197" i="27" s="1"/>
  <c r="FL359" i="27" s="1"/>
  <c r="L240" i="27"/>
  <c r="L197" i="27" s="1"/>
  <c r="L359" i="27" s="1"/>
  <c r="M240" i="27"/>
  <c r="M197" i="27" s="1"/>
  <c r="M359" i="27" s="1"/>
  <c r="HQ240" i="27"/>
  <c r="HQ197" i="27" s="1"/>
  <c r="HQ359" i="27" s="1"/>
  <c r="AH240" i="27"/>
  <c r="AH197" i="27" s="1"/>
  <c r="AH359" i="27" s="1"/>
  <c r="BS240" i="27"/>
  <c r="BS197" i="27" s="1"/>
  <c r="BS359" i="27" s="1"/>
  <c r="CO240" i="27"/>
  <c r="CO197" i="27" s="1"/>
  <c r="CO359" i="27" s="1"/>
  <c r="GZ240" i="27"/>
  <c r="GZ197" i="27" s="1"/>
  <c r="GZ359" i="27" s="1"/>
  <c r="X240" i="27"/>
  <c r="X197" i="27" s="1"/>
  <c r="X359" i="27" s="1"/>
  <c r="HK240" i="27"/>
  <c r="HK197" i="27" s="1"/>
  <c r="HK359" i="27" s="1"/>
  <c r="EO240" i="27"/>
  <c r="EO197" i="27" s="1"/>
  <c r="EO359" i="27" s="1"/>
  <c r="DU240" i="27"/>
  <c r="DU197" i="27" s="1"/>
  <c r="DU359" i="27" s="1"/>
  <c r="AT240" i="27"/>
  <c r="AT197" i="27" s="1"/>
  <c r="AT359" i="27" s="1"/>
  <c r="EW240" i="27"/>
  <c r="EW197" i="27" s="1"/>
  <c r="EW359" i="27" s="1"/>
  <c r="BY240" i="27"/>
  <c r="BY197" i="27" s="1"/>
  <c r="BY359" i="27" s="1"/>
  <c r="HM240" i="27"/>
  <c r="HM197" i="27" s="1"/>
  <c r="HM359" i="27" s="1"/>
  <c r="HC240" i="27"/>
  <c r="HC197" i="27" s="1"/>
  <c r="HC359" i="27" s="1"/>
  <c r="DL240" i="27"/>
  <c r="DL197" i="27" s="1"/>
  <c r="DL359" i="27" s="1"/>
  <c r="CZ240" i="27"/>
  <c r="CZ197" i="27" s="1"/>
  <c r="CZ359" i="27" s="1"/>
  <c r="GF240" i="27"/>
  <c r="GF197" i="27" s="1"/>
  <c r="GF359" i="27" s="1"/>
  <c r="ET240" i="27"/>
  <c r="ET197" i="27" s="1"/>
  <c r="ET359" i="27" s="1"/>
  <c r="FZ240" i="27"/>
  <c r="FZ197" i="27" s="1"/>
  <c r="FZ359" i="27" s="1"/>
  <c r="HN240" i="27"/>
  <c r="HN197" i="27" s="1"/>
  <c r="HN359" i="27" s="1"/>
  <c r="EA240" i="27"/>
  <c r="EA197" i="27" s="1"/>
  <c r="EA359" i="27" s="1"/>
  <c r="DG240" i="27"/>
  <c r="DG197" i="27" s="1"/>
  <c r="DG359" i="27" s="1"/>
  <c r="FE240" i="27"/>
  <c r="FE197" i="27" s="1"/>
  <c r="FE359" i="27" s="1"/>
  <c r="FJ240" i="27"/>
  <c r="FJ197" i="27" s="1"/>
  <c r="FJ359" i="27" s="1"/>
  <c r="GM240" i="27"/>
  <c r="GM197" i="27" s="1"/>
  <c r="GM359" i="27" s="1"/>
  <c r="AA240" i="27"/>
  <c r="AA197" i="27" s="1"/>
  <c r="AA359" i="27" s="1"/>
  <c r="DE240" i="27"/>
  <c r="DE197" i="27" s="1"/>
  <c r="DE359" i="27" s="1"/>
  <c r="AY240" i="27"/>
  <c r="AY197" i="27" s="1"/>
  <c r="AY359" i="27" s="1"/>
  <c r="HJ240" i="27"/>
  <c r="HJ197" i="27" s="1"/>
  <c r="HJ359" i="27" s="1"/>
  <c r="HO240" i="27"/>
  <c r="HO197" i="27" s="1"/>
  <c r="HO359" i="27" s="1"/>
  <c r="IF240" i="27"/>
  <c r="IF197" i="27" s="1"/>
  <c r="IF359" i="27" s="1"/>
  <c r="CS240" i="27"/>
  <c r="CS197" i="27" s="1"/>
  <c r="CS359" i="27" s="1"/>
  <c r="HD240" i="27"/>
  <c r="HD197" i="27" s="1"/>
  <c r="HD359" i="27" s="1"/>
  <c r="FQ240" i="27"/>
  <c r="FQ197" i="27" s="1"/>
  <c r="FQ359" i="27" s="1"/>
  <c r="DQ240" i="27"/>
  <c r="DQ197" i="27" s="1"/>
  <c r="DQ359" i="27" s="1"/>
  <c r="AK240" i="27"/>
  <c r="AK197" i="27" s="1"/>
  <c r="AK359" i="27" s="1"/>
  <c r="FT240" i="27"/>
  <c r="FT197" i="27" s="1"/>
  <c r="FT359" i="27" s="1"/>
  <c r="J240" i="27"/>
  <c r="J197" i="27" s="1"/>
  <c r="J359" i="27" s="1"/>
  <c r="FG240" i="27"/>
  <c r="FG197" i="27" s="1"/>
  <c r="FG359" i="27" s="1"/>
  <c r="HS240" i="27"/>
  <c r="HS197" i="27" s="1"/>
  <c r="HS359" i="27" s="1"/>
  <c r="DP240" i="27"/>
  <c r="DP197" i="27" s="1"/>
  <c r="DP359" i="27" s="1"/>
  <c r="GV240" i="27"/>
  <c r="GV197" i="27" s="1"/>
  <c r="GV359" i="27" s="1"/>
  <c r="AD240" i="27"/>
  <c r="AD197" i="27" s="1"/>
  <c r="AD359" i="27" s="1"/>
  <c r="GP240" i="27"/>
  <c r="GP197" i="27" s="1"/>
  <c r="GP359" i="27" s="1"/>
  <c r="FO240" i="27"/>
  <c r="FO197" i="27" s="1"/>
  <c r="FO359" i="27" s="1"/>
  <c r="ID240" i="27"/>
  <c r="ID197" i="27" s="1"/>
  <c r="ID359" i="27" s="1"/>
  <c r="CQ240" i="27"/>
  <c r="CQ197" i="27" s="1"/>
  <c r="CQ359" i="27" s="1"/>
  <c r="I240" i="27"/>
  <c r="I197" i="27" s="1"/>
  <c r="I359" i="27" s="1"/>
  <c r="FP240" i="27"/>
  <c r="FP197" i="27" s="1"/>
  <c r="FP359" i="27" s="1"/>
  <c r="BH240" i="27"/>
  <c r="BH197" i="27" s="1"/>
  <c r="BH359" i="27" s="1"/>
  <c r="DJ240" i="27"/>
  <c r="DJ197" i="27" s="1"/>
  <c r="DJ359" i="27" s="1"/>
  <c r="FA240" i="27"/>
  <c r="FA197" i="27" s="1"/>
  <c r="FA359" i="27" s="1"/>
  <c r="FU240" i="27"/>
  <c r="FU197" i="27" s="1"/>
  <c r="FU359" i="27" s="1"/>
  <c r="U240" i="27"/>
  <c r="U197" i="27" s="1"/>
  <c r="U359" i="27" s="1"/>
  <c r="EY240" i="27"/>
  <c r="EY197" i="27" s="1"/>
  <c r="EY359" i="27" s="1"/>
  <c r="HX240" i="27"/>
  <c r="HX197" i="27" s="1"/>
  <c r="HX359" i="27" s="1"/>
  <c r="HA240" i="27"/>
  <c r="HA197" i="27" s="1"/>
  <c r="HA359" i="27" s="1"/>
  <c r="BU240" i="27"/>
  <c r="BU197" i="27" s="1"/>
  <c r="BU359" i="27" s="1"/>
  <c r="EB240" i="27"/>
  <c r="EB197" i="27" s="1"/>
  <c r="EB359" i="27" s="1"/>
  <c r="AX240" i="27"/>
  <c r="AX197" i="27" s="1"/>
  <c r="AX359" i="27" s="1"/>
  <c r="HR240" i="27"/>
  <c r="HR197" i="27" s="1"/>
  <c r="HR359" i="27" s="1"/>
  <c r="FN240" i="27"/>
  <c r="FN197" i="27" s="1"/>
  <c r="FN359" i="27" s="1"/>
  <c r="EF240" i="27"/>
  <c r="EF197" i="27" s="1"/>
  <c r="EF359" i="27" s="1"/>
  <c r="GC240" i="27"/>
  <c r="GC197" i="27" s="1"/>
  <c r="GC359" i="27" s="1"/>
  <c r="EL240" i="27"/>
  <c r="EL197" i="27" s="1"/>
  <c r="EL359" i="27" s="1"/>
  <c r="BX240" i="27"/>
  <c r="BX197" i="27" s="1"/>
  <c r="BX359" i="27" s="1"/>
  <c r="GJ240" i="27"/>
  <c r="GJ197" i="27" s="1"/>
  <c r="GJ359" i="27" s="1"/>
  <c r="AW240" i="27"/>
  <c r="AW197" i="27" s="1"/>
  <c r="AW359" i="27" s="1"/>
  <c r="AS240" i="27"/>
  <c r="AS197" i="27" s="1"/>
  <c r="AS359" i="27" s="1"/>
  <c r="CI240" i="27"/>
  <c r="CI197" i="27" s="1"/>
  <c r="CI359" i="27" s="1"/>
  <c r="CH240" i="27"/>
  <c r="CH197" i="27" s="1"/>
  <c r="CH359" i="27" s="1"/>
  <c r="HH240" i="27"/>
  <c r="HH197" i="27" s="1"/>
  <c r="HH359" i="27" s="1"/>
  <c r="CJ240" i="27"/>
  <c r="CJ197" i="27" s="1"/>
  <c r="CJ359" i="27" s="1"/>
  <c r="DN240" i="27"/>
  <c r="DN197" i="27" s="1"/>
  <c r="DN359" i="27" s="1"/>
  <c r="O240" i="27"/>
  <c r="O197" i="27" s="1"/>
  <c r="O359" i="27" s="1"/>
  <c r="AL240" i="27"/>
  <c r="AL197" i="27" s="1"/>
  <c r="AL359" i="27" s="1"/>
  <c r="AU240" i="27"/>
  <c r="AU197" i="27" s="1"/>
  <c r="AU359" i="27" s="1"/>
  <c r="EU240" i="27"/>
  <c r="EU197" i="27" s="1"/>
  <c r="EU359" i="27" s="1"/>
  <c r="AN240" i="27"/>
  <c r="AN197" i="27" s="1"/>
  <c r="AN359" i="27" s="1"/>
  <c r="GY240" i="27"/>
  <c r="GY197" i="27" s="1"/>
  <c r="GY359" i="27" s="1"/>
  <c r="GO240" i="27"/>
  <c r="GO197" i="27" s="1"/>
  <c r="GO359" i="27" s="1"/>
  <c r="CN240" i="27"/>
  <c r="CN197" i="27" s="1"/>
  <c r="CN359" i="27" s="1"/>
  <c r="CL240" i="27"/>
  <c r="CL197" i="27" s="1"/>
  <c r="CL359" i="27" s="1"/>
  <c r="HG240" i="27"/>
  <c r="HG197" i="27" s="1"/>
  <c r="HG359" i="27" s="1"/>
  <c r="DS240" i="27"/>
  <c r="DS197" i="27" s="1"/>
  <c r="DS359" i="27" s="1"/>
  <c r="AV240" i="27"/>
  <c r="AV197" i="27" s="1"/>
  <c r="AV359" i="27" s="1"/>
  <c r="CA240" i="27"/>
  <c r="CA197" i="27" s="1"/>
  <c r="CA359" i="27" s="1"/>
  <c r="CX240" i="27"/>
  <c r="CX197" i="27" s="1"/>
  <c r="CX359" i="27" s="1"/>
  <c r="S240" i="27"/>
  <c r="S197" i="27" s="1"/>
  <c r="S359" i="27" s="1"/>
  <c r="GK240" i="27"/>
  <c r="GK197" i="27" s="1"/>
  <c r="GK359" i="27" s="1"/>
  <c r="GA240" i="27"/>
  <c r="GA197" i="27" s="1"/>
  <c r="GA359" i="27" s="1"/>
  <c r="CC240" i="27"/>
  <c r="CC197" i="27" s="1"/>
  <c r="CC359" i="27" s="1"/>
  <c r="R240" i="27"/>
  <c r="R197" i="27" s="1"/>
  <c r="R359" i="27" s="1"/>
  <c r="K240" i="27"/>
  <c r="K197" i="27" s="1"/>
  <c r="K359" i="27" s="1"/>
  <c r="AQ240" i="27"/>
  <c r="AQ197" i="27" s="1"/>
  <c r="AQ359" i="27" s="1"/>
  <c r="BT240" i="27"/>
  <c r="BT197" i="27" s="1"/>
  <c r="BT359" i="27" s="1"/>
  <c r="II240" i="27"/>
  <c r="II197" i="27" s="1"/>
  <c r="II359" i="27" s="1"/>
  <c r="CK240" i="27"/>
  <c r="CK197" i="27" s="1"/>
  <c r="CK359" i="27" s="1"/>
  <c r="BV240" i="27"/>
  <c r="BV197" i="27" s="1"/>
  <c r="BV359" i="27" s="1"/>
  <c r="BD240" i="27"/>
  <c r="BD197" i="27" s="1"/>
  <c r="BD359" i="27" s="1"/>
  <c r="Q240" i="27"/>
  <c r="Q197" i="27" s="1"/>
  <c r="Q359" i="27" s="1"/>
  <c r="DT240" i="27"/>
  <c r="DT197" i="27" s="1"/>
  <c r="DT359" i="27" s="1"/>
  <c r="CW240" i="27"/>
  <c r="CW197" i="27" s="1"/>
  <c r="CW359" i="27" s="1"/>
  <c r="GW240" i="27"/>
  <c r="GW197" i="27" s="1"/>
  <c r="GW359" i="27" s="1"/>
  <c r="CF240" i="27"/>
  <c r="CF197" i="27" s="1"/>
  <c r="CF359" i="27" s="1"/>
  <c r="GG240" i="27"/>
  <c r="GG197" i="27" s="1"/>
  <c r="GG359" i="27" s="1"/>
  <c r="H240" i="27"/>
  <c r="H197" i="27" s="1"/>
  <c r="H359" i="27" s="1"/>
  <c r="GB240" i="27"/>
  <c r="GB197" i="27" s="1"/>
  <c r="GB359" i="27" s="1"/>
  <c r="BA240" i="27"/>
  <c r="BA197" i="27" s="1"/>
  <c r="BA359" i="27" s="1"/>
  <c r="FH240" i="27"/>
  <c r="FH197" i="27" s="1"/>
  <c r="FH359" i="27" s="1"/>
  <c r="FF240" i="27"/>
  <c r="FF197" i="27" s="1"/>
  <c r="FF359" i="27" s="1"/>
  <c r="CE240" i="27"/>
  <c r="CE197" i="27" s="1"/>
  <c r="CE359" i="27" s="1"/>
  <c r="HP240" i="27"/>
  <c r="HP197" i="27" s="1"/>
  <c r="HP359" i="27" s="1"/>
  <c r="ES240" i="27"/>
  <c r="ES197" i="27" s="1"/>
  <c r="ES359" i="27" s="1"/>
  <c r="CM240" i="27"/>
  <c r="CM197" i="27" s="1"/>
  <c r="CM359" i="27" s="1"/>
  <c r="DB240" i="27"/>
  <c r="DB197" i="27" s="1"/>
  <c r="DB359" i="27" s="1"/>
  <c r="FM240" i="27"/>
  <c r="FM197" i="27" s="1"/>
  <c r="FM359" i="27" s="1"/>
  <c r="HL240" i="27"/>
  <c r="HL197" i="27" s="1"/>
  <c r="HL359" i="27" s="1"/>
  <c r="GU240" i="27"/>
  <c r="GU197" i="27" s="1"/>
  <c r="GU359" i="27" s="1"/>
  <c r="BQ240" i="27"/>
  <c r="BQ197" i="27" s="1"/>
  <c r="BQ359" i="27" s="1"/>
  <c r="DX240" i="27"/>
  <c r="DX197" i="27" s="1"/>
  <c r="DX359" i="27" s="1"/>
  <c r="IC240" i="27"/>
  <c r="IC197" i="27" s="1"/>
  <c r="IC359" i="27" s="1"/>
  <c r="FR240" i="27"/>
  <c r="FR197" i="27" s="1"/>
  <c r="FR359" i="27" s="1"/>
  <c r="Z240" i="27"/>
  <c r="Z197" i="27" s="1"/>
  <c r="Z359" i="27" s="1"/>
  <c r="FS240" i="27"/>
  <c r="FS197" i="27" s="1"/>
  <c r="FS359" i="27" s="1"/>
  <c r="DV240" i="27"/>
  <c r="DV197" i="27" s="1"/>
  <c r="DV359" i="27" s="1"/>
  <c r="AC240" i="27"/>
  <c r="AC197" i="27" s="1"/>
  <c r="AC359" i="27" s="1"/>
  <c r="FB240" i="27"/>
  <c r="FB197" i="27" s="1"/>
  <c r="FB359" i="27" s="1"/>
  <c r="DY240" i="27"/>
  <c r="DY197" i="27" s="1"/>
  <c r="DY359" i="27" s="1"/>
  <c r="FV240" i="27"/>
  <c r="FV197" i="27" s="1"/>
  <c r="FV359" i="27" s="1"/>
  <c r="CT240" i="27"/>
  <c r="CT197" i="27" s="1"/>
  <c r="CT359" i="27" s="1"/>
  <c r="CB240" i="27"/>
  <c r="CB197" i="27" s="1"/>
  <c r="CB359" i="27" s="1"/>
  <c r="BK240" i="27"/>
  <c r="BK197" i="27" s="1"/>
  <c r="BK359" i="27" s="1"/>
  <c r="DF240" i="27"/>
  <c r="DF197" i="27" s="1"/>
  <c r="DF359" i="27" s="1"/>
  <c r="BO240" i="27"/>
  <c r="BO197" i="27" s="1"/>
  <c r="BO359" i="27" s="1"/>
  <c r="DM240" i="27"/>
  <c r="DM197" i="27" s="1"/>
  <c r="DM359" i="27" s="1"/>
  <c r="DZ240" i="27"/>
  <c r="DZ197" i="27" s="1"/>
  <c r="DZ359" i="27" s="1"/>
  <c r="HW240" i="27"/>
  <c r="HW197" i="27" s="1"/>
  <c r="HW359" i="27" s="1"/>
  <c r="EJ240" i="27"/>
  <c r="EJ197" i="27" s="1"/>
  <c r="EJ359" i="27" s="1"/>
  <c r="EX240" i="27"/>
  <c r="EX197" i="27" s="1"/>
  <c r="EX359" i="27" s="1"/>
  <c r="HT240" i="27"/>
  <c r="HT197" i="27" s="1"/>
  <c r="HT359" i="27" s="1"/>
  <c r="DA240" i="27"/>
  <c r="DA197" i="27" s="1"/>
  <c r="DA359" i="27" s="1"/>
  <c r="IH240" i="27"/>
  <c r="IH197" i="27" s="1"/>
  <c r="IH359" i="27" s="1"/>
  <c r="GN240" i="27"/>
  <c r="GN197" i="27" s="1"/>
  <c r="GN359" i="27" s="1"/>
  <c r="FD240" i="27"/>
  <c r="FD197" i="27" s="1"/>
  <c r="FD359" i="27" s="1"/>
  <c r="AZ240" i="27"/>
  <c r="AZ197" i="27" s="1"/>
  <c r="AZ359" i="27" s="1"/>
  <c r="BJ240" i="27"/>
  <c r="BJ197" i="27" s="1"/>
  <c r="BJ359" i="27" s="1"/>
  <c r="EG240" i="27"/>
  <c r="EG197" i="27" s="1"/>
  <c r="EG359" i="27" s="1"/>
  <c r="GX240" i="27"/>
  <c r="GX197" i="27" s="1"/>
  <c r="GX359" i="27" s="1"/>
  <c r="CP240" i="27"/>
  <c r="CP197" i="27" s="1"/>
  <c r="CP359" i="27" s="1"/>
  <c r="BR240" i="27"/>
  <c r="BR197" i="27" s="1"/>
  <c r="BR359" i="27" s="1"/>
  <c r="FK240" i="27"/>
  <c r="FK197" i="27" s="1"/>
  <c r="FK359" i="27" s="1"/>
  <c r="EM240" i="27"/>
  <c r="EM197" i="27" s="1"/>
  <c r="EM359" i="27" s="1"/>
  <c r="V240" i="27"/>
  <c r="V197" i="27" s="1"/>
  <c r="V359" i="27" s="1"/>
  <c r="AM240" i="27"/>
  <c r="AM197" i="27" s="1"/>
  <c r="AM359" i="27" s="1"/>
  <c r="FW240" i="27"/>
  <c r="FW197" i="27" s="1"/>
  <c r="FW359" i="27" s="1"/>
  <c r="DH240" i="27"/>
  <c r="DH197" i="27" s="1"/>
  <c r="DH359" i="27" s="1"/>
  <c r="Y240" i="27"/>
  <c r="Y197" i="27" s="1"/>
  <c r="Y359" i="27" s="1"/>
  <c r="GE240" i="27"/>
  <c r="GE197" i="27" s="1"/>
  <c r="GE359" i="27" s="1"/>
  <c r="IJ240" i="27"/>
  <c r="IJ197" i="27" s="1"/>
  <c r="IJ359" i="27" s="1"/>
  <c r="BP240" i="27"/>
  <c r="BP197" i="27" s="1"/>
  <c r="BP359" i="27" s="1"/>
  <c r="BW240" i="27"/>
  <c r="BW197" i="27" s="1"/>
  <c r="BW359" i="27" s="1"/>
  <c r="FI240" i="27"/>
  <c r="FI197" i="27" s="1"/>
  <c r="FI359" i="27" s="1"/>
  <c r="BZ240" i="27"/>
  <c r="BZ197" i="27" s="1"/>
  <c r="BZ359" i="27" s="1"/>
  <c r="DD240" i="27"/>
  <c r="DD197" i="27" s="1"/>
  <c r="DD359" i="27" s="1"/>
  <c r="IK240" i="27"/>
  <c r="IK197" i="27" s="1"/>
  <c r="IK359" i="27" s="1"/>
  <c r="CI101" i="26"/>
  <c r="CU101" i="26" s="1"/>
  <c r="CZ79" i="26"/>
  <c r="EL79" i="26"/>
  <c r="DS79" i="26"/>
  <c r="CG79" i="26"/>
  <c r="FE79" i="26"/>
  <c r="CK118" i="26" l="1"/>
  <c r="CK139" i="26" s="1"/>
  <c r="C150" i="25" s="1"/>
  <c r="B150" i="25" s="1"/>
  <c r="A150" i="25" s="1"/>
  <c r="CK101" i="26"/>
  <c r="E252" i="27"/>
  <c r="E256" i="27" s="1"/>
  <c r="D256" i="27"/>
  <c r="E199" i="27" s="1"/>
  <c r="CH356" i="27" s="1"/>
  <c r="E327" i="27"/>
  <c r="E330" i="27" s="1"/>
  <c r="E329" i="27"/>
  <c r="E282" i="27"/>
  <c r="E274" i="27" s="1"/>
  <c r="G338" i="27"/>
  <c r="G339" i="27" s="1"/>
  <c r="DQ362" i="27"/>
  <c r="CQ362" i="27"/>
  <c r="HM362" i="27"/>
  <c r="HS362" i="27"/>
  <c r="EK362" i="27"/>
  <c r="BN362" i="27"/>
  <c r="HK362" i="27"/>
  <c r="IE362" i="27"/>
  <c r="DX362" i="27"/>
  <c r="BK362" i="27"/>
  <c r="H362" i="27"/>
  <c r="CT362" i="27"/>
  <c r="CJ362" i="27"/>
  <c r="HD362" i="27"/>
  <c r="S362" i="27"/>
  <c r="DG362" i="27"/>
  <c r="EL362" i="27"/>
  <c r="FG362" i="27"/>
  <c r="Q362" i="27"/>
  <c r="FN362" i="27"/>
  <c r="DC362" i="27"/>
  <c r="DF362" i="27"/>
  <c r="GQ362" i="27"/>
  <c r="HR362" i="27"/>
  <c r="AI362" i="27"/>
  <c r="IG362" i="27"/>
  <c r="EZ362" i="27"/>
  <c r="CY362" i="27"/>
  <c r="HN362" i="27"/>
  <c r="HZ362" i="27"/>
  <c r="AK362" i="27"/>
  <c r="DA362" i="27"/>
  <c r="GX362" i="27"/>
  <c r="AJ362" i="27"/>
  <c r="EA362" i="27"/>
  <c r="AL362" i="27"/>
  <c r="DV362" i="27"/>
  <c r="GK362" i="27"/>
  <c r="CV362" i="27"/>
  <c r="CI362" i="27"/>
  <c r="ID362" i="27"/>
  <c r="HU362" i="27"/>
  <c r="CN362" i="27"/>
  <c r="CD362" i="27"/>
  <c r="DJ362" i="27"/>
  <c r="EY362" i="27"/>
  <c r="BP362" i="27"/>
  <c r="FL362" i="27"/>
  <c r="AA362" i="27"/>
  <c r="ER362" i="27"/>
  <c r="M362" i="27"/>
  <c r="I362" i="27"/>
  <c r="FK362" i="27"/>
  <c r="CW362" i="27"/>
  <c r="DP362" i="27"/>
  <c r="FT362" i="27"/>
  <c r="ED362" i="27"/>
  <c r="GF362" i="27"/>
  <c r="L362" i="27"/>
  <c r="HG362" i="27"/>
  <c r="BT362" i="27"/>
  <c r="CA362" i="27"/>
  <c r="FI362" i="27"/>
  <c r="BI362" i="27"/>
  <c r="FW362" i="27"/>
  <c r="HV362" i="27"/>
  <c r="DT362" i="27"/>
  <c r="FF362" i="27"/>
  <c r="BY362" i="27"/>
  <c r="DS362" i="27"/>
  <c r="DK362" i="27"/>
  <c r="BH362" i="27"/>
  <c r="DU362" i="27"/>
  <c r="DM362" i="27"/>
  <c r="P362" i="27"/>
  <c r="CK362" i="27"/>
  <c r="T362" i="27"/>
  <c r="AR362" i="27"/>
  <c r="EV362" i="27"/>
  <c r="FM362" i="27"/>
  <c r="HY362" i="27"/>
  <c r="BG362" i="27"/>
  <c r="FA362" i="27"/>
  <c r="U362" i="27"/>
  <c r="AX362" i="27"/>
  <c r="GO362" i="27"/>
  <c r="EX362" i="27"/>
  <c r="BD362" i="27"/>
  <c r="BQ362" i="27"/>
  <c r="FD362" i="27"/>
  <c r="BS362" i="27"/>
  <c r="HF362" i="27"/>
  <c r="CR362" i="27"/>
  <c r="X362" i="27"/>
  <c r="EQ362" i="27"/>
  <c r="AF362" i="27"/>
  <c r="EE362" i="27"/>
  <c r="GW362" i="27"/>
  <c r="BR362" i="27"/>
  <c r="AB362" i="27"/>
  <c r="DH362" i="27"/>
  <c r="EJ362" i="27"/>
  <c r="HP362" i="27"/>
  <c r="IB362" i="27"/>
  <c r="GP362" i="27"/>
  <c r="W362" i="27"/>
  <c r="O362" i="27"/>
  <c r="EH362" i="27"/>
  <c r="EN362" i="27"/>
  <c r="BL362" i="27"/>
  <c r="R362" i="27"/>
  <c r="FE362" i="27"/>
  <c r="AZ362" i="27"/>
  <c r="HO362" i="27"/>
  <c r="DR362" i="27"/>
  <c r="EF362" i="27"/>
  <c r="FP362" i="27"/>
  <c r="HB362" i="27"/>
  <c r="CE362" i="27"/>
  <c r="N362" i="27"/>
  <c r="GD362" i="27"/>
  <c r="HC362" i="27"/>
  <c r="CX362" i="27"/>
  <c r="GN362" i="27"/>
  <c r="DE362" i="27"/>
  <c r="J362" i="27"/>
  <c r="BA362" i="27"/>
  <c r="CO362" i="27"/>
  <c r="AQ362" i="27"/>
  <c r="GY362" i="27"/>
  <c r="ES362" i="27"/>
  <c r="ET362" i="27"/>
  <c r="EI362" i="27"/>
  <c r="HX362" i="27"/>
  <c r="HT362" i="27"/>
  <c r="FJ362" i="27"/>
  <c r="CF362" i="27"/>
  <c r="CH362" i="27"/>
  <c r="IH362" i="27"/>
  <c r="BJ362" i="27"/>
  <c r="FV362" i="27"/>
  <c r="FZ362" i="27"/>
  <c r="HQ362" i="27"/>
  <c r="IJ362" i="27"/>
  <c r="DL362" i="27"/>
  <c r="DI362" i="27"/>
  <c r="GM362" i="27"/>
  <c r="Z362" i="27"/>
  <c r="DO362" i="27"/>
  <c r="AV362" i="27"/>
  <c r="CC362" i="27"/>
  <c r="DW362" i="27"/>
  <c r="EC362" i="27"/>
  <c r="GA362" i="27"/>
  <c r="HW362" i="27"/>
  <c r="AH362" i="27"/>
  <c r="DB362" i="27"/>
  <c r="BU362" i="27"/>
  <c r="IK362" i="27"/>
  <c r="AC362" i="27"/>
  <c r="AM362" i="27"/>
  <c r="BF362" i="27"/>
  <c r="GG362" i="27"/>
  <c r="AD362" i="27"/>
  <c r="HE362" i="27"/>
  <c r="BW362" i="27"/>
  <c r="DD362" i="27"/>
  <c r="AE362" i="27"/>
  <c r="EW362" i="27"/>
  <c r="CZ362" i="27"/>
  <c r="GE362" i="27"/>
  <c r="GS362" i="27"/>
  <c r="BO362" i="27"/>
  <c r="HI362" i="27"/>
  <c r="GC362" i="27"/>
  <c r="BM362" i="27"/>
  <c r="CL362" i="27"/>
  <c r="BV362" i="27"/>
  <c r="GI362" i="27"/>
  <c r="FY362" i="27"/>
  <c r="Y362" i="27"/>
  <c r="DN362" i="27"/>
  <c r="GJ362" i="27"/>
  <c r="FX362" i="27"/>
  <c r="HJ362" i="27"/>
  <c r="FR362" i="27"/>
  <c r="GZ362" i="27"/>
  <c r="EP362" i="27"/>
  <c r="FS362" i="27"/>
  <c r="AO362" i="27"/>
  <c r="EO362" i="27"/>
  <c r="FU362" i="27"/>
  <c r="GT362" i="27"/>
  <c r="EM362" i="27"/>
  <c r="GU362" i="27"/>
  <c r="CG362" i="27"/>
  <c r="CB362" i="27"/>
  <c r="BZ362" i="27"/>
  <c r="CS362" i="27"/>
  <c r="GR362" i="27"/>
  <c r="IC362" i="27"/>
  <c r="EU362" i="27"/>
  <c r="CP362" i="27"/>
  <c r="IA362" i="27"/>
  <c r="BX362" i="27"/>
  <c r="FC362" i="27"/>
  <c r="FH362" i="27"/>
  <c r="AP362" i="27"/>
  <c r="FB362" i="27"/>
  <c r="HL362" i="27"/>
  <c r="GB362" i="27"/>
  <c r="GV362" i="27"/>
  <c r="DY362" i="27"/>
  <c r="K362" i="27"/>
  <c r="V362" i="27"/>
  <c r="BB362" i="27"/>
  <c r="GH362" i="27"/>
  <c r="AU362" i="27"/>
  <c r="AW362" i="27"/>
  <c r="EG362" i="27"/>
  <c r="AT362" i="27"/>
  <c r="HH362" i="27"/>
  <c r="GL362" i="27"/>
  <c r="II362" i="27"/>
  <c r="AY362" i="27"/>
  <c r="BC362" i="27"/>
  <c r="BE362" i="27"/>
  <c r="AG362" i="27"/>
  <c r="IF362" i="27"/>
  <c r="CU362" i="27"/>
  <c r="FQ362" i="27"/>
  <c r="AN362" i="27"/>
  <c r="FO362" i="27"/>
  <c r="HA362" i="27"/>
  <c r="CM362" i="27"/>
  <c r="AS362" i="27"/>
  <c r="EB362" i="27"/>
  <c r="DZ362" i="27"/>
  <c r="Y143" i="26"/>
  <c r="AB143" i="26" s="1"/>
  <c r="AD143" i="26" s="1"/>
  <c r="AP115" i="27"/>
  <c r="AP353" i="27" s="1"/>
  <c r="DP174" i="27"/>
  <c r="DP173" i="27" s="1"/>
  <c r="DP115" i="27"/>
  <c r="DP353" i="27" s="1"/>
  <c r="EC115" i="27"/>
  <c r="EC353" i="27" s="1"/>
  <c r="EC174" i="27"/>
  <c r="EC173" i="27" s="1"/>
  <c r="AX115" i="27"/>
  <c r="AX353" i="27" s="1"/>
  <c r="AX174" i="27"/>
  <c r="AX173" i="27" s="1"/>
  <c r="CB115" i="27"/>
  <c r="CB353" i="27" s="1"/>
  <c r="CB174" i="27"/>
  <c r="CB173" i="27" s="1"/>
  <c r="CN115" i="27"/>
  <c r="CN353" i="27" s="1"/>
  <c r="CN174" i="27"/>
  <c r="CN173" i="27" s="1"/>
  <c r="EY115" i="27"/>
  <c r="EY353" i="27" s="1"/>
  <c r="EY174" i="27"/>
  <c r="EY173" i="27" s="1"/>
  <c r="BQ115" i="27"/>
  <c r="BQ353" i="27" s="1"/>
  <c r="BQ174" i="27"/>
  <c r="BQ173" i="27" s="1"/>
  <c r="EF115" i="27"/>
  <c r="EF353" i="27" s="1"/>
  <c r="EF174" i="27"/>
  <c r="EF173" i="27" s="1"/>
  <c r="HA174" i="27"/>
  <c r="HA173" i="27" s="1"/>
  <c r="HA115" i="27"/>
  <c r="HA353" i="27" s="1"/>
  <c r="BT115" i="27"/>
  <c r="BT353" i="27" s="1"/>
  <c r="BT174" i="27"/>
  <c r="BT173" i="27" s="1"/>
  <c r="CC174" i="27"/>
  <c r="CC173" i="27" s="1"/>
  <c r="CC115" i="27"/>
  <c r="CC353" i="27" s="1"/>
  <c r="CJ115" i="27"/>
  <c r="CJ353" i="27" s="1"/>
  <c r="CJ174" i="27"/>
  <c r="CJ173" i="27" s="1"/>
  <c r="HZ115" i="27"/>
  <c r="HZ353" i="27" s="1"/>
  <c r="HZ174" i="27"/>
  <c r="HZ173" i="27" s="1"/>
  <c r="W115" i="27"/>
  <c r="W353" i="27" s="1"/>
  <c r="W174" i="27"/>
  <c r="W173" i="27" s="1"/>
  <c r="AF115" i="27"/>
  <c r="AF353" i="27" s="1"/>
  <c r="AF174" i="27"/>
  <c r="AF173" i="27" s="1"/>
  <c r="I115" i="27"/>
  <c r="I353" i="27" s="1"/>
  <c r="I174" i="27"/>
  <c r="I173" i="27" s="1"/>
  <c r="O174" i="27"/>
  <c r="O173" i="27" s="1"/>
  <c r="O115" i="27"/>
  <c r="O353" i="27" s="1"/>
  <c r="DZ174" i="27"/>
  <c r="DZ173" i="27" s="1"/>
  <c r="DZ115" i="27"/>
  <c r="DZ353" i="27" s="1"/>
  <c r="HO174" i="27"/>
  <c r="HO173" i="27" s="1"/>
  <c r="HO115" i="27"/>
  <c r="HO353" i="27" s="1"/>
  <c r="BB115" i="27"/>
  <c r="BB353" i="27" s="1"/>
  <c r="BB174" i="27"/>
  <c r="BB173" i="27" s="1"/>
  <c r="EE174" i="27"/>
  <c r="EE173" i="27" s="1"/>
  <c r="EE115" i="27"/>
  <c r="EE353" i="27" s="1"/>
  <c r="FW174" i="27"/>
  <c r="FW173" i="27" s="1"/>
  <c r="FW115" i="27"/>
  <c r="FW353" i="27" s="1"/>
  <c r="CX115" i="27"/>
  <c r="CX353" i="27" s="1"/>
  <c r="CX174" i="27"/>
  <c r="CX173" i="27" s="1"/>
  <c r="DU115" i="27"/>
  <c r="DU353" i="27" s="1"/>
  <c r="DU174" i="27"/>
  <c r="DU173" i="27" s="1"/>
  <c r="GZ115" i="27"/>
  <c r="GZ353" i="27" s="1"/>
  <c r="GZ174" i="27"/>
  <c r="GZ173" i="27" s="1"/>
  <c r="CT115" i="27"/>
  <c r="CT353" i="27" s="1"/>
  <c r="CT174" i="27"/>
  <c r="CT173" i="27" s="1"/>
  <c r="FV115" i="27"/>
  <c r="FV353" i="27" s="1"/>
  <c r="FV174" i="27"/>
  <c r="FV173" i="27" s="1"/>
  <c r="HC115" i="27"/>
  <c r="HC353" i="27" s="1"/>
  <c r="HC174" i="27"/>
  <c r="HC173" i="27" s="1"/>
  <c r="AI115" i="27"/>
  <c r="AI353" i="27" s="1"/>
  <c r="AI174" i="27"/>
  <c r="AI173" i="27" s="1"/>
  <c r="CF115" i="27"/>
  <c r="CF353" i="27" s="1"/>
  <c r="CF174" i="27"/>
  <c r="CF173" i="27" s="1"/>
  <c r="EB115" i="27"/>
  <c r="EB353" i="27" s="1"/>
  <c r="EB174" i="27"/>
  <c r="EB173" i="27" s="1"/>
  <c r="J115" i="27"/>
  <c r="J353" i="27" s="1"/>
  <c r="J174" i="27"/>
  <c r="J173" i="27" s="1"/>
  <c r="V115" i="27"/>
  <c r="V353" i="27" s="1"/>
  <c r="V174" i="27"/>
  <c r="V173" i="27" s="1"/>
  <c r="EM174" i="27"/>
  <c r="EM173" i="27" s="1"/>
  <c r="EM115" i="27"/>
  <c r="EM353" i="27" s="1"/>
  <c r="AZ115" i="27"/>
  <c r="AZ353" i="27" s="1"/>
  <c r="AZ174" i="27"/>
  <c r="AZ173" i="27" s="1"/>
  <c r="AC115" i="27"/>
  <c r="AC353" i="27" s="1"/>
  <c r="AC174" i="27"/>
  <c r="AC173" i="27" s="1"/>
  <c r="Y174" i="27"/>
  <c r="Y173" i="27" s="1"/>
  <c r="Y115" i="27"/>
  <c r="Y353" i="27" s="1"/>
  <c r="CZ174" i="27"/>
  <c r="CZ173" i="27" s="1"/>
  <c r="CZ115" i="27"/>
  <c r="CZ353" i="27" s="1"/>
  <c r="GD115" i="27"/>
  <c r="GD353" i="27" s="1"/>
  <c r="GD174" i="27"/>
  <c r="GD173" i="27" s="1"/>
  <c r="DV115" i="27"/>
  <c r="DV353" i="27" s="1"/>
  <c r="DV174" i="27"/>
  <c r="DV173" i="27" s="1"/>
  <c r="HX115" i="27"/>
  <c r="HX353" i="27" s="1"/>
  <c r="HX174" i="27"/>
  <c r="HX173" i="27" s="1"/>
  <c r="AQ115" i="27"/>
  <c r="AQ353" i="27" s="1"/>
  <c r="AQ174" i="27"/>
  <c r="AQ173" i="27" s="1"/>
  <c r="AW115" i="27"/>
  <c r="AW353" i="27" s="1"/>
  <c r="AW174" i="27"/>
  <c r="AW173" i="27" s="1"/>
  <c r="HD115" i="27"/>
  <c r="HD353" i="27" s="1"/>
  <c r="HD174" i="27"/>
  <c r="HD173" i="27" s="1"/>
  <c r="N174" i="27"/>
  <c r="N173" i="27" s="1"/>
  <c r="N115" i="27"/>
  <c r="N353" i="27" s="1"/>
  <c r="HV115" i="27"/>
  <c r="HV353" i="27" s="1"/>
  <c r="HV174" i="27"/>
  <c r="HV173" i="27" s="1"/>
  <c r="DN174" i="27"/>
  <c r="DN173" i="27" s="1"/>
  <c r="DN115" i="27"/>
  <c r="DN353" i="27" s="1"/>
  <c r="FR115" i="27"/>
  <c r="FR353" i="27" s="1"/>
  <c r="FR174" i="27"/>
  <c r="FR173" i="27" s="1"/>
  <c r="EJ115" i="27"/>
  <c r="EJ353" i="27" s="1"/>
  <c r="EJ174" i="27"/>
  <c r="EJ173" i="27" s="1"/>
  <c r="CI174" i="27"/>
  <c r="CI173" i="27" s="1"/>
  <c r="CI115" i="27"/>
  <c r="CI353" i="27" s="1"/>
  <c r="BW115" i="27"/>
  <c r="BW353" i="27" s="1"/>
  <c r="BW174" i="27"/>
  <c r="BW173" i="27" s="1"/>
  <c r="AB115" i="27"/>
  <c r="AB353" i="27" s="1"/>
  <c r="AB174" i="27"/>
  <c r="AB173" i="27" s="1"/>
  <c r="ET115" i="27"/>
  <c r="ET353" i="27" s="1"/>
  <c r="ET174" i="27"/>
  <c r="ET173" i="27" s="1"/>
  <c r="CW115" i="27"/>
  <c r="CW353" i="27" s="1"/>
  <c r="CW174" i="27"/>
  <c r="CW173" i="27" s="1"/>
  <c r="FD115" i="27"/>
  <c r="FD353" i="27" s="1"/>
  <c r="FD174" i="27"/>
  <c r="FD173" i="27" s="1"/>
  <c r="EO115" i="27"/>
  <c r="EO353" i="27" s="1"/>
  <c r="EO174" i="27"/>
  <c r="EO173" i="27" s="1"/>
  <c r="AV174" i="27"/>
  <c r="AV173" i="27" s="1"/>
  <c r="AV115" i="27"/>
  <c r="AV353" i="27" s="1"/>
  <c r="CG115" i="27"/>
  <c r="CG353" i="27" s="1"/>
  <c r="CG174" i="27"/>
  <c r="CG173" i="27" s="1"/>
  <c r="DL115" i="27"/>
  <c r="DL353" i="27" s="1"/>
  <c r="DL174" i="27"/>
  <c r="DL173" i="27" s="1"/>
  <c r="BN115" i="27"/>
  <c r="BN353" i="27" s="1"/>
  <c r="BN174" i="27"/>
  <c r="BN173" i="27" s="1"/>
  <c r="E349" i="27"/>
  <c r="IH174" i="27"/>
  <c r="IH173" i="27" s="1"/>
  <c r="IH115" i="27"/>
  <c r="IH353" i="27" s="1"/>
  <c r="EH115" i="27"/>
  <c r="EH353" i="27" s="1"/>
  <c r="EH174" i="27"/>
  <c r="EH173" i="27" s="1"/>
  <c r="DQ174" i="27"/>
  <c r="DQ173" i="27" s="1"/>
  <c r="DQ115" i="27"/>
  <c r="DQ353" i="27" s="1"/>
  <c r="BK115" i="27"/>
  <c r="BK353" i="27" s="1"/>
  <c r="BK174" i="27"/>
  <c r="BK173" i="27" s="1"/>
  <c r="BU115" i="27"/>
  <c r="BU353" i="27" s="1"/>
  <c r="BU174" i="27"/>
  <c r="BU173" i="27" s="1"/>
  <c r="CU115" i="27"/>
  <c r="CU353" i="27" s="1"/>
  <c r="CU174" i="27"/>
  <c r="CU173" i="27" s="1"/>
  <c r="AJ115" i="27"/>
  <c r="AJ353" i="27" s="1"/>
  <c r="AJ174" i="27"/>
  <c r="AJ173" i="27" s="1"/>
  <c r="EP115" i="27"/>
  <c r="EP353" i="27" s="1"/>
  <c r="EP174" i="27"/>
  <c r="EP173" i="27" s="1"/>
  <c r="S115" i="27"/>
  <c r="S353" i="27" s="1"/>
  <c r="S174" i="27"/>
  <c r="S173" i="27" s="1"/>
  <c r="FF115" i="27"/>
  <c r="FF353" i="27" s="1"/>
  <c r="FF174" i="27"/>
  <c r="FF173" i="27" s="1"/>
  <c r="GW115" i="27"/>
  <c r="GW353" i="27" s="1"/>
  <c r="GW174" i="27"/>
  <c r="GW173" i="27" s="1"/>
  <c r="Q115" i="27"/>
  <c r="Q353" i="27" s="1"/>
  <c r="Q174" i="27"/>
  <c r="Q173" i="27" s="1"/>
  <c r="BV115" i="27"/>
  <c r="BV353" i="27" s="1"/>
  <c r="BV174" i="27"/>
  <c r="BV173" i="27" s="1"/>
  <c r="GF115" i="27"/>
  <c r="GF353" i="27" s="1"/>
  <c r="GF174" i="27"/>
  <c r="GF173" i="27" s="1"/>
  <c r="HH174" i="27"/>
  <c r="HH173" i="27" s="1"/>
  <c r="HH115" i="27"/>
  <c r="HH353" i="27" s="1"/>
  <c r="DI115" i="27"/>
  <c r="DI353" i="27" s="1"/>
  <c r="DI174" i="27"/>
  <c r="DI173" i="27" s="1"/>
  <c r="BO115" i="27"/>
  <c r="BO353" i="27" s="1"/>
  <c r="BO174" i="27"/>
  <c r="BO173" i="27" s="1"/>
  <c r="HJ115" i="27"/>
  <c r="HJ353" i="27" s="1"/>
  <c r="HJ174" i="27"/>
  <c r="HJ173" i="27" s="1"/>
  <c r="EV115" i="27"/>
  <c r="EV353" i="27" s="1"/>
  <c r="EV174" i="27"/>
  <c r="EV173" i="27" s="1"/>
  <c r="HL115" i="27"/>
  <c r="HL353" i="27" s="1"/>
  <c r="HL174" i="27"/>
  <c r="HL173" i="27" s="1"/>
  <c r="DD174" i="27"/>
  <c r="DD173" i="27" s="1"/>
  <c r="DD115" i="27"/>
  <c r="DD353" i="27" s="1"/>
  <c r="AG115" i="27"/>
  <c r="AG353" i="27" s="1"/>
  <c r="AG174" i="27"/>
  <c r="AG173" i="27" s="1"/>
  <c r="GH115" i="27"/>
  <c r="GH353" i="27" s="1"/>
  <c r="GH174" i="27"/>
  <c r="GH173" i="27" s="1"/>
  <c r="IJ115" i="27"/>
  <c r="IJ353" i="27" s="1"/>
  <c r="IJ174" i="27"/>
  <c r="IJ173" i="27" s="1"/>
  <c r="HF115" i="27"/>
  <c r="HF353" i="27" s="1"/>
  <c r="HF174" i="27"/>
  <c r="HF173" i="27" s="1"/>
  <c r="HB115" i="27"/>
  <c r="HB353" i="27" s="1"/>
  <c r="HB174" i="27"/>
  <c r="HB173" i="27" s="1"/>
  <c r="EW115" i="27"/>
  <c r="EW353" i="27" s="1"/>
  <c r="EW174" i="27"/>
  <c r="EW173" i="27" s="1"/>
  <c r="IA115" i="27"/>
  <c r="IA353" i="27" s="1"/>
  <c r="IA174" i="27"/>
  <c r="IA173" i="27" s="1"/>
  <c r="IC115" i="27"/>
  <c r="IC353" i="27" s="1"/>
  <c r="IC174" i="27"/>
  <c r="IC173" i="27" s="1"/>
  <c r="BP115" i="27"/>
  <c r="BP353" i="27" s="1"/>
  <c r="BP174" i="27"/>
  <c r="BP173" i="27" s="1"/>
  <c r="FU115" i="27"/>
  <c r="FU353" i="27" s="1"/>
  <c r="FU174" i="27"/>
  <c r="FU173" i="27" s="1"/>
  <c r="IB174" i="27"/>
  <c r="IB173" i="27" s="1"/>
  <c r="IB115" i="27"/>
  <c r="IB353" i="27" s="1"/>
  <c r="BJ115" i="27"/>
  <c r="BJ353" i="27" s="1"/>
  <c r="BJ174" i="27"/>
  <c r="BJ173" i="27" s="1"/>
  <c r="EQ115" i="27"/>
  <c r="EQ353" i="27" s="1"/>
  <c r="EQ174" i="27"/>
  <c r="EQ173" i="27" s="1"/>
  <c r="FC174" i="27"/>
  <c r="FC173" i="27" s="1"/>
  <c r="FC115" i="27"/>
  <c r="FC353" i="27" s="1"/>
  <c r="FY115" i="27"/>
  <c r="FY353" i="27" s="1"/>
  <c r="FY174" i="27"/>
  <c r="FY173" i="27" s="1"/>
  <c r="DE115" i="27"/>
  <c r="DE353" i="27" s="1"/>
  <c r="DE174" i="27"/>
  <c r="DE173" i="27" s="1"/>
  <c r="GB115" i="27"/>
  <c r="GB353" i="27" s="1"/>
  <c r="GB174" i="27"/>
  <c r="GB173" i="27" s="1"/>
  <c r="CV115" i="27"/>
  <c r="CV353" i="27" s="1"/>
  <c r="CV174" i="27"/>
  <c r="CV173" i="27" s="1"/>
  <c r="IK115" i="27"/>
  <c r="IK353" i="27" s="1"/>
  <c r="IK174" i="27"/>
  <c r="IK173" i="27" s="1"/>
  <c r="ER174" i="27"/>
  <c r="ER173" i="27" s="1"/>
  <c r="ER115" i="27"/>
  <c r="ER353" i="27" s="1"/>
  <c r="GS115" i="27"/>
  <c r="GS353" i="27" s="1"/>
  <c r="GS174" i="27"/>
  <c r="GS173" i="27" s="1"/>
  <c r="FL115" i="27"/>
  <c r="FL353" i="27" s="1"/>
  <c r="FL174" i="27"/>
  <c r="FL173" i="27" s="1"/>
  <c r="CR115" i="27"/>
  <c r="CR353" i="27" s="1"/>
  <c r="CR174" i="27"/>
  <c r="CR173" i="27" s="1"/>
  <c r="GP115" i="27"/>
  <c r="GP353" i="27" s="1"/>
  <c r="GP174" i="27"/>
  <c r="GP173" i="27" s="1"/>
  <c r="AY174" i="27"/>
  <c r="AY173" i="27" s="1"/>
  <c r="AY115" i="27"/>
  <c r="AY353" i="27" s="1"/>
  <c r="BG115" i="27"/>
  <c r="BG353" i="27" s="1"/>
  <c r="BG174" i="27"/>
  <c r="BG173" i="27" s="1"/>
  <c r="GE115" i="27"/>
  <c r="GE353" i="27" s="1"/>
  <c r="GE174" i="27"/>
  <c r="GE173" i="27" s="1"/>
  <c r="FN174" i="27"/>
  <c r="FN173" i="27" s="1"/>
  <c r="FN115" i="27"/>
  <c r="FN353" i="27" s="1"/>
  <c r="HG115" i="27"/>
  <c r="HG353" i="27" s="1"/>
  <c r="HG174" i="27"/>
  <c r="HG173" i="27" s="1"/>
  <c r="AL174" i="27"/>
  <c r="AL173" i="27" s="1"/>
  <c r="AL115" i="27"/>
  <c r="AL353" i="27" s="1"/>
  <c r="DW115" i="27"/>
  <c r="DW353" i="27" s="1"/>
  <c r="DW174" i="27"/>
  <c r="DW173" i="27" s="1"/>
  <c r="X115" i="27"/>
  <c r="X353" i="27" s="1"/>
  <c r="X174" i="27"/>
  <c r="X173" i="27" s="1"/>
  <c r="DY115" i="27"/>
  <c r="DY353" i="27" s="1"/>
  <c r="DY174" i="27"/>
  <c r="DY173" i="27" s="1"/>
  <c r="DK115" i="27"/>
  <c r="DK353" i="27" s="1"/>
  <c r="DK174" i="27"/>
  <c r="DK173" i="27" s="1"/>
  <c r="HK115" i="27"/>
  <c r="HK353" i="27" s="1"/>
  <c r="HK174" i="27"/>
  <c r="HK173" i="27" s="1"/>
  <c r="CS115" i="27"/>
  <c r="CS353" i="27" s="1"/>
  <c r="CS174" i="27"/>
  <c r="CS173" i="27" s="1"/>
  <c r="AU115" i="27"/>
  <c r="AU353" i="27" s="1"/>
  <c r="AU174" i="27"/>
  <c r="AU173" i="27" s="1"/>
  <c r="GT115" i="27"/>
  <c r="GT353" i="27" s="1"/>
  <c r="GT174" i="27"/>
  <c r="GT173" i="27" s="1"/>
  <c r="DJ115" i="27"/>
  <c r="DJ353" i="27" s="1"/>
  <c r="DJ174" i="27"/>
  <c r="DJ173" i="27" s="1"/>
  <c r="GK115" i="27"/>
  <c r="GK353" i="27" s="1"/>
  <c r="GK174" i="27"/>
  <c r="GK173" i="27" s="1"/>
  <c r="H115" i="27"/>
  <c r="H353" i="27" s="1"/>
  <c r="H174" i="27"/>
  <c r="H173" i="27" s="1"/>
  <c r="HR174" i="27"/>
  <c r="HR173" i="27" s="1"/>
  <c r="HR115" i="27"/>
  <c r="HR353" i="27" s="1"/>
  <c r="DH115" i="27"/>
  <c r="DH353" i="27" s="1"/>
  <c r="DH174" i="27"/>
  <c r="DH173" i="27" s="1"/>
  <c r="GX115" i="27"/>
  <c r="GX353" i="27" s="1"/>
  <c r="GX174" i="27"/>
  <c r="GX173" i="27" s="1"/>
  <c r="HT174" i="27"/>
  <c r="HT173" i="27" s="1"/>
  <c r="HT115" i="27"/>
  <c r="HT353" i="27" s="1"/>
  <c r="CD115" i="27"/>
  <c r="CD353" i="27" s="1"/>
  <c r="CD174" i="27"/>
  <c r="CD173" i="27" s="1"/>
  <c r="GC115" i="27"/>
  <c r="GC353" i="27" s="1"/>
  <c r="GC174" i="27"/>
  <c r="GC173" i="27" s="1"/>
  <c r="CH115" i="27"/>
  <c r="CH353" i="27" s="1"/>
  <c r="CH174" i="27"/>
  <c r="CH173" i="27" s="1"/>
  <c r="DS115" i="27"/>
  <c r="DS353" i="27" s="1"/>
  <c r="DS174" i="27"/>
  <c r="DS173" i="27" s="1"/>
  <c r="ID174" i="27"/>
  <c r="ID173" i="27" s="1"/>
  <c r="ID115" i="27"/>
  <c r="ID353" i="27" s="1"/>
  <c r="K115" i="27"/>
  <c r="K353" i="27" s="1"/>
  <c r="K174" i="27"/>
  <c r="K173" i="27" s="1"/>
  <c r="HM115" i="27"/>
  <c r="HM353" i="27" s="1"/>
  <c r="HM174" i="27"/>
  <c r="HM173" i="27" s="1"/>
  <c r="R115" i="27"/>
  <c r="R353" i="27" s="1"/>
  <c r="R174" i="27"/>
  <c r="R173" i="27" s="1"/>
  <c r="EK115" i="27"/>
  <c r="EK353" i="27" s="1"/>
  <c r="EK174" i="27"/>
  <c r="EK173" i="27" s="1"/>
  <c r="DB115" i="27"/>
  <c r="DB353" i="27" s="1"/>
  <c r="DB174" i="27"/>
  <c r="DB173" i="27" s="1"/>
  <c r="GG115" i="27"/>
  <c r="GG353" i="27" s="1"/>
  <c r="GG174" i="27"/>
  <c r="GG173" i="27" s="1"/>
  <c r="AS115" i="27"/>
  <c r="AS353" i="27" s="1"/>
  <c r="AS174" i="27"/>
  <c r="AS173" i="27" s="1"/>
  <c r="FA115" i="27"/>
  <c r="FA353" i="27" s="1"/>
  <c r="FA174" i="27"/>
  <c r="FA173" i="27" s="1"/>
  <c r="IE115" i="27"/>
  <c r="IE353" i="27" s="1"/>
  <c r="IE174" i="27"/>
  <c r="IE173" i="27" s="1"/>
  <c r="EL115" i="27"/>
  <c r="EL353" i="27" s="1"/>
  <c r="EL174" i="27"/>
  <c r="EL173" i="27" s="1"/>
  <c r="ED115" i="27"/>
  <c r="ED353" i="27" s="1"/>
  <c r="ED174" i="27"/>
  <c r="ED173" i="27" s="1"/>
  <c r="DX115" i="27"/>
  <c r="DX353" i="27" s="1"/>
  <c r="DX174" i="27"/>
  <c r="DX173" i="27" s="1"/>
  <c r="BH115" i="27"/>
  <c r="BH353" i="27" s="1"/>
  <c r="BH174" i="27"/>
  <c r="BH173" i="27" s="1"/>
  <c r="CL115" i="27"/>
  <c r="CL353" i="27" s="1"/>
  <c r="CL174" i="27"/>
  <c r="CL173" i="27" s="1"/>
  <c r="FS174" i="27"/>
  <c r="FS173" i="27" s="1"/>
  <c r="FS115" i="27"/>
  <c r="FS353" i="27" s="1"/>
  <c r="DR174" i="27"/>
  <c r="DR173" i="27" s="1"/>
  <c r="DR115" i="27"/>
  <c r="DR353" i="27" s="1"/>
  <c r="DF115" i="27"/>
  <c r="DF353" i="27" s="1"/>
  <c r="DF174" i="27"/>
  <c r="DF173" i="27" s="1"/>
  <c r="L115" i="27"/>
  <c r="L353" i="27" s="1"/>
  <c r="L174" i="27"/>
  <c r="L173" i="27" s="1"/>
  <c r="HQ115" i="27"/>
  <c r="HQ353" i="27" s="1"/>
  <c r="HQ174" i="27"/>
  <c r="HQ173" i="27" s="1"/>
  <c r="EA115" i="27"/>
  <c r="EA353" i="27" s="1"/>
  <c r="EA174" i="27"/>
  <c r="EA173" i="27" s="1"/>
  <c r="BC174" i="27"/>
  <c r="BC173" i="27" s="1"/>
  <c r="BC115" i="27"/>
  <c r="BC353" i="27" s="1"/>
  <c r="GV115" i="27"/>
  <c r="GV353" i="27" s="1"/>
  <c r="GV174" i="27"/>
  <c r="GV173" i="27" s="1"/>
  <c r="II115" i="27"/>
  <c r="II353" i="27" s="1"/>
  <c r="II174" i="27"/>
  <c r="II173" i="27" s="1"/>
  <c r="HN174" i="27"/>
  <c r="HN173" i="27" s="1"/>
  <c r="HN115" i="27"/>
  <c r="HN353" i="27" s="1"/>
  <c r="CO115" i="27"/>
  <c r="CO353" i="27" s="1"/>
  <c r="CO174" i="27"/>
  <c r="CO173" i="27" s="1"/>
  <c r="GO115" i="27"/>
  <c r="GO353" i="27" s="1"/>
  <c r="GO174" i="27"/>
  <c r="GO173" i="27" s="1"/>
  <c r="BY115" i="27"/>
  <c r="BY353" i="27" s="1"/>
  <c r="BY174" i="27"/>
  <c r="BY173" i="27" s="1"/>
  <c r="BX115" i="27"/>
  <c r="BX353" i="27" s="1"/>
  <c r="BX174" i="27"/>
  <c r="BX173" i="27" s="1"/>
  <c r="HE115" i="27"/>
  <c r="HE353" i="27" s="1"/>
  <c r="HE174" i="27"/>
  <c r="HE173" i="27" s="1"/>
  <c r="Z115" i="27"/>
  <c r="Z353" i="27" s="1"/>
  <c r="Z174" i="27"/>
  <c r="Z173" i="27" s="1"/>
  <c r="BD115" i="27"/>
  <c r="BD353" i="27" s="1"/>
  <c r="BD174" i="27"/>
  <c r="BD173" i="27" s="1"/>
  <c r="GJ115" i="27"/>
  <c r="GJ353" i="27" s="1"/>
  <c r="GJ174" i="27"/>
  <c r="GJ173" i="27" s="1"/>
  <c r="BL115" i="27"/>
  <c r="BL353" i="27" s="1"/>
  <c r="BL174" i="27"/>
  <c r="BL173" i="27" s="1"/>
  <c r="HS115" i="27"/>
  <c r="HS353" i="27" s="1"/>
  <c r="HS174" i="27"/>
  <c r="HS173" i="27" s="1"/>
  <c r="AA115" i="27"/>
  <c r="AA353" i="27" s="1"/>
  <c r="AA174" i="27"/>
  <c r="AA173" i="27" s="1"/>
  <c r="BS115" i="27"/>
  <c r="BS353" i="27" s="1"/>
  <c r="BS174" i="27"/>
  <c r="BS173" i="27" s="1"/>
  <c r="BI115" i="27"/>
  <c r="BI353" i="27" s="1"/>
  <c r="BI174" i="27"/>
  <c r="BI173" i="27" s="1"/>
  <c r="DO115" i="27"/>
  <c r="DO353" i="27" s="1"/>
  <c r="DO174" i="27"/>
  <c r="DO173" i="27" s="1"/>
  <c r="GM115" i="27"/>
  <c r="GM353" i="27" s="1"/>
  <c r="GM174" i="27"/>
  <c r="GM173" i="27" s="1"/>
  <c r="BM115" i="27"/>
  <c r="BM353" i="27" s="1"/>
  <c r="BM174" i="27"/>
  <c r="BM173" i="27" s="1"/>
  <c r="BE115" i="27"/>
  <c r="BE353" i="27" s="1"/>
  <c r="BE174" i="27"/>
  <c r="BE173" i="27" s="1"/>
  <c r="AN115" i="27"/>
  <c r="AN353" i="27" s="1"/>
  <c r="AN174" i="27"/>
  <c r="AN173" i="27" s="1"/>
  <c r="GR174" i="27"/>
  <c r="GR173" i="27" s="1"/>
  <c r="GR115" i="27"/>
  <c r="GR353" i="27" s="1"/>
  <c r="DC115" i="27"/>
  <c r="DC353" i="27" s="1"/>
  <c r="DC174" i="27"/>
  <c r="DC173" i="27" s="1"/>
  <c r="EU115" i="27"/>
  <c r="EU353" i="27" s="1"/>
  <c r="EU174" i="27"/>
  <c r="EU173" i="27" s="1"/>
  <c r="CK115" i="27"/>
  <c r="CK353" i="27" s="1"/>
  <c r="CK174" i="27"/>
  <c r="CK173" i="27" s="1"/>
  <c r="HY115" i="27"/>
  <c r="HY353" i="27" s="1"/>
  <c r="HY174" i="27"/>
  <c r="HY173" i="27" s="1"/>
  <c r="AK115" i="27"/>
  <c r="AK353" i="27" s="1"/>
  <c r="AK174" i="27"/>
  <c r="AK173" i="27" s="1"/>
  <c r="DT115" i="27"/>
  <c r="DT353" i="27" s="1"/>
  <c r="DT174" i="27"/>
  <c r="DT173" i="27" s="1"/>
  <c r="CA115" i="27"/>
  <c r="CA353" i="27" s="1"/>
  <c r="CA174" i="27"/>
  <c r="CA173" i="27" s="1"/>
  <c r="FQ115" i="27"/>
  <c r="FQ353" i="27" s="1"/>
  <c r="FQ174" i="27"/>
  <c r="FQ173" i="27" s="1"/>
  <c r="EG115" i="27"/>
  <c r="EG353" i="27" s="1"/>
  <c r="EG174" i="27"/>
  <c r="EG173" i="27" s="1"/>
  <c r="DA115" i="27"/>
  <c r="DA353" i="27" s="1"/>
  <c r="DA174" i="27"/>
  <c r="DA173" i="27" s="1"/>
  <c r="FH174" i="27"/>
  <c r="FH173" i="27" s="1"/>
  <c r="FH115" i="27"/>
  <c r="FH353" i="27" s="1"/>
  <c r="GY174" i="27"/>
  <c r="GY173" i="27" s="1"/>
  <c r="GY115" i="27"/>
  <c r="GY353" i="27" s="1"/>
  <c r="FZ115" i="27"/>
  <c r="FZ353" i="27" s="1"/>
  <c r="FZ174" i="27"/>
  <c r="FZ173" i="27" s="1"/>
  <c r="HP115" i="27"/>
  <c r="HP353" i="27" s="1"/>
  <c r="HP174" i="27"/>
  <c r="HP173" i="27" s="1"/>
  <c r="IG174" i="27"/>
  <c r="IG173" i="27" s="1"/>
  <c r="IG115" i="27"/>
  <c r="IG353" i="27" s="1"/>
  <c r="CM115" i="27"/>
  <c r="CM353" i="27" s="1"/>
  <c r="CM174" i="27"/>
  <c r="CM173" i="27" s="1"/>
  <c r="HI115" i="27"/>
  <c r="HI353" i="27" s="1"/>
  <c r="HI174" i="27"/>
  <c r="HI173" i="27" s="1"/>
  <c r="GI115" i="27"/>
  <c r="GI353" i="27" s="1"/>
  <c r="GI174" i="27"/>
  <c r="GI173" i="27" s="1"/>
  <c r="DM115" i="27"/>
  <c r="DM353" i="27" s="1"/>
  <c r="DM174" i="27"/>
  <c r="DM173" i="27" s="1"/>
  <c r="GQ115" i="27"/>
  <c r="GQ353" i="27" s="1"/>
  <c r="GQ174" i="27"/>
  <c r="GQ173" i="27" s="1"/>
  <c r="FJ115" i="27"/>
  <c r="FJ353" i="27" s="1"/>
  <c r="FJ174" i="27"/>
  <c r="FJ173" i="27" s="1"/>
  <c r="FK115" i="27"/>
  <c r="FK353" i="27" s="1"/>
  <c r="FK174" i="27"/>
  <c r="FK173" i="27" s="1"/>
  <c r="GN174" i="27"/>
  <c r="GN173" i="27" s="1"/>
  <c r="GN115" i="27"/>
  <c r="GN353" i="27" s="1"/>
  <c r="AE115" i="27"/>
  <c r="AE353" i="27" s="1"/>
  <c r="AE174" i="27"/>
  <c r="AE173" i="27" s="1"/>
  <c r="BA115" i="27"/>
  <c r="BA353" i="27" s="1"/>
  <c r="BA174" i="27"/>
  <c r="BA173" i="27" s="1"/>
  <c r="BZ115" i="27"/>
  <c r="BZ353" i="27" s="1"/>
  <c r="BZ174" i="27"/>
  <c r="BZ173" i="27" s="1"/>
  <c r="U115" i="27"/>
  <c r="U353" i="27" s="1"/>
  <c r="U174" i="27"/>
  <c r="U173" i="27" s="1"/>
  <c r="CY115" i="27"/>
  <c r="CY353" i="27" s="1"/>
  <c r="CY174" i="27"/>
  <c r="CY173" i="27" s="1"/>
  <c r="GA115" i="27"/>
  <c r="GA353" i="27" s="1"/>
  <c r="GA174" i="27"/>
  <c r="GA173" i="27" s="1"/>
  <c r="AM115" i="27"/>
  <c r="AM353" i="27" s="1"/>
  <c r="AM174" i="27"/>
  <c r="AM173" i="27" s="1"/>
  <c r="FI115" i="27"/>
  <c r="FI353" i="27" s="1"/>
  <c r="FI174" i="27"/>
  <c r="FI173" i="27" s="1"/>
  <c r="FE174" i="27"/>
  <c r="FE173" i="27" s="1"/>
  <c r="FE115" i="27"/>
  <c r="FE353" i="27" s="1"/>
  <c r="EN115" i="27"/>
  <c r="EN353" i="27" s="1"/>
  <c r="EN174" i="27"/>
  <c r="EN173" i="27" s="1"/>
  <c r="FM115" i="27"/>
  <c r="FM353" i="27" s="1"/>
  <c r="FM174" i="27"/>
  <c r="FM173" i="27" s="1"/>
  <c r="FB115" i="27"/>
  <c r="FB353" i="27" s="1"/>
  <c r="FB174" i="27"/>
  <c r="FB173" i="27" s="1"/>
  <c r="CE174" i="27"/>
  <c r="CE173" i="27" s="1"/>
  <c r="CE115" i="27"/>
  <c r="CE353" i="27" s="1"/>
  <c r="AO174" i="27"/>
  <c r="AO173" i="27" s="1"/>
  <c r="AO115" i="27"/>
  <c r="AO353" i="27" s="1"/>
  <c r="T174" i="27"/>
  <c r="T173" i="27" s="1"/>
  <c r="T115" i="27"/>
  <c r="T353" i="27" s="1"/>
  <c r="M115" i="27"/>
  <c r="M353" i="27" s="1"/>
  <c r="M174" i="27"/>
  <c r="M173" i="27" s="1"/>
  <c r="EZ174" i="27"/>
  <c r="EZ173" i="27" s="1"/>
  <c r="EZ115" i="27"/>
  <c r="EZ353" i="27" s="1"/>
  <c r="FT174" i="27"/>
  <c r="FT173" i="27" s="1"/>
  <c r="FT115" i="27"/>
  <c r="FT353" i="27" s="1"/>
  <c r="CQ115" i="27"/>
  <c r="CQ353" i="27" s="1"/>
  <c r="CQ174" i="27"/>
  <c r="CQ173" i="27" s="1"/>
  <c r="BR115" i="27"/>
  <c r="BR353" i="27" s="1"/>
  <c r="BR174" i="27"/>
  <c r="BR173" i="27" s="1"/>
  <c r="GU115" i="27"/>
  <c r="GU353" i="27" s="1"/>
  <c r="GU174" i="27"/>
  <c r="GU173" i="27" s="1"/>
  <c r="GL115" i="27"/>
  <c r="GL353" i="27" s="1"/>
  <c r="GL174" i="27"/>
  <c r="GL173" i="27" s="1"/>
  <c r="AT115" i="27"/>
  <c r="AT353" i="27" s="1"/>
  <c r="AT174" i="27"/>
  <c r="AT173" i="27" s="1"/>
  <c r="EI115" i="27"/>
  <c r="EI353" i="27" s="1"/>
  <c r="EI174" i="27"/>
  <c r="EI173" i="27" s="1"/>
  <c r="FG115" i="27"/>
  <c r="FG353" i="27" s="1"/>
  <c r="FG174" i="27"/>
  <c r="FG173" i="27" s="1"/>
  <c r="ES115" i="27"/>
  <c r="ES353" i="27" s="1"/>
  <c r="ES174" i="27"/>
  <c r="ES173" i="27" s="1"/>
  <c r="P115" i="27"/>
  <c r="P353" i="27" s="1"/>
  <c r="P174" i="27"/>
  <c r="P173" i="27" s="1"/>
  <c r="DG115" i="27"/>
  <c r="DG353" i="27" s="1"/>
  <c r="DG174" i="27"/>
  <c r="DG173" i="27" s="1"/>
  <c r="CP115" i="27"/>
  <c r="CP353" i="27" s="1"/>
  <c r="CP174" i="27"/>
  <c r="CP173" i="27" s="1"/>
  <c r="HU115" i="27"/>
  <c r="HU353" i="27" s="1"/>
  <c r="HU174" i="27"/>
  <c r="HU173" i="27" s="1"/>
  <c r="BF174" i="27"/>
  <c r="BF173" i="27" s="1"/>
  <c r="BF115" i="27"/>
  <c r="BF353" i="27" s="1"/>
  <c r="AR115" i="27"/>
  <c r="AR353" i="27" s="1"/>
  <c r="AR174" i="27"/>
  <c r="AR173" i="27" s="1"/>
  <c r="HW115" i="27"/>
  <c r="HW353" i="27" s="1"/>
  <c r="HW174" i="27"/>
  <c r="HW173" i="27" s="1"/>
  <c r="AD115" i="27"/>
  <c r="AD353" i="27" s="1"/>
  <c r="AD174" i="27"/>
  <c r="AD173" i="27" s="1"/>
  <c r="EX115" i="27"/>
  <c r="EX353" i="27" s="1"/>
  <c r="EX174" i="27"/>
  <c r="EX173" i="27" s="1"/>
  <c r="FX115" i="27"/>
  <c r="FX353" i="27" s="1"/>
  <c r="FX174" i="27"/>
  <c r="FX173" i="27" s="1"/>
  <c r="FO115" i="27"/>
  <c r="FO353" i="27" s="1"/>
  <c r="FO174" i="27"/>
  <c r="FO173" i="27" s="1"/>
  <c r="FP115" i="27"/>
  <c r="FP353" i="27" s="1"/>
  <c r="FP174" i="27"/>
  <c r="FP173" i="27" s="1"/>
  <c r="IF174" i="27"/>
  <c r="IF173" i="27" s="1"/>
  <c r="IF115" i="27"/>
  <c r="IF353" i="27" s="1"/>
  <c r="AH115" i="27"/>
  <c r="AH353" i="27" s="1"/>
  <c r="AH174" i="27"/>
  <c r="AH173" i="27" s="1"/>
  <c r="AP31" i="27"/>
  <c r="AP346" i="27" s="1"/>
  <c r="AP90" i="27"/>
  <c r="AP89" i="27" s="1"/>
  <c r="GI31" i="27"/>
  <c r="GI346" i="27" s="1"/>
  <c r="GI90" i="27"/>
  <c r="GI89" i="27" s="1"/>
  <c r="EO31" i="27"/>
  <c r="EO346" i="27" s="1"/>
  <c r="EO90" i="27"/>
  <c r="EO89" i="27" s="1"/>
  <c r="FK90" i="27"/>
  <c r="FK89" i="27" s="1"/>
  <c r="FK31" i="27"/>
  <c r="FK346" i="27" s="1"/>
  <c r="M31" i="27"/>
  <c r="M346" i="27" s="1"/>
  <c r="M90" i="27"/>
  <c r="M89" i="27" s="1"/>
  <c r="GN90" i="27"/>
  <c r="GN89" i="27" s="1"/>
  <c r="GN31" i="27"/>
  <c r="GN346" i="27" s="1"/>
  <c r="GX31" i="27"/>
  <c r="GX346" i="27" s="1"/>
  <c r="GX90" i="27"/>
  <c r="GX89" i="27" s="1"/>
  <c r="AO31" i="27"/>
  <c r="AO346" i="27" s="1"/>
  <c r="AO90" i="27"/>
  <c r="AO89" i="27" s="1"/>
  <c r="CE31" i="27"/>
  <c r="CE346" i="27" s="1"/>
  <c r="CE90" i="27"/>
  <c r="CE89" i="27" s="1"/>
  <c r="GJ90" i="27"/>
  <c r="GJ89" i="27" s="1"/>
  <c r="GJ31" i="27"/>
  <c r="GJ346" i="27" s="1"/>
  <c r="GO31" i="27"/>
  <c r="GO346" i="27" s="1"/>
  <c r="GO90" i="27"/>
  <c r="GO89" i="27" s="1"/>
  <c r="GU31" i="27"/>
  <c r="GU346" i="27" s="1"/>
  <c r="GU90" i="27"/>
  <c r="GU89" i="27" s="1"/>
  <c r="DW31" i="27"/>
  <c r="DW346" i="27" s="1"/>
  <c r="DW90" i="27"/>
  <c r="DW89" i="27" s="1"/>
  <c r="X31" i="27"/>
  <c r="X346" i="27" s="1"/>
  <c r="X90" i="27"/>
  <c r="X89" i="27" s="1"/>
  <c r="IA31" i="27"/>
  <c r="IA346" i="27" s="1"/>
  <c r="IA90" i="27"/>
  <c r="IA89" i="27" s="1"/>
  <c r="DP31" i="27"/>
  <c r="DP346" i="27" s="1"/>
  <c r="DP90" i="27"/>
  <c r="DP89" i="27" s="1"/>
  <c r="BR90" i="27"/>
  <c r="BR89" i="27" s="1"/>
  <c r="BR31" i="27"/>
  <c r="BR346" i="27" s="1"/>
  <c r="HK31" i="27"/>
  <c r="HK346" i="27" s="1"/>
  <c r="HK90" i="27"/>
  <c r="HK89" i="27" s="1"/>
  <c r="GH90" i="27"/>
  <c r="GH89" i="27" s="1"/>
  <c r="GH31" i="27"/>
  <c r="GH346" i="27" s="1"/>
  <c r="AI31" i="27"/>
  <c r="AI346" i="27" s="1"/>
  <c r="AI90" i="27"/>
  <c r="AI89" i="27" s="1"/>
  <c r="ER90" i="27"/>
  <c r="ER89" i="27" s="1"/>
  <c r="ER31" i="27"/>
  <c r="ER346" i="27" s="1"/>
  <c r="CO31" i="27"/>
  <c r="CO346" i="27" s="1"/>
  <c r="CO90" i="27"/>
  <c r="CO89" i="27" s="1"/>
  <c r="GG31" i="27"/>
  <c r="GG346" i="27" s="1"/>
  <c r="GG90" i="27"/>
  <c r="GG89" i="27" s="1"/>
  <c r="EH31" i="27"/>
  <c r="EH346" i="27" s="1"/>
  <c r="EH90" i="27"/>
  <c r="EH89" i="27" s="1"/>
  <c r="BT90" i="27"/>
  <c r="BT89" i="27" s="1"/>
  <c r="BT31" i="27"/>
  <c r="BT346" i="27" s="1"/>
  <c r="FT90" i="27"/>
  <c r="FT89" i="27" s="1"/>
  <c r="FT31" i="27"/>
  <c r="FT346" i="27" s="1"/>
  <c r="BO31" i="27"/>
  <c r="BO346" i="27" s="1"/>
  <c r="BO90" i="27"/>
  <c r="BO89" i="27" s="1"/>
  <c r="IJ31" i="27"/>
  <c r="IJ346" i="27" s="1"/>
  <c r="IJ90" i="27"/>
  <c r="IJ89" i="27" s="1"/>
  <c r="AU90" i="27"/>
  <c r="AU89" i="27" s="1"/>
  <c r="AU31" i="27"/>
  <c r="AU346" i="27" s="1"/>
  <c r="E350" i="27"/>
  <c r="EM31" i="27"/>
  <c r="EM346" i="27" s="1"/>
  <c r="EM90" i="27"/>
  <c r="EM89" i="27" s="1"/>
  <c r="DK31" i="27"/>
  <c r="DK346" i="27" s="1"/>
  <c r="DK90" i="27"/>
  <c r="DK89" i="27" s="1"/>
  <c r="DT31" i="27"/>
  <c r="DT346" i="27" s="1"/>
  <c r="DT90" i="27"/>
  <c r="DT89" i="27" s="1"/>
  <c r="DD90" i="27"/>
  <c r="DD89" i="27" s="1"/>
  <c r="DD31" i="27"/>
  <c r="DD346" i="27" s="1"/>
  <c r="DQ31" i="27"/>
  <c r="DQ346" i="27" s="1"/>
  <c r="DQ90" i="27"/>
  <c r="DQ89" i="27" s="1"/>
  <c r="FY31" i="27"/>
  <c r="FY346" i="27" s="1"/>
  <c r="FY90" i="27"/>
  <c r="FY89" i="27" s="1"/>
  <c r="AL90" i="27"/>
  <c r="AL89" i="27" s="1"/>
  <c r="AL31" i="27"/>
  <c r="AL346" i="27" s="1"/>
  <c r="AY31" i="27"/>
  <c r="AY346" i="27" s="1"/>
  <c r="AY90" i="27"/>
  <c r="AY89" i="27" s="1"/>
  <c r="EZ90" i="27"/>
  <c r="EZ89" i="27" s="1"/>
  <c r="EZ31" i="27"/>
  <c r="EZ346" i="27" s="1"/>
  <c r="CY31" i="27"/>
  <c r="CY346" i="27" s="1"/>
  <c r="CY90" i="27"/>
  <c r="CY89" i="27" s="1"/>
  <c r="GR31" i="27"/>
  <c r="GR346" i="27" s="1"/>
  <c r="GR90" i="27"/>
  <c r="GR89" i="27" s="1"/>
  <c r="T31" i="27"/>
  <c r="T346" i="27" s="1"/>
  <c r="T90" i="27"/>
  <c r="T89" i="27" s="1"/>
  <c r="HB31" i="27"/>
  <c r="HB346" i="27" s="1"/>
  <c r="HB90" i="27"/>
  <c r="HB89" i="27" s="1"/>
  <c r="GC31" i="27"/>
  <c r="GC346" i="27" s="1"/>
  <c r="GC90" i="27"/>
  <c r="GC89" i="27" s="1"/>
  <c r="J90" i="27"/>
  <c r="J89" i="27" s="1"/>
  <c r="J31" i="27"/>
  <c r="J346" i="27" s="1"/>
  <c r="DJ31" i="27"/>
  <c r="DJ346" i="27" s="1"/>
  <c r="DJ90" i="27"/>
  <c r="DJ89" i="27" s="1"/>
  <c r="BN31" i="27"/>
  <c r="BN346" i="27" s="1"/>
  <c r="BN90" i="27"/>
  <c r="BN89" i="27" s="1"/>
  <c r="P31" i="27"/>
  <c r="P346" i="27" s="1"/>
  <c r="P90" i="27"/>
  <c r="P89" i="27" s="1"/>
  <c r="EY31" i="27"/>
  <c r="EY346" i="27" s="1"/>
  <c r="EY90" i="27"/>
  <c r="EY89" i="27" s="1"/>
  <c r="BH31" i="27"/>
  <c r="BH346" i="27" s="1"/>
  <c r="BH90" i="27"/>
  <c r="BH89" i="27" s="1"/>
  <c r="EG90" i="27"/>
  <c r="EG89" i="27" s="1"/>
  <c r="EG31" i="27"/>
  <c r="EG346" i="27" s="1"/>
  <c r="EV90" i="27"/>
  <c r="EV89" i="27" s="1"/>
  <c r="EV31" i="27"/>
  <c r="EV346" i="27" s="1"/>
  <c r="HU31" i="27"/>
  <c r="HU346" i="27" s="1"/>
  <c r="HU90" i="27"/>
  <c r="HU89" i="27" s="1"/>
  <c r="IB90" i="27"/>
  <c r="IB89" i="27" s="1"/>
  <c r="IB31" i="27"/>
  <c r="IB346" i="27" s="1"/>
  <c r="ID31" i="27"/>
  <c r="ID346" i="27" s="1"/>
  <c r="ID90" i="27"/>
  <c r="ID89" i="27" s="1"/>
  <c r="BX31" i="27"/>
  <c r="BX346" i="27" s="1"/>
  <c r="BX90" i="27"/>
  <c r="BX89" i="27" s="1"/>
  <c r="DV31" i="27"/>
  <c r="DV346" i="27" s="1"/>
  <c r="DV90" i="27"/>
  <c r="DV89" i="27" s="1"/>
  <c r="HG31" i="27"/>
  <c r="HG346" i="27" s="1"/>
  <c r="HG90" i="27"/>
  <c r="HG89" i="27" s="1"/>
  <c r="HO31" i="27"/>
  <c r="HO346" i="27" s="1"/>
  <c r="HO90" i="27"/>
  <c r="HO89" i="27" s="1"/>
  <c r="HY31" i="27"/>
  <c r="HY346" i="27" s="1"/>
  <c r="HY90" i="27"/>
  <c r="HY89" i="27" s="1"/>
  <c r="IH31" i="27"/>
  <c r="IH346" i="27" s="1"/>
  <c r="IH90" i="27"/>
  <c r="IH89" i="27" s="1"/>
  <c r="CB31" i="27"/>
  <c r="CB346" i="27" s="1"/>
  <c r="CB90" i="27"/>
  <c r="CB89" i="27" s="1"/>
  <c r="BP31" i="27"/>
  <c r="BP346" i="27" s="1"/>
  <c r="BP90" i="27"/>
  <c r="BP89" i="27" s="1"/>
  <c r="GT90" i="27"/>
  <c r="GT89" i="27" s="1"/>
  <c r="GT31" i="27"/>
  <c r="GT346" i="27" s="1"/>
  <c r="AM31" i="27"/>
  <c r="AM346" i="27" s="1"/>
  <c r="AM90" i="27"/>
  <c r="AM89" i="27" s="1"/>
  <c r="EA31" i="27"/>
  <c r="EA346" i="27" s="1"/>
  <c r="EA90" i="27"/>
  <c r="EA89" i="27" s="1"/>
  <c r="AX31" i="27"/>
  <c r="AX346" i="27" s="1"/>
  <c r="AX90" i="27"/>
  <c r="AX89" i="27" s="1"/>
  <c r="DU31" i="27"/>
  <c r="DU346" i="27" s="1"/>
  <c r="DU90" i="27"/>
  <c r="DU89" i="27" s="1"/>
  <c r="CM31" i="27"/>
  <c r="CM346" i="27" s="1"/>
  <c r="CM90" i="27"/>
  <c r="CM89" i="27" s="1"/>
  <c r="HA31" i="27"/>
  <c r="HA346" i="27" s="1"/>
  <c r="HA90" i="27"/>
  <c r="HA89" i="27" s="1"/>
  <c r="HQ31" i="27"/>
  <c r="HQ346" i="27" s="1"/>
  <c r="HQ90" i="27"/>
  <c r="HQ89" i="27" s="1"/>
  <c r="II90" i="27"/>
  <c r="II89" i="27" s="1"/>
  <c r="II31" i="27"/>
  <c r="II346" i="27" s="1"/>
  <c r="EP31" i="27"/>
  <c r="EP346" i="27" s="1"/>
  <c r="EP90" i="27"/>
  <c r="EP89" i="27" s="1"/>
  <c r="FW31" i="27"/>
  <c r="FW346" i="27" s="1"/>
  <c r="FW90" i="27"/>
  <c r="FW89" i="27" s="1"/>
  <c r="EB90" i="27"/>
  <c r="EB89" i="27" s="1"/>
  <c r="EB31" i="27"/>
  <c r="EB346" i="27" s="1"/>
  <c r="EW90" i="27"/>
  <c r="EW89" i="27" s="1"/>
  <c r="EW31" i="27"/>
  <c r="EW346" i="27" s="1"/>
  <c r="EF31" i="27"/>
  <c r="EF346" i="27" s="1"/>
  <c r="EF90" i="27"/>
  <c r="EF89" i="27" s="1"/>
  <c r="EL31" i="27"/>
  <c r="EL346" i="27" s="1"/>
  <c r="EL90" i="27"/>
  <c r="EL89" i="27" s="1"/>
  <c r="GM90" i="27"/>
  <c r="GM89" i="27" s="1"/>
  <c r="GM31" i="27"/>
  <c r="GM346" i="27" s="1"/>
  <c r="GY31" i="27"/>
  <c r="GY346" i="27" s="1"/>
  <c r="GY90" i="27"/>
  <c r="GY89" i="27" s="1"/>
  <c r="IE90" i="27"/>
  <c r="IE89" i="27" s="1"/>
  <c r="IE31" i="27"/>
  <c r="IE346" i="27" s="1"/>
  <c r="HL90" i="27"/>
  <c r="HL89" i="27" s="1"/>
  <c r="HL31" i="27"/>
  <c r="HL346" i="27" s="1"/>
  <c r="BC90" i="27"/>
  <c r="BC89" i="27" s="1"/>
  <c r="BC31" i="27"/>
  <c r="BC346" i="27" s="1"/>
  <c r="FS31" i="27"/>
  <c r="FS346" i="27" s="1"/>
  <c r="FS90" i="27"/>
  <c r="FS89" i="27" s="1"/>
  <c r="AN31" i="27"/>
  <c r="AN346" i="27" s="1"/>
  <c r="AN90" i="27"/>
  <c r="AN89" i="27" s="1"/>
  <c r="Y31" i="27"/>
  <c r="Y346" i="27" s="1"/>
  <c r="Y90" i="27"/>
  <c r="Y89" i="27" s="1"/>
  <c r="AA90" i="27"/>
  <c r="AA89" i="27" s="1"/>
  <c r="AA31" i="27"/>
  <c r="AA346" i="27" s="1"/>
  <c r="CA31" i="27"/>
  <c r="CA346" i="27" s="1"/>
  <c r="CA90" i="27"/>
  <c r="CA89" i="27" s="1"/>
  <c r="EN31" i="27"/>
  <c r="EN346" i="27" s="1"/>
  <c r="EN90" i="27"/>
  <c r="EN89" i="27" s="1"/>
  <c r="BM31" i="27"/>
  <c r="BM346" i="27" s="1"/>
  <c r="BM90" i="27"/>
  <c r="BM89" i="27" s="1"/>
  <c r="EI31" i="27"/>
  <c r="EI346" i="27" s="1"/>
  <c r="EI90" i="27"/>
  <c r="EI89" i="27" s="1"/>
  <c r="GF31" i="27"/>
  <c r="GF346" i="27" s="1"/>
  <c r="GF90" i="27"/>
  <c r="GF89" i="27" s="1"/>
  <c r="CF31" i="27"/>
  <c r="CF346" i="27" s="1"/>
  <c r="CF90" i="27"/>
  <c r="CF89" i="27" s="1"/>
  <c r="FJ31" i="27"/>
  <c r="FJ346" i="27" s="1"/>
  <c r="FJ90" i="27"/>
  <c r="FJ89" i="27" s="1"/>
  <c r="GA31" i="27"/>
  <c r="GA346" i="27" s="1"/>
  <c r="GA90" i="27"/>
  <c r="GA89" i="27" s="1"/>
  <c r="ED90" i="27"/>
  <c r="ED89" i="27" s="1"/>
  <c r="ED31" i="27"/>
  <c r="ED346" i="27" s="1"/>
  <c r="EE90" i="27"/>
  <c r="EE89" i="27" s="1"/>
  <c r="EE31" i="27"/>
  <c r="EE346" i="27" s="1"/>
  <c r="GK31" i="27"/>
  <c r="GK346" i="27" s="1"/>
  <c r="GK90" i="27"/>
  <c r="GK89" i="27" s="1"/>
  <c r="AF90" i="27"/>
  <c r="AF89" i="27" s="1"/>
  <c r="AF31" i="27"/>
  <c r="AF346" i="27" s="1"/>
  <c r="CN31" i="27"/>
  <c r="CN346" i="27" s="1"/>
  <c r="CN90" i="27"/>
  <c r="CN89" i="27" s="1"/>
  <c r="DE31" i="27"/>
  <c r="DE346" i="27" s="1"/>
  <c r="DE90" i="27"/>
  <c r="DE89" i="27" s="1"/>
  <c r="DN31" i="27"/>
  <c r="DN346" i="27" s="1"/>
  <c r="DN90" i="27"/>
  <c r="DN89" i="27" s="1"/>
  <c r="IC31" i="27"/>
  <c r="IC346" i="27" s="1"/>
  <c r="IC90" i="27"/>
  <c r="IC89" i="27" s="1"/>
  <c r="ET31" i="27"/>
  <c r="ET346" i="27" s="1"/>
  <c r="ET90" i="27"/>
  <c r="ET89" i="27" s="1"/>
  <c r="FA90" i="27"/>
  <c r="FA89" i="27" s="1"/>
  <c r="FA31" i="27"/>
  <c r="FA346" i="27" s="1"/>
  <c r="DY31" i="27"/>
  <c r="DY346" i="27" s="1"/>
  <c r="DY90" i="27"/>
  <c r="DY89" i="27" s="1"/>
  <c r="CR31" i="27"/>
  <c r="CR346" i="27" s="1"/>
  <c r="CR90" i="27"/>
  <c r="CR89" i="27" s="1"/>
  <c r="BZ31" i="27"/>
  <c r="BZ346" i="27" s="1"/>
  <c r="BZ90" i="27"/>
  <c r="BZ89" i="27" s="1"/>
  <c r="HH31" i="27"/>
  <c r="HH346" i="27" s="1"/>
  <c r="HH90" i="27"/>
  <c r="HH89" i="27" s="1"/>
  <c r="BU31" i="27"/>
  <c r="BU346" i="27" s="1"/>
  <c r="BU90" i="27"/>
  <c r="BU89" i="27" s="1"/>
  <c r="CZ90" i="27"/>
  <c r="CZ89" i="27" s="1"/>
  <c r="CZ31" i="27"/>
  <c r="CZ346" i="27" s="1"/>
  <c r="EX31" i="27"/>
  <c r="EX346" i="27" s="1"/>
  <c r="EX90" i="27"/>
  <c r="EX89" i="27" s="1"/>
  <c r="DX90" i="27"/>
  <c r="DX89" i="27" s="1"/>
  <c r="DX31" i="27"/>
  <c r="DX346" i="27" s="1"/>
  <c r="EU31" i="27"/>
  <c r="EU346" i="27" s="1"/>
  <c r="EU90" i="27"/>
  <c r="EU89" i="27" s="1"/>
  <c r="CI31" i="27"/>
  <c r="CI346" i="27" s="1"/>
  <c r="CI90" i="27"/>
  <c r="CI89" i="27" s="1"/>
  <c r="BB90" i="27"/>
  <c r="BB89" i="27" s="1"/>
  <c r="BB31" i="27"/>
  <c r="BB346" i="27" s="1"/>
  <c r="FO90" i="27"/>
  <c r="FO89" i="27" s="1"/>
  <c r="FO31" i="27"/>
  <c r="FO346" i="27" s="1"/>
  <c r="DR31" i="27"/>
  <c r="DR346" i="27" s="1"/>
  <c r="DR90" i="27"/>
  <c r="DR89" i="27" s="1"/>
  <c r="HN31" i="27"/>
  <c r="HN346" i="27" s="1"/>
  <c r="HN90" i="27"/>
  <c r="HN89" i="27" s="1"/>
  <c r="K31" i="27"/>
  <c r="K346" i="27" s="1"/>
  <c r="K90" i="27"/>
  <c r="K89" i="27" s="1"/>
  <c r="HR31" i="27"/>
  <c r="HR346" i="27" s="1"/>
  <c r="HR90" i="27"/>
  <c r="HR89" i="27" s="1"/>
  <c r="HV31" i="27"/>
  <c r="HV346" i="27" s="1"/>
  <c r="HV90" i="27"/>
  <c r="HV89" i="27" s="1"/>
  <c r="AC90" i="27"/>
  <c r="AC89" i="27" s="1"/>
  <c r="AC31" i="27"/>
  <c r="AC346" i="27" s="1"/>
  <c r="EJ31" i="27"/>
  <c r="EJ346" i="27" s="1"/>
  <c r="EJ90" i="27"/>
  <c r="EJ89" i="27" s="1"/>
  <c r="AQ31" i="27"/>
  <c r="AQ346" i="27" s="1"/>
  <c r="AQ90" i="27"/>
  <c r="AQ89" i="27" s="1"/>
  <c r="FE90" i="27"/>
  <c r="FE89" i="27" s="1"/>
  <c r="FE31" i="27"/>
  <c r="FE346" i="27" s="1"/>
  <c r="BF31" i="27"/>
  <c r="BF346" i="27" s="1"/>
  <c r="BF90" i="27"/>
  <c r="BF89" i="27" s="1"/>
  <c r="DM90" i="27"/>
  <c r="DM89" i="27" s="1"/>
  <c r="DM31" i="27"/>
  <c r="DM346" i="27" s="1"/>
  <c r="AJ31" i="27"/>
  <c r="AJ346" i="27" s="1"/>
  <c r="AJ90" i="27"/>
  <c r="AJ89" i="27" s="1"/>
  <c r="DA31" i="27"/>
  <c r="DA346" i="27" s="1"/>
  <c r="DA90" i="27"/>
  <c r="DA89" i="27" s="1"/>
  <c r="FC31" i="27"/>
  <c r="FC346" i="27" s="1"/>
  <c r="FC90" i="27"/>
  <c r="FC89" i="27" s="1"/>
  <c r="BJ90" i="27"/>
  <c r="BJ89" i="27" s="1"/>
  <c r="BJ31" i="27"/>
  <c r="BJ346" i="27" s="1"/>
  <c r="FU90" i="27"/>
  <c r="FU89" i="27" s="1"/>
  <c r="FU31" i="27"/>
  <c r="FU346" i="27" s="1"/>
  <c r="CP90" i="27"/>
  <c r="CP89" i="27" s="1"/>
  <c r="CP31" i="27"/>
  <c r="CP346" i="27" s="1"/>
  <c r="HD31" i="27"/>
  <c r="HD346" i="27" s="1"/>
  <c r="HD90" i="27"/>
  <c r="HD89" i="27" s="1"/>
  <c r="CJ90" i="27"/>
  <c r="CJ89" i="27" s="1"/>
  <c r="CJ31" i="27"/>
  <c r="CJ346" i="27" s="1"/>
  <c r="CT31" i="27"/>
  <c r="CT346" i="27" s="1"/>
  <c r="CT90" i="27"/>
  <c r="CT89" i="27" s="1"/>
  <c r="DC90" i="27"/>
  <c r="DC89" i="27" s="1"/>
  <c r="DC31" i="27"/>
  <c r="DC346" i="27" s="1"/>
  <c r="ES31" i="27"/>
  <c r="ES346" i="27" s="1"/>
  <c r="ES90" i="27"/>
  <c r="ES89" i="27" s="1"/>
  <c r="GV31" i="27"/>
  <c r="GV346" i="27" s="1"/>
  <c r="GV90" i="27"/>
  <c r="GV89" i="27" s="1"/>
  <c r="AT31" i="27"/>
  <c r="AT346" i="27" s="1"/>
  <c r="AT90" i="27"/>
  <c r="AT89" i="27" s="1"/>
  <c r="AS31" i="27"/>
  <c r="AS346" i="27" s="1"/>
  <c r="AS90" i="27"/>
  <c r="AS89" i="27" s="1"/>
  <c r="CS90" i="27"/>
  <c r="CS89" i="27" s="1"/>
  <c r="CS31" i="27"/>
  <c r="CS346" i="27" s="1"/>
  <c r="O90" i="27"/>
  <c r="O89" i="27" s="1"/>
  <c r="O31" i="27"/>
  <c r="O346" i="27" s="1"/>
  <c r="BG31" i="27"/>
  <c r="BG346" i="27" s="1"/>
  <c r="BG90" i="27"/>
  <c r="BG89" i="27" s="1"/>
  <c r="FN31" i="27"/>
  <c r="FN346" i="27" s="1"/>
  <c r="FN90" i="27"/>
  <c r="FN89" i="27" s="1"/>
  <c r="FV90" i="27"/>
  <c r="FV89" i="27" s="1"/>
  <c r="FV31" i="27"/>
  <c r="FV346" i="27" s="1"/>
  <c r="CH31" i="27"/>
  <c r="CH346" i="27" s="1"/>
  <c r="CH90" i="27"/>
  <c r="CH89" i="27" s="1"/>
  <c r="BD90" i="27"/>
  <c r="BD89" i="27" s="1"/>
  <c r="BD31" i="27"/>
  <c r="BD346" i="27" s="1"/>
  <c r="GD31" i="27"/>
  <c r="GD346" i="27" s="1"/>
  <c r="GD90" i="27"/>
  <c r="GD89" i="27" s="1"/>
  <c r="CQ90" i="27"/>
  <c r="CQ89" i="27" s="1"/>
  <c r="CQ31" i="27"/>
  <c r="CQ346" i="27" s="1"/>
  <c r="FB31" i="27"/>
  <c r="FB346" i="27" s="1"/>
  <c r="FB90" i="27"/>
  <c r="FB89" i="27" s="1"/>
  <c r="CL31" i="27"/>
  <c r="CL346" i="27" s="1"/>
  <c r="CL90" i="27"/>
  <c r="CL89" i="27" s="1"/>
  <c r="HJ31" i="27"/>
  <c r="HJ346" i="27" s="1"/>
  <c r="HJ90" i="27"/>
  <c r="HJ89" i="27" s="1"/>
  <c r="CX31" i="27"/>
  <c r="CX346" i="27" s="1"/>
  <c r="CX90" i="27"/>
  <c r="CX89" i="27" s="1"/>
  <c r="FR31" i="27"/>
  <c r="FR346" i="27" s="1"/>
  <c r="FR90" i="27"/>
  <c r="FR89" i="27" s="1"/>
  <c r="BE90" i="27"/>
  <c r="BE89" i="27" s="1"/>
  <c r="BE31" i="27"/>
  <c r="BE346" i="27" s="1"/>
  <c r="IK31" i="27"/>
  <c r="IK346" i="27" s="1"/>
  <c r="IK90" i="27"/>
  <c r="IK89" i="27" s="1"/>
  <c r="GS31" i="27"/>
  <c r="GS346" i="27" s="1"/>
  <c r="GS90" i="27"/>
  <c r="GS89" i="27" s="1"/>
  <c r="GB31" i="27"/>
  <c r="GB346" i="27" s="1"/>
  <c r="GB90" i="27"/>
  <c r="GB89" i="27" s="1"/>
  <c r="HW31" i="27"/>
  <c r="HW346" i="27" s="1"/>
  <c r="HW90" i="27"/>
  <c r="HW89" i="27" s="1"/>
  <c r="GE90" i="27"/>
  <c r="GE89" i="27" s="1"/>
  <c r="GE31" i="27"/>
  <c r="GE346" i="27" s="1"/>
  <c r="U31" i="27"/>
  <c r="U346" i="27" s="1"/>
  <c r="U90" i="27"/>
  <c r="U89" i="27" s="1"/>
  <c r="H90" i="27"/>
  <c r="H89" i="27" s="1"/>
  <c r="H31" i="27"/>
  <c r="H346" i="27" s="1"/>
  <c r="FF90" i="27"/>
  <c r="FF89" i="27" s="1"/>
  <c r="FF31" i="27"/>
  <c r="FF346" i="27" s="1"/>
  <c r="BV31" i="27"/>
  <c r="BV346" i="27" s="1"/>
  <c r="BV90" i="27"/>
  <c r="BV89" i="27" s="1"/>
  <c r="HF31" i="27"/>
  <c r="HF346" i="27" s="1"/>
  <c r="HF90" i="27"/>
  <c r="HF89" i="27" s="1"/>
  <c r="HX31" i="27"/>
  <c r="HX346" i="27" s="1"/>
  <c r="HX90" i="27"/>
  <c r="HX89" i="27" s="1"/>
  <c r="HM31" i="27"/>
  <c r="HM346" i="27" s="1"/>
  <c r="HM90" i="27"/>
  <c r="HM89" i="27" s="1"/>
  <c r="Q31" i="27"/>
  <c r="Q346" i="27" s="1"/>
  <c r="Q90" i="27"/>
  <c r="Q89" i="27" s="1"/>
  <c r="S90" i="27"/>
  <c r="S89" i="27" s="1"/>
  <c r="S31" i="27"/>
  <c r="S346" i="27" s="1"/>
  <c r="FX31" i="27"/>
  <c r="FX346" i="27" s="1"/>
  <c r="FX90" i="27"/>
  <c r="FX89" i="27" s="1"/>
  <c r="BI90" i="27"/>
  <c r="BI89" i="27" s="1"/>
  <c r="BI31" i="27"/>
  <c r="BI346" i="27" s="1"/>
  <c r="CD90" i="27"/>
  <c r="CD89" i="27" s="1"/>
  <c r="CD31" i="27"/>
  <c r="CD346" i="27" s="1"/>
  <c r="BW31" i="27"/>
  <c r="BW346" i="27" s="1"/>
  <c r="BW90" i="27"/>
  <c r="BW89" i="27" s="1"/>
  <c r="AZ31" i="27"/>
  <c r="AZ346" i="27" s="1"/>
  <c r="AZ90" i="27"/>
  <c r="AZ89" i="27" s="1"/>
  <c r="HS31" i="27"/>
  <c r="HS346" i="27" s="1"/>
  <c r="HS90" i="27"/>
  <c r="HS89" i="27" s="1"/>
  <c r="L90" i="27"/>
  <c r="L89" i="27" s="1"/>
  <c r="L31" i="27"/>
  <c r="L346" i="27" s="1"/>
  <c r="DF90" i="27"/>
  <c r="DF89" i="27" s="1"/>
  <c r="DF31" i="27"/>
  <c r="DF346" i="27" s="1"/>
  <c r="CV31" i="27"/>
  <c r="CV346" i="27" s="1"/>
  <c r="CV90" i="27"/>
  <c r="CV89" i="27" s="1"/>
  <c r="DG90" i="27"/>
  <c r="DG89" i="27" s="1"/>
  <c r="DG31" i="27"/>
  <c r="DG346" i="27" s="1"/>
  <c r="FZ31" i="27"/>
  <c r="FZ346" i="27" s="1"/>
  <c r="FZ90" i="27"/>
  <c r="FZ89" i="27" s="1"/>
  <c r="R31" i="27"/>
  <c r="R346" i="27" s="1"/>
  <c r="R90" i="27"/>
  <c r="R89" i="27" s="1"/>
  <c r="AK31" i="27"/>
  <c r="AK346" i="27" s="1"/>
  <c r="AK90" i="27"/>
  <c r="AK89" i="27" s="1"/>
  <c r="GL31" i="27"/>
  <c r="GL346" i="27" s="1"/>
  <c r="GL90" i="27"/>
  <c r="GL89" i="27" s="1"/>
  <c r="CK90" i="27"/>
  <c r="CK89" i="27" s="1"/>
  <c r="CK31" i="27"/>
  <c r="CK346" i="27" s="1"/>
  <c r="FD31" i="27"/>
  <c r="FD346" i="27" s="1"/>
  <c r="FD90" i="27"/>
  <c r="FD89" i="27" s="1"/>
  <c r="EK31" i="27"/>
  <c r="EK346" i="27" s="1"/>
  <c r="EK90" i="27"/>
  <c r="EK89" i="27" s="1"/>
  <c r="DI31" i="27"/>
  <c r="DI346" i="27" s="1"/>
  <c r="DI90" i="27"/>
  <c r="DI89" i="27" s="1"/>
  <c r="EQ31" i="27"/>
  <c r="EQ346" i="27" s="1"/>
  <c r="EQ90" i="27"/>
  <c r="EQ89" i="27" s="1"/>
  <c r="HT90" i="27"/>
  <c r="HT89" i="27" s="1"/>
  <c r="HT31" i="27"/>
  <c r="HT346" i="27" s="1"/>
  <c r="AD90" i="27"/>
  <c r="AD89" i="27" s="1"/>
  <c r="AD31" i="27"/>
  <c r="AD346" i="27" s="1"/>
  <c r="FI31" i="27"/>
  <c r="FI346" i="27" s="1"/>
  <c r="FI90" i="27"/>
  <c r="FI89" i="27" s="1"/>
  <c r="HC31" i="27"/>
  <c r="HC346" i="27" s="1"/>
  <c r="HC90" i="27"/>
  <c r="HC89" i="27" s="1"/>
  <c r="GZ31" i="27"/>
  <c r="GZ346" i="27" s="1"/>
  <c r="GZ90" i="27"/>
  <c r="GZ89" i="27" s="1"/>
  <c r="AW31" i="27"/>
  <c r="AW346" i="27" s="1"/>
  <c r="AW90" i="27"/>
  <c r="AW89" i="27" s="1"/>
  <c r="HZ31" i="27"/>
  <c r="HZ346" i="27" s="1"/>
  <c r="HZ90" i="27"/>
  <c r="HZ89" i="27" s="1"/>
  <c r="I31" i="27"/>
  <c r="I346" i="27" s="1"/>
  <c r="I90" i="27"/>
  <c r="I89" i="27" s="1"/>
  <c r="FP31" i="27"/>
  <c r="FP346" i="27" s="1"/>
  <c r="FP90" i="27"/>
  <c r="FP89" i="27" s="1"/>
  <c r="CW90" i="27"/>
  <c r="CW89" i="27" s="1"/>
  <c r="CW31" i="27"/>
  <c r="CW346" i="27" s="1"/>
  <c r="BA90" i="27"/>
  <c r="BA89" i="27" s="1"/>
  <c r="BA31" i="27"/>
  <c r="BA346" i="27" s="1"/>
  <c r="AR90" i="27"/>
  <c r="AR89" i="27" s="1"/>
  <c r="AR31" i="27"/>
  <c r="AR346" i="27" s="1"/>
  <c r="FH31" i="27"/>
  <c r="FH346" i="27" s="1"/>
  <c r="FH90" i="27"/>
  <c r="FH89" i="27" s="1"/>
  <c r="DB31" i="27"/>
  <c r="DB346" i="27" s="1"/>
  <c r="DB90" i="27"/>
  <c r="DB89" i="27" s="1"/>
  <c r="FG31" i="27"/>
  <c r="FG346" i="27" s="1"/>
  <c r="FG90" i="27"/>
  <c r="FG89" i="27" s="1"/>
  <c r="FL31" i="27"/>
  <c r="FL346" i="27" s="1"/>
  <c r="FL90" i="27"/>
  <c r="FL89" i="27" s="1"/>
  <c r="BS31" i="27"/>
  <c r="BS346" i="27" s="1"/>
  <c r="BS90" i="27"/>
  <c r="BS89" i="27" s="1"/>
  <c r="GP90" i="27"/>
  <c r="GP89" i="27" s="1"/>
  <c r="GP31" i="27"/>
  <c r="GP346" i="27" s="1"/>
  <c r="CU31" i="27"/>
  <c r="CU346" i="27" s="1"/>
  <c r="CU90" i="27"/>
  <c r="CU89" i="27" s="1"/>
  <c r="GW90" i="27"/>
  <c r="GW89" i="27" s="1"/>
  <c r="GW31" i="27"/>
  <c r="GW346" i="27" s="1"/>
  <c r="CC31" i="27"/>
  <c r="CC346" i="27" s="1"/>
  <c r="CC90" i="27"/>
  <c r="CC89" i="27" s="1"/>
  <c r="AH90" i="27"/>
  <c r="AH89" i="27" s="1"/>
  <c r="AH31" i="27"/>
  <c r="AH346" i="27" s="1"/>
  <c r="DH90" i="27"/>
  <c r="DH89" i="27" s="1"/>
  <c r="DH31" i="27"/>
  <c r="DH346" i="27" s="1"/>
  <c r="BK90" i="27"/>
  <c r="BK89" i="27" s="1"/>
  <c r="BK31" i="27"/>
  <c r="BK346" i="27" s="1"/>
  <c r="W31" i="27"/>
  <c r="W346" i="27" s="1"/>
  <c r="W90" i="27"/>
  <c r="W89" i="27" s="1"/>
  <c r="BY90" i="27"/>
  <c r="BY89" i="27" s="1"/>
  <c r="BY31" i="27"/>
  <c r="BY346" i="27" s="1"/>
  <c r="FQ90" i="27"/>
  <c r="FQ89" i="27" s="1"/>
  <c r="FQ31" i="27"/>
  <c r="FQ346" i="27" s="1"/>
  <c r="BQ31" i="27"/>
  <c r="BQ346" i="27" s="1"/>
  <c r="BQ90" i="27"/>
  <c r="BQ89" i="27" s="1"/>
  <c r="DZ31" i="27"/>
  <c r="DZ346" i="27" s="1"/>
  <c r="DZ90" i="27"/>
  <c r="DZ89" i="27" s="1"/>
  <c r="AV31" i="27"/>
  <c r="AV346" i="27" s="1"/>
  <c r="AV90" i="27"/>
  <c r="AV89" i="27" s="1"/>
  <c r="Z90" i="27"/>
  <c r="Z89" i="27" s="1"/>
  <c r="Z31" i="27"/>
  <c r="Z346" i="27" s="1"/>
  <c r="V31" i="27"/>
  <c r="V346" i="27" s="1"/>
  <c r="V90" i="27"/>
  <c r="V89" i="27" s="1"/>
  <c r="GQ31" i="27"/>
  <c r="GQ346" i="27" s="1"/>
  <c r="GQ90" i="27"/>
  <c r="GQ89" i="27" s="1"/>
  <c r="DO31" i="27"/>
  <c r="DO346" i="27" s="1"/>
  <c r="DO90" i="27"/>
  <c r="DO89" i="27" s="1"/>
  <c r="AB31" i="27"/>
  <c r="AB346" i="27" s="1"/>
  <c r="AB90" i="27"/>
  <c r="AB89" i="27" s="1"/>
  <c r="HI90" i="27"/>
  <c r="HI89" i="27" s="1"/>
  <c r="HI31" i="27"/>
  <c r="HI346" i="27" s="1"/>
  <c r="IF90" i="27"/>
  <c r="IF89" i="27" s="1"/>
  <c r="IF31" i="27"/>
  <c r="IF346" i="27" s="1"/>
  <c r="FM90" i="27"/>
  <c r="FM89" i="27" s="1"/>
  <c r="FM31" i="27"/>
  <c r="FM346" i="27" s="1"/>
  <c r="IG31" i="27"/>
  <c r="IG346" i="27" s="1"/>
  <c r="IG90" i="27"/>
  <c r="IG89" i="27" s="1"/>
  <c r="DS31" i="27"/>
  <c r="DS346" i="27" s="1"/>
  <c r="DS90" i="27"/>
  <c r="DS89" i="27" s="1"/>
  <c r="N31" i="27"/>
  <c r="N346" i="27" s="1"/>
  <c r="N90" i="27"/>
  <c r="N89" i="27" s="1"/>
  <c r="BL90" i="27"/>
  <c r="BL89" i="27" s="1"/>
  <c r="BL31" i="27"/>
  <c r="BL346" i="27" s="1"/>
  <c r="DL31" i="27"/>
  <c r="DL346" i="27" s="1"/>
  <c r="DL90" i="27"/>
  <c r="DL89" i="27" s="1"/>
  <c r="AG31" i="27"/>
  <c r="AG346" i="27" s="1"/>
  <c r="AG90" i="27"/>
  <c r="AG89" i="27" s="1"/>
  <c r="HE31" i="27"/>
  <c r="HE346" i="27" s="1"/>
  <c r="HE90" i="27"/>
  <c r="HE89" i="27" s="1"/>
  <c r="CG31" i="27"/>
  <c r="CG346" i="27" s="1"/>
  <c r="CG90" i="27"/>
  <c r="CG89" i="27" s="1"/>
  <c r="AE31" i="27"/>
  <c r="AE346" i="27" s="1"/>
  <c r="AE90" i="27"/>
  <c r="AE89" i="27" s="1"/>
  <c r="HP31" i="27"/>
  <c r="HP346" i="27" s="1"/>
  <c r="HP90" i="27"/>
  <c r="HP89" i="27" s="1"/>
  <c r="EC31" i="27"/>
  <c r="EC346" i="27" s="1"/>
  <c r="EC90" i="27"/>
  <c r="EC89" i="27" s="1"/>
  <c r="ID364" i="27"/>
  <c r="AC364" i="27"/>
  <c r="HE364" i="27"/>
  <c r="GE364" i="27"/>
  <c r="W364" i="27"/>
  <c r="CR364" i="27"/>
  <c r="FS364" i="27"/>
  <c r="ER364" i="27"/>
  <c r="CM364" i="27"/>
  <c r="BE364" i="27"/>
  <c r="AM364" i="27"/>
  <c r="CH364" i="27"/>
  <c r="GN364" i="27"/>
  <c r="AO364" i="27"/>
  <c r="GX364" i="27"/>
  <c r="CQ364" i="27"/>
  <c r="GF364" i="27"/>
  <c r="EC364" i="27"/>
  <c r="AG364" i="27"/>
  <c r="FQ364" i="27"/>
  <c r="Z364" i="27"/>
  <c r="AT364" i="27"/>
  <c r="FJ364" i="27"/>
  <c r="CY364" i="27"/>
  <c r="S364" i="27"/>
  <c r="FP364" i="27"/>
  <c r="HL364" i="27"/>
  <c r="ES364" i="27"/>
  <c r="FH364" i="27"/>
  <c r="BP364" i="27"/>
  <c r="EF364" i="27"/>
  <c r="HS364" i="27"/>
  <c r="DK364" i="27"/>
  <c r="HA364" i="27"/>
  <c r="DC364" i="27"/>
  <c r="GQ364" i="27"/>
  <c r="FR364" i="27"/>
  <c r="EW364" i="27"/>
  <c r="AH364" i="27"/>
  <c r="DM364" i="27"/>
  <c r="FW364" i="27"/>
  <c r="CD364" i="27"/>
  <c r="HQ364" i="27"/>
  <c r="FU364" i="27"/>
  <c r="EY364" i="27"/>
  <c r="FI364" i="27"/>
  <c r="HP364" i="27"/>
  <c r="DY364" i="27"/>
  <c r="CA364" i="27"/>
  <c r="IJ364" i="27"/>
  <c r="EZ364" i="27"/>
  <c r="HR364" i="27"/>
  <c r="BB364" i="27"/>
  <c r="R364" i="27"/>
  <c r="P364" i="27"/>
  <c r="FO364" i="27"/>
  <c r="AL364" i="27"/>
  <c r="DG364" i="27"/>
  <c r="HU364" i="27"/>
  <c r="GI364" i="27"/>
  <c r="HK364" i="27"/>
  <c r="BX364" i="27"/>
  <c r="BQ364" i="27"/>
  <c r="DB364" i="27"/>
  <c r="DL364" i="27"/>
  <c r="N364" i="27"/>
  <c r="AU364" i="27"/>
  <c r="GG364" i="27"/>
  <c r="CL364" i="27"/>
  <c r="DU364" i="27"/>
  <c r="DS364" i="27"/>
  <c r="AV364" i="27"/>
  <c r="BO364" i="27"/>
  <c r="FL364" i="27"/>
  <c r="DH364" i="27"/>
  <c r="EO364" i="27"/>
  <c r="I364" i="27"/>
  <c r="DO364" i="27"/>
  <c r="GP364" i="27"/>
  <c r="AS364" i="27"/>
  <c r="FF364" i="27"/>
  <c r="GZ364" i="27"/>
  <c r="HJ364" i="27"/>
  <c r="HY364" i="27"/>
  <c r="EE364" i="27"/>
  <c r="BR364" i="27"/>
  <c r="CO364" i="27"/>
  <c r="DE364" i="27"/>
  <c r="DP364" i="27"/>
  <c r="HO364" i="27"/>
  <c r="AA364" i="27"/>
  <c r="GT364" i="27"/>
  <c r="J364" i="27"/>
  <c r="FT364" i="27"/>
  <c r="CU364" i="27"/>
  <c r="CG364" i="27"/>
  <c r="BJ364" i="27"/>
  <c r="EQ364" i="27"/>
  <c r="CE364" i="27"/>
  <c r="AX364" i="27"/>
  <c r="AF364" i="27"/>
  <c r="BK364" i="27"/>
  <c r="EG364" i="27"/>
  <c r="AI364" i="27"/>
  <c r="GR364" i="27"/>
  <c r="F212" i="27"/>
  <c r="C181" i="27" s="1"/>
  <c r="BG364" i="27"/>
  <c r="T364" i="27"/>
  <c r="EA364" i="27"/>
  <c r="CW364" i="27"/>
  <c r="DA364" i="27"/>
  <c r="GA364" i="27"/>
  <c r="DV364" i="27"/>
  <c r="GV364" i="27"/>
  <c r="EK364" i="27"/>
  <c r="IF364" i="27"/>
  <c r="HV364" i="27"/>
  <c r="AP364" i="27"/>
  <c r="BV364" i="27"/>
  <c r="IK364" i="27"/>
  <c r="BT364" i="27"/>
  <c r="IA364" i="27"/>
  <c r="FC364" i="27"/>
  <c r="K364" i="27"/>
  <c r="O364" i="27"/>
  <c r="BZ364" i="27"/>
  <c r="CI364" i="27"/>
  <c r="H364" i="27"/>
  <c r="AE364" i="27"/>
  <c r="FV364" i="27"/>
  <c r="AK364" i="27"/>
  <c r="IH364" i="27"/>
  <c r="FA364" i="27"/>
  <c r="DD364" i="27"/>
  <c r="V364" i="27"/>
  <c r="BL364" i="27"/>
  <c r="FN364" i="27"/>
  <c r="ED364" i="27"/>
  <c r="GO364" i="27"/>
  <c r="U364" i="27"/>
  <c r="EJ364" i="27"/>
  <c r="BH364" i="27"/>
  <c r="GM364" i="27"/>
  <c r="BI364" i="27"/>
  <c r="DZ364" i="27"/>
  <c r="AQ364" i="27"/>
  <c r="IC364" i="27"/>
  <c r="CF364" i="27"/>
  <c r="AB364" i="27"/>
  <c r="AR364" i="27"/>
  <c r="HW364" i="27"/>
  <c r="GW364" i="27"/>
  <c r="HH364" i="27"/>
  <c r="BM364" i="27"/>
  <c r="AZ364" i="27"/>
  <c r="L364" i="27"/>
  <c r="HM364" i="27"/>
  <c r="CC364" i="27"/>
  <c r="CT364" i="27"/>
  <c r="GB364" i="27"/>
  <c r="BF364" i="27"/>
  <c r="CS364" i="27"/>
  <c r="BS364" i="27"/>
  <c r="DX364" i="27"/>
  <c r="CV364" i="27"/>
  <c r="IG364" i="27"/>
  <c r="AJ364" i="27"/>
  <c r="HC364" i="27"/>
  <c r="EL364" i="27"/>
  <c r="EV364" i="27"/>
  <c r="AN364" i="27"/>
  <c r="FX364" i="27"/>
  <c r="HZ364" i="27"/>
  <c r="GK364" i="27"/>
  <c r="BW364" i="27"/>
  <c r="FG364" i="27"/>
  <c r="DR364" i="27"/>
  <c r="CP364" i="27"/>
  <c r="DQ364" i="27"/>
  <c r="DW364" i="27"/>
  <c r="EI364" i="27"/>
  <c r="HN364" i="27"/>
  <c r="IB364" i="27"/>
  <c r="BD364" i="27"/>
  <c r="BU364" i="27"/>
  <c r="X364" i="27"/>
  <c r="DN364" i="27"/>
  <c r="EN364" i="27"/>
  <c r="DJ364" i="27"/>
  <c r="CK364" i="27"/>
  <c r="AW364" i="27"/>
  <c r="AD364" i="27"/>
  <c r="ET364" i="27"/>
  <c r="II364" i="27"/>
  <c r="FE364" i="27"/>
  <c r="DI364" i="27"/>
  <c r="HD364" i="27"/>
  <c r="BY364" i="27"/>
  <c r="HF364" i="27"/>
  <c r="CZ364" i="27"/>
  <c r="HI364" i="27"/>
  <c r="HG364" i="27"/>
  <c r="EP364" i="27"/>
  <c r="CX364" i="27"/>
  <c r="EX364" i="27"/>
  <c r="FK364" i="27"/>
  <c r="Y364" i="27"/>
  <c r="FD364" i="27"/>
  <c r="EB364" i="27"/>
  <c r="BN364" i="27"/>
  <c r="FZ364" i="27"/>
  <c r="HT364" i="27"/>
  <c r="AY364" i="27"/>
  <c r="GH364" i="27"/>
  <c r="IE364" i="27"/>
  <c r="DT364" i="27"/>
  <c r="BA364" i="27"/>
  <c r="HX364" i="27"/>
  <c r="FY364" i="27"/>
  <c r="EH364" i="27"/>
  <c r="CJ364" i="27"/>
  <c r="CB364" i="27"/>
  <c r="FM364" i="27"/>
  <c r="GY364" i="27"/>
  <c r="M364" i="27"/>
  <c r="GC364" i="27"/>
  <c r="EM364" i="27"/>
  <c r="CN364" i="27"/>
  <c r="GD364" i="27"/>
  <c r="GS364" i="27"/>
  <c r="GJ364" i="27"/>
  <c r="EU364" i="27"/>
  <c r="HB364" i="27"/>
  <c r="DF364" i="27"/>
  <c r="Q364" i="27"/>
  <c r="FB364" i="27"/>
  <c r="GU364" i="27"/>
  <c r="GL364" i="27"/>
  <c r="BC364" i="27"/>
  <c r="C207" i="27" l="1"/>
  <c r="CU356" i="27"/>
  <c r="ID356" i="27"/>
  <c r="EB356" i="27"/>
  <c r="HU356" i="27"/>
  <c r="BE356" i="27"/>
  <c r="HH356" i="27"/>
  <c r="Q356" i="27"/>
  <c r="GN356" i="27"/>
  <c r="FF356" i="27"/>
  <c r="CI356" i="27"/>
  <c r="DR356" i="27"/>
  <c r="AJ356" i="27"/>
  <c r="BF356" i="27"/>
  <c r="FM356" i="27"/>
  <c r="HW356" i="27"/>
  <c r="HF356" i="27"/>
  <c r="EU356" i="27"/>
  <c r="GF356" i="27"/>
  <c r="GL356" i="27"/>
  <c r="IC356" i="27"/>
  <c r="FD356" i="27"/>
  <c r="AZ356" i="27"/>
  <c r="AS356" i="27"/>
  <c r="BK356" i="27"/>
  <c r="ER356" i="27"/>
  <c r="BV356" i="27"/>
  <c r="GV356" i="27"/>
  <c r="Q143" i="26"/>
  <c r="R143" i="26" s="1"/>
  <c r="CC102" i="26" s="1"/>
  <c r="CB102" i="26"/>
  <c r="CK102" i="26" s="1"/>
  <c r="E254" i="27"/>
  <c r="E257" i="27" s="1"/>
  <c r="ER251" i="27" s="1"/>
  <c r="ER258" i="27" s="1"/>
  <c r="ER257" i="27" s="1"/>
  <c r="BH356" i="27"/>
  <c r="DM356" i="27"/>
  <c r="CV356" i="27"/>
  <c r="EM356" i="27"/>
  <c r="HA356" i="27"/>
  <c r="U356" i="27"/>
  <c r="BA356" i="27"/>
  <c r="BG356" i="27"/>
  <c r="AN356" i="27"/>
  <c r="IB356" i="27"/>
  <c r="FB356" i="27"/>
  <c r="HP356" i="27"/>
  <c r="DY356" i="27"/>
  <c r="CW356" i="27"/>
  <c r="FW356" i="27"/>
  <c r="IF356" i="27"/>
  <c r="FS356" i="27"/>
  <c r="DP356" i="27"/>
  <c r="AI356" i="27"/>
  <c r="AL356" i="27"/>
  <c r="CM356" i="27"/>
  <c r="DH356" i="27"/>
  <c r="DK356" i="27"/>
  <c r="T356" i="27"/>
  <c r="DT356" i="27"/>
  <c r="HX356" i="27"/>
  <c r="GZ356" i="27"/>
  <c r="S356" i="27"/>
  <c r="GY356" i="27"/>
  <c r="DW356" i="27"/>
  <c r="AR356" i="27"/>
  <c r="HG356" i="27"/>
  <c r="BY356" i="27"/>
  <c r="AF356" i="27"/>
  <c r="EE356" i="27"/>
  <c r="AE356" i="27"/>
  <c r="Z356" i="27"/>
  <c r="AV356" i="27"/>
  <c r="BM356" i="27"/>
  <c r="GT356" i="27"/>
  <c r="CB356" i="27"/>
  <c r="HO356" i="27"/>
  <c r="FY356" i="27"/>
  <c r="CF356" i="27"/>
  <c r="BC356" i="27"/>
  <c r="EJ356" i="27"/>
  <c r="BZ356" i="27"/>
  <c r="GE356" i="27"/>
  <c r="EQ356" i="27"/>
  <c r="FT356" i="27"/>
  <c r="BW356" i="27"/>
  <c r="DJ356" i="27"/>
  <c r="CJ356" i="27"/>
  <c r="IE356" i="27"/>
  <c r="AY356" i="27"/>
  <c r="K356" i="27"/>
  <c r="FZ356" i="27"/>
  <c r="GQ356" i="27"/>
  <c r="EA356" i="27"/>
  <c r="DL356" i="27"/>
  <c r="DC356" i="27"/>
  <c r="O356" i="27"/>
  <c r="CS356" i="27"/>
  <c r="EH356" i="27"/>
  <c r="GS356" i="27"/>
  <c r="HV356" i="27"/>
  <c r="I356" i="27"/>
  <c r="GM356" i="27"/>
  <c r="W356" i="27"/>
  <c r="AP356" i="27"/>
  <c r="GA356" i="27"/>
  <c r="IA356" i="27"/>
  <c r="BI356" i="27"/>
  <c r="HM356" i="27"/>
  <c r="FU356" i="27"/>
  <c r="CL356" i="27"/>
  <c r="AQ356" i="27"/>
  <c r="FN356" i="27"/>
  <c r="CE356" i="27"/>
  <c r="AW356" i="27"/>
  <c r="AO356" i="27"/>
  <c r="GH356" i="27"/>
  <c r="GO356" i="27"/>
  <c r="V356" i="27"/>
  <c r="FV356" i="27"/>
  <c r="DU356" i="27"/>
  <c r="HC356" i="27"/>
  <c r="GI356" i="27"/>
  <c r="J356" i="27"/>
  <c r="HS356" i="27"/>
  <c r="EZ356" i="27"/>
  <c r="AU356" i="27"/>
  <c r="FP356" i="27"/>
  <c r="CR356" i="27"/>
  <c r="W144" i="26"/>
  <c r="O144" i="26" s="1"/>
  <c r="EO356" i="27"/>
  <c r="ET356" i="27"/>
  <c r="CK356" i="27"/>
  <c r="CX356" i="27"/>
  <c r="DQ356" i="27"/>
  <c r="GK356" i="27"/>
  <c r="FO356" i="27"/>
  <c r="IK356" i="27"/>
  <c r="DZ356" i="27"/>
  <c r="CQ356" i="27"/>
  <c r="EF356" i="27"/>
  <c r="BU356" i="27"/>
  <c r="GB356" i="27"/>
  <c r="HI356" i="27"/>
  <c r="L356" i="27"/>
  <c r="DI356" i="27"/>
  <c r="H356" i="27"/>
  <c r="EI356" i="27"/>
  <c r="BJ356" i="27"/>
  <c r="N356" i="27"/>
  <c r="CO356" i="27"/>
  <c r="DX356" i="27"/>
  <c r="FK356" i="27"/>
  <c r="EW356" i="27"/>
  <c r="GD356" i="27"/>
  <c r="AB356" i="27"/>
  <c r="P356" i="27"/>
  <c r="ED356" i="27"/>
  <c r="GR356" i="27"/>
  <c r="GU356" i="27"/>
  <c r="HN356" i="27"/>
  <c r="BT356" i="27"/>
  <c r="DE356" i="27"/>
  <c r="HK356" i="27"/>
  <c r="AG356" i="27"/>
  <c r="DG356" i="27"/>
  <c r="IJ356" i="27"/>
  <c r="ES356" i="27"/>
  <c r="FG356" i="27"/>
  <c r="II356" i="27"/>
  <c r="EK356" i="27"/>
  <c r="DV356" i="27"/>
  <c r="DO356" i="27"/>
  <c r="Y356" i="27"/>
  <c r="GP356" i="27"/>
  <c r="DF356" i="27"/>
  <c r="FI356" i="27"/>
  <c r="GC356" i="27"/>
  <c r="AK356" i="27"/>
  <c r="CA356" i="27"/>
  <c r="AT356" i="27"/>
  <c r="EY356" i="27"/>
  <c r="FL356" i="27"/>
  <c r="HY356" i="27"/>
  <c r="BB356" i="27"/>
  <c r="BN356" i="27"/>
  <c r="BX356" i="27"/>
  <c r="GG356" i="27"/>
  <c r="FX356" i="27"/>
  <c r="HZ356" i="27"/>
  <c r="FA356" i="27"/>
  <c r="CP356" i="27"/>
  <c r="AD356" i="27"/>
  <c r="BS356" i="27"/>
  <c r="HT356" i="27"/>
  <c r="FE356" i="27"/>
  <c r="CT356" i="27"/>
  <c r="IH356" i="27"/>
  <c r="GX356" i="27"/>
  <c r="CC356" i="27"/>
  <c r="BQ356" i="27"/>
  <c r="EL356" i="27"/>
  <c r="HR356" i="27"/>
  <c r="BO356" i="27"/>
  <c r="EP356" i="27"/>
  <c r="GJ356" i="27"/>
  <c r="HB356" i="27"/>
  <c r="HJ356" i="27"/>
  <c r="CN356" i="27"/>
  <c r="EG356" i="27"/>
  <c r="M356" i="27"/>
  <c r="FJ356" i="27"/>
  <c r="AA356" i="27"/>
  <c r="CG356" i="27"/>
  <c r="HQ356" i="27"/>
  <c r="CD356" i="27"/>
  <c r="EN356" i="27"/>
  <c r="R356" i="27"/>
  <c r="BR356" i="27"/>
  <c r="EV356" i="27"/>
  <c r="AM356" i="27"/>
  <c r="HE356" i="27"/>
  <c r="DB356" i="27"/>
  <c r="BP356" i="27"/>
  <c r="GW356" i="27"/>
  <c r="BD356" i="27"/>
  <c r="X356" i="27"/>
  <c r="EX356" i="27"/>
  <c r="IG356" i="27"/>
  <c r="CY356" i="27"/>
  <c r="FR356" i="27"/>
  <c r="AX356" i="27"/>
  <c r="DD356" i="27"/>
  <c r="BL356" i="27"/>
  <c r="DS356" i="27"/>
  <c r="EC356" i="27"/>
  <c r="DN356" i="27"/>
  <c r="AH356" i="27"/>
  <c r="DA356" i="27"/>
  <c r="FH356" i="27"/>
  <c r="AC356" i="27"/>
  <c r="CZ356" i="27"/>
  <c r="HL356" i="27"/>
  <c r="HD356" i="27"/>
  <c r="FC356" i="27"/>
  <c r="FQ356" i="27"/>
  <c r="Z143" i="26"/>
  <c r="E362" i="27"/>
  <c r="D336" i="27"/>
  <c r="E336" i="27"/>
  <c r="E340" i="27" s="1"/>
  <c r="CI324" i="27"/>
  <c r="CI281" i="27" s="1"/>
  <c r="CI366" i="27" s="1"/>
  <c r="CI378" i="27" s="1"/>
  <c r="DX324" i="27"/>
  <c r="DX281" i="27" s="1"/>
  <c r="DX366" i="27" s="1"/>
  <c r="DX378" i="27" s="1"/>
  <c r="BL324" i="27"/>
  <c r="BL281" i="27" s="1"/>
  <c r="BL366" i="27" s="1"/>
  <c r="BL378" i="27" s="1"/>
  <c r="ER324" i="27"/>
  <c r="ER281" i="27" s="1"/>
  <c r="ER366" i="27" s="1"/>
  <c r="ER378" i="27" s="1"/>
  <c r="FJ324" i="27"/>
  <c r="FJ281" i="27" s="1"/>
  <c r="FJ366" i="27" s="1"/>
  <c r="FJ378" i="27" s="1"/>
  <c r="BA324" i="27"/>
  <c r="BA281" i="27" s="1"/>
  <c r="BA366" i="27" s="1"/>
  <c r="BA378" i="27" s="1"/>
  <c r="FQ324" i="27"/>
  <c r="FQ281" i="27" s="1"/>
  <c r="FQ366" i="27" s="1"/>
  <c r="FQ378" i="27" s="1"/>
  <c r="EC324" i="27"/>
  <c r="EC281" i="27" s="1"/>
  <c r="EC366" i="27" s="1"/>
  <c r="EC378" i="27" s="1"/>
  <c r="HM324" i="27"/>
  <c r="HM281" i="27" s="1"/>
  <c r="HM366" i="27" s="1"/>
  <c r="HM378" i="27" s="1"/>
  <c r="HN324" i="27"/>
  <c r="HN281" i="27" s="1"/>
  <c r="HN366" i="27" s="1"/>
  <c r="HN378" i="27" s="1"/>
  <c r="HL324" i="27"/>
  <c r="HL281" i="27" s="1"/>
  <c r="HL366" i="27" s="1"/>
  <c r="HL378" i="27" s="1"/>
  <c r="FL324" i="27"/>
  <c r="FL281" i="27" s="1"/>
  <c r="FL366" i="27" s="1"/>
  <c r="FL378" i="27" s="1"/>
  <c r="GE324" i="27"/>
  <c r="GE281" i="27" s="1"/>
  <c r="GE366" i="27" s="1"/>
  <c r="GE378" i="27" s="1"/>
  <c r="CD324" i="27"/>
  <c r="CD281" i="27" s="1"/>
  <c r="CD366" i="27" s="1"/>
  <c r="CD378" i="27" s="1"/>
  <c r="CA324" i="27"/>
  <c r="CA281" i="27" s="1"/>
  <c r="CA366" i="27" s="1"/>
  <c r="CA378" i="27" s="1"/>
  <c r="AK324" i="27"/>
  <c r="AK281" i="27" s="1"/>
  <c r="AK366" i="27" s="1"/>
  <c r="AK378" i="27" s="1"/>
  <c r="EV324" i="27"/>
  <c r="EV281" i="27" s="1"/>
  <c r="EV366" i="27" s="1"/>
  <c r="EV378" i="27" s="1"/>
  <c r="V324" i="27"/>
  <c r="V281" i="27" s="1"/>
  <c r="V366" i="27" s="1"/>
  <c r="V378" i="27" s="1"/>
  <c r="FT324" i="27"/>
  <c r="FT281" i="27" s="1"/>
  <c r="FT366" i="27" s="1"/>
  <c r="FT378" i="27" s="1"/>
  <c r="EI324" i="27"/>
  <c r="EI281" i="27" s="1"/>
  <c r="EI366" i="27" s="1"/>
  <c r="EI378" i="27" s="1"/>
  <c r="ES324" i="27"/>
  <c r="ES281" i="27" s="1"/>
  <c r="ES366" i="27" s="1"/>
  <c r="ES378" i="27" s="1"/>
  <c r="X324" i="27"/>
  <c r="X281" i="27" s="1"/>
  <c r="X366" i="27" s="1"/>
  <c r="X378" i="27" s="1"/>
  <c r="FX324" i="27"/>
  <c r="FX281" i="27" s="1"/>
  <c r="FX366" i="27" s="1"/>
  <c r="FX378" i="27" s="1"/>
  <c r="II324" i="27"/>
  <c r="II281" i="27" s="1"/>
  <c r="II366" i="27" s="1"/>
  <c r="II378" i="27" s="1"/>
  <c r="DZ324" i="27"/>
  <c r="DZ281" i="27" s="1"/>
  <c r="DZ366" i="27" s="1"/>
  <c r="DZ378" i="27" s="1"/>
  <c r="GK324" i="27"/>
  <c r="GK281" i="27" s="1"/>
  <c r="GK366" i="27" s="1"/>
  <c r="GK378" i="27" s="1"/>
  <c r="HA324" i="27"/>
  <c r="HA281" i="27" s="1"/>
  <c r="HA366" i="27" s="1"/>
  <c r="HA378" i="27" s="1"/>
  <c r="FY324" i="27"/>
  <c r="FY281" i="27" s="1"/>
  <c r="FY366" i="27" s="1"/>
  <c r="FY378" i="27" s="1"/>
  <c r="GS324" i="27"/>
  <c r="GS281" i="27" s="1"/>
  <c r="GS366" i="27" s="1"/>
  <c r="GS378" i="27" s="1"/>
  <c r="EL324" i="27"/>
  <c r="EL281" i="27" s="1"/>
  <c r="EL366" i="27" s="1"/>
  <c r="EL378" i="27" s="1"/>
  <c r="EH324" i="27"/>
  <c r="EH281" i="27" s="1"/>
  <c r="EH366" i="27" s="1"/>
  <c r="EH378" i="27" s="1"/>
  <c r="GO324" i="27"/>
  <c r="GO281" i="27" s="1"/>
  <c r="GO366" i="27" s="1"/>
  <c r="GO378" i="27" s="1"/>
  <c r="AT324" i="27"/>
  <c r="AT281" i="27" s="1"/>
  <c r="AT366" i="27" s="1"/>
  <c r="AT378" i="27" s="1"/>
  <c r="CU324" i="27"/>
  <c r="CU281" i="27" s="1"/>
  <c r="CU366" i="27" s="1"/>
  <c r="CU378" i="27" s="1"/>
  <c r="BK324" i="27"/>
  <c r="BK281" i="27" s="1"/>
  <c r="BK366" i="27" s="1"/>
  <c r="BK378" i="27" s="1"/>
  <c r="EO324" i="27"/>
  <c r="EO281" i="27" s="1"/>
  <c r="EO366" i="27" s="1"/>
  <c r="EO378" i="27" s="1"/>
  <c r="HZ324" i="27"/>
  <c r="HZ281" i="27" s="1"/>
  <c r="HZ366" i="27" s="1"/>
  <c r="HZ378" i="27" s="1"/>
  <c r="DE324" i="27"/>
  <c r="DE281" i="27" s="1"/>
  <c r="DE366" i="27" s="1"/>
  <c r="DE378" i="27" s="1"/>
  <c r="GA324" i="27"/>
  <c r="GA281" i="27" s="1"/>
  <c r="GA366" i="27" s="1"/>
  <c r="GA378" i="27" s="1"/>
  <c r="HC324" i="27"/>
  <c r="HC281" i="27" s="1"/>
  <c r="HC366" i="27" s="1"/>
  <c r="HC378" i="27" s="1"/>
  <c r="AA324" i="27"/>
  <c r="AA281" i="27" s="1"/>
  <c r="AA366" i="27" s="1"/>
  <c r="AA378" i="27" s="1"/>
  <c r="DI324" i="27"/>
  <c r="DI281" i="27" s="1"/>
  <c r="DI366" i="27" s="1"/>
  <c r="DI378" i="27" s="1"/>
  <c r="HV324" i="27"/>
  <c r="HV281" i="27" s="1"/>
  <c r="HV366" i="27" s="1"/>
  <c r="HV378" i="27" s="1"/>
  <c r="CT324" i="27"/>
  <c r="CT281" i="27" s="1"/>
  <c r="CT366" i="27" s="1"/>
  <c r="CT378" i="27" s="1"/>
  <c r="BC324" i="27"/>
  <c r="BC281" i="27" s="1"/>
  <c r="BC366" i="27" s="1"/>
  <c r="BC378" i="27" s="1"/>
  <c r="BY324" i="27"/>
  <c r="BY281" i="27" s="1"/>
  <c r="BY366" i="27" s="1"/>
  <c r="BY378" i="27" s="1"/>
  <c r="GC324" i="27"/>
  <c r="GC281" i="27" s="1"/>
  <c r="GC366" i="27" s="1"/>
  <c r="GC378" i="27" s="1"/>
  <c r="AM324" i="27"/>
  <c r="AM281" i="27" s="1"/>
  <c r="AM366" i="27" s="1"/>
  <c r="AM378" i="27" s="1"/>
  <c r="GY324" i="27"/>
  <c r="GY281" i="27" s="1"/>
  <c r="GY366" i="27" s="1"/>
  <c r="GY378" i="27" s="1"/>
  <c r="GJ324" i="27"/>
  <c r="GJ281" i="27" s="1"/>
  <c r="GJ366" i="27" s="1"/>
  <c r="GJ378" i="27" s="1"/>
  <c r="AX324" i="27"/>
  <c r="AX281" i="27" s="1"/>
  <c r="AX366" i="27" s="1"/>
  <c r="AX378" i="27" s="1"/>
  <c r="DN324" i="27"/>
  <c r="DN281" i="27" s="1"/>
  <c r="DN366" i="27" s="1"/>
  <c r="DN378" i="27" s="1"/>
  <c r="AH324" i="27"/>
  <c r="AH281" i="27" s="1"/>
  <c r="AH366" i="27" s="1"/>
  <c r="AH378" i="27" s="1"/>
  <c r="EE324" i="27"/>
  <c r="EE281" i="27" s="1"/>
  <c r="EE366" i="27" s="1"/>
  <c r="EE378" i="27" s="1"/>
  <c r="AW324" i="27"/>
  <c r="AW281" i="27" s="1"/>
  <c r="AW366" i="27" s="1"/>
  <c r="AW378" i="27" s="1"/>
  <c r="BI324" i="27"/>
  <c r="BI281" i="27" s="1"/>
  <c r="BI366" i="27" s="1"/>
  <c r="BI378" i="27" s="1"/>
  <c r="AQ324" i="27"/>
  <c r="AQ281" i="27" s="1"/>
  <c r="AQ366" i="27" s="1"/>
  <c r="AQ378" i="27" s="1"/>
  <c r="BW324" i="27"/>
  <c r="BW281" i="27" s="1"/>
  <c r="BW366" i="27" s="1"/>
  <c r="BW378" i="27" s="1"/>
  <c r="GH324" i="27"/>
  <c r="GH281" i="27" s="1"/>
  <c r="GH366" i="27" s="1"/>
  <c r="GH378" i="27" s="1"/>
  <c r="GB324" i="27"/>
  <c r="GB281" i="27" s="1"/>
  <c r="GB366" i="27" s="1"/>
  <c r="GB378" i="27" s="1"/>
  <c r="N324" i="27"/>
  <c r="N281" i="27" s="1"/>
  <c r="N366" i="27" s="1"/>
  <c r="N378" i="27" s="1"/>
  <c r="BG324" i="27"/>
  <c r="BG281" i="27" s="1"/>
  <c r="BG366" i="27" s="1"/>
  <c r="BG378" i="27" s="1"/>
  <c r="BP324" i="27"/>
  <c r="BP281" i="27" s="1"/>
  <c r="BP366" i="27" s="1"/>
  <c r="BP378" i="27" s="1"/>
  <c r="EU324" i="27"/>
  <c r="EU281" i="27" s="1"/>
  <c r="EU366" i="27" s="1"/>
  <c r="EU378" i="27" s="1"/>
  <c r="DA324" i="27"/>
  <c r="DA281" i="27" s="1"/>
  <c r="DA366" i="27" s="1"/>
  <c r="DA378" i="27" s="1"/>
  <c r="BE324" i="27"/>
  <c r="BE281" i="27" s="1"/>
  <c r="BE366" i="27" s="1"/>
  <c r="BE378" i="27" s="1"/>
  <c r="DB324" i="27"/>
  <c r="DB281" i="27" s="1"/>
  <c r="DB366" i="27" s="1"/>
  <c r="DB378" i="27" s="1"/>
  <c r="CH324" i="27"/>
  <c r="CH281" i="27" s="1"/>
  <c r="CH366" i="27" s="1"/>
  <c r="CH378" i="27" s="1"/>
  <c r="AB324" i="27"/>
  <c r="AB281" i="27" s="1"/>
  <c r="AB366" i="27" s="1"/>
  <c r="AB378" i="27" s="1"/>
  <c r="BV324" i="27"/>
  <c r="BV281" i="27" s="1"/>
  <c r="BV366" i="27" s="1"/>
  <c r="BV378" i="27" s="1"/>
  <c r="EA324" i="27"/>
  <c r="EA281" i="27" s="1"/>
  <c r="EA366" i="27" s="1"/>
  <c r="EA378" i="27" s="1"/>
  <c r="I324" i="27"/>
  <c r="I281" i="27" s="1"/>
  <c r="I366" i="27" s="1"/>
  <c r="I378" i="27" s="1"/>
  <c r="AC324" i="27"/>
  <c r="AC281" i="27" s="1"/>
  <c r="AC366" i="27" s="1"/>
  <c r="AC378" i="27" s="1"/>
  <c r="CJ324" i="27"/>
  <c r="CJ281" i="27" s="1"/>
  <c r="CJ366" i="27" s="1"/>
  <c r="CJ378" i="27" s="1"/>
  <c r="AL324" i="27"/>
  <c r="AL281" i="27" s="1"/>
  <c r="AL366" i="27" s="1"/>
  <c r="AL378" i="27" s="1"/>
  <c r="ID324" i="27"/>
  <c r="ID281" i="27" s="1"/>
  <c r="ID366" i="27" s="1"/>
  <c r="ID378" i="27" s="1"/>
  <c r="DP324" i="27"/>
  <c r="DP281" i="27" s="1"/>
  <c r="DP366" i="27" s="1"/>
  <c r="DP378" i="27" s="1"/>
  <c r="GR324" i="27"/>
  <c r="GR281" i="27" s="1"/>
  <c r="GR366" i="27" s="1"/>
  <c r="GR378" i="27" s="1"/>
  <c r="FZ324" i="27"/>
  <c r="FZ281" i="27" s="1"/>
  <c r="FZ366" i="27" s="1"/>
  <c r="FZ378" i="27" s="1"/>
  <c r="K324" i="27"/>
  <c r="K281" i="27" s="1"/>
  <c r="K366" i="27" s="1"/>
  <c r="K378" i="27" s="1"/>
  <c r="CO324" i="27"/>
  <c r="CO281" i="27" s="1"/>
  <c r="CO366" i="27" s="1"/>
  <c r="CO378" i="27" s="1"/>
  <c r="W324" i="27"/>
  <c r="W281" i="27" s="1"/>
  <c r="W366" i="27" s="1"/>
  <c r="W378" i="27" s="1"/>
  <c r="GG324" i="27"/>
  <c r="GG281" i="27" s="1"/>
  <c r="GG366" i="27" s="1"/>
  <c r="GG378" i="27" s="1"/>
  <c r="O324" i="27"/>
  <c r="O281" i="27" s="1"/>
  <c r="O366" i="27" s="1"/>
  <c r="O378" i="27" s="1"/>
  <c r="BZ324" i="27"/>
  <c r="BZ281" i="27" s="1"/>
  <c r="BZ366" i="27" s="1"/>
  <c r="BZ378" i="27" s="1"/>
  <c r="HH324" i="27"/>
  <c r="HH281" i="27" s="1"/>
  <c r="HH366" i="27" s="1"/>
  <c r="HH378" i="27" s="1"/>
  <c r="BU324" i="27"/>
  <c r="BU281" i="27" s="1"/>
  <c r="BU366" i="27" s="1"/>
  <c r="BU378" i="27" s="1"/>
  <c r="DU324" i="27"/>
  <c r="DU281" i="27" s="1"/>
  <c r="DU366" i="27" s="1"/>
  <c r="DU378" i="27" s="1"/>
  <c r="DK324" i="27"/>
  <c r="DK281" i="27" s="1"/>
  <c r="DK366" i="27" s="1"/>
  <c r="DK378" i="27" s="1"/>
  <c r="DF324" i="27"/>
  <c r="DF281" i="27" s="1"/>
  <c r="DF366" i="27" s="1"/>
  <c r="DF378" i="27" s="1"/>
  <c r="GF324" i="27"/>
  <c r="GF281" i="27" s="1"/>
  <c r="GF366" i="27" s="1"/>
  <c r="GF378" i="27" s="1"/>
  <c r="DJ324" i="27"/>
  <c r="DJ281" i="27" s="1"/>
  <c r="DJ366" i="27" s="1"/>
  <c r="DJ378" i="27" s="1"/>
  <c r="FM324" i="27"/>
  <c r="FM281" i="27" s="1"/>
  <c r="FM366" i="27" s="1"/>
  <c r="FM378" i="27" s="1"/>
  <c r="DL324" i="27"/>
  <c r="DL281" i="27" s="1"/>
  <c r="DL366" i="27" s="1"/>
  <c r="DL378" i="27" s="1"/>
  <c r="T324" i="27"/>
  <c r="T281" i="27" s="1"/>
  <c r="T366" i="27" s="1"/>
  <c r="T378" i="27" s="1"/>
  <c r="CP324" i="27"/>
  <c r="CP281" i="27" s="1"/>
  <c r="CP366" i="27" s="1"/>
  <c r="CP378" i="27" s="1"/>
  <c r="GW324" i="27"/>
  <c r="GW281" i="27" s="1"/>
  <c r="GW366" i="27" s="1"/>
  <c r="GW378" i="27" s="1"/>
  <c r="EK324" i="27"/>
  <c r="EK281" i="27" s="1"/>
  <c r="EK366" i="27" s="1"/>
  <c r="EK378" i="27" s="1"/>
  <c r="GZ324" i="27"/>
  <c r="GZ281" i="27" s="1"/>
  <c r="GZ366" i="27" s="1"/>
  <c r="GZ378" i="27" s="1"/>
  <c r="BD324" i="27"/>
  <c r="BD281" i="27" s="1"/>
  <c r="BD366" i="27" s="1"/>
  <c r="BD378" i="27" s="1"/>
  <c r="EJ324" i="27"/>
  <c r="EJ281" i="27" s="1"/>
  <c r="EJ366" i="27" s="1"/>
  <c r="EJ378" i="27" s="1"/>
  <c r="HP324" i="27"/>
  <c r="HP281" i="27" s="1"/>
  <c r="HP366" i="27" s="1"/>
  <c r="HP378" i="27" s="1"/>
  <c r="EQ324" i="27"/>
  <c r="EQ281" i="27" s="1"/>
  <c r="EQ366" i="27" s="1"/>
  <c r="EQ378" i="27" s="1"/>
  <c r="AZ324" i="27"/>
  <c r="AZ281" i="27" s="1"/>
  <c r="AZ366" i="27" s="1"/>
  <c r="AZ378" i="27" s="1"/>
  <c r="FF324" i="27"/>
  <c r="FF281" i="27" s="1"/>
  <c r="FF366" i="27" s="1"/>
  <c r="FF378" i="27" s="1"/>
  <c r="CR324" i="27"/>
  <c r="CR281" i="27" s="1"/>
  <c r="CR366" i="27" s="1"/>
  <c r="CR378" i="27" s="1"/>
  <c r="HS324" i="27"/>
  <c r="HS281" i="27" s="1"/>
  <c r="HS366" i="27" s="1"/>
  <c r="HS378" i="27" s="1"/>
  <c r="CN324" i="27"/>
  <c r="CN281" i="27" s="1"/>
  <c r="CN366" i="27" s="1"/>
  <c r="CN378" i="27" s="1"/>
  <c r="BM324" i="27"/>
  <c r="BM281" i="27" s="1"/>
  <c r="BM366" i="27" s="1"/>
  <c r="BM378" i="27" s="1"/>
  <c r="GX324" i="27"/>
  <c r="GX281" i="27" s="1"/>
  <c r="GX366" i="27" s="1"/>
  <c r="GX378" i="27" s="1"/>
  <c r="BB324" i="27"/>
  <c r="BB281" i="27" s="1"/>
  <c r="BB366" i="27" s="1"/>
  <c r="BB378" i="27" s="1"/>
  <c r="CZ324" i="27"/>
  <c r="CZ281" i="27" s="1"/>
  <c r="CZ366" i="27" s="1"/>
  <c r="CZ378" i="27" s="1"/>
  <c r="GN324" i="27"/>
  <c r="GN281" i="27" s="1"/>
  <c r="GN366" i="27" s="1"/>
  <c r="GN378" i="27" s="1"/>
  <c r="DT324" i="27"/>
  <c r="DT281" i="27" s="1"/>
  <c r="DT366" i="27" s="1"/>
  <c r="DT378" i="27" s="1"/>
  <c r="GP324" i="27"/>
  <c r="GP281" i="27" s="1"/>
  <c r="GP366" i="27" s="1"/>
  <c r="GP378" i="27" s="1"/>
  <c r="BH324" i="27"/>
  <c r="BH281" i="27" s="1"/>
  <c r="BH366" i="27" s="1"/>
  <c r="BH378" i="27" s="1"/>
  <c r="IH324" i="27"/>
  <c r="IH281" i="27" s="1"/>
  <c r="IH366" i="27" s="1"/>
  <c r="IH378" i="27" s="1"/>
  <c r="H324" i="27"/>
  <c r="H281" i="27" s="1"/>
  <c r="H366" i="27" s="1"/>
  <c r="H378" i="27" s="1"/>
  <c r="H400" i="27" s="1"/>
  <c r="H403" i="27" s="1"/>
  <c r="GT324" i="27"/>
  <c r="GT281" i="27" s="1"/>
  <c r="GT366" i="27" s="1"/>
  <c r="GT378" i="27" s="1"/>
  <c r="AO324" i="27"/>
  <c r="AO281" i="27" s="1"/>
  <c r="AO366" i="27" s="1"/>
  <c r="AO378" i="27" s="1"/>
  <c r="GV324" i="27"/>
  <c r="GV281" i="27" s="1"/>
  <c r="GV366" i="27" s="1"/>
  <c r="GV378" i="27" s="1"/>
  <c r="P324" i="27"/>
  <c r="P281" i="27" s="1"/>
  <c r="P366" i="27" s="1"/>
  <c r="P378" i="27" s="1"/>
  <c r="HE324" i="27"/>
  <c r="HE281" i="27" s="1"/>
  <c r="HE366" i="27" s="1"/>
  <c r="HE378" i="27" s="1"/>
  <c r="EB324" i="27"/>
  <c r="EB281" i="27" s="1"/>
  <c r="EB366" i="27" s="1"/>
  <c r="EB378" i="27" s="1"/>
  <c r="AE324" i="27"/>
  <c r="AE281" i="27" s="1"/>
  <c r="AE366" i="27" s="1"/>
  <c r="AE378" i="27" s="1"/>
  <c r="IK324" i="27"/>
  <c r="IK281" i="27" s="1"/>
  <c r="IK366" i="27" s="1"/>
  <c r="IK378" i="27" s="1"/>
  <c r="AP324" i="27"/>
  <c r="AP281" i="27" s="1"/>
  <c r="AP366" i="27" s="1"/>
  <c r="AP378" i="27" s="1"/>
  <c r="CQ324" i="27"/>
  <c r="CQ281" i="27" s="1"/>
  <c r="CQ366" i="27" s="1"/>
  <c r="CQ378" i="27" s="1"/>
  <c r="FA324" i="27"/>
  <c r="FA281" i="27" s="1"/>
  <c r="FA366" i="27" s="1"/>
  <c r="FA378" i="27" s="1"/>
  <c r="DR324" i="27"/>
  <c r="DR281" i="27" s="1"/>
  <c r="DR366" i="27" s="1"/>
  <c r="DR378" i="27" s="1"/>
  <c r="HT324" i="27"/>
  <c r="HT281" i="27" s="1"/>
  <c r="HT366" i="27" s="1"/>
  <c r="HT378" i="27" s="1"/>
  <c r="AJ324" i="27"/>
  <c r="AJ281" i="27" s="1"/>
  <c r="AJ366" i="27" s="1"/>
  <c r="AJ378" i="27" s="1"/>
  <c r="CB324" i="27"/>
  <c r="CB281" i="27" s="1"/>
  <c r="CB366" i="27" s="1"/>
  <c r="CB378" i="27" s="1"/>
  <c r="DO324" i="27"/>
  <c r="DO281" i="27" s="1"/>
  <c r="DO366" i="27" s="1"/>
  <c r="DO378" i="27" s="1"/>
  <c r="BS324" i="27"/>
  <c r="BS281" i="27" s="1"/>
  <c r="BS366" i="27" s="1"/>
  <c r="BS378" i="27" s="1"/>
  <c r="IA324" i="27"/>
  <c r="IA281" i="27" s="1"/>
  <c r="IA366" i="27" s="1"/>
  <c r="IA378" i="27" s="1"/>
  <c r="IE324" i="27"/>
  <c r="IE281" i="27" s="1"/>
  <c r="IE366" i="27" s="1"/>
  <c r="IE378" i="27" s="1"/>
  <c r="GL324" i="27"/>
  <c r="GL281" i="27" s="1"/>
  <c r="GL366" i="27" s="1"/>
  <c r="GL378" i="27" s="1"/>
  <c r="HB324" i="27"/>
  <c r="HB281" i="27" s="1"/>
  <c r="HB366" i="27" s="1"/>
  <c r="HB378" i="27" s="1"/>
  <c r="FK324" i="27"/>
  <c r="FK281" i="27" s="1"/>
  <c r="FK366" i="27" s="1"/>
  <c r="FK378" i="27" s="1"/>
  <c r="HY324" i="27"/>
  <c r="HY281" i="27" s="1"/>
  <c r="HY366" i="27" s="1"/>
  <c r="HY378" i="27" s="1"/>
  <c r="DG324" i="27"/>
  <c r="DG281" i="27" s="1"/>
  <c r="DG366" i="27" s="1"/>
  <c r="DG378" i="27" s="1"/>
  <c r="BN324" i="27"/>
  <c r="BN281" i="27" s="1"/>
  <c r="BN366" i="27" s="1"/>
  <c r="BN378" i="27" s="1"/>
  <c r="CX324" i="27"/>
  <c r="CX281" i="27" s="1"/>
  <c r="CX366" i="27" s="1"/>
  <c r="CX378" i="27" s="1"/>
  <c r="DY324" i="27"/>
  <c r="DY281" i="27" s="1"/>
  <c r="DY366" i="27" s="1"/>
  <c r="DY378" i="27" s="1"/>
  <c r="CK324" i="27"/>
  <c r="CK281" i="27" s="1"/>
  <c r="CK366" i="27" s="1"/>
  <c r="CK378" i="27" s="1"/>
  <c r="BF324" i="27"/>
  <c r="BF281" i="27" s="1"/>
  <c r="BF366" i="27" s="1"/>
  <c r="BF378" i="27" s="1"/>
  <c r="EG324" i="27"/>
  <c r="EG281" i="27" s="1"/>
  <c r="EG366" i="27" s="1"/>
  <c r="EG378" i="27" s="1"/>
  <c r="GI324" i="27"/>
  <c r="GI281" i="27" s="1"/>
  <c r="GI366" i="27" s="1"/>
  <c r="GI378" i="27" s="1"/>
  <c r="FW324" i="27"/>
  <c r="FW281" i="27" s="1"/>
  <c r="FW366" i="27" s="1"/>
  <c r="FW378" i="27" s="1"/>
  <c r="CE324" i="27"/>
  <c r="CE281" i="27" s="1"/>
  <c r="CE366" i="27" s="1"/>
  <c r="CE378" i="27" s="1"/>
  <c r="GM324" i="27"/>
  <c r="GM281" i="27" s="1"/>
  <c r="GM366" i="27" s="1"/>
  <c r="GM378" i="27" s="1"/>
  <c r="BR324" i="27"/>
  <c r="BR281" i="27" s="1"/>
  <c r="BR366" i="27" s="1"/>
  <c r="BR378" i="27" s="1"/>
  <c r="FU324" i="27"/>
  <c r="FU281" i="27" s="1"/>
  <c r="FU366" i="27" s="1"/>
  <c r="FU378" i="27" s="1"/>
  <c r="AS324" i="27"/>
  <c r="AS281" i="27" s="1"/>
  <c r="AS366" i="27" s="1"/>
  <c r="AS378" i="27" s="1"/>
  <c r="AI324" i="27"/>
  <c r="AI281" i="27" s="1"/>
  <c r="AI366" i="27" s="1"/>
  <c r="AI378" i="27" s="1"/>
  <c r="HQ324" i="27"/>
  <c r="HQ281" i="27" s="1"/>
  <c r="HQ366" i="27" s="1"/>
  <c r="HQ378" i="27" s="1"/>
  <c r="FG324" i="27"/>
  <c r="FG281" i="27" s="1"/>
  <c r="FG366" i="27" s="1"/>
  <c r="FG378" i="27" s="1"/>
  <c r="CL324" i="27"/>
  <c r="CL281" i="27" s="1"/>
  <c r="CL366" i="27" s="1"/>
  <c r="CL378" i="27" s="1"/>
  <c r="IJ324" i="27"/>
  <c r="IJ281" i="27" s="1"/>
  <c r="IJ366" i="27" s="1"/>
  <c r="IJ378" i="27" s="1"/>
  <c r="GU324" i="27"/>
  <c r="GU281" i="27" s="1"/>
  <c r="GU366" i="27" s="1"/>
  <c r="GU378" i="27" s="1"/>
  <c r="ED324" i="27"/>
  <c r="ED281" i="27" s="1"/>
  <c r="ED366" i="27" s="1"/>
  <c r="ED378" i="27" s="1"/>
  <c r="AD324" i="27"/>
  <c r="AD281" i="27" s="1"/>
  <c r="AD366" i="27" s="1"/>
  <c r="AD378" i="27" s="1"/>
  <c r="BT324" i="27"/>
  <c r="BT281" i="27" s="1"/>
  <c r="BT366" i="27" s="1"/>
  <c r="BT378" i="27" s="1"/>
  <c r="AU324" i="27"/>
  <c r="AU281" i="27" s="1"/>
  <c r="AU366" i="27" s="1"/>
  <c r="AU378" i="27" s="1"/>
  <c r="BJ324" i="27"/>
  <c r="BJ281" i="27" s="1"/>
  <c r="BJ366" i="27" s="1"/>
  <c r="BJ378" i="27" s="1"/>
  <c r="FS324" i="27"/>
  <c r="FS281" i="27" s="1"/>
  <c r="FS366" i="27" s="1"/>
  <c r="FS378" i="27" s="1"/>
  <c r="DQ324" i="27"/>
  <c r="DQ281" i="27" s="1"/>
  <c r="DQ366" i="27" s="1"/>
  <c r="DQ378" i="27" s="1"/>
  <c r="HX324" i="27"/>
  <c r="HX281" i="27" s="1"/>
  <c r="HX366" i="27" s="1"/>
  <c r="HX378" i="27" s="1"/>
  <c r="DV324" i="27"/>
  <c r="DV281" i="27" s="1"/>
  <c r="DV366" i="27" s="1"/>
  <c r="DV378" i="27" s="1"/>
  <c r="HD324" i="27"/>
  <c r="HD281" i="27" s="1"/>
  <c r="HD366" i="27" s="1"/>
  <c r="HD378" i="27" s="1"/>
  <c r="EP324" i="27"/>
  <c r="EP281" i="27" s="1"/>
  <c r="EP366" i="27" s="1"/>
  <c r="EP378" i="27" s="1"/>
  <c r="EN324" i="27"/>
  <c r="EN281" i="27" s="1"/>
  <c r="EN366" i="27" s="1"/>
  <c r="EN378" i="27" s="1"/>
  <c r="AV324" i="27"/>
  <c r="AV281" i="27" s="1"/>
  <c r="AV366" i="27" s="1"/>
  <c r="AV378" i="27" s="1"/>
  <c r="FO324" i="27"/>
  <c r="FO281" i="27" s="1"/>
  <c r="FO366" i="27" s="1"/>
  <c r="FO378" i="27" s="1"/>
  <c r="EX324" i="27"/>
  <c r="EX281" i="27" s="1"/>
  <c r="EX366" i="27" s="1"/>
  <c r="EX378" i="27" s="1"/>
  <c r="FV324" i="27"/>
  <c r="FV281" i="27" s="1"/>
  <c r="FV366" i="27" s="1"/>
  <c r="FV378" i="27" s="1"/>
  <c r="DC324" i="27"/>
  <c r="DC281" i="27" s="1"/>
  <c r="DC366" i="27" s="1"/>
  <c r="DC378" i="27" s="1"/>
  <c r="EF324" i="27"/>
  <c r="EF281" i="27" s="1"/>
  <c r="EF366" i="27" s="1"/>
  <c r="EF378" i="27" s="1"/>
  <c r="AN324" i="27"/>
  <c r="AN281" i="27" s="1"/>
  <c r="AN366" i="27" s="1"/>
  <c r="AN378" i="27" s="1"/>
  <c r="HG324" i="27"/>
  <c r="HG281" i="27" s="1"/>
  <c r="HG366" i="27" s="1"/>
  <c r="HG378" i="27" s="1"/>
  <c r="CC324" i="27"/>
  <c r="CC281" i="27" s="1"/>
  <c r="CC366" i="27" s="1"/>
  <c r="CC378" i="27" s="1"/>
  <c r="R324" i="27"/>
  <c r="R281" i="27" s="1"/>
  <c r="R366" i="27" s="1"/>
  <c r="R378" i="27" s="1"/>
  <c r="FE324" i="27"/>
  <c r="FE281" i="27" s="1"/>
  <c r="FE366" i="27" s="1"/>
  <c r="FE378" i="27" s="1"/>
  <c r="HJ324" i="27"/>
  <c r="HJ281" i="27" s="1"/>
  <c r="HJ366" i="27" s="1"/>
  <c r="HJ378" i="27" s="1"/>
  <c r="Q324" i="27"/>
  <c r="Q281" i="27" s="1"/>
  <c r="Q366" i="27" s="1"/>
  <c r="Q378" i="27" s="1"/>
  <c r="DW324" i="27"/>
  <c r="DW281" i="27" s="1"/>
  <c r="DW366" i="27" s="1"/>
  <c r="DW378" i="27" s="1"/>
  <c r="IB324" i="27"/>
  <c r="IB281" i="27" s="1"/>
  <c r="IB366" i="27" s="1"/>
  <c r="IB378" i="27" s="1"/>
  <c r="FB324" i="27"/>
  <c r="FB281" i="27" s="1"/>
  <c r="FB366" i="27" s="1"/>
  <c r="FB378" i="27" s="1"/>
  <c r="AG324" i="27"/>
  <c r="AG281" i="27" s="1"/>
  <c r="AG366" i="27" s="1"/>
  <c r="AG378" i="27" s="1"/>
  <c r="CS324" i="27"/>
  <c r="CS281" i="27" s="1"/>
  <c r="CS366" i="27" s="1"/>
  <c r="CS378" i="27" s="1"/>
  <c r="CG324" i="27"/>
  <c r="CG281" i="27" s="1"/>
  <c r="CG366" i="27" s="1"/>
  <c r="CG378" i="27" s="1"/>
  <c r="DD324" i="27"/>
  <c r="DD281" i="27" s="1"/>
  <c r="DD366" i="27" s="1"/>
  <c r="DD378" i="27" s="1"/>
  <c r="FR324" i="27"/>
  <c r="FR281" i="27" s="1"/>
  <c r="FR366" i="27" s="1"/>
  <c r="FR378" i="27" s="1"/>
  <c r="M324" i="27"/>
  <c r="M281" i="27" s="1"/>
  <c r="M366" i="27" s="1"/>
  <c r="M378" i="27" s="1"/>
  <c r="AF324" i="27"/>
  <c r="AF281" i="27" s="1"/>
  <c r="AF366" i="27" s="1"/>
  <c r="AF378" i="27" s="1"/>
  <c r="L324" i="27"/>
  <c r="L281" i="27" s="1"/>
  <c r="L366" i="27" s="1"/>
  <c r="L378" i="27" s="1"/>
  <c r="BO324" i="27"/>
  <c r="BO281" i="27" s="1"/>
  <c r="BO366" i="27" s="1"/>
  <c r="BO378" i="27" s="1"/>
  <c r="CV324" i="27"/>
  <c r="CV281" i="27" s="1"/>
  <c r="CV366" i="27" s="1"/>
  <c r="CV378" i="27" s="1"/>
  <c r="HW324" i="27"/>
  <c r="HW281" i="27" s="1"/>
  <c r="HW366" i="27" s="1"/>
  <c r="HW378" i="27" s="1"/>
  <c r="FC324" i="27"/>
  <c r="FC281" i="27" s="1"/>
  <c r="FC366" i="27" s="1"/>
  <c r="FC378" i="27" s="1"/>
  <c r="IG324" i="27"/>
  <c r="IG281" i="27" s="1"/>
  <c r="IG366" i="27" s="1"/>
  <c r="IG378" i="27" s="1"/>
  <c r="AY324" i="27"/>
  <c r="AY281" i="27" s="1"/>
  <c r="AY366" i="27" s="1"/>
  <c r="AY378" i="27" s="1"/>
  <c r="BX324" i="27"/>
  <c r="BX281" i="27" s="1"/>
  <c r="BX366" i="27" s="1"/>
  <c r="BX378" i="27" s="1"/>
  <c r="HO324" i="27"/>
  <c r="HO281" i="27" s="1"/>
  <c r="HO366" i="27" s="1"/>
  <c r="HO378" i="27" s="1"/>
  <c r="CY324" i="27"/>
  <c r="CY281" i="27" s="1"/>
  <c r="CY366" i="27" s="1"/>
  <c r="CY378" i="27" s="1"/>
  <c r="EM324" i="27"/>
  <c r="EM281" i="27" s="1"/>
  <c r="EM366" i="27" s="1"/>
  <c r="EM378" i="27" s="1"/>
  <c r="CM324" i="27"/>
  <c r="CM281" i="27" s="1"/>
  <c r="CM366" i="27" s="1"/>
  <c r="CM378" i="27" s="1"/>
  <c r="Y324" i="27"/>
  <c r="Y281" i="27" s="1"/>
  <c r="Y366" i="27" s="1"/>
  <c r="Y378" i="27" s="1"/>
  <c r="AR324" i="27"/>
  <c r="AR281" i="27" s="1"/>
  <c r="AR366" i="27" s="1"/>
  <c r="AR378" i="27" s="1"/>
  <c r="GQ324" i="27"/>
  <c r="GQ281" i="27" s="1"/>
  <c r="GQ366" i="27" s="1"/>
  <c r="GQ378" i="27" s="1"/>
  <c r="BQ324" i="27"/>
  <c r="BQ281" i="27" s="1"/>
  <c r="BQ366" i="27" s="1"/>
  <c r="BQ378" i="27" s="1"/>
  <c r="HF324" i="27"/>
  <c r="HF281" i="27" s="1"/>
  <c r="HF366" i="27" s="1"/>
  <c r="HF378" i="27" s="1"/>
  <c r="U324" i="27"/>
  <c r="U281" i="27" s="1"/>
  <c r="U366" i="27" s="1"/>
  <c r="U378" i="27" s="1"/>
  <c r="DS324" i="27"/>
  <c r="DS281" i="27" s="1"/>
  <c r="DS366" i="27" s="1"/>
  <c r="DS378" i="27" s="1"/>
  <c r="Z324" i="27"/>
  <c r="Z281" i="27" s="1"/>
  <c r="Z366" i="27" s="1"/>
  <c r="Z378" i="27" s="1"/>
  <c r="EY324" i="27"/>
  <c r="EY281" i="27" s="1"/>
  <c r="EY366" i="27" s="1"/>
  <c r="EY378" i="27" s="1"/>
  <c r="IC324" i="27"/>
  <c r="IC281" i="27" s="1"/>
  <c r="IC366" i="27" s="1"/>
  <c r="IC378" i="27" s="1"/>
  <c r="HI324" i="27"/>
  <c r="HI281" i="27" s="1"/>
  <c r="HI366" i="27" s="1"/>
  <c r="HI378" i="27" s="1"/>
  <c r="CW324" i="27"/>
  <c r="CW281" i="27" s="1"/>
  <c r="CW366" i="27" s="1"/>
  <c r="CW378" i="27" s="1"/>
  <c r="HR324" i="27"/>
  <c r="HR281" i="27" s="1"/>
  <c r="HR366" i="27" s="1"/>
  <c r="HR378" i="27" s="1"/>
  <c r="DH324" i="27"/>
  <c r="DH281" i="27" s="1"/>
  <c r="DH366" i="27" s="1"/>
  <c r="DH378" i="27" s="1"/>
  <c r="CF324" i="27"/>
  <c r="CF281" i="27" s="1"/>
  <c r="CF366" i="27" s="1"/>
  <c r="CF378" i="27" s="1"/>
  <c r="GD324" i="27"/>
  <c r="GD281" i="27" s="1"/>
  <c r="GD366" i="27" s="1"/>
  <c r="GD378" i="27" s="1"/>
  <c r="FN324" i="27"/>
  <c r="FN281" i="27" s="1"/>
  <c r="FN366" i="27" s="1"/>
  <c r="FN378" i="27" s="1"/>
  <c r="ET324" i="27"/>
  <c r="ET281" i="27" s="1"/>
  <c r="ET366" i="27" s="1"/>
  <c r="ET378" i="27" s="1"/>
  <c r="FH324" i="27"/>
  <c r="FH281" i="27" s="1"/>
  <c r="FH366" i="27" s="1"/>
  <c r="FH378" i="27" s="1"/>
  <c r="EZ324" i="27"/>
  <c r="EZ281" i="27" s="1"/>
  <c r="EZ366" i="27" s="1"/>
  <c r="EZ378" i="27" s="1"/>
  <c r="FD324" i="27"/>
  <c r="FD281" i="27" s="1"/>
  <c r="FD366" i="27" s="1"/>
  <c r="FD378" i="27" s="1"/>
  <c r="EW324" i="27"/>
  <c r="EW281" i="27" s="1"/>
  <c r="EW366" i="27" s="1"/>
  <c r="EW378" i="27" s="1"/>
  <c r="DM324" i="27"/>
  <c r="DM281" i="27" s="1"/>
  <c r="DM366" i="27" s="1"/>
  <c r="DM378" i="27" s="1"/>
  <c r="HU324" i="27"/>
  <c r="HU281" i="27" s="1"/>
  <c r="HU366" i="27" s="1"/>
  <c r="HU378" i="27" s="1"/>
  <c r="HK324" i="27"/>
  <c r="HK281" i="27" s="1"/>
  <c r="HK366" i="27" s="1"/>
  <c r="HK378" i="27" s="1"/>
  <c r="FI324" i="27"/>
  <c r="FI281" i="27" s="1"/>
  <c r="FI366" i="27" s="1"/>
  <c r="FI378" i="27" s="1"/>
  <c r="S324" i="27"/>
  <c r="S281" i="27" s="1"/>
  <c r="S366" i="27" s="1"/>
  <c r="S378" i="27" s="1"/>
  <c r="FP324" i="27"/>
  <c r="FP281" i="27" s="1"/>
  <c r="FP366" i="27" s="1"/>
  <c r="FP378" i="27" s="1"/>
  <c r="IF324" i="27"/>
  <c r="IF281" i="27" s="1"/>
  <c r="IF366" i="27" s="1"/>
  <c r="IF378" i="27" s="1"/>
  <c r="J324" i="27"/>
  <c r="J281" i="27" s="1"/>
  <c r="J366" i="27" s="1"/>
  <c r="J378" i="27" s="1"/>
  <c r="EV172" i="27"/>
  <c r="EV105" i="27" s="1"/>
  <c r="AN172" i="27"/>
  <c r="AN105" i="27" s="1"/>
  <c r="ES172" i="27"/>
  <c r="ES105" i="27" s="1"/>
  <c r="DF172" i="27"/>
  <c r="DF105" i="27" s="1"/>
  <c r="P172" i="27"/>
  <c r="P105" i="27" s="1"/>
  <c r="BI172" i="27"/>
  <c r="BI105" i="27" s="1"/>
  <c r="EE172" i="27"/>
  <c r="EE105" i="27" s="1"/>
  <c r="DY172" i="27"/>
  <c r="DY105" i="27" s="1"/>
  <c r="CI172" i="27"/>
  <c r="CI105" i="27" s="1"/>
  <c r="FQ172" i="27"/>
  <c r="FQ105" i="27" s="1"/>
  <c r="BA172" i="27"/>
  <c r="BA105" i="27" s="1"/>
  <c r="DU172" i="27"/>
  <c r="DU105" i="27" s="1"/>
  <c r="DJ172" i="27"/>
  <c r="DJ105" i="27" s="1"/>
  <c r="BU172" i="27"/>
  <c r="BU105" i="27" s="1"/>
  <c r="GP172" i="27"/>
  <c r="GP105" i="27" s="1"/>
  <c r="IJ172" i="27"/>
  <c r="IJ105" i="27" s="1"/>
  <c r="CZ172" i="27"/>
  <c r="CZ105" i="27" s="1"/>
  <c r="BL172" i="27"/>
  <c r="BL105" i="27" s="1"/>
  <c r="AO172" i="27"/>
  <c r="AO105" i="27" s="1"/>
  <c r="I172" i="27"/>
  <c r="I105" i="27" s="1"/>
  <c r="CM172" i="27"/>
  <c r="CM105" i="27" s="1"/>
  <c r="GS172" i="27"/>
  <c r="GS105" i="27" s="1"/>
  <c r="HH172" i="27"/>
  <c r="HH105" i="27" s="1"/>
  <c r="L172" i="27"/>
  <c r="L105" i="27" s="1"/>
  <c r="DZ172" i="27"/>
  <c r="DZ105" i="27" s="1"/>
  <c r="IH172" i="27"/>
  <c r="IH105" i="27" s="1"/>
  <c r="AP172" i="27"/>
  <c r="AP105" i="27" s="1"/>
  <c r="HG172" i="27"/>
  <c r="HG105" i="27" s="1"/>
  <c r="DT172" i="27"/>
  <c r="DT105" i="27" s="1"/>
  <c r="CQ172" i="27"/>
  <c r="CQ105" i="27" s="1"/>
  <c r="CT172" i="27"/>
  <c r="CT105" i="27" s="1"/>
  <c r="II172" i="27"/>
  <c r="II105" i="27" s="1"/>
  <c r="GG172" i="27"/>
  <c r="GG105" i="27" s="1"/>
  <c r="DO172" i="27"/>
  <c r="DO105" i="27" s="1"/>
  <c r="BM172" i="27"/>
  <c r="BM105" i="27" s="1"/>
  <c r="BT172" i="27"/>
  <c r="BT105" i="27" s="1"/>
  <c r="U172" i="27"/>
  <c r="U105" i="27" s="1"/>
  <c r="AK172" i="27"/>
  <c r="AK105" i="27" s="1"/>
  <c r="GQ172" i="27"/>
  <c r="GQ105" i="27" s="1"/>
  <c r="AZ172" i="27"/>
  <c r="AZ105" i="27" s="1"/>
  <c r="EZ172" i="27"/>
  <c r="EZ105" i="27" s="1"/>
  <c r="FI172" i="27"/>
  <c r="FI105" i="27" s="1"/>
  <c r="BG172" i="27"/>
  <c r="BG105" i="27" s="1"/>
  <c r="CA172" i="27"/>
  <c r="CA105" i="27" s="1"/>
  <c r="ID172" i="27"/>
  <c r="ID105" i="27" s="1"/>
  <c r="BY172" i="27"/>
  <c r="BY105" i="27" s="1"/>
  <c r="EX172" i="27"/>
  <c r="EX105" i="27" s="1"/>
  <c r="ED172" i="27"/>
  <c r="ED105" i="27" s="1"/>
  <c r="ER172" i="27"/>
  <c r="ER105" i="27" s="1"/>
  <c r="BO172" i="27"/>
  <c r="BO105" i="27" s="1"/>
  <c r="CC172" i="27"/>
  <c r="CC105" i="27" s="1"/>
  <c r="FF172" i="27"/>
  <c r="FF105" i="27" s="1"/>
  <c r="HT172" i="27"/>
  <c r="HT105" i="27" s="1"/>
  <c r="AX172" i="27"/>
  <c r="AX105" i="27" s="1"/>
  <c r="Q172" i="27"/>
  <c r="Q105" i="27" s="1"/>
  <c r="HD172" i="27"/>
  <c r="HD105" i="27" s="1"/>
  <c r="CU172" i="27"/>
  <c r="CU105" i="27" s="1"/>
  <c r="AW172" i="27"/>
  <c r="AW105" i="27" s="1"/>
  <c r="CO172" i="27"/>
  <c r="CO105" i="27" s="1"/>
  <c r="FM172" i="27"/>
  <c r="FM105" i="27" s="1"/>
  <c r="CL172" i="27"/>
  <c r="CL105" i="27" s="1"/>
  <c r="BF172" i="27"/>
  <c r="BF105" i="27" s="1"/>
  <c r="GU172" i="27"/>
  <c r="GU105" i="27" s="1"/>
  <c r="EH172" i="27"/>
  <c r="EH105" i="27" s="1"/>
  <c r="DE172" i="27"/>
  <c r="DE105" i="27" s="1"/>
  <c r="CB172" i="27"/>
  <c r="CB105" i="27" s="1"/>
  <c r="HK172" i="27"/>
  <c r="HK105" i="27" s="1"/>
  <c r="DQ172" i="27"/>
  <c r="DQ105" i="27" s="1"/>
  <c r="GT172" i="27"/>
  <c r="GT105" i="27" s="1"/>
  <c r="IF172" i="27"/>
  <c r="IF105" i="27" s="1"/>
  <c r="CR172" i="27"/>
  <c r="CR105" i="27" s="1"/>
  <c r="FP172" i="27"/>
  <c r="FP105" i="27" s="1"/>
  <c r="FE172" i="27"/>
  <c r="FE105" i="27" s="1"/>
  <c r="T172" i="27"/>
  <c r="T105" i="27" s="1"/>
  <c r="CE172" i="27"/>
  <c r="CE105" i="27" s="1"/>
  <c r="CJ172" i="27"/>
  <c r="CJ105" i="27" s="1"/>
  <c r="BE172" i="27"/>
  <c r="BE105" i="27" s="1"/>
  <c r="BW172" i="27"/>
  <c r="BW105" i="27" s="1"/>
  <c r="GH172" i="27"/>
  <c r="GH105" i="27" s="1"/>
  <c r="BB172" i="27"/>
  <c r="BB105" i="27" s="1"/>
  <c r="BS172" i="27"/>
  <c r="BS105" i="27" s="1"/>
  <c r="AA172" i="27"/>
  <c r="AA105" i="27" s="1"/>
  <c r="EW172" i="27"/>
  <c r="EW105" i="27" s="1"/>
  <c r="DI172" i="27"/>
  <c r="DI105" i="27" s="1"/>
  <c r="GD172" i="27"/>
  <c r="GD105" i="27" s="1"/>
  <c r="AS172" i="27"/>
  <c r="AS105" i="27" s="1"/>
  <c r="DC172" i="27"/>
  <c r="DC105" i="27" s="1"/>
  <c r="IA172" i="27"/>
  <c r="IA105" i="27" s="1"/>
  <c r="CP172" i="27"/>
  <c r="CP105" i="27" s="1"/>
  <c r="FJ172" i="27"/>
  <c r="FJ105" i="27" s="1"/>
  <c r="FB172" i="27"/>
  <c r="FB105" i="27" s="1"/>
  <c r="IK172" i="27"/>
  <c r="IK105" i="27" s="1"/>
  <c r="HJ172" i="27"/>
  <c r="HJ105" i="27" s="1"/>
  <c r="DN172" i="27"/>
  <c r="DN105" i="27" s="1"/>
  <c r="FK172" i="27"/>
  <c r="FK105" i="27" s="1"/>
  <c r="GZ172" i="27"/>
  <c r="GZ105" i="27" s="1"/>
  <c r="J172" i="27"/>
  <c r="J105" i="27" s="1"/>
  <c r="HP172" i="27"/>
  <c r="HP105" i="27" s="1"/>
  <c r="S172" i="27"/>
  <c r="S105" i="27" s="1"/>
  <c r="X172" i="27"/>
  <c r="X105" i="27" s="1"/>
  <c r="EQ172" i="27"/>
  <c r="EQ105" i="27" s="1"/>
  <c r="GB172" i="27"/>
  <c r="GB105" i="27" s="1"/>
  <c r="BP172" i="27"/>
  <c r="BP105" i="27" s="1"/>
  <c r="FR172" i="27"/>
  <c r="FR105" i="27" s="1"/>
  <c r="BK172" i="27"/>
  <c r="BK105" i="27" s="1"/>
  <c r="GV172" i="27"/>
  <c r="GV105" i="27" s="1"/>
  <c r="CD172" i="27"/>
  <c r="CD105" i="27" s="1"/>
  <c r="BQ172" i="27"/>
  <c r="BQ105" i="27" s="1"/>
  <c r="AV172" i="27"/>
  <c r="AV105" i="27" s="1"/>
  <c r="EP172" i="27"/>
  <c r="EP105" i="27" s="1"/>
  <c r="AB172" i="27"/>
  <c r="AB105" i="27" s="1"/>
  <c r="AT172" i="27"/>
  <c r="AT105" i="27" s="1"/>
  <c r="DH172" i="27"/>
  <c r="DH105" i="27" s="1"/>
  <c r="HU172" i="27"/>
  <c r="HU105" i="27" s="1"/>
  <c r="AH172" i="27"/>
  <c r="AH105" i="27" s="1"/>
  <c r="HR172" i="27"/>
  <c r="HR105" i="27" s="1"/>
  <c r="BD172" i="27"/>
  <c r="BD105" i="27" s="1"/>
  <c r="AI172" i="27"/>
  <c r="AI105" i="27" s="1"/>
  <c r="DB172" i="27"/>
  <c r="DB105" i="27" s="1"/>
  <c r="GI172" i="27"/>
  <c r="GI105" i="27" s="1"/>
  <c r="GY172" i="27"/>
  <c r="GY105" i="27" s="1"/>
  <c r="EI172" i="27"/>
  <c r="EI105" i="27" s="1"/>
  <c r="AQ172" i="27"/>
  <c r="AQ105" i="27" s="1"/>
  <c r="GO172" i="27"/>
  <c r="GO105" i="27" s="1"/>
  <c r="O172" i="27"/>
  <c r="O105" i="27" s="1"/>
  <c r="AU172" i="27"/>
  <c r="AU105" i="27" s="1"/>
  <c r="BH172" i="27"/>
  <c r="BH105" i="27" s="1"/>
  <c r="FU172" i="27"/>
  <c r="FU105" i="27" s="1"/>
  <c r="BZ172" i="27"/>
  <c r="BZ105" i="27" s="1"/>
  <c r="DR172" i="27"/>
  <c r="DR105" i="27" s="1"/>
  <c r="DW172" i="27"/>
  <c r="DW105" i="27" s="1"/>
  <c r="FX172" i="27"/>
  <c r="FX105" i="27" s="1"/>
  <c r="N172" i="27"/>
  <c r="N105" i="27" s="1"/>
  <c r="GN172" i="27"/>
  <c r="GN105" i="27" s="1"/>
  <c r="EU172" i="27"/>
  <c r="EU105" i="27" s="1"/>
  <c r="HZ172" i="27"/>
  <c r="HZ105" i="27" s="1"/>
  <c r="HO172" i="27"/>
  <c r="HO105" i="27" s="1"/>
  <c r="AJ172" i="27"/>
  <c r="AJ105" i="27" s="1"/>
  <c r="FW172" i="27"/>
  <c r="FW105" i="27" s="1"/>
  <c r="FV172" i="27"/>
  <c r="FV105" i="27" s="1"/>
  <c r="DX172" i="27"/>
  <c r="DX105" i="27" s="1"/>
  <c r="HV172" i="27"/>
  <c r="HV105" i="27" s="1"/>
  <c r="EJ172" i="27"/>
  <c r="EJ105" i="27" s="1"/>
  <c r="BX172" i="27"/>
  <c r="BX105" i="27" s="1"/>
  <c r="CG172" i="27"/>
  <c r="CG105" i="27" s="1"/>
  <c r="CX172" i="27"/>
  <c r="CX105" i="27" s="1"/>
  <c r="DP172" i="27"/>
  <c r="DP105" i="27" s="1"/>
  <c r="HE172" i="27"/>
  <c r="HE105" i="27" s="1"/>
  <c r="GL172" i="27"/>
  <c r="GL105" i="27" s="1"/>
  <c r="EK172" i="27"/>
  <c r="EK105" i="27" s="1"/>
  <c r="HL172" i="27"/>
  <c r="HL105" i="27" s="1"/>
  <c r="K172" i="27"/>
  <c r="K105" i="27" s="1"/>
  <c r="FG172" i="27"/>
  <c r="FG105" i="27" s="1"/>
  <c r="GA172" i="27"/>
  <c r="GA105" i="27" s="1"/>
  <c r="HW172" i="27"/>
  <c r="HW105" i="27" s="1"/>
  <c r="GR172" i="27"/>
  <c r="GR105" i="27" s="1"/>
  <c r="DM172" i="27"/>
  <c r="DM105" i="27" s="1"/>
  <c r="IC172" i="27"/>
  <c r="IC105" i="27" s="1"/>
  <c r="AF172" i="27"/>
  <c r="AF105" i="27" s="1"/>
  <c r="GW172" i="27"/>
  <c r="GW105" i="27" s="1"/>
  <c r="DD172" i="27"/>
  <c r="DD105" i="27" s="1"/>
  <c r="AC172" i="27"/>
  <c r="AC105" i="27" s="1"/>
  <c r="EA172" i="27"/>
  <c r="EA105" i="27" s="1"/>
  <c r="HX172" i="27"/>
  <c r="HX105" i="27" s="1"/>
  <c r="AE172" i="27"/>
  <c r="AE105" i="27" s="1"/>
  <c r="V172" i="27"/>
  <c r="V105" i="27" s="1"/>
  <c r="CH172" i="27"/>
  <c r="CH105" i="27" s="1"/>
  <c r="HF172" i="27"/>
  <c r="HF105" i="27" s="1"/>
  <c r="R172" i="27"/>
  <c r="R105" i="27" s="1"/>
  <c r="GC172" i="27"/>
  <c r="GC105" i="27" s="1"/>
  <c r="BJ172" i="27"/>
  <c r="BJ105" i="27" s="1"/>
  <c r="Z172" i="27"/>
  <c r="Z105" i="27" s="1"/>
  <c r="FS172" i="27"/>
  <c r="FS105" i="27" s="1"/>
  <c r="DK172" i="27"/>
  <c r="DK105" i="27" s="1"/>
  <c r="CN172" i="27"/>
  <c r="CN105" i="27" s="1"/>
  <c r="HA172" i="27"/>
  <c r="HA105" i="27" s="1"/>
  <c r="FZ172" i="27"/>
  <c r="FZ105" i="27" s="1"/>
  <c r="AR172" i="27"/>
  <c r="AR105" i="27" s="1"/>
  <c r="EC172" i="27"/>
  <c r="EC105" i="27" s="1"/>
  <c r="HY172" i="27"/>
  <c r="HY105" i="27" s="1"/>
  <c r="HC172" i="27"/>
  <c r="HC105" i="27" s="1"/>
  <c r="EF172" i="27"/>
  <c r="EF105" i="27" s="1"/>
  <c r="Y172" i="27"/>
  <c r="Y105" i="27" s="1"/>
  <c r="FY172" i="27"/>
  <c r="FY105" i="27" s="1"/>
  <c r="IE172" i="27"/>
  <c r="IE105" i="27" s="1"/>
  <c r="CS172" i="27"/>
  <c r="CS105" i="27" s="1"/>
  <c r="IG172" i="27"/>
  <c r="IG105" i="27" s="1"/>
  <c r="EB172" i="27"/>
  <c r="EB105" i="27" s="1"/>
  <c r="GK172" i="27"/>
  <c r="GK105" i="27" s="1"/>
  <c r="GJ172" i="27"/>
  <c r="GJ105" i="27" s="1"/>
  <c r="FL172" i="27"/>
  <c r="FL105" i="27" s="1"/>
  <c r="H172" i="27"/>
  <c r="H105" i="27" s="1"/>
  <c r="BV172" i="27"/>
  <c r="BV105" i="27" s="1"/>
  <c r="IB172" i="27"/>
  <c r="IB105" i="27" s="1"/>
  <c r="CF172" i="27"/>
  <c r="CF105" i="27" s="1"/>
  <c r="HQ172" i="27"/>
  <c r="HQ105" i="27" s="1"/>
  <c r="FO172" i="27"/>
  <c r="FO105" i="27" s="1"/>
  <c r="CW172" i="27"/>
  <c r="CW105" i="27" s="1"/>
  <c r="EO172" i="27"/>
  <c r="EO105" i="27" s="1"/>
  <c r="DA172" i="27"/>
  <c r="DA105" i="27" s="1"/>
  <c r="AY172" i="27"/>
  <c r="AY105" i="27" s="1"/>
  <c r="BN172" i="27"/>
  <c r="BN105" i="27" s="1"/>
  <c r="AL172" i="27"/>
  <c r="AL105" i="27" s="1"/>
  <c r="FC172" i="27"/>
  <c r="FC105" i="27" s="1"/>
  <c r="EN172" i="27"/>
  <c r="EN105" i="27" s="1"/>
  <c r="AG172" i="27"/>
  <c r="AG105" i="27" s="1"/>
  <c r="ET172" i="27"/>
  <c r="ET105" i="27" s="1"/>
  <c r="GF172" i="27"/>
  <c r="GF105" i="27" s="1"/>
  <c r="HS172" i="27"/>
  <c r="HS105" i="27" s="1"/>
  <c r="DL172" i="27"/>
  <c r="DL105" i="27" s="1"/>
  <c r="G172" i="27"/>
  <c r="HM172" i="27"/>
  <c r="HM105" i="27" s="1"/>
  <c r="HB172" i="27"/>
  <c r="HB105" i="27" s="1"/>
  <c r="FT172" i="27"/>
  <c r="FT105" i="27" s="1"/>
  <c r="FD172" i="27"/>
  <c r="FD105" i="27" s="1"/>
  <c r="DV172" i="27"/>
  <c r="DV105" i="27" s="1"/>
  <c r="HI172" i="27"/>
  <c r="HI105" i="27" s="1"/>
  <c r="BC172" i="27"/>
  <c r="BC105" i="27" s="1"/>
  <c r="AM172" i="27"/>
  <c r="AM105" i="27" s="1"/>
  <c r="BR172" i="27"/>
  <c r="BR105" i="27" s="1"/>
  <c r="CK172" i="27"/>
  <c r="CK105" i="27" s="1"/>
  <c r="DG172" i="27"/>
  <c r="DG105" i="27" s="1"/>
  <c r="CY172" i="27"/>
  <c r="CY105" i="27" s="1"/>
  <c r="EY172" i="27"/>
  <c r="EY105" i="27" s="1"/>
  <c r="EL172" i="27"/>
  <c r="EL105" i="27" s="1"/>
  <c r="GM172" i="27"/>
  <c r="GM105" i="27" s="1"/>
  <c r="GE172" i="27"/>
  <c r="GE105" i="27" s="1"/>
  <c r="EG172" i="27"/>
  <c r="EG105" i="27" s="1"/>
  <c r="W172" i="27"/>
  <c r="W105" i="27" s="1"/>
  <c r="FN172" i="27"/>
  <c r="FN105" i="27" s="1"/>
  <c r="HN172" i="27"/>
  <c r="HN105" i="27" s="1"/>
  <c r="EM172" i="27"/>
  <c r="EM105" i="27" s="1"/>
  <c r="M172" i="27"/>
  <c r="M105" i="27" s="1"/>
  <c r="GX172" i="27"/>
  <c r="GX105" i="27" s="1"/>
  <c r="AD172" i="27"/>
  <c r="AD105" i="27" s="1"/>
  <c r="CV172" i="27"/>
  <c r="CV105" i="27" s="1"/>
  <c r="DS172" i="27"/>
  <c r="DS105" i="27" s="1"/>
  <c r="FA172" i="27"/>
  <c r="FA105" i="27" s="1"/>
  <c r="FH172" i="27"/>
  <c r="FH105" i="27" s="1"/>
  <c r="GM88" i="27"/>
  <c r="GM21" i="27" s="1"/>
  <c r="DT88" i="27"/>
  <c r="DT21" i="27" s="1"/>
  <c r="AV88" i="27"/>
  <c r="AV21" i="27" s="1"/>
  <c r="GL88" i="27"/>
  <c r="GL21" i="27" s="1"/>
  <c r="AX88" i="27"/>
  <c r="AX21" i="27" s="1"/>
  <c r="EI88" i="27"/>
  <c r="EI21" i="27" s="1"/>
  <c r="FC88" i="27"/>
  <c r="FC21" i="27" s="1"/>
  <c r="GR88" i="27"/>
  <c r="GR21" i="27" s="1"/>
  <c r="BU88" i="27"/>
  <c r="BU21" i="27" s="1"/>
  <c r="DJ88" i="27"/>
  <c r="DJ21" i="27" s="1"/>
  <c r="EA88" i="27"/>
  <c r="EA21" i="27" s="1"/>
  <c r="G88" i="27"/>
  <c r="HW88" i="27"/>
  <c r="HW21" i="27" s="1"/>
  <c r="GZ88" i="27"/>
  <c r="GZ21" i="27" s="1"/>
  <c r="HA88" i="27"/>
  <c r="HA21" i="27" s="1"/>
  <c r="BL88" i="27"/>
  <c r="BL21" i="27" s="1"/>
  <c r="AP88" i="27"/>
  <c r="AP21" i="27" s="1"/>
  <c r="FR88" i="27"/>
  <c r="FR21" i="27" s="1"/>
  <c r="CH88" i="27"/>
  <c r="CH21" i="27" s="1"/>
  <c r="BV88" i="27"/>
  <c r="BV21" i="27" s="1"/>
  <c r="HN88" i="27"/>
  <c r="HN21" i="27" s="1"/>
  <c r="DY88" i="27"/>
  <c r="DY21" i="27" s="1"/>
  <c r="HS88" i="27"/>
  <c r="HS21" i="27" s="1"/>
  <c r="O88" i="27"/>
  <c r="O21" i="27" s="1"/>
  <c r="S88" i="27"/>
  <c r="S21" i="27" s="1"/>
  <c r="Q88" i="27"/>
  <c r="Q21" i="27" s="1"/>
  <c r="HF88" i="27"/>
  <c r="HF21" i="27" s="1"/>
  <c r="U88" i="27"/>
  <c r="U21" i="27" s="1"/>
  <c r="CA88" i="27"/>
  <c r="CA21" i="27" s="1"/>
  <c r="II88" i="27"/>
  <c r="II21" i="27" s="1"/>
  <c r="BG88" i="27"/>
  <c r="BG21" i="27" s="1"/>
  <c r="CB88" i="27"/>
  <c r="CB21" i="27" s="1"/>
  <c r="FL88" i="27"/>
  <c r="FL21" i="27" s="1"/>
  <c r="ES88" i="27"/>
  <c r="ES21" i="27" s="1"/>
  <c r="BH88" i="27"/>
  <c r="BH21" i="27" s="1"/>
  <c r="HG88" i="27"/>
  <c r="HG21" i="27" s="1"/>
  <c r="DZ88" i="27"/>
  <c r="DZ21" i="27" s="1"/>
  <c r="CJ88" i="27"/>
  <c r="CJ21" i="27" s="1"/>
  <c r="HH88" i="27"/>
  <c r="HH21" i="27" s="1"/>
  <c r="HZ88" i="27"/>
  <c r="HZ21" i="27" s="1"/>
  <c r="HI88" i="27"/>
  <c r="HI21" i="27" s="1"/>
  <c r="GQ88" i="27"/>
  <c r="GQ21" i="27" s="1"/>
  <c r="HV88" i="27"/>
  <c r="HV21" i="27" s="1"/>
  <c r="ET88" i="27"/>
  <c r="ET21" i="27" s="1"/>
  <c r="BN88" i="27"/>
  <c r="BN21" i="27" s="1"/>
  <c r="BJ88" i="27"/>
  <c r="BJ21" i="27" s="1"/>
  <c r="BO88" i="27"/>
  <c r="BO21" i="27" s="1"/>
  <c r="AD88" i="27"/>
  <c r="AD21" i="27" s="1"/>
  <c r="GW88" i="27"/>
  <c r="GW21" i="27" s="1"/>
  <c r="EK88" i="27"/>
  <c r="EK21" i="27" s="1"/>
  <c r="DP88" i="27"/>
  <c r="DP21" i="27" s="1"/>
  <c r="CV88" i="27"/>
  <c r="CV21" i="27" s="1"/>
  <c r="P88" i="27"/>
  <c r="P21" i="27" s="1"/>
  <c r="DS88" i="27"/>
  <c r="DS21" i="27" s="1"/>
  <c r="Y88" i="27"/>
  <c r="Y21" i="27" s="1"/>
  <c r="AJ88" i="27"/>
  <c r="AJ21" i="27" s="1"/>
  <c r="HE88" i="27"/>
  <c r="HE21" i="27" s="1"/>
  <c r="BM88" i="27"/>
  <c r="BM21" i="27" s="1"/>
  <c r="GS88" i="27"/>
  <c r="GS21" i="27" s="1"/>
  <c r="CT88" i="27"/>
  <c r="CT21" i="27" s="1"/>
  <c r="EY88" i="27"/>
  <c r="EY21" i="27" s="1"/>
  <c r="FV88" i="27"/>
  <c r="FV21" i="27" s="1"/>
  <c r="IJ88" i="27"/>
  <c r="IJ21" i="27" s="1"/>
  <c r="FB88" i="27"/>
  <c r="FB21" i="27" s="1"/>
  <c r="IG88" i="27"/>
  <c r="IG21" i="27" s="1"/>
  <c r="EE88" i="27"/>
  <c r="EE21" i="27" s="1"/>
  <c r="BR88" i="27"/>
  <c r="BR21" i="27" s="1"/>
  <c r="AA88" i="27"/>
  <c r="AA21" i="27" s="1"/>
  <c r="GV88" i="27"/>
  <c r="GV21" i="27" s="1"/>
  <c r="FA88" i="27"/>
  <c r="FA21" i="27" s="1"/>
  <c r="CL88" i="27"/>
  <c r="CL21" i="27" s="1"/>
  <c r="GG88" i="27"/>
  <c r="GG21" i="27" s="1"/>
  <c r="EV88" i="27"/>
  <c r="EV21" i="27" s="1"/>
  <c r="AR88" i="27"/>
  <c r="AR21" i="27" s="1"/>
  <c r="R88" i="27"/>
  <c r="R21" i="27" s="1"/>
  <c r="IC88" i="27"/>
  <c r="IC21" i="27" s="1"/>
  <c r="FD88" i="27"/>
  <c r="FD21" i="27" s="1"/>
  <c r="FI88" i="27"/>
  <c r="FI21" i="27" s="1"/>
  <c r="AL88" i="27"/>
  <c r="AL21" i="27" s="1"/>
  <c r="BE88" i="27"/>
  <c r="BE21" i="27" s="1"/>
  <c r="I88" i="27"/>
  <c r="I21" i="27" s="1"/>
  <c r="HB88" i="27"/>
  <c r="HB21" i="27" s="1"/>
  <c r="CN88" i="27"/>
  <c r="CN21" i="27" s="1"/>
  <c r="BD88" i="27"/>
  <c r="BD21" i="27" s="1"/>
  <c r="GT88" i="27"/>
  <c r="GT21" i="27" s="1"/>
  <c r="AZ88" i="27"/>
  <c r="AZ21" i="27" s="1"/>
  <c r="IE88" i="27"/>
  <c r="IE21" i="27" s="1"/>
  <c r="AI88" i="27"/>
  <c r="AI21" i="27" s="1"/>
  <c r="FZ88" i="27"/>
  <c r="FZ21" i="27" s="1"/>
  <c r="EB88" i="27"/>
  <c r="EB21" i="27" s="1"/>
  <c r="GE88" i="27"/>
  <c r="GE21" i="27" s="1"/>
  <c r="DQ88" i="27"/>
  <c r="DQ21" i="27" s="1"/>
  <c r="AC88" i="27"/>
  <c r="AC21" i="27" s="1"/>
  <c r="EG88" i="27"/>
  <c r="EG21" i="27" s="1"/>
  <c r="Z88" i="27"/>
  <c r="Z21" i="27" s="1"/>
  <c r="EQ88" i="27"/>
  <c r="EQ21" i="27" s="1"/>
  <c r="DA88" i="27"/>
  <c r="DA21" i="27" s="1"/>
  <c r="GA88" i="27"/>
  <c r="GA21" i="27" s="1"/>
  <c r="HO88" i="27"/>
  <c r="HO21" i="27" s="1"/>
  <c r="HL88" i="27"/>
  <c r="HL21" i="27" s="1"/>
  <c r="GJ88" i="27"/>
  <c r="GJ21" i="27" s="1"/>
  <c r="AG88" i="27"/>
  <c r="AG21" i="27" s="1"/>
  <c r="FY88" i="27"/>
  <c r="FY21" i="27" s="1"/>
  <c r="AW88" i="27"/>
  <c r="AW21" i="27" s="1"/>
  <c r="AF88" i="27"/>
  <c r="AF21" i="27" s="1"/>
  <c r="CE88" i="27"/>
  <c r="CE21" i="27" s="1"/>
  <c r="BK88" i="27"/>
  <c r="BK21" i="27" s="1"/>
  <c r="DI88" i="27"/>
  <c r="DI21" i="27" s="1"/>
  <c r="DU88" i="27"/>
  <c r="DU21" i="27" s="1"/>
  <c r="AE88" i="27"/>
  <c r="AE21" i="27" s="1"/>
  <c r="GK88" i="27"/>
  <c r="GK21" i="27" s="1"/>
  <c r="CW88" i="27"/>
  <c r="CW21" i="27" s="1"/>
  <c r="BW88" i="27"/>
  <c r="BW21" i="27" s="1"/>
  <c r="DD88" i="27"/>
  <c r="DD21" i="27" s="1"/>
  <c r="AH88" i="27"/>
  <c r="AH21" i="27" s="1"/>
  <c r="FO88" i="27"/>
  <c r="FO21" i="27" s="1"/>
  <c r="L88" i="27"/>
  <c r="L21" i="27" s="1"/>
  <c r="FN88" i="27"/>
  <c r="FN21" i="27" s="1"/>
  <c r="CR88" i="27"/>
  <c r="CR21" i="27" s="1"/>
  <c r="CP88" i="27"/>
  <c r="CP21" i="27" s="1"/>
  <c r="EC88" i="27"/>
  <c r="EC21" i="27" s="1"/>
  <c r="GD88" i="27"/>
  <c r="GD21" i="27" s="1"/>
  <c r="DG88" i="27"/>
  <c r="DG21" i="27" s="1"/>
  <c r="IH88" i="27"/>
  <c r="IH21" i="27" s="1"/>
  <c r="AY88" i="27"/>
  <c r="AY21" i="27" s="1"/>
  <c r="CQ88" i="27"/>
  <c r="CQ21" i="27" s="1"/>
  <c r="H88" i="27"/>
  <c r="H21" i="27" s="1"/>
  <c r="DO88" i="27"/>
  <c r="DO21" i="27" s="1"/>
  <c r="HT88" i="27"/>
  <c r="HT21" i="27" s="1"/>
  <c r="DB88" i="27"/>
  <c r="DB21" i="27" s="1"/>
  <c r="IB88" i="27"/>
  <c r="IB21" i="27" s="1"/>
  <c r="FE88" i="27"/>
  <c r="FE21" i="27" s="1"/>
  <c r="T88" i="27"/>
  <c r="T21" i="27" s="1"/>
  <c r="EU88" i="27"/>
  <c r="EU21" i="27" s="1"/>
  <c r="BF88" i="27"/>
  <c r="BF21" i="27" s="1"/>
  <c r="BI88" i="27"/>
  <c r="BI21" i="27" s="1"/>
  <c r="BT88" i="27"/>
  <c r="BT21" i="27" s="1"/>
  <c r="HC88" i="27"/>
  <c r="HC21" i="27" s="1"/>
  <c r="X88" i="27"/>
  <c r="X21" i="27" s="1"/>
  <c r="BZ88" i="27"/>
  <c r="BZ21" i="27" s="1"/>
  <c r="BP88" i="27"/>
  <c r="BP21" i="27" s="1"/>
  <c r="EJ88" i="27"/>
  <c r="EJ21" i="27" s="1"/>
  <c r="DL88" i="27"/>
  <c r="DL21" i="27" s="1"/>
  <c r="CY88" i="27"/>
  <c r="CY21" i="27" s="1"/>
  <c r="CX88" i="27"/>
  <c r="CX21" i="27" s="1"/>
  <c r="CD88" i="27"/>
  <c r="CD21" i="27" s="1"/>
  <c r="BS88" i="27"/>
  <c r="BS21" i="27" s="1"/>
  <c r="HJ88" i="27"/>
  <c r="HJ21" i="27" s="1"/>
  <c r="GO88" i="27"/>
  <c r="GO21" i="27" s="1"/>
  <c r="FQ88" i="27"/>
  <c r="FQ21" i="27" s="1"/>
  <c r="W88" i="27"/>
  <c r="W21" i="27" s="1"/>
  <c r="IK88" i="27"/>
  <c r="IK21" i="27" s="1"/>
  <c r="ER88" i="27"/>
  <c r="ER21" i="27" s="1"/>
  <c r="CM88" i="27"/>
  <c r="CM21" i="27" s="1"/>
  <c r="DX88" i="27"/>
  <c r="DX21" i="27" s="1"/>
  <c r="EP88" i="27"/>
  <c r="EP21" i="27" s="1"/>
  <c r="N88" i="27"/>
  <c r="N21" i="27" s="1"/>
  <c r="ID88" i="27"/>
  <c r="ID21" i="27" s="1"/>
  <c r="CO88" i="27"/>
  <c r="CO21" i="27" s="1"/>
  <c r="EW88" i="27"/>
  <c r="EW21" i="27" s="1"/>
  <c r="K88" i="27"/>
  <c r="K21" i="27" s="1"/>
  <c r="AK88" i="27"/>
  <c r="AK21" i="27" s="1"/>
  <c r="CC88" i="27"/>
  <c r="CC21" i="27" s="1"/>
  <c r="HQ88" i="27"/>
  <c r="HQ21" i="27" s="1"/>
  <c r="HM88" i="27"/>
  <c r="HM21" i="27" s="1"/>
  <c r="AB88" i="27"/>
  <c r="AB21" i="27" s="1"/>
  <c r="GN88" i="27"/>
  <c r="GN21" i="27" s="1"/>
  <c r="EN88" i="27"/>
  <c r="EN21" i="27" s="1"/>
  <c r="FP88" i="27"/>
  <c r="FP21" i="27" s="1"/>
  <c r="DN88" i="27"/>
  <c r="DN21" i="27" s="1"/>
  <c r="IA88" i="27"/>
  <c r="IA21" i="27" s="1"/>
  <c r="BA88" i="27"/>
  <c r="BA21" i="27" s="1"/>
  <c r="DW88" i="27"/>
  <c r="DW21" i="27" s="1"/>
  <c r="BC88" i="27"/>
  <c r="BC21" i="27" s="1"/>
  <c r="EO88" i="27"/>
  <c r="EO21" i="27" s="1"/>
  <c r="DV88" i="27"/>
  <c r="DV21" i="27" s="1"/>
  <c r="FU88" i="27"/>
  <c r="FU21" i="27" s="1"/>
  <c r="GU88" i="27"/>
  <c r="GU21" i="27" s="1"/>
  <c r="FX88" i="27"/>
  <c r="FX21" i="27" s="1"/>
  <c r="FS88" i="27"/>
  <c r="FS21" i="27" s="1"/>
  <c r="GB88" i="27"/>
  <c r="GB21" i="27" s="1"/>
  <c r="AU88" i="27"/>
  <c r="AU21" i="27" s="1"/>
  <c r="IF88" i="27"/>
  <c r="IF21" i="27" s="1"/>
  <c r="HK88" i="27"/>
  <c r="HK21" i="27" s="1"/>
  <c r="AQ88" i="27"/>
  <c r="AQ21" i="27" s="1"/>
  <c r="GX88" i="27"/>
  <c r="GX21" i="27" s="1"/>
  <c r="HY88" i="27"/>
  <c r="HY21" i="27" s="1"/>
  <c r="FK88" i="27"/>
  <c r="FK21" i="27" s="1"/>
  <c r="M88" i="27"/>
  <c r="M21" i="27" s="1"/>
  <c r="CF88" i="27"/>
  <c r="CF21" i="27" s="1"/>
  <c r="CU88" i="27"/>
  <c r="CU21" i="27" s="1"/>
  <c r="DE88" i="27"/>
  <c r="DE21" i="27" s="1"/>
  <c r="DF88" i="27"/>
  <c r="DF21" i="27" s="1"/>
  <c r="GF88" i="27"/>
  <c r="GF21" i="27" s="1"/>
  <c r="AT88" i="27"/>
  <c r="AT21" i="27" s="1"/>
  <c r="CG88" i="27"/>
  <c r="CG21" i="27" s="1"/>
  <c r="CI88" i="27"/>
  <c r="CI21" i="27" s="1"/>
  <c r="ED88" i="27"/>
  <c r="ED21" i="27" s="1"/>
  <c r="BY88" i="27"/>
  <c r="BY21" i="27" s="1"/>
  <c r="FT88" i="27"/>
  <c r="FT21" i="27" s="1"/>
  <c r="FJ88" i="27"/>
  <c r="FJ21" i="27" s="1"/>
  <c r="AM88" i="27"/>
  <c r="AM21" i="27" s="1"/>
  <c r="DK88" i="27"/>
  <c r="DK21" i="27" s="1"/>
  <c r="EF88" i="27"/>
  <c r="EF21" i="27" s="1"/>
  <c r="GP88" i="27"/>
  <c r="GP21" i="27" s="1"/>
  <c r="DM88" i="27"/>
  <c r="DM21" i="27" s="1"/>
  <c r="BX88" i="27"/>
  <c r="BX21" i="27" s="1"/>
  <c r="CS88" i="27"/>
  <c r="CS21" i="27" s="1"/>
  <c r="CZ88" i="27"/>
  <c r="CZ21" i="27" s="1"/>
  <c r="AO88" i="27"/>
  <c r="AO21" i="27" s="1"/>
  <c r="HP88" i="27"/>
  <c r="HP21" i="27" s="1"/>
  <c r="FF88" i="27"/>
  <c r="FF21" i="27" s="1"/>
  <c r="V88" i="27"/>
  <c r="V21" i="27" s="1"/>
  <c r="J88" i="27"/>
  <c r="J21" i="27" s="1"/>
  <c r="DC88" i="27"/>
  <c r="DC21" i="27" s="1"/>
  <c r="EZ88" i="27"/>
  <c r="EZ21" i="27" s="1"/>
  <c r="CK88" i="27"/>
  <c r="CK21" i="27" s="1"/>
  <c r="FH88" i="27"/>
  <c r="FH21" i="27" s="1"/>
  <c r="EH88" i="27"/>
  <c r="EH21" i="27" s="1"/>
  <c r="BQ88" i="27"/>
  <c r="BQ21" i="27" s="1"/>
  <c r="FG88" i="27"/>
  <c r="FG21" i="27" s="1"/>
  <c r="EM88" i="27"/>
  <c r="EM21" i="27" s="1"/>
  <c r="GI88" i="27"/>
  <c r="GI21" i="27" s="1"/>
  <c r="HD88" i="27"/>
  <c r="HD21" i="27" s="1"/>
  <c r="GY88" i="27"/>
  <c r="GY21" i="27" s="1"/>
  <c r="AN88" i="27"/>
  <c r="AN21" i="27" s="1"/>
  <c r="BB88" i="27"/>
  <c r="BB21" i="27" s="1"/>
  <c r="HU88" i="27"/>
  <c r="HU21" i="27" s="1"/>
  <c r="DR88" i="27"/>
  <c r="DR21" i="27" s="1"/>
  <c r="FW88" i="27"/>
  <c r="FW21" i="27" s="1"/>
  <c r="GC88" i="27"/>
  <c r="GC21" i="27" s="1"/>
  <c r="EL88" i="27"/>
  <c r="EL21" i="27" s="1"/>
  <c r="FM88" i="27"/>
  <c r="FM21" i="27" s="1"/>
  <c r="EX88" i="27"/>
  <c r="EX21" i="27" s="1"/>
  <c r="HX88" i="27"/>
  <c r="HX21" i="27" s="1"/>
  <c r="GH88" i="27"/>
  <c r="GH21" i="27" s="1"/>
  <c r="DH88" i="27"/>
  <c r="DH21" i="27" s="1"/>
  <c r="AS88" i="27"/>
  <c r="AS21" i="27" s="1"/>
  <c r="HR88" i="27"/>
  <c r="HR21" i="27" s="1"/>
  <c r="E364" i="27"/>
  <c r="EL80" i="26"/>
  <c r="DS80" i="26"/>
  <c r="FE80" i="26"/>
  <c r="CI102" i="26"/>
  <c r="CU102" i="26" s="1"/>
  <c r="CZ80" i="26"/>
  <c r="CG80" i="26"/>
  <c r="ER199" i="27" l="1"/>
  <c r="ER360" i="27" s="1"/>
  <c r="HW251" i="27"/>
  <c r="HW199" i="27" s="1"/>
  <c r="HW360" i="27" s="1"/>
  <c r="HX251" i="27"/>
  <c r="HX258" i="27" s="1"/>
  <c r="HX257" i="27" s="1"/>
  <c r="L251" i="27"/>
  <c r="L258" i="27" s="1"/>
  <c r="L257" i="27" s="1"/>
  <c r="BJ251" i="27"/>
  <c r="BJ258" i="27" s="1"/>
  <c r="BJ257" i="27" s="1"/>
  <c r="HJ251" i="27"/>
  <c r="HJ199" i="27" s="1"/>
  <c r="HJ360" i="27" s="1"/>
  <c r="EX251" i="27"/>
  <c r="EX199" i="27" s="1"/>
  <c r="EX360" i="27" s="1"/>
  <c r="ID251" i="27"/>
  <c r="ID258" i="27" s="1"/>
  <c r="ID257" i="27" s="1"/>
  <c r="HS251" i="27"/>
  <c r="HS258" i="27" s="1"/>
  <c r="HS257" i="27" s="1"/>
  <c r="FC251" i="27"/>
  <c r="FC258" i="27" s="1"/>
  <c r="FC257" i="27" s="1"/>
  <c r="BG251" i="27"/>
  <c r="BG199" i="27" s="1"/>
  <c r="BG360" i="27" s="1"/>
  <c r="IC251" i="27"/>
  <c r="IC199" i="27" s="1"/>
  <c r="IC360" i="27" s="1"/>
  <c r="EP251" i="27"/>
  <c r="EP199" i="27" s="1"/>
  <c r="EP360" i="27" s="1"/>
  <c r="CD251" i="27"/>
  <c r="CD199" i="27" s="1"/>
  <c r="CD360" i="27" s="1"/>
  <c r="FO251" i="27"/>
  <c r="FO199" i="27" s="1"/>
  <c r="FO360" i="27" s="1"/>
  <c r="HO251" i="27"/>
  <c r="HO199" i="27" s="1"/>
  <c r="HO360" i="27" s="1"/>
  <c r="ES251" i="27"/>
  <c r="ES199" i="27" s="1"/>
  <c r="ES360" i="27" s="1"/>
  <c r="BP251" i="27"/>
  <c r="BP199" i="27" s="1"/>
  <c r="BP360" i="27" s="1"/>
  <c r="CO251" i="27"/>
  <c r="CO199" i="27" s="1"/>
  <c r="CO360" i="27" s="1"/>
  <c r="EH251" i="27"/>
  <c r="EH199" i="27" s="1"/>
  <c r="EH360" i="27" s="1"/>
  <c r="EF251" i="27"/>
  <c r="EF199" i="27" s="1"/>
  <c r="EF360" i="27" s="1"/>
  <c r="GX251" i="27"/>
  <c r="GX199" i="27" s="1"/>
  <c r="GX360" i="27" s="1"/>
  <c r="CJ251" i="27"/>
  <c r="CJ199" i="27" s="1"/>
  <c r="CJ360" i="27" s="1"/>
  <c r="HU251" i="27"/>
  <c r="HU258" i="27" s="1"/>
  <c r="HU257" i="27" s="1"/>
  <c r="HR251" i="27"/>
  <c r="HR199" i="27" s="1"/>
  <c r="HR360" i="27" s="1"/>
  <c r="CS251" i="27"/>
  <c r="CS199" i="27" s="1"/>
  <c r="CS360" i="27" s="1"/>
  <c r="GI251" i="27"/>
  <c r="GI199" i="27" s="1"/>
  <c r="GI360" i="27" s="1"/>
  <c r="EG251" i="27"/>
  <c r="EG258" i="27" s="1"/>
  <c r="EG257" i="27" s="1"/>
  <c r="EW251" i="27"/>
  <c r="EW199" i="27" s="1"/>
  <c r="EW360" i="27" s="1"/>
  <c r="EV251" i="27"/>
  <c r="EV258" i="27" s="1"/>
  <c r="EV257" i="27" s="1"/>
  <c r="T251" i="27"/>
  <c r="T199" i="27" s="1"/>
  <c r="T360" i="27" s="1"/>
  <c r="CD102" i="26"/>
  <c r="CK119" i="26"/>
  <c r="CK140" i="26" s="1"/>
  <c r="C151" i="25" s="1"/>
  <c r="B151" i="25" s="1"/>
  <c r="A151" i="25" s="1"/>
  <c r="BU251" i="27"/>
  <c r="BU258" i="27" s="1"/>
  <c r="BU257" i="27" s="1"/>
  <c r="FF251" i="27"/>
  <c r="FF258" i="27" s="1"/>
  <c r="FF257" i="27" s="1"/>
  <c r="FS251" i="27"/>
  <c r="FS258" i="27" s="1"/>
  <c r="FS257" i="27" s="1"/>
  <c r="CN251" i="27"/>
  <c r="CN258" i="27" s="1"/>
  <c r="CN257" i="27" s="1"/>
  <c r="AV251" i="27"/>
  <c r="AV199" i="27" s="1"/>
  <c r="AV360" i="27" s="1"/>
  <c r="FA251" i="27"/>
  <c r="FA258" i="27" s="1"/>
  <c r="FA257" i="27" s="1"/>
  <c r="DV251" i="27"/>
  <c r="DV258" i="27" s="1"/>
  <c r="DV257" i="27" s="1"/>
  <c r="AX251" i="27"/>
  <c r="AX258" i="27" s="1"/>
  <c r="AX257" i="27" s="1"/>
  <c r="EM251" i="27"/>
  <c r="EM258" i="27" s="1"/>
  <c r="EM257" i="27" s="1"/>
  <c r="CH251" i="27"/>
  <c r="CH258" i="27" s="1"/>
  <c r="CH257" i="27" s="1"/>
  <c r="GB251" i="27"/>
  <c r="GB199" i="27" s="1"/>
  <c r="GB360" i="27" s="1"/>
  <c r="AQ251" i="27"/>
  <c r="AQ199" i="27" s="1"/>
  <c r="AQ360" i="27" s="1"/>
  <c r="GD251" i="27"/>
  <c r="GD199" i="27" s="1"/>
  <c r="GD360" i="27" s="1"/>
  <c r="IB251" i="27"/>
  <c r="IB199" i="27" s="1"/>
  <c r="IB360" i="27" s="1"/>
  <c r="FU251" i="27"/>
  <c r="FU199" i="27" s="1"/>
  <c r="FU360" i="27" s="1"/>
  <c r="HI251" i="27"/>
  <c r="HI258" i="27" s="1"/>
  <c r="HI257" i="27" s="1"/>
  <c r="U251" i="27"/>
  <c r="U199" i="27" s="1"/>
  <c r="U360" i="27" s="1"/>
  <c r="IG251" i="27"/>
  <c r="IG258" i="27" s="1"/>
  <c r="IG257" i="27" s="1"/>
  <c r="BR251" i="27"/>
  <c r="BR258" i="27" s="1"/>
  <c r="BR257" i="27" s="1"/>
  <c r="CE251" i="27"/>
  <c r="CE258" i="27" s="1"/>
  <c r="CE257" i="27" s="1"/>
  <c r="BT251" i="27"/>
  <c r="BT258" i="27" s="1"/>
  <c r="BT257" i="27" s="1"/>
  <c r="BV251" i="27"/>
  <c r="BV258" i="27" s="1"/>
  <c r="BV257" i="27" s="1"/>
  <c r="EA251" i="27"/>
  <c r="EA199" i="27" s="1"/>
  <c r="EA360" i="27" s="1"/>
  <c r="CL251" i="27"/>
  <c r="CL199" i="27" s="1"/>
  <c r="CL360" i="27" s="1"/>
  <c r="CM251" i="27"/>
  <c r="CM258" i="27" s="1"/>
  <c r="CM257" i="27" s="1"/>
  <c r="AY251" i="27"/>
  <c r="AY199" i="27" s="1"/>
  <c r="AY360" i="27" s="1"/>
  <c r="DK251" i="27"/>
  <c r="DK199" i="27" s="1"/>
  <c r="DK360" i="27" s="1"/>
  <c r="CR251" i="27"/>
  <c r="CR199" i="27" s="1"/>
  <c r="CR360" i="27" s="1"/>
  <c r="FB251" i="27"/>
  <c r="FB199" i="27" s="1"/>
  <c r="FB360" i="27" s="1"/>
  <c r="CW251" i="27"/>
  <c r="CW199" i="27" s="1"/>
  <c r="CW360" i="27" s="1"/>
  <c r="HA251" i="27"/>
  <c r="HA258" i="27" s="1"/>
  <c r="HA257" i="27" s="1"/>
  <c r="CX251" i="27"/>
  <c r="CX258" i="27" s="1"/>
  <c r="CX257" i="27" s="1"/>
  <c r="GP251" i="27"/>
  <c r="GP258" i="27" s="1"/>
  <c r="GP257" i="27" s="1"/>
  <c r="IH251" i="27"/>
  <c r="IH258" i="27" s="1"/>
  <c r="IH257" i="27" s="1"/>
  <c r="FH251" i="27"/>
  <c r="FH199" i="27" s="1"/>
  <c r="FH360" i="27" s="1"/>
  <c r="HV251" i="27"/>
  <c r="HV199" i="27" s="1"/>
  <c r="HV360" i="27" s="1"/>
  <c r="BK251" i="27"/>
  <c r="BK258" i="27" s="1"/>
  <c r="BK257" i="27" s="1"/>
  <c r="IK251" i="27"/>
  <c r="IK258" i="27" s="1"/>
  <c r="IK257" i="27" s="1"/>
  <c r="HB251" i="27"/>
  <c r="HB258" i="27" s="1"/>
  <c r="HB257" i="27" s="1"/>
  <c r="BY251" i="27"/>
  <c r="BY199" i="27" s="1"/>
  <c r="BY360" i="27" s="1"/>
  <c r="Y251" i="27"/>
  <c r="Y199" i="27" s="1"/>
  <c r="Y360" i="27" s="1"/>
  <c r="GO251" i="27"/>
  <c r="GO199" i="27" s="1"/>
  <c r="GO360" i="27" s="1"/>
  <c r="GJ251" i="27"/>
  <c r="GJ199" i="27" s="1"/>
  <c r="GJ360" i="27" s="1"/>
  <c r="K251" i="27"/>
  <c r="K258" i="27" s="1"/>
  <c r="K257" i="27" s="1"/>
  <c r="AJ251" i="27"/>
  <c r="AJ199" i="27" s="1"/>
  <c r="AJ360" i="27" s="1"/>
  <c r="HP251" i="27"/>
  <c r="HP258" i="27" s="1"/>
  <c r="HP257" i="27" s="1"/>
  <c r="CG251" i="27"/>
  <c r="CG258" i="27" s="1"/>
  <c r="CG257" i="27" s="1"/>
  <c r="HQ251" i="27"/>
  <c r="HQ199" i="27" s="1"/>
  <c r="HQ360" i="27" s="1"/>
  <c r="DH251" i="27"/>
  <c r="DH199" i="27" s="1"/>
  <c r="DH360" i="27" s="1"/>
  <c r="EB251" i="27"/>
  <c r="EB199" i="27" s="1"/>
  <c r="EB360" i="27" s="1"/>
  <c r="J251" i="27"/>
  <c r="J199" i="27" s="1"/>
  <c r="J360" i="27" s="1"/>
  <c r="HM251" i="27"/>
  <c r="HM258" i="27" s="1"/>
  <c r="HM257" i="27" s="1"/>
  <c r="FG251" i="27"/>
  <c r="FG199" i="27" s="1"/>
  <c r="FG360" i="27" s="1"/>
  <c r="GW251" i="27"/>
  <c r="GW199" i="27" s="1"/>
  <c r="GW360" i="27" s="1"/>
  <c r="AG251" i="27"/>
  <c r="AG199" i="27" s="1"/>
  <c r="AG360" i="27" s="1"/>
  <c r="DO251" i="27"/>
  <c r="DO258" i="27" s="1"/>
  <c r="DO257" i="27" s="1"/>
  <c r="AB251" i="27"/>
  <c r="AB258" i="27" s="1"/>
  <c r="AB257" i="27" s="1"/>
  <c r="AA251" i="27"/>
  <c r="AA199" i="27" s="1"/>
  <c r="AA360" i="27" s="1"/>
  <c r="EE251" i="27"/>
  <c r="EE199" i="27" s="1"/>
  <c r="EE360" i="27" s="1"/>
  <c r="HH251" i="27"/>
  <c r="HH199" i="27" s="1"/>
  <c r="HH360" i="27" s="1"/>
  <c r="S251" i="27"/>
  <c r="S199" i="27" s="1"/>
  <c r="S360" i="27" s="1"/>
  <c r="BH251" i="27"/>
  <c r="BH199" i="27" s="1"/>
  <c r="BH360" i="27" s="1"/>
  <c r="CP251" i="27"/>
  <c r="CP199" i="27" s="1"/>
  <c r="CP360" i="27" s="1"/>
  <c r="HE251" i="27"/>
  <c r="HE258" i="27" s="1"/>
  <c r="HE257" i="27" s="1"/>
  <c r="GU251" i="27"/>
  <c r="GU258" i="27" s="1"/>
  <c r="GU257" i="27" s="1"/>
  <c r="CV251" i="27"/>
  <c r="CV199" i="27" s="1"/>
  <c r="CV360" i="27" s="1"/>
  <c r="HF251" i="27"/>
  <c r="HF258" i="27" s="1"/>
  <c r="HF257" i="27" s="1"/>
  <c r="DQ251" i="27"/>
  <c r="DQ199" i="27" s="1"/>
  <c r="DQ360" i="27" s="1"/>
  <c r="FD251" i="27"/>
  <c r="FD199" i="27" s="1"/>
  <c r="FD360" i="27" s="1"/>
  <c r="AS251" i="27"/>
  <c r="AS258" i="27" s="1"/>
  <c r="AS257" i="27" s="1"/>
  <c r="FT251" i="27"/>
  <c r="FT199" i="27" s="1"/>
  <c r="FT360" i="27" s="1"/>
  <c r="BB251" i="27"/>
  <c r="BB258" i="27" s="1"/>
  <c r="BB257" i="27" s="1"/>
  <c r="HY251" i="27"/>
  <c r="HY199" i="27" s="1"/>
  <c r="HY360" i="27" s="1"/>
  <c r="HG251" i="27"/>
  <c r="HG199" i="27" s="1"/>
  <c r="HG360" i="27" s="1"/>
  <c r="DZ251" i="27"/>
  <c r="DZ199" i="27" s="1"/>
  <c r="DZ360" i="27" s="1"/>
  <c r="P251" i="27"/>
  <c r="P258" i="27" s="1"/>
  <c r="P257" i="27" s="1"/>
  <c r="R251" i="27"/>
  <c r="R199" i="27" s="1"/>
  <c r="R360" i="27" s="1"/>
  <c r="CT251" i="27"/>
  <c r="CT199" i="27" s="1"/>
  <c r="CT360" i="27" s="1"/>
  <c r="AI251" i="27"/>
  <c r="AI258" i="27" s="1"/>
  <c r="AI257" i="27" s="1"/>
  <c r="N251" i="27"/>
  <c r="N199" i="27" s="1"/>
  <c r="N360" i="27" s="1"/>
  <c r="DM251" i="27"/>
  <c r="DM258" i="27" s="1"/>
  <c r="DM257" i="27" s="1"/>
  <c r="M251" i="27"/>
  <c r="M199" i="27" s="1"/>
  <c r="M360" i="27" s="1"/>
  <c r="HL251" i="27"/>
  <c r="HL199" i="27" s="1"/>
  <c r="HL360" i="27" s="1"/>
  <c r="BO251" i="27"/>
  <c r="BO199" i="27" s="1"/>
  <c r="BO360" i="27" s="1"/>
  <c r="II251" i="27"/>
  <c r="II258" i="27" s="1"/>
  <c r="II257" i="27" s="1"/>
  <c r="AF251" i="27"/>
  <c r="AF199" i="27" s="1"/>
  <c r="AF360" i="27" s="1"/>
  <c r="DJ251" i="27"/>
  <c r="DJ258" i="27" s="1"/>
  <c r="DJ257" i="27" s="1"/>
  <c r="EQ251" i="27"/>
  <c r="EQ199" i="27" s="1"/>
  <c r="EQ360" i="27" s="1"/>
  <c r="DP251" i="27"/>
  <c r="DP258" i="27" s="1"/>
  <c r="DP257" i="27" s="1"/>
  <c r="DW251" i="27"/>
  <c r="DW199" i="27" s="1"/>
  <c r="DW360" i="27" s="1"/>
  <c r="EZ251" i="27"/>
  <c r="EZ199" i="27" s="1"/>
  <c r="EZ360" i="27" s="1"/>
  <c r="FV251" i="27"/>
  <c r="FV199" i="27" s="1"/>
  <c r="FV360" i="27" s="1"/>
  <c r="BN251" i="27"/>
  <c r="BN199" i="27" s="1"/>
  <c r="BN360" i="27" s="1"/>
  <c r="DU251" i="27"/>
  <c r="DU199" i="27" s="1"/>
  <c r="DU360" i="27" s="1"/>
  <c r="GK251" i="27"/>
  <c r="GK258" i="27" s="1"/>
  <c r="GK257" i="27" s="1"/>
  <c r="AW251" i="27"/>
  <c r="AW199" i="27" s="1"/>
  <c r="AW360" i="27" s="1"/>
  <c r="GS251" i="27"/>
  <c r="GS258" i="27" s="1"/>
  <c r="GS257" i="27" s="1"/>
  <c r="GM251" i="27"/>
  <c r="GM199" i="27" s="1"/>
  <c r="GM360" i="27" s="1"/>
  <c r="EC251" i="27"/>
  <c r="EC199" i="27" s="1"/>
  <c r="EC360" i="27" s="1"/>
  <c r="V251" i="27"/>
  <c r="V199" i="27" s="1"/>
  <c r="V360" i="27" s="1"/>
  <c r="DG251" i="27"/>
  <c r="DG199" i="27" s="1"/>
  <c r="DG360" i="27" s="1"/>
  <c r="Z251" i="27"/>
  <c r="Z258" i="27" s="1"/>
  <c r="Z257" i="27" s="1"/>
  <c r="HZ251" i="27"/>
  <c r="HZ199" i="27" s="1"/>
  <c r="HZ360" i="27" s="1"/>
  <c r="BS251" i="27"/>
  <c r="BS199" i="27" s="1"/>
  <c r="BS360" i="27" s="1"/>
  <c r="CI251" i="27"/>
  <c r="CI258" i="27" s="1"/>
  <c r="CI257" i="27" s="1"/>
  <c r="BD251" i="27"/>
  <c r="BD199" i="27" s="1"/>
  <c r="BD360" i="27" s="1"/>
  <c r="GZ251" i="27"/>
  <c r="GZ258" i="27" s="1"/>
  <c r="GZ257" i="27" s="1"/>
  <c r="FE251" i="27"/>
  <c r="FE199" i="27" s="1"/>
  <c r="FE360" i="27" s="1"/>
  <c r="BI251" i="27"/>
  <c r="BI258" i="27" s="1"/>
  <c r="BI257" i="27" s="1"/>
  <c r="Q251" i="27"/>
  <c r="Q258" i="27" s="1"/>
  <c r="Q257" i="27" s="1"/>
  <c r="AM251" i="27"/>
  <c r="AM258" i="27" s="1"/>
  <c r="AM257" i="27" s="1"/>
  <c r="IJ251" i="27"/>
  <c r="IJ199" i="27" s="1"/>
  <c r="IJ360" i="27" s="1"/>
  <c r="BF251" i="27"/>
  <c r="BF199" i="27" s="1"/>
  <c r="BF360" i="27" s="1"/>
  <c r="DL251" i="27"/>
  <c r="DL199" i="27" s="1"/>
  <c r="DL360" i="27" s="1"/>
  <c r="AL251" i="27"/>
  <c r="AL199" i="27" s="1"/>
  <c r="AL360" i="27" s="1"/>
  <c r="FX251" i="27"/>
  <c r="FX199" i="27" s="1"/>
  <c r="FX360" i="27" s="1"/>
  <c r="FM251" i="27"/>
  <c r="FM258" i="27" s="1"/>
  <c r="FM257" i="27" s="1"/>
  <c r="EU251" i="27"/>
  <c r="EU199" i="27" s="1"/>
  <c r="EU360" i="27" s="1"/>
  <c r="AN251" i="27"/>
  <c r="AN258" i="27" s="1"/>
  <c r="AN257" i="27" s="1"/>
  <c r="FQ251" i="27"/>
  <c r="FQ199" i="27" s="1"/>
  <c r="FQ360" i="27" s="1"/>
  <c r="BX251" i="27"/>
  <c r="BX199" i="27" s="1"/>
  <c r="BX360" i="27" s="1"/>
  <c r="I251" i="27"/>
  <c r="I258" i="27" s="1"/>
  <c r="I257" i="27" s="1"/>
  <c r="IA251" i="27"/>
  <c r="IA258" i="27" s="1"/>
  <c r="IA257" i="27" s="1"/>
  <c r="DA251" i="27"/>
  <c r="DA199" i="27" s="1"/>
  <c r="DA360" i="27" s="1"/>
  <c r="AD251" i="27"/>
  <c r="AD199" i="27" s="1"/>
  <c r="AD360" i="27" s="1"/>
  <c r="EY251" i="27"/>
  <c r="EY199" i="27" s="1"/>
  <c r="EY360" i="27" s="1"/>
  <c r="BC251" i="27"/>
  <c r="BC199" i="27" s="1"/>
  <c r="BC360" i="27" s="1"/>
  <c r="EN251" i="27"/>
  <c r="EN199" i="27" s="1"/>
  <c r="EN360" i="27" s="1"/>
  <c r="AR251" i="27"/>
  <c r="AR258" i="27" s="1"/>
  <c r="AR257" i="27" s="1"/>
  <c r="GN251" i="27"/>
  <c r="GN199" i="27" s="1"/>
  <c r="GN360" i="27" s="1"/>
  <c r="GF251" i="27"/>
  <c r="GF199" i="27" s="1"/>
  <c r="GF360" i="27" s="1"/>
  <c r="CY251" i="27"/>
  <c r="CY199" i="27" s="1"/>
  <c r="CY360" i="27" s="1"/>
  <c r="FW251" i="27"/>
  <c r="FW258" i="27" s="1"/>
  <c r="FW257" i="27" s="1"/>
  <c r="AE251" i="27"/>
  <c r="AE258" i="27" s="1"/>
  <c r="AE257" i="27" s="1"/>
  <c r="AK251" i="27"/>
  <c r="AK258" i="27" s="1"/>
  <c r="AK257" i="27" s="1"/>
  <c r="FJ251" i="27"/>
  <c r="FJ258" i="27" s="1"/>
  <c r="FJ257" i="27" s="1"/>
  <c r="DT251" i="27"/>
  <c r="DT199" i="27" s="1"/>
  <c r="DT360" i="27" s="1"/>
  <c r="HC251" i="27"/>
  <c r="HC199" i="27" s="1"/>
  <c r="HC360" i="27" s="1"/>
  <c r="FN251" i="27"/>
  <c r="FN258" i="27" s="1"/>
  <c r="FN257" i="27" s="1"/>
  <c r="BA251" i="27"/>
  <c r="BA258" i="27" s="1"/>
  <c r="BA257" i="27" s="1"/>
  <c r="AZ251" i="27"/>
  <c r="AZ199" i="27" s="1"/>
  <c r="AZ360" i="27" s="1"/>
  <c r="BW251" i="27"/>
  <c r="BW199" i="27" s="1"/>
  <c r="BW360" i="27" s="1"/>
  <c r="ET251" i="27"/>
  <c r="ET258" i="27" s="1"/>
  <c r="ET257" i="27" s="1"/>
  <c r="FL251" i="27"/>
  <c r="FL199" i="27" s="1"/>
  <c r="FL360" i="27" s="1"/>
  <c r="H251" i="27"/>
  <c r="H199" i="27" s="1"/>
  <c r="H360" i="27" s="1"/>
  <c r="AT251" i="27"/>
  <c r="AT199" i="27" s="1"/>
  <c r="AT360" i="27" s="1"/>
  <c r="GQ251" i="27"/>
  <c r="GQ199" i="27" s="1"/>
  <c r="GQ360" i="27" s="1"/>
  <c r="DE251" i="27"/>
  <c r="DE258" i="27" s="1"/>
  <c r="DE257" i="27" s="1"/>
  <c r="GT251" i="27"/>
  <c r="GT258" i="27" s="1"/>
  <c r="GT257" i="27" s="1"/>
  <c r="GY251" i="27"/>
  <c r="GY258" i="27" s="1"/>
  <c r="GY257" i="27" s="1"/>
  <c r="IE251" i="27"/>
  <c r="IE199" i="27" s="1"/>
  <c r="IE360" i="27" s="1"/>
  <c r="ED251" i="27"/>
  <c r="ED199" i="27" s="1"/>
  <c r="ED360" i="27" s="1"/>
  <c r="CQ251" i="27"/>
  <c r="CQ199" i="27" s="1"/>
  <c r="CQ360" i="27" s="1"/>
  <c r="AP251" i="27"/>
  <c r="AP258" i="27" s="1"/>
  <c r="AP257" i="27" s="1"/>
  <c r="EL251" i="27"/>
  <c r="EL199" i="27" s="1"/>
  <c r="EL360" i="27" s="1"/>
  <c r="FP251" i="27"/>
  <c r="FP258" i="27" s="1"/>
  <c r="FP257" i="27" s="1"/>
  <c r="AH251" i="27"/>
  <c r="AH199" i="27" s="1"/>
  <c r="AH360" i="27" s="1"/>
  <c r="FZ251" i="27"/>
  <c r="FZ199" i="27" s="1"/>
  <c r="FZ360" i="27" s="1"/>
  <c r="DX251" i="27"/>
  <c r="DX258" i="27" s="1"/>
  <c r="DX257" i="27" s="1"/>
  <c r="EI251" i="27"/>
  <c r="EI199" i="27" s="1"/>
  <c r="EI360" i="27" s="1"/>
  <c r="EJ251" i="27"/>
  <c r="EJ199" i="27" s="1"/>
  <c r="EJ360" i="27" s="1"/>
  <c r="GC251" i="27"/>
  <c r="GC258" i="27" s="1"/>
  <c r="GC257" i="27" s="1"/>
  <c r="CB251" i="27"/>
  <c r="CB258" i="27" s="1"/>
  <c r="CB257" i="27" s="1"/>
  <c r="FR251" i="27"/>
  <c r="FR199" i="27" s="1"/>
  <c r="FR360" i="27" s="1"/>
  <c r="BZ251" i="27"/>
  <c r="BZ258" i="27" s="1"/>
  <c r="BZ257" i="27" s="1"/>
  <c r="BM251" i="27"/>
  <c r="BM199" i="27" s="1"/>
  <c r="BM360" i="27" s="1"/>
  <c r="FY251" i="27"/>
  <c r="FY258" i="27" s="1"/>
  <c r="FY257" i="27" s="1"/>
  <c r="HN251" i="27"/>
  <c r="HN199" i="27" s="1"/>
  <c r="HN360" i="27" s="1"/>
  <c r="AC251" i="27"/>
  <c r="AC258" i="27" s="1"/>
  <c r="AC257" i="27" s="1"/>
  <c r="W251" i="27"/>
  <c r="W199" i="27" s="1"/>
  <c r="W360" i="27" s="1"/>
  <c r="DF251" i="27"/>
  <c r="DF258" i="27" s="1"/>
  <c r="DF257" i="27" s="1"/>
  <c r="EO251" i="27"/>
  <c r="EO199" i="27" s="1"/>
  <c r="EO360" i="27" s="1"/>
  <c r="EK251" i="27"/>
  <c r="EK258" i="27" s="1"/>
  <c r="EK257" i="27" s="1"/>
  <c r="GV251" i="27"/>
  <c r="GV258" i="27" s="1"/>
  <c r="GV257" i="27" s="1"/>
  <c r="CA251" i="27"/>
  <c r="CA258" i="27" s="1"/>
  <c r="CA257" i="27" s="1"/>
  <c r="CF251" i="27"/>
  <c r="CF199" i="27" s="1"/>
  <c r="CF360" i="27" s="1"/>
  <c r="X251" i="27"/>
  <c r="X258" i="27" s="1"/>
  <c r="X257" i="27" s="1"/>
  <c r="DS251" i="27"/>
  <c r="DS199" i="27" s="1"/>
  <c r="DS360" i="27" s="1"/>
  <c r="DC251" i="27"/>
  <c r="DC199" i="27" s="1"/>
  <c r="DC360" i="27" s="1"/>
  <c r="DN251" i="27"/>
  <c r="DN199" i="27" s="1"/>
  <c r="DN360" i="27" s="1"/>
  <c r="CZ251" i="27"/>
  <c r="CZ199" i="27" s="1"/>
  <c r="CZ360" i="27" s="1"/>
  <c r="GE251" i="27"/>
  <c r="GE199" i="27" s="1"/>
  <c r="GE360" i="27" s="1"/>
  <c r="GG251" i="27"/>
  <c r="GG199" i="27" s="1"/>
  <c r="GG360" i="27" s="1"/>
  <c r="DI251" i="27"/>
  <c r="DI199" i="27" s="1"/>
  <c r="DI360" i="27" s="1"/>
  <c r="DB251" i="27"/>
  <c r="DB199" i="27" s="1"/>
  <c r="DB360" i="27" s="1"/>
  <c r="GR251" i="27"/>
  <c r="GR199" i="27" s="1"/>
  <c r="GR360" i="27" s="1"/>
  <c r="BE251" i="27"/>
  <c r="BE199" i="27" s="1"/>
  <c r="BE360" i="27" s="1"/>
  <c r="BL251" i="27"/>
  <c r="BL258" i="27" s="1"/>
  <c r="BL257" i="27" s="1"/>
  <c r="CU251" i="27"/>
  <c r="CU199" i="27" s="1"/>
  <c r="CU360" i="27" s="1"/>
  <c r="CK251" i="27"/>
  <c r="CK258" i="27" s="1"/>
  <c r="CK257" i="27" s="1"/>
  <c r="FK251" i="27"/>
  <c r="FK199" i="27" s="1"/>
  <c r="FK360" i="27" s="1"/>
  <c r="BQ251" i="27"/>
  <c r="BQ258" i="27" s="1"/>
  <c r="BQ257" i="27" s="1"/>
  <c r="IF251" i="27"/>
  <c r="IF199" i="27" s="1"/>
  <c r="IF360" i="27" s="1"/>
  <c r="DR251" i="27"/>
  <c r="DR199" i="27" s="1"/>
  <c r="DR360" i="27" s="1"/>
  <c r="CC251" i="27"/>
  <c r="CC199" i="27" s="1"/>
  <c r="CC360" i="27" s="1"/>
  <c r="DD251" i="27"/>
  <c r="DD199" i="27" s="1"/>
  <c r="DD360" i="27" s="1"/>
  <c r="GA251" i="27"/>
  <c r="GA199" i="27" s="1"/>
  <c r="GA360" i="27" s="1"/>
  <c r="AU251" i="27"/>
  <c r="AU199" i="27" s="1"/>
  <c r="AU360" i="27" s="1"/>
  <c r="GH251" i="27"/>
  <c r="GH199" i="27" s="1"/>
  <c r="GH360" i="27" s="1"/>
  <c r="FI251" i="27"/>
  <c r="FI258" i="27" s="1"/>
  <c r="FI257" i="27" s="1"/>
  <c r="HD251" i="27"/>
  <c r="HD258" i="27" s="1"/>
  <c r="HD257" i="27" s="1"/>
  <c r="HK251" i="27"/>
  <c r="HK258" i="27" s="1"/>
  <c r="HK257" i="27" s="1"/>
  <c r="O251" i="27"/>
  <c r="O199" i="27" s="1"/>
  <c r="O360" i="27" s="1"/>
  <c r="GL251" i="27"/>
  <c r="GL199" i="27" s="1"/>
  <c r="GL360" i="27" s="1"/>
  <c r="AO251" i="27"/>
  <c r="AO199" i="27" s="1"/>
  <c r="AO360" i="27" s="1"/>
  <c r="DY251" i="27"/>
  <c r="DY258" i="27" s="1"/>
  <c r="DY257" i="27" s="1"/>
  <c r="HT251" i="27"/>
  <c r="HT199" i="27" s="1"/>
  <c r="HT360" i="27" s="1"/>
  <c r="Y144" i="26"/>
  <c r="Z144" i="26" s="1"/>
  <c r="E356" i="27"/>
  <c r="I400" i="27"/>
  <c r="I398" i="27" s="1"/>
  <c r="H398" i="27"/>
  <c r="E378" i="27"/>
  <c r="U241" i="11" s="1"/>
  <c r="D338" i="27"/>
  <c r="D340" i="27"/>
  <c r="E283" i="27" s="1"/>
  <c r="F105" i="27"/>
  <c r="F21" i="27"/>
  <c r="L199" i="27" l="1"/>
  <c r="L360" i="27" s="1"/>
  <c r="BJ199" i="27"/>
  <c r="BJ360" i="27" s="1"/>
  <c r="HX199" i="27"/>
  <c r="HX360" i="27" s="1"/>
  <c r="EH258" i="27"/>
  <c r="EH257" i="27" s="1"/>
  <c r="BG258" i="27"/>
  <c r="BG257" i="27" s="1"/>
  <c r="HW258" i="27"/>
  <c r="HW257" i="27" s="1"/>
  <c r="FO258" i="27"/>
  <c r="FO257" i="27" s="1"/>
  <c r="EX258" i="27"/>
  <c r="EX257" i="27" s="1"/>
  <c r="HR258" i="27"/>
  <c r="HR257" i="27" s="1"/>
  <c r="ES258" i="27"/>
  <c r="ES257" i="27" s="1"/>
  <c r="HS199" i="27"/>
  <c r="HS360" i="27" s="1"/>
  <c r="HO258" i="27"/>
  <c r="HO257" i="27" s="1"/>
  <c r="GX258" i="27"/>
  <c r="GX257" i="27" s="1"/>
  <c r="CD258" i="27"/>
  <c r="CD257" i="27" s="1"/>
  <c r="BP258" i="27"/>
  <c r="BP257" i="27" s="1"/>
  <c r="FC199" i="27"/>
  <c r="FC360" i="27" s="1"/>
  <c r="CS258" i="27"/>
  <c r="CS257" i="27" s="1"/>
  <c r="HJ258" i="27"/>
  <c r="HJ257" i="27" s="1"/>
  <c r="EV199" i="27"/>
  <c r="EV360" i="27" s="1"/>
  <c r="GI258" i="27"/>
  <c r="GI257" i="27" s="1"/>
  <c r="CO258" i="27"/>
  <c r="CO257" i="27" s="1"/>
  <c r="ID199" i="27"/>
  <c r="ID360" i="27" s="1"/>
  <c r="IC258" i="27"/>
  <c r="IC257" i="27" s="1"/>
  <c r="EP258" i="27"/>
  <c r="EP257" i="27" s="1"/>
  <c r="EW258" i="27"/>
  <c r="EW257" i="27" s="1"/>
  <c r="EG199" i="27"/>
  <c r="EG360" i="27" s="1"/>
  <c r="CJ258" i="27"/>
  <c r="CJ257" i="27" s="1"/>
  <c r="HU199" i="27"/>
  <c r="HU360" i="27" s="1"/>
  <c r="EF258" i="27"/>
  <c r="EF257" i="27" s="1"/>
  <c r="T258" i="27"/>
  <c r="T257" i="27" s="1"/>
  <c r="CE199" i="27"/>
  <c r="CE360" i="27" s="1"/>
  <c r="BU199" i="27"/>
  <c r="BU360" i="27" s="1"/>
  <c r="EM199" i="27"/>
  <c r="EM360" i="27" s="1"/>
  <c r="CN199" i="27"/>
  <c r="CN360" i="27" s="1"/>
  <c r="GJ258" i="27"/>
  <c r="GJ257" i="27" s="1"/>
  <c r="CM199" i="27"/>
  <c r="CM360" i="27" s="1"/>
  <c r="FH258" i="27"/>
  <c r="FH257" i="27" s="1"/>
  <c r="P199" i="27"/>
  <c r="P360" i="27" s="1"/>
  <c r="CR258" i="27"/>
  <c r="CR257" i="27" s="1"/>
  <c r="FV258" i="27"/>
  <c r="FV257" i="27" s="1"/>
  <c r="HV258" i="27"/>
  <c r="HV257" i="27" s="1"/>
  <c r="GB258" i="27"/>
  <c r="GB257" i="27" s="1"/>
  <c r="FS199" i="27"/>
  <c r="FS360" i="27" s="1"/>
  <c r="BR199" i="27"/>
  <c r="BR360" i="27" s="1"/>
  <c r="DH258" i="27"/>
  <c r="DH257" i="27" s="1"/>
  <c r="DQ258" i="27"/>
  <c r="DQ257" i="27" s="1"/>
  <c r="K199" i="27"/>
  <c r="K360" i="27" s="1"/>
  <c r="DA258" i="27"/>
  <c r="DA257" i="27" s="1"/>
  <c r="AQ258" i="27"/>
  <c r="AQ257" i="27" s="1"/>
  <c r="BO258" i="27"/>
  <c r="BO257" i="27" s="1"/>
  <c r="HM199" i="27"/>
  <c r="HM360" i="27" s="1"/>
  <c r="FF199" i="27"/>
  <c r="FF360" i="27" s="1"/>
  <c r="CH199" i="27"/>
  <c r="CH360" i="27" s="1"/>
  <c r="GZ199" i="27"/>
  <c r="GZ360" i="27" s="1"/>
  <c r="V258" i="27"/>
  <c r="V257" i="27" s="1"/>
  <c r="EO258" i="27"/>
  <c r="EO257" i="27" s="1"/>
  <c r="HL258" i="27"/>
  <c r="HL257" i="27" s="1"/>
  <c r="EZ258" i="27"/>
  <c r="EZ257" i="27" s="1"/>
  <c r="GD258" i="27"/>
  <c r="GD257" i="27" s="1"/>
  <c r="IG199" i="27"/>
  <c r="IG360" i="27" s="1"/>
  <c r="GP199" i="27"/>
  <c r="GP360" i="27" s="1"/>
  <c r="HY258" i="27"/>
  <c r="HY257" i="27" s="1"/>
  <c r="U258" i="27"/>
  <c r="U257" i="27" s="1"/>
  <c r="DN258" i="27"/>
  <c r="DN257" i="27" s="1"/>
  <c r="I199" i="27"/>
  <c r="I360" i="27" s="1"/>
  <c r="FP199" i="27"/>
  <c r="FP360" i="27" s="1"/>
  <c r="GO258" i="27"/>
  <c r="GO257" i="27" s="1"/>
  <c r="M258" i="27"/>
  <c r="M257" i="27" s="1"/>
  <c r="HF199" i="27"/>
  <c r="HF360" i="27" s="1"/>
  <c r="GQ258" i="27"/>
  <c r="GQ257" i="27" s="1"/>
  <c r="DK258" i="27"/>
  <c r="DK257" i="27" s="1"/>
  <c r="AL258" i="27"/>
  <c r="AL257" i="27" s="1"/>
  <c r="EC258" i="27"/>
  <c r="EC257" i="27" s="1"/>
  <c r="DZ258" i="27"/>
  <c r="DZ257" i="27" s="1"/>
  <c r="EE258" i="27"/>
  <c r="EE257" i="27" s="1"/>
  <c r="FG258" i="27"/>
  <c r="FG257" i="27" s="1"/>
  <c r="FM199" i="27"/>
  <c r="FM360" i="27" s="1"/>
  <c r="DC258" i="27"/>
  <c r="DC257" i="27" s="1"/>
  <c r="HC258" i="27"/>
  <c r="HC257" i="27" s="1"/>
  <c r="EL258" i="27"/>
  <c r="EL257" i="27" s="1"/>
  <c r="II199" i="27"/>
  <c r="II360" i="27" s="1"/>
  <c r="AJ258" i="27"/>
  <c r="AJ257" i="27" s="1"/>
  <c r="BK199" i="27"/>
  <c r="BK360" i="27" s="1"/>
  <c r="H258" i="27"/>
  <c r="H257" i="27" s="1"/>
  <c r="Y258" i="27"/>
  <c r="Y257" i="27" s="1"/>
  <c r="BN258" i="27"/>
  <c r="BN257" i="27" s="1"/>
  <c r="AV258" i="27"/>
  <c r="AV257" i="27" s="1"/>
  <c r="R258" i="27"/>
  <c r="R257" i="27" s="1"/>
  <c r="FB258" i="27"/>
  <c r="FB257" i="27" s="1"/>
  <c r="AR199" i="27"/>
  <c r="AR360" i="27" s="1"/>
  <c r="IA199" i="27"/>
  <c r="IA360" i="27" s="1"/>
  <c r="GU199" i="27"/>
  <c r="GU360" i="27" s="1"/>
  <c r="AB199" i="27"/>
  <c r="AB360" i="27" s="1"/>
  <c r="DM199" i="27"/>
  <c r="DM360" i="27" s="1"/>
  <c r="DP199" i="27"/>
  <c r="DP360" i="27" s="1"/>
  <c r="GS199" i="27"/>
  <c r="GS360" i="27" s="1"/>
  <c r="IE258" i="27"/>
  <c r="IE257" i="27" s="1"/>
  <c r="HZ258" i="27"/>
  <c r="HZ257" i="27" s="1"/>
  <c r="AM199" i="27"/>
  <c r="AM360" i="27" s="1"/>
  <c r="ET199" i="27"/>
  <c r="ET360" i="27" s="1"/>
  <c r="DG258" i="27"/>
  <c r="DG257" i="27" s="1"/>
  <c r="DB258" i="27"/>
  <c r="DB257" i="27" s="1"/>
  <c r="BX258" i="27"/>
  <c r="BX257" i="27" s="1"/>
  <c r="FX258" i="27"/>
  <c r="FX257" i="27" s="1"/>
  <c r="W258" i="27"/>
  <c r="W257" i="27" s="1"/>
  <c r="GL258" i="27"/>
  <c r="GL257" i="27" s="1"/>
  <c r="FR258" i="27"/>
  <c r="FR257" i="27" s="1"/>
  <c r="HD199" i="27"/>
  <c r="HD360" i="27" s="1"/>
  <c r="FE258" i="27"/>
  <c r="FE257" i="27" s="1"/>
  <c r="BA199" i="27"/>
  <c r="BA360" i="27" s="1"/>
  <c r="CI199" i="27"/>
  <c r="CI360" i="27" s="1"/>
  <c r="GF258" i="27"/>
  <c r="GF257" i="27" s="1"/>
  <c r="EJ258" i="27"/>
  <c r="EJ257" i="27" s="1"/>
  <c r="BI199" i="27"/>
  <c r="BI360" i="27" s="1"/>
  <c r="BF258" i="27"/>
  <c r="BF257" i="27" s="1"/>
  <c r="AD258" i="27"/>
  <c r="AD257" i="27" s="1"/>
  <c r="CB199" i="27"/>
  <c r="CB360" i="27" s="1"/>
  <c r="CW258" i="27"/>
  <c r="CW257" i="27" s="1"/>
  <c r="BY258" i="27"/>
  <c r="BY257" i="27" s="1"/>
  <c r="IB258" i="27"/>
  <c r="IB257" i="27" s="1"/>
  <c r="HP199" i="27"/>
  <c r="HP360" i="27" s="1"/>
  <c r="DY199" i="27"/>
  <c r="DY360" i="27" s="1"/>
  <c r="CT258" i="27"/>
  <c r="CT257" i="27" s="1"/>
  <c r="IF258" i="27"/>
  <c r="IF257" i="27" s="1"/>
  <c r="DI258" i="27"/>
  <c r="DI257" i="27" s="1"/>
  <c r="FJ199" i="27"/>
  <c r="FJ360" i="27" s="1"/>
  <c r="FQ258" i="27"/>
  <c r="FQ257" i="27" s="1"/>
  <c r="CL258" i="27"/>
  <c r="CL257" i="27" s="1"/>
  <c r="ED258" i="27"/>
  <c r="ED257" i="27" s="1"/>
  <c r="CQ258" i="27"/>
  <c r="CQ257" i="27" s="1"/>
  <c r="CK199" i="27"/>
  <c r="CK360" i="27" s="1"/>
  <c r="EN258" i="27"/>
  <c r="EN257" i="27" s="1"/>
  <c r="BS258" i="27"/>
  <c r="BS257" i="27" s="1"/>
  <c r="N258" i="27"/>
  <c r="N257" i="27" s="1"/>
  <c r="FI199" i="27"/>
  <c r="FI360" i="27" s="1"/>
  <c r="GW258" i="27"/>
  <c r="GW257" i="27" s="1"/>
  <c r="CX199" i="27"/>
  <c r="CX360" i="27" s="1"/>
  <c r="EA258" i="27"/>
  <c r="EA257" i="27" s="1"/>
  <c r="DO199" i="27"/>
  <c r="DO360" i="27" s="1"/>
  <c r="BH258" i="27"/>
  <c r="BH257" i="27" s="1"/>
  <c r="DU258" i="27"/>
  <c r="DU257" i="27" s="1"/>
  <c r="AF258" i="27"/>
  <c r="AF257" i="27" s="1"/>
  <c r="EI258" i="27"/>
  <c r="EI257" i="27" s="1"/>
  <c r="FT258" i="27"/>
  <c r="FT257" i="27" s="1"/>
  <c r="CP258" i="27"/>
  <c r="CP257" i="27" s="1"/>
  <c r="DJ199" i="27"/>
  <c r="DJ360" i="27" s="1"/>
  <c r="BC258" i="27"/>
  <c r="BC257" i="27" s="1"/>
  <c r="BV199" i="27"/>
  <c r="BV360" i="27" s="1"/>
  <c r="AN199" i="27"/>
  <c r="AN360" i="27" s="1"/>
  <c r="DV199" i="27"/>
  <c r="DV360" i="27" s="1"/>
  <c r="IK199" i="27"/>
  <c r="IK360" i="27" s="1"/>
  <c r="HB199" i="27"/>
  <c r="HB360" i="27" s="1"/>
  <c r="CG199" i="27"/>
  <c r="CG360" i="27" s="1"/>
  <c r="HE199" i="27"/>
  <c r="HE360" i="27" s="1"/>
  <c r="BQ199" i="27"/>
  <c r="BQ360" i="27" s="1"/>
  <c r="AW258" i="27"/>
  <c r="AW257" i="27" s="1"/>
  <c r="IJ258" i="27"/>
  <c r="IJ257" i="27" s="1"/>
  <c r="GK199" i="27"/>
  <c r="GK360" i="27" s="1"/>
  <c r="CF258" i="27"/>
  <c r="CF257" i="27" s="1"/>
  <c r="HI199" i="27"/>
  <c r="HI360" i="27" s="1"/>
  <c r="BB199" i="27"/>
  <c r="BB360" i="27" s="1"/>
  <c r="FY199" i="27"/>
  <c r="FY360" i="27" s="1"/>
  <c r="HQ258" i="27"/>
  <c r="HQ257" i="27" s="1"/>
  <c r="FK258" i="27"/>
  <c r="FK257" i="27" s="1"/>
  <c r="AG258" i="27"/>
  <c r="AG257" i="27" s="1"/>
  <c r="Z199" i="27"/>
  <c r="Z360" i="27" s="1"/>
  <c r="Q199" i="27"/>
  <c r="Q360" i="27" s="1"/>
  <c r="AI199" i="27"/>
  <c r="AI360" i="27" s="1"/>
  <c r="BW258" i="27"/>
  <c r="BW257" i="27" s="1"/>
  <c r="FZ258" i="27"/>
  <c r="FZ257" i="27" s="1"/>
  <c r="FU258" i="27"/>
  <c r="FU257" i="27" s="1"/>
  <c r="AX199" i="27"/>
  <c r="AX360" i="27" s="1"/>
  <c r="HN258" i="27"/>
  <c r="HN257" i="27" s="1"/>
  <c r="EQ258" i="27"/>
  <c r="EQ257" i="27" s="1"/>
  <c r="HA199" i="27"/>
  <c r="HA360" i="27" s="1"/>
  <c r="AS199" i="27"/>
  <c r="AS360" i="27" s="1"/>
  <c r="EU258" i="27"/>
  <c r="EU257" i="27" s="1"/>
  <c r="EY258" i="27"/>
  <c r="EY257" i="27" s="1"/>
  <c r="FL258" i="27"/>
  <c r="FL257" i="27" s="1"/>
  <c r="DX199" i="27"/>
  <c r="DX360" i="27" s="1"/>
  <c r="FA199" i="27"/>
  <c r="FA360" i="27" s="1"/>
  <c r="AU258" i="27"/>
  <c r="AU257" i="27" s="1"/>
  <c r="CU258" i="27"/>
  <c r="CU257" i="27" s="1"/>
  <c r="EK199" i="27"/>
  <c r="EK360" i="27" s="1"/>
  <c r="FD258" i="27"/>
  <c r="FD257" i="27" s="1"/>
  <c r="GH258" i="27"/>
  <c r="GH257" i="27" s="1"/>
  <c r="BE258" i="27"/>
  <c r="BE257" i="27" s="1"/>
  <c r="AE199" i="27"/>
  <c r="AE360" i="27" s="1"/>
  <c r="AK199" i="27"/>
  <c r="AK360" i="27" s="1"/>
  <c r="DT258" i="27"/>
  <c r="DT257" i="27" s="1"/>
  <c r="GT199" i="27"/>
  <c r="GT360" i="27" s="1"/>
  <c r="CC258" i="27"/>
  <c r="CC257" i="27" s="1"/>
  <c r="BT199" i="27"/>
  <c r="BT360" i="27" s="1"/>
  <c r="BZ199" i="27"/>
  <c r="BZ360" i="27" s="1"/>
  <c r="AZ258" i="27"/>
  <c r="AZ257" i="27" s="1"/>
  <c r="AH258" i="27"/>
  <c r="AH257" i="27" s="1"/>
  <c r="GA258" i="27"/>
  <c r="GA257" i="27" s="1"/>
  <c r="GE258" i="27"/>
  <c r="GE257" i="27" s="1"/>
  <c r="FW199" i="27"/>
  <c r="FW360" i="27" s="1"/>
  <c r="AC199" i="27"/>
  <c r="AC360" i="27" s="1"/>
  <c r="CZ258" i="27"/>
  <c r="CZ257" i="27" s="1"/>
  <c r="DF199" i="27"/>
  <c r="DF360" i="27" s="1"/>
  <c r="S258" i="27"/>
  <c r="S257" i="27" s="1"/>
  <c r="AO258" i="27"/>
  <c r="AO257" i="27" s="1"/>
  <c r="IH199" i="27"/>
  <c r="IH360" i="27" s="1"/>
  <c r="O258" i="27"/>
  <c r="O257" i="27" s="1"/>
  <c r="DD258" i="27"/>
  <c r="DD257" i="27" s="1"/>
  <c r="CY258" i="27"/>
  <c r="CY257" i="27" s="1"/>
  <c r="DE199" i="27"/>
  <c r="DE360" i="27" s="1"/>
  <c r="X199" i="27"/>
  <c r="X360" i="27" s="1"/>
  <c r="GV199" i="27"/>
  <c r="GV360" i="27" s="1"/>
  <c r="HT258" i="27"/>
  <c r="HT257" i="27" s="1"/>
  <c r="J258" i="27"/>
  <c r="J257" i="27" s="1"/>
  <c r="GN258" i="27"/>
  <c r="GN257" i="27" s="1"/>
  <c r="GR258" i="27"/>
  <c r="GR257" i="27" s="1"/>
  <c r="AT258" i="27"/>
  <c r="AT257" i="27" s="1"/>
  <c r="AY258" i="27"/>
  <c r="AY257" i="27" s="1"/>
  <c r="HK199" i="27"/>
  <c r="HK360" i="27" s="1"/>
  <c r="AA258" i="27"/>
  <c r="AA257" i="27" s="1"/>
  <c r="GC199" i="27"/>
  <c r="GC360" i="27" s="1"/>
  <c r="CV258" i="27"/>
  <c r="CV257" i="27" s="1"/>
  <c r="DS258" i="27"/>
  <c r="DS257" i="27" s="1"/>
  <c r="DR258" i="27"/>
  <c r="DR257" i="27" s="1"/>
  <c r="GG258" i="27"/>
  <c r="GG257" i="27" s="1"/>
  <c r="EB258" i="27"/>
  <c r="EB257" i="27" s="1"/>
  <c r="FN199" i="27"/>
  <c r="FN360" i="27" s="1"/>
  <c r="DL258" i="27"/>
  <c r="DL257" i="27" s="1"/>
  <c r="BM258" i="27"/>
  <c r="BM257" i="27" s="1"/>
  <c r="GY199" i="27"/>
  <c r="GY360" i="27" s="1"/>
  <c r="BL199" i="27"/>
  <c r="BL360" i="27" s="1"/>
  <c r="HH258" i="27"/>
  <c r="HH257" i="27" s="1"/>
  <c r="DW258" i="27"/>
  <c r="DW257" i="27" s="1"/>
  <c r="AP199" i="27"/>
  <c r="AP360" i="27" s="1"/>
  <c r="GM258" i="27"/>
  <c r="GM257" i="27" s="1"/>
  <c r="HG258" i="27"/>
  <c r="HG257" i="27" s="1"/>
  <c r="BD258" i="27"/>
  <c r="BD257" i="27" s="1"/>
  <c r="CA199" i="27"/>
  <c r="CA360" i="27" s="1"/>
  <c r="AB144" i="26"/>
  <c r="AD144" i="26" s="1"/>
  <c r="EL81" i="26" s="1"/>
  <c r="W145" i="26"/>
  <c r="O145" i="26" s="1"/>
  <c r="J400" i="27"/>
  <c r="J403" i="27" s="1"/>
  <c r="I403" i="27"/>
  <c r="CY363" i="27"/>
  <c r="CE363" i="27"/>
  <c r="EC363" i="27"/>
  <c r="BB363" i="27"/>
  <c r="M363" i="27"/>
  <c r="DQ363" i="27"/>
  <c r="GI363" i="27"/>
  <c r="DO363" i="27"/>
  <c r="GF363" i="27"/>
  <c r="BD363" i="27"/>
  <c r="CD363" i="27"/>
  <c r="HV363" i="27"/>
  <c r="GL363" i="27"/>
  <c r="FC363" i="27"/>
  <c r="DF363" i="27"/>
  <c r="DE363" i="27"/>
  <c r="EB363" i="27"/>
  <c r="GY363" i="27"/>
  <c r="GD363" i="27"/>
  <c r="FU363" i="27"/>
  <c r="AI363" i="27"/>
  <c r="EZ363" i="27"/>
  <c r="P363" i="27"/>
  <c r="AL363" i="27"/>
  <c r="AW363" i="27"/>
  <c r="II363" i="27"/>
  <c r="I363" i="27"/>
  <c r="EW363" i="27"/>
  <c r="GB363" i="27"/>
  <c r="DG363" i="27"/>
  <c r="GJ363" i="27"/>
  <c r="GW363" i="27"/>
  <c r="CZ363" i="27"/>
  <c r="AE363" i="27"/>
  <c r="BL363" i="27"/>
  <c r="DS363" i="27"/>
  <c r="DZ363" i="27"/>
  <c r="GE363" i="27"/>
  <c r="HN363" i="27"/>
  <c r="HB363" i="27"/>
  <c r="FB363" i="27"/>
  <c r="ED363" i="27"/>
  <c r="Y363" i="27"/>
  <c r="HJ363" i="27"/>
  <c r="EG363" i="27"/>
  <c r="CK363" i="27"/>
  <c r="BR363" i="27"/>
  <c r="EQ363" i="27"/>
  <c r="AO363" i="27"/>
  <c r="HO363" i="27"/>
  <c r="BJ363" i="27"/>
  <c r="FJ363" i="27"/>
  <c r="HH363" i="27"/>
  <c r="BU363" i="27"/>
  <c r="BI363" i="27"/>
  <c r="GP363" i="27"/>
  <c r="GM363" i="27"/>
  <c r="AP363" i="27"/>
  <c r="N363" i="27"/>
  <c r="GC363" i="27"/>
  <c r="CV363" i="27"/>
  <c r="BY363" i="27"/>
  <c r="EL363" i="27"/>
  <c r="HC363" i="27"/>
  <c r="DJ363" i="27"/>
  <c r="AA363" i="27"/>
  <c r="CF363" i="27"/>
  <c r="DH363" i="27"/>
  <c r="GR363" i="27"/>
  <c r="EY363" i="27"/>
  <c r="FW363" i="27"/>
  <c r="DA363" i="27"/>
  <c r="HE363" i="27"/>
  <c r="U363" i="27"/>
  <c r="FG363" i="27"/>
  <c r="FE363" i="27"/>
  <c r="GO363" i="27"/>
  <c r="HW363" i="27"/>
  <c r="CP363" i="27"/>
  <c r="AD363" i="27"/>
  <c r="FP363" i="27"/>
  <c r="GQ363" i="27"/>
  <c r="EX363" i="27"/>
  <c r="BT363" i="27"/>
  <c r="DY363" i="27"/>
  <c r="FY363" i="27"/>
  <c r="BP363" i="27"/>
  <c r="HD363" i="27"/>
  <c r="EM363" i="27"/>
  <c r="FT363" i="27"/>
  <c r="BG363" i="27"/>
  <c r="R363" i="27"/>
  <c r="AH363" i="27"/>
  <c r="AC363" i="27"/>
  <c r="BS363" i="27"/>
  <c r="S363" i="27"/>
  <c r="H363" i="27"/>
  <c r="HA363" i="27"/>
  <c r="GH363" i="27"/>
  <c r="FO363" i="27"/>
  <c r="HF363" i="27"/>
  <c r="FV363" i="27"/>
  <c r="ER363" i="27"/>
  <c r="DI363" i="27"/>
  <c r="Z363" i="27"/>
  <c r="BX363" i="27"/>
  <c r="V363" i="27"/>
  <c r="IJ363" i="27"/>
  <c r="IA363" i="27"/>
  <c r="BA363" i="27"/>
  <c r="AX363" i="27"/>
  <c r="IH363" i="27"/>
  <c r="BK363" i="27"/>
  <c r="DD363" i="27"/>
  <c r="O363" i="27"/>
  <c r="HG363" i="27"/>
  <c r="AY363" i="27"/>
  <c r="BQ363" i="27"/>
  <c r="Q363" i="27"/>
  <c r="HZ363" i="27"/>
  <c r="FN363" i="27"/>
  <c r="CN363" i="27"/>
  <c r="CI363" i="27"/>
  <c r="DN363" i="27"/>
  <c r="AB363" i="27"/>
  <c r="DT363" i="27"/>
  <c r="EU363" i="27"/>
  <c r="IC363" i="27"/>
  <c r="HY363" i="27"/>
  <c r="EP363" i="27"/>
  <c r="BM363" i="27"/>
  <c r="EF363" i="27"/>
  <c r="DB363" i="27"/>
  <c r="DR363" i="27"/>
  <c r="AS363" i="27"/>
  <c r="BF363" i="27"/>
  <c r="EH363" i="27"/>
  <c r="EE363" i="27"/>
  <c r="HQ363" i="27"/>
  <c r="FX363" i="27"/>
  <c r="CR363" i="27"/>
  <c r="AK363" i="27"/>
  <c r="GU363" i="27"/>
  <c r="GK363" i="27"/>
  <c r="L363" i="27"/>
  <c r="DK363" i="27"/>
  <c r="AQ363" i="27"/>
  <c r="CO363" i="27"/>
  <c r="X363" i="27"/>
  <c r="AM363" i="27"/>
  <c r="CH363" i="27"/>
  <c r="GV363" i="27"/>
  <c r="FH363" i="27"/>
  <c r="AF363" i="27"/>
  <c r="FA363" i="27"/>
  <c r="J363" i="27"/>
  <c r="GX363" i="27"/>
  <c r="GG363" i="27"/>
  <c r="FL363" i="27"/>
  <c r="AJ363" i="27"/>
  <c r="CW363" i="27"/>
  <c r="IF363" i="27"/>
  <c r="DW363" i="27"/>
  <c r="AZ363" i="27"/>
  <c r="GN363" i="27"/>
  <c r="FD363" i="27"/>
  <c r="EJ363" i="27"/>
  <c r="FK363" i="27"/>
  <c r="BE363" i="27"/>
  <c r="CX363" i="27"/>
  <c r="HI363" i="27"/>
  <c r="BZ363" i="27"/>
  <c r="DX363" i="27"/>
  <c r="DV363" i="27"/>
  <c r="FM363" i="27"/>
  <c r="AG363" i="27"/>
  <c r="CU363" i="27"/>
  <c r="HP363" i="27"/>
  <c r="GZ363" i="27"/>
  <c r="IE363" i="27"/>
  <c r="CG363" i="27"/>
  <c r="FS363" i="27"/>
  <c r="BW363" i="27"/>
  <c r="GS363" i="27"/>
  <c r="CM363" i="27"/>
  <c r="IB363" i="27"/>
  <c r="BN363" i="27"/>
  <c r="CT363" i="27"/>
  <c r="T363" i="27"/>
  <c r="BH363" i="27"/>
  <c r="EA363" i="27"/>
  <c r="DL363" i="27"/>
  <c r="AT363" i="27"/>
  <c r="K363" i="27"/>
  <c r="BC363" i="27"/>
  <c r="DC363" i="27"/>
  <c r="FI363" i="27"/>
  <c r="AN363" i="27"/>
  <c r="HT363" i="27"/>
  <c r="BV363" i="27"/>
  <c r="BO363" i="27"/>
  <c r="AV363" i="27"/>
  <c r="CQ363" i="27"/>
  <c r="ET363" i="27"/>
  <c r="EN363" i="27"/>
  <c r="HU363" i="27"/>
  <c r="IG363" i="27"/>
  <c r="CC363" i="27"/>
  <c r="CB363" i="27"/>
  <c r="HL363" i="27"/>
  <c r="CA363" i="27"/>
  <c r="EI363" i="27"/>
  <c r="FZ363" i="27"/>
  <c r="W363" i="27"/>
  <c r="AU363" i="27"/>
  <c r="FQ363" i="27"/>
  <c r="HX363" i="27"/>
  <c r="EO363" i="27"/>
  <c r="HR363" i="27"/>
  <c r="CS363" i="27"/>
  <c r="CL363" i="27"/>
  <c r="HM363" i="27"/>
  <c r="AR363" i="27"/>
  <c r="HK363" i="27"/>
  <c r="EK363" i="27"/>
  <c r="ES363" i="27"/>
  <c r="FF363" i="27"/>
  <c r="GA363" i="27"/>
  <c r="IK363" i="27"/>
  <c r="CJ363" i="27"/>
  <c r="EV363" i="27"/>
  <c r="HS363" i="27"/>
  <c r="DU363" i="27"/>
  <c r="GT363" i="27"/>
  <c r="DP363" i="27"/>
  <c r="ID363" i="27"/>
  <c r="DM363" i="27"/>
  <c r="FR363" i="27"/>
  <c r="E338" i="27"/>
  <c r="E341" i="27" s="1"/>
  <c r="D341" i="27"/>
  <c r="E284" i="27" s="1"/>
  <c r="F296" i="27" s="1"/>
  <c r="C265" i="27" s="1"/>
  <c r="CI103" i="26" l="1"/>
  <c r="CU103" i="26" s="1"/>
  <c r="FE81" i="26"/>
  <c r="CB103" i="26"/>
  <c r="CK103" i="26" s="1"/>
  <c r="CG81" i="26"/>
  <c r="Q144" i="26"/>
  <c r="R144" i="26" s="1"/>
  <c r="CC103" i="26" s="1"/>
  <c r="CZ81" i="26"/>
  <c r="DS81" i="26"/>
  <c r="K400" i="27"/>
  <c r="K403" i="27" s="1"/>
  <c r="J398" i="27"/>
  <c r="Y145" i="26"/>
  <c r="W146" i="26" s="1"/>
  <c r="O146" i="26" s="1"/>
  <c r="BL256" i="27"/>
  <c r="BL189" i="27" s="1"/>
  <c r="CE256" i="27"/>
  <c r="CE189" i="27" s="1"/>
  <c r="FF256" i="27"/>
  <c r="FF189" i="27" s="1"/>
  <c r="DZ256" i="27"/>
  <c r="DZ189" i="27" s="1"/>
  <c r="EG256" i="27"/>
  <c r="EG189" i="27" s="1"/>
  <c r="AY256" i="27"/>
  <c r="AY189" i="27" s="1"/>
  <c r="DQ256" i="27"/>
  <c r="DQ189" i="27" s="1"/>
  <c r="K256" i="27"/>
  <c r="K189" i="27" s="1"/>
  <c r="U256" i="27"/>
  <c r="U189" i="27" s="1"/>
  <c r="GR256" i="27"/>
  <c r="GR189" i="27" s="1"/>
  <c r="FE256" i="27"/>
  <c r="FE189" i="27" s="1"/>
  <c r="CB256" i="27"/>
  <c r="CB189" i="27" s="1"/>
  <c r="HQ256" i="27"/>
  <c r="HQ189" i="27" s="1"/>
  <c r="M256" i="27"/>
  <c r="M189" i="27" s="1"/>
  <c r="FY256" i="27"/>
  <c r="FY189" i="27" s="1"/>
  <c r="EF256" i="27"/>
  <c r="EF189" i="27" s="1"/>
  <c r="DB256" i="27"/>
  <c r="DB189" i="27" s="1"/>
  <c r="CI256" i="27"/>
  <c r="CI189" i="27" s="1"/>
  <c r="CG256" i="27"/>
  <c r="CG189" i="27" s="1"/>
  <c r="FK256" i="27"/>
  <c r="FK189" i="27" s="1"/>
  <c r="DY256" i="27"/>
  <c r="DY189" i="27" s="1"/>
  <c r="AO256" i="27"/>
  <c r="AO189" i="27" s="1"/>
  <c r="CR256" i="27"/>
  <c r="CR189" i="27" s="1"/>
  <c r="H256" i="27"/>
  <c r="H189" i="27" s="1"/>
  <c r="GS256" i="27"/>
  <c r="GS189" i="27" s="1"/>
  <c r="HH256" i="27"/>
  <c r="HH189" i="27" s="1"/>
  <c r="EU256" i="27"/>
  <c r="EU189" i="27" s="1"/>
  <c r="AS256" i="27"/>
  <c r="AS189" i="27" s="1"/>
  <c r="FM256" i="27"/>
  <c r="FM189" i="27" s="1"/>
  <c r="G256" i="27"/>
  <c r="HN256" i="27"/>
  <c r="HN189" i="27" s="1"/>
  <c r="AZ256" i="27"/>
  <c r="AZ189" i="27" s="1"/>
  <c r="CY256" i="27"/>
  <c r="CY189" i="27" s="1"/>
  <c r="R256" i="27"/>
  <c r="R189" i="27" s="1"/>
  <c r="EN256" i="27"/>
  <c r="EN189" i="27" s="1"/>
  <c r="I256" i="27"/>
  <c r="I189" i="27" s="1"/>
  <c r="P256" i="27"/>
  <c r="P189" i="27" s="1"/>
  <c r="HJ256" i="27"/>
  <c r="HJ189" i="27" s="1"/>
  <c r="EO256" i="27"/>
  <c r="EO189" i="27" s="1"/>
  <c r="AB256" i="27"/>
  <c r="AB189" i="27" s="1"/>
  <c r="GL256" i="27"/>
  <c r="GL189" i="27" s="1"/>
  <c r="GP256" i="27"/>
  <c r="GP189" i="27" s="1"/>
  <c r="FI256" i="27"/>
  <c r="FI189" i="27" s="1"/>
  <c r="DE256" i="27"/>
  <c r="DE189" i="27" s="1"/>
  <c r="HP256" i="27"/>
  <c r="HP189" i="27" s="1"/>
  <c r="EP256" i="27"/>
  <c r="EP189" i="27" s="1"/>
  <c r="AV256" i="27"/>
  <c r="AV189" i="27" s="1"/>
  <c r="EV256" i="27"/>
  <c r="EV189" i="27" s="1"/>
  <c r="AC256" i="27"/>
  <c r="AC189" i="27" s="1"/>
  <c r="FB256" i="27"/>
  <c r="FB189" i="27" s="1"/>
  <c r="HE256" i="27"/>
  <c r="HE189" i="27" s="1"/>
  <c r="CU256" i="27"/>
  <c r="CU189" i="27" s="1"/>
  <c r="HA256" i="27"/>
  <c r="HA189" i="27" s="1"/>
  <c r="BM256" i="27"/>
  <c r="BM189" i="27" s="1"/>
  <c r="HG256" i="27"/>
  <c r="HG189" i="27" s="1"/>
  <c r="FS256" i="27"/>
  <c r="FS189" i="27" s="1"/>
  <c r="CW256" i="27"/>
  <c r="CW189" i="27" s="1"/>
  <c r="GZ256" i="27"/>
  <c r="GZ189" i="27" s="1"/>
  <c r="BP256" i="27"/>
  <c r="BP189" i="27" s="1"/>
  <c r="FR256" i="27"/>
  <c r="FR189" i="27" s="1"/>
  <c r="AW256" i="27"/>
  <c r="AW189" i="27" s="1"/>
  <c r="HM256" i="27"/>
  <c r="HM189" i="27" s="1"/>
  <c r="EY256" i="27"/>
  <c r="EY189" i="27" s="1"/>
  <c r="FZ256" i="27"/>
  <c r="FZ189" i="27" s="1"/>
  <c r="AA256" i="27"/>
  <c r="AA189" i="27" s="1"/>
  <c r="GG256" i="27"/>
  <c r="GG189" i="27" s="1"/>
  <c r="BZ256" i="27"/>
  <c r="BZ189" i="27" s="1"/>
  <c r="DM256" i="27"/>
  <c r="DM189" i="27" s="1"/>
  <c r="AM256" i="27"/>
  <c r="AM189" i="27" s="1"/>
  <c r="DR256" i="27"/>
  <c r="DR189" i="27" s="1"/>
  <c r="FA256" i="27"/>
  <c r="FA189" i="27" s="1"/>
  <c r="FX256" i="27"/>
  <c r="FX189" i="27" s="1"/>
  <c r="DF256" i="27"/>
  <c r="DF189" i="27" s="1"/>
  <c r="BY256" i="27"/>
  <c r="BY189" i="27" s="1"/>
  <c r="EJ256" i="27"/>
  <c r="EJ189" i="27" s="1"/>
  <c r="GQ256" i="27"/>
  <c r="GQ189" i="27" s="1"/>
  <c r="CM256" i="27"/>
  <c r="CM189" i="27" s="1"/>
  <c r="GD256" i="27"/>
  <c r="GD189" i="27" s="1"/>
  <c r="IB256" i="27"/>
  <c r="IB189" i="27" s="1"/>
  <c r="AN256" i="27"/>
  <c r="AN189" i="27" s="1"/>
  <c r="ID256" i="27"/>
  <c r="ID189" i="27" s="1"/>
  <c r="CA256" i="27"/>
  <c r="CA189" i="27" s="1"/>
  <c r="BQ256" i="27"/>
  <c r="BQ189" i="27" s="1"/>
  <c r="AD256" i="27"/>
  <c r="AD189" i="27" s="1"/>
  <c r="HI256" i="27"/>
  <c r="HI189" i="27" s="1"/>
  <c r="HR256" i="27"/>
  <c r="HR189" i="27" s="1"/>
  <c r="EQ256" i="27"/>
  <c r="EQ189" i="27" s="1"/>
  <c r="CD256" i="27"/>
  <c r="CD189" i="27" s="1"/>
  <c r="FH256" i="27"/>
  <c r="FH189" i="27" s="1"/>
  <c r="AP256" i="27"/>
  <c r="AP189" i="27" s="1"/>
  <c r="CJ256" i="27"/>
  <c r="CJ189" i="27" s="1"/>
  <c r="X256" i="27"/>
  <c r="X189" i="27" s="1"/>
  <c r="CP256" i="27"/>
  <c r="CP189" i="27" s="1"/>
  <c r="EB256" i="27"/>
  <c r="EB189" i="27" s="1"/>
  <c r="BA256" i="27"/>
  <c r="BA189" i="27" s="1"/>
  <c r="EZ256" i="27"/>
  <c r="EZ189" i="27" s="1"/>
  <c r="DT256" i="27"/>
  <c r="DT189" i="27" s="1"/>
  <c r="DK256" i="27"/>
  <c r="DK189" i="27" s="1"/>
  <c r="EW256" i="27"/>
  <c r="EW189" i="27" s="1"/>
  <c r="CO256" i="27"/>
  <c r="CO189" i="27" s="1"/>
  <c r="FT256" i="27"/>
  <c r="FT189" i="27" s="1"/>
  <c r="HD256" i="27"/>
  <c r="HD189" i="27" s="1"/>
  <c r="BC256" i="27"/>
  <c r="BC189" i="27" s="1"/>
  <c r="HB256" i="27"/>
  <c r="HB189" i="27" s="1"/>
  <c r="FC256" i="27"/>
  <c r="FC189" i="27" s="1"/>
  <c r="J256" i="27"/>
  <c r="J189" i="27" s="1"/>
  <c r="AQ256" i="27"/>
  <c r="AQ189" i="27" s="1"/>
  <c r="AG256" i="27"/>
  <c r="AG189" i="27" s="1"/>
  <c r="GX256" i="27"/>
  <c r="GX189" i="27" s="1"/>
  <c r="EC256" i="27"/>
  <c r="EC189" i="27" s="1"/>
  <c r="BR256" i="27"/>
  <c r="BR189" i="27" s="1"/>
  <c r="CV256" i="27"/>
  <c r="CV189" i="27" s="1"/>
  <c r="AH256" i="27"/>
  <c r="AH189" i="27" s="1"/>
  <c r="HY256" i="27"/>
  <c r="HY189" i="27" s="1"/>
  <c r="IA256" i="27"/>
  <c r="IA189" i="27" s="1"/>
  <c r="DG256" i="27"/>
  <c r="DG189" i="27" s="1"/>
  <c r="DW256" i="27"/>
  <c r="DW189" i="27" s="1"/>
  <c r="DH256" i="27"/>
  <c r="DH189" i="27" s="1"/>
  <c r="HL256" i="27"/>
  <c r="HL189" i="27" s="1"/>
  <c r="FW256" i="27"/>
  <c r="FW189" i="27" s="1"/>
  <c r="EX256" i="27"/>
  <c r="EX189" i="27" s="1"/>
  <c r="Z256" i="27"/>
  <c r="Z189" i="27" s="1"/>
  <c r="FG256" i="27"/>
  <c r="FG189" i="27" s="1"/>
  <c r="ET256" i="27"/>
  <c r="ET189" i="27" s="1"/>
  <c r="CN256" i="27"/>
  <c r="CN189" i="27" s="1"/>
  <c r="GN256" i="27"/>
  <c r="GN189" i="27" s="1"/>
  <c r="FL256" i="27"/>
  <c r="FL189" i="27" s="1"/>
  <c r="GI256" i="27"/>
  <c r="GI189" i="27" s="1"/>
  <c r="IF256" i="27"/>
  <c r="IF189" i="27" s="1"/>
  <c r="HC256" i="27"/>
  <c r="HC189" i="27" s="1"/>
  <c r="DI256" i="27"/>
  <c r="DI189" i="27" s="1"/>
  <c r="HK256" i="27"/>
  <c r="HK189" i="27" s="1"/>
  <c r="DJ256" i="27"/>
  <c r="DJ189" i="27" s="1"/>
  <c r="BH256" i="27"/>
  <c r="BH189" i="27" s="1"/>
  <c r="AU256" i="27"/>
  <c r="AU189" i="27" s="1"/>
  <c r="GA256" i="27"/>
  <c r="GA189" i="27" s="1"/>
  <c r="BX256" i="27"/>
  <c r="BX189" i="27" s="1"/>
  <c r="AT256" i="27"/>
  <c r="AT189" i="27" s="1"/>
  <c r="GW256" i="27"/>
  <c r="GW189" i="27" s="1"/>
  <c r="AE256" i="27"/>
  <c r="AE189" i="27" s="1"/>
  <c r="AK256" i="27"/>
  <c r="AK189" i="27" s="1"/>
  <c r="GV256" i="27"/>
  <c r="GV189" i="27" s="1"/>
  <c r="DX256" i="27"/>
  <c r="DX189" i="27" s="1"/>
  <c r="FJ256" i="27"/>
  <c r="FJ189" i="27" s="1"/>
  <c r="ER256" i="27"/>
  <c r="ER189" i="27" s="1"/>
  <c r="BS256" i="27"/>
  <c r="BS189" i="27" s="1"/>
  <c r="BE256" i="27"/>
  <c r="BE189" i="27" s="1"/>
  <c r="BF256" i="27"/>
  <c r="BF189" i="27" s="1"/>
  <c r="BT256" i="27"/>
  <c r="BT189" i="27" s="1"/>
  <c r="GT256" i="27"/>
  <c r="GT189" i="27" s="1"/>
  <c r="GF256" i="27"/>
  <c r="GF189" i="27" s="1"/>
  <c r="CK256" i="27"/>
  <c r="CK189" i="27" s="1"/>
  <c r="CS256" i="27"/>
  <c r="CS189" i="27" s="1"/>
  <c r="ED256" i="27"/>
  <c r="ED189" i="27" s="1"/>
  <c r="CC256" i="27"/>
  <c r="CC189" i="27" s="1"/>
  <c r="IH256" i="27"/>
  <c r="IH189" i="27" s="1"/>
  <c r="EH256" i="27"/>
  <c r="EH189" i="27" s="1"/>
  <c r="FO256" i="27"/>
  <c r="FO189" i="27" s="1"/>
  <c r="FP256" i="27"/>
  <c r="FP189" i="27" s="1"/>
  <c r="FV256" i="27"/>
  <c r="FV189" i="27" s="1"/>
  <c r="GO256" i="27"/>
  <c r="GO189" i="27" s="1"/>
  <c r="IG256" i="27"/>
  <c r="IG189" i="27" s="1"/>
  <c r="BK256" i="27"/>
  <c r="BK189" i="27" s="1"/>
  <c r="BO256" i="27"/>
  <c r="BO189" i="27" s="1"/>
  <c r="CH256" i="27"/>
  <c r="CH189" i="27" s="1"/>
  <c r="HW256" i="27"/>
  <c r="HW189" i="27" s="1"/>
  <c r="IE256" i="27"/>
  <c r="IE189" i="27" s="1"/>
  <c r="BV256" i="27"/>
  <c r="BV189" i="27" s="1"/>
  <c r="EK256" i="27"/>
  <c r="EK189" i="27" s="1"/>
  <c r="GJ256" i="27"/>
  <c r="GJ189" i="27" s="1"/>
  <c r="BN256" i="27"/>
  <c r="BN189" i="27" s="1"/>
  <c r="DP256" i="27"/>
  <c r="DP189" i="27" s="1"/>
  <c r="HX256" i="27"/>
  <c r="HX189" i="27" s="1"/>
  <c r="EE256" i="27"/>
  <c r="EE189" i="27" s="1"/>
  <c r="DA256" i="27"/>
  <c r="DA189" i="27" s="1"/>
  <c r="EA256" i="27"/>
  <c r="EA189" i="27" s="1"/>
  <c r="HU256" i="27"/>
  <c r="HU189" i="27" s="1"/>
  <c r="DC256" i="27"/>
  <c r="DC189" i="27" s="1"/>
  <c r="FD256" i="27"/>
  <c r="FD189" i="27" s="1"/>
  <c r="AX256" i="27"/>
  <c r="AX189" i="27" s="1"/>
  <c r="L256" i="27"/>
  <c r="L189" i="27" s="1"/>
  <c r="GY256" i="27"/>
  <c r="GY189" i="27" s="1"/>
  <c r="V256" i="27"/>
  <c r="V189" i="27" s="1"/>
  <c r="CX256" i="27"/>
  <c r="CX189" i="27" s="1"/>
  <c r="II256" i="27"/>
  <c r="II189" i="27" s="1"/>
  <c r="HF256" i="27"/>
  <c r="HF189" i="27" s="1"/>
  <c r="IK256" i="27"/>
  <c r="IK189" i="27" s="1"/>
  <c r="AR256" i="27"/>
  <c r="AR189" i="27" s="1"/>
  <c r="GK256" i="27"/>
  <c r="GK189" i="27" s="1"/>
  <c r="AL256" i="27"/>
  <c r="AL189" i="27" s="1"/>
  <c r="AF256" i="27"/>
  <c r="AF189" i="27" s="1"/>
  <c r="BD256" i="27"/>
  <c r="BD189" i="27" s="1"/>
  <c r="AI256" i="27"/>
  <c r="AI189" i="27" s="1"/>
  <c r="BG256" i="27"/>
  <c r="BG189" i="27" s="1"/>
  <c r="EM256" i="27"/>
  <c r="EM189" i="27" s="1"/>
  <c r="DN256" i="27"/>
  <c r="DN189" i="27" s="1"/>
  <c r="HS256" i="27"/>
  <c r="HS189" i="27" s="1"/>
  <c r="GC256" i="27"/>
  <c r="GC189" i="27" s="1"/>
  <c r="CT256" i="27"/>
  <c r="CT189" i="27" s="1"/>
  <c r="HO256" i="27"/>
  <c r="HO189" i="27" s="1"/>
  <c r="DV256" i="27"/>
  <c r="DV189" i="27" s="1"/>
  <c r="HZ256" i="27"/>
  <c r="HZ189" i="27" s="1"/>
  <c r="AJ256" i="27"/>
  <c r="AJ189" i="27" s="1"/>
  <c r="HT256" i="27"/>
  <c r="HT189" i="27" s="1"/>
  <c r="Q256" i="27"/>
  <c r="Q189" i="27" s="1"/>
  <c r="N256" i="27"/>
  <c r="N189" i="27" s="1"/>
  <c r="BI256" i="27"/>
  <c r="BI189" i="27" s="1"/>
  <c r="BW256" i="27"/>
  <c r="BW189" i="27" s="1"/>
  <c r="Y256" i="27"/>
  <c r="Y189" i="27" s="1"/>
  <c r="ES256" i="27"/>
  <c r="ES189" i="27" s="1"/>
  <c r="EI256" i="27"/>
  <c r="EI189" i="27" s="1"/>
  <c r="FU256" i="27"/>
  <c r="FU189" i="27" s="1"/>
  <c r="CL256" i="27"/>
  <c r="CL189" i="27" s="1"/>
  <c r="BU256" i="27"/>
  <c r="BU189" i="27" s="1"/>
  <c r="DL256" i="27"/>
  <c r="DL189" i="27" s="1"/>
  <c r="HV256" i="27"/>
  <c r="HV189" i="27" s="1"/>
  <c r="O256" i="27"/>
  <c r="O189" i="27" s="1"/>
  <c r="W256" i="27"/>
  <c r="W189" i="27" s="1"/>
  <c r="DS256" i="27"/>
  <c r="DS189" i="27" s="1"/>
  <c r="GB256" i="27"/>
  <c r="GB189" i="27" s="1"/>
  <c r="DU256" i="27"/>
  <c r="DU189" i="27" s="1"/>
  <c r="IC256" i="27"/>
  <c r="IC189" i="27" s="1"/>
  <c r="GH256" i="27"/>
  <c r="GH189" i="27" s="1"/>
  <c r="FQ256" i="27"/>
  <c r="FQ189" i="27" s="1"/>
  <c r="GE256" i="27"/>
  <c r="GE189" i="27" s="1"/>
  <c r="GU256" i="27"/>
  <c r="GU189" i="27" s="1"/>
  <c r="EL256" i="27"/>
  <c r="EL189" i="27" s="1"/>
  <c r="CF256" i="27"/>
  <c r="CF189" i="27" s="1"/>
  <c r="S256" i="27"/>
  <c r="S189" i="27" s="1"/>
  <c r="DD256" i="27"/>
  <c r="DD189" i="27" s="1"/>
  <c r="BB256" i="27"/>
  <c r="BB189" i="27" s="1"/>
  <c r="BJ256" i="27"/>
  <c r="BJ189" i="27" s="1"/>
  <c r="FN256" i="27"/>
  <c r="FN189" i="27" s="1"/>
  <c r="CQ256" i="27"/>
  <c r="CQ189" i="27" s="1"/>
  <c r="CZ256" i="27"/>
  <c r="CZ189" i="27" s="1"/>
  <c r="T256" i="27"/>
  <c r="T189" i="27" s="1"/>
  <c r="GM256" i="27"/>
  <c r="GM189" i="27" s="1"/>
  <c r="DO256" i="27"/>
  <c r="DO189" i="27" s="1"/>
  <c r="IJ256" i="27"/>
  <c r="IJ189" i="27" s="1"/>
  <c r="C291" i="27"/>
  <c r="CO335" i="27"/>
  <c r="CF335" i="27"/>
  <c r="BV335" i="27"/>
  <c r="EY335" i="27"/>
  <c r="DO335" i="27"/>
  <c r="GZ335" i="27"/>
  <c r="FP335" i="27"/>
  <c r="AA335" i="27"/>
  <c r="EM335" i="27"/>
  <c r="HX335" i="27"/>
  <c r="DP335" i="27"/>
  <c r="CE335" i="27"/>
  <c r="EE335" i="27"/>
  <c r="AZ335" i="27"/>
  <c r="BS335" i="27"/>
  <c r="DL335" i="27"/>
  <c r="GH335" i="27"/>
  <c r="DH335" i="27"/>
  <c r="I335" i="27"/>
  <c r="EI335" i="27"/>
  <c r="HK335" i="27"/>
  <c r="AH335" i="27"/>
  <c r="FF335" i="27"/>
  <c r="HE335" i="27"/>
  <c r="HZ335" i="27"/>
  <c r="AY335" i="27"/>
  <c r="BU335" i="27"/>
  <c r="CY335" i="27"/>
  <c r="GW335" i="27"/>
  <c r="HP335" i="27"/>
  <c r="AN335" i="27"/>
  <c r="EU335" i="27"/>
  <c r="BN335" i="27"/>
  <c r="AO335" i="27"/>
  <c r="GK335" i="27"/>
  <c r="AS335" i="27"/>
  <c r="AC335" i="27"/>
  <c r="K335" i="27"/>
  <c r="EL335" i="27"/>
  <c r="AP335" i="27"/>
  <c r="DA335" i="27"/>
  <c r="CN335" i="27"/>
  <c r="EJ335" i="27"/>
  <c r="EP335" i="27"/>
  <c r="CP335" i="27"/>
  <c r="HT335" i="27"/>
  <c r="R335" i="27"/>
  <c r="BL335" i="27"/>
  <c r="AV335" i="27"/>
  <c r="BO335" i="27"/>
  <c r="DU335" i="27"/>
  <c r="CC335" i="27"/>
  <c r="HM335" i="27"/>
  <c r="CQ335" i="27"/>
  <c r="CJ335" i="27"/>
  <c r="DM335" i="27"/>
  <c r="Y335" i="27"/>
  <c r="EA335" i="27"/>
  <c r="IK335" i="27"/>
  <c r="BI335" i="27"/>
  <c r="CX335" i="27"/>
  <c r="GT335" i="27"/>
  <c r="HJ335" i="27"/>
  <c r="AI335" i="27"/>
  <c r="EC335" i="27"/>
  <c r="HC335" i="27"/>
  <c r="AK335" i="27"/>
  <c r="CZ335" i="27"/>
  <c r="DK335" i="27"/>
  <c r="GQ335" i="27"/>
  <c r="FL335" i="27"/>
  <c r="ED335" i="27"/>
  <c r="BZ335" i="27"/>
  <c r="IA335" i="27"/>
  <c r="FR335" i="27"/>
  <c r="HV335" i="27"/>
  <c r="BR335" i="27"/>
  <c r="ER335" i="27"/>
  <c r="O335" i="27"/>
  <c r="FN335" i="27"/>
  <c r="H335" i="27"/>
  <c r="GO335" i="27"/>
  <c r="BC335" i="27"/>
  <c r="GR335" i="27"/>
  <c r="AR335" i="27"/>
  <c r="FQ335" i="27"/>
  <c r="BG335" i="27"/>
  <c r="DB335" i="27"/>
  <c r="CU335" i="27"/>
  <c r="EW335" i="27"/>
  <c r="EB335" i="27"/>
  <c r="CM335" i="27"/>
  <c r="W335" i="27"/>
  <c r="HH335" i="27"/>
  <c r="P335" i="27"/>
  <c r="BP335" i="27"/>
  <c r="CV335" i="27"/>
  <c r="II335" i="27"/>
  <c r="GE335" i="27"/>
  <c r="M335" i="27"/>
  <c r="AB335" i="27"/>
  <c r="DD335" i="27"/>
  <c r="CK335" i="27"/>
  <c r="FX335" i="27"/>
  <c r="FO335" i="27"/>
  <c r="CR335" i="27"/>
  <c r="FM335" i="27"/>
  <c r="HB335" i="27"/>
  <c r="GM335" i="27"/>
  <c r="V335" i="27"/>
  <c r="GU335" i="27"/>
  <c r="IG335" i="27"/>
  <c r="J335" i="27"/>
  <c r="DY335" i="27"/>
  <c r="BT335" i="27"/>
  <c r="AE335" i="27"/>
  <c r="BJ335" i="27"/>
  <c r="Q335" i="27"/>
  <c r="EX335" i="27"/>
  <c r="HN335" i="27"/>
  <c r="BA335" i="27"/>
  <c r="S335" i="27"/>
  <c r="BW335" i="27"/>
  <c r="FB335" i="27"/>
  <c r="EV335" i="27"/>
  <c r="GI335" i="27"/>
  <c r="X335" i="27"/>
  <c r="CT335" i="27"/>
  <c r="FS335" i="27"/>
  <c r="GP335" i="27"/>
  <c r="GF335" i="27"/>
  <c r="CI335" i="27"/>
  <c r="FV335" i="27"/>
  <c r="AD335" i="27"/>
  <c r="EO335" i="27"/>
  <c r="BM335" i="27"/>
  <c r="DF335" i="27"/>
  <c r="BH335" i="27"/>
  <c r="CD335" i="27"/>
  <c r="EN335" i="27"/>
  <c r="DE335" i="27"/>
  <c r="IH335" i="27"/>
  <c r="FU335" i="27"/>
  <c r="AX335" i="27"/>
  <c r="HR335" i="27"/>
  <c r="FG335" i="27"/>
  <c r="HS335" i="27"/>
  <c r="GL335" i="27"/>
  <c r="FK335" i="27"/>
  <c r="DQ335" i="27"/>
  <c r="HI335" i="27"/>
  <c r="DW335" i="27"/>
  <c r="FY335" i="27"/>
  <c r="AL335" i="27"/>
  <c r="DI335" i="27"/>
  <c r="CW335" i="27"/>
  <c r="U335" i="27"/>
  <c r="IJ335" i="27"/>
  <c r="FT335" i="27"/>
  <c r="AQ335" i="27"/>
  <c r="L335" i="27"/>
  <c r="N335" i="27"/>
  <c r="DJ335" i="27"/>
  <c r="FZ335" i="27"/>
  <c r="IC335" i="27"/>
  <c r="GY335" i="27"/>
  <c r="IE335" i="27"/>
  <c r="HO335" i="27"/>
  <c r="EG335" i="27"/>
  <c r="DS335" i="27"/>
  <c r="GB335" i="27"/>
  <c r="FA335" i="27"/>
  <c r="BF335" i="27"/>
  <c r="DC335" i="27"/>
  <c r="HG335" i="27"/>
  <c r="FC335" i="27"/>
  <c r="GV335" i="27"/>
  <c r="GS335" i="27"/>
  <c r="EH335" i="27"/>
  <c r="BY335" i="27"/>
  <c r="FD335" i="27"/>
  <c r="DZ335" i="27"/>
  <c r="BK335" i="27"/>
  <c r="HF335" i="27"/>
  <c r="Z335" i="27"/>
  <c r="GX335" i="27"/>
  <c r="FI335" i="27"/>
  <c r="BD335" i="27"/>
  <c r="GA335" i="27"/>
  <c r="T335" i="27"/>
  <c r="DG335" i="27"/>
  <c r="DR335" i="27"/>
  <c r="AM335" i="27"/>
  <c r="GC335" i="27"/>
  <c r="FH335" i="27"/>
  <c r="HA335" i="27"/>
  <c r="ET335" i="27"/>
  <c r="IF335" i="27"/>
  <c r="EZ335" i="27"/>
  <c r="CA335" i="27"/>
  <c r="AW335" i="27"/>
  <c r="CL335" i="27"/>
  <c r="AJ335" i="27"/>
  <c r="BB335" i="27"/>
  <c r="FE335" i="27"/>
  <c r="GJ335" i="27"/>
  <c r="FW335" i="27"/>
  <c r="GN335" i="27"/>
  <c r="ES335" i="27"/>
  <c r="AT335" i="27"/>
  <c r="HD335" i="27"/>
  <c r="AG335" i="27"/>
  <c r="HU335" i="27"/>
  <c r="HQ335" i="27"/>
  <c r="DX335" i="27"/>
  <c r="CG335" i="27"/>
  <c r="EF335" i="27"/>
  <c r="GD335" i="27"/>
  <c r="HL335" i="27"/>
  <c r="DV335" i="27"/>
  <c r="IB335" i="27"/>
  <c r="AU335" i="27"/>
  <c r="DT335" i="27"/>
  <c r="DN335" i="27"/>
  <c r="ID335" i="27"/>
  <c r="HW335" i="27"/>
  <c r="EQ335" i="27"/>
  <c r="CB335" i="27"/>
  <c r="EK335" i="27"/>
  <c r="GG335" i="27"/>
  <c r="CS335" i="27"/>
  <c r="BX335" i="27"/>
  <c r="BE335" i="27"/>
  <c r="CH335" i="27"/>
  <c r="FJ335" i="27"/>
  <c r="HY335" i="27"/>
  <c r="BQ335" i="27"/>
  <c r="AF335" i="27"/>
  <c r="E363" i="27"/>
  <c r="CD103" i="26" l="1"/>
  <c r="CK120" i="26"/>
  <c r="CK141" i="26" s="1"/>
  <c r="C152" i="25" s="1"/>
  <c r="B152" i="25" s="1"/>
  <c r="A152" i="25" s="1"/>
  <c r="AB145" i="26"/>
  <c r="Q145" i="26" s="1"/>
  <c r="R145" i="26" s="1"/>
  <c r="CC104" i="26" s="1"/>
  <c r="Z145" i="26"/>
  <c r="Y146" i="26" s="1"/>
  <c r="AB146" i="26" s="1"/>
  <c r="K398" i="27"/>
  <c r="L400" i="27"/>
  <c r="L398" i="27" s="1"/>
  <c r="F189" i="27"/>
  <c r="CH283" i="27"/>
  <c r="CH367" i="27" s="1"/>
  <c r="CH342" i="27"/>
  <c r="CH341" i="27" s="1"/>
  <c r="GC342" i="27"/>
  <c r="GC341" i="27" s="1"/>
  <c r="GC283" i="27"/>
  <c r="GC367" i="27" s="1"/>
  <c r="N342" i="27"/>
  <c r="N341" i="27" s="1"/>
  <c r="N283" i="27"/>
  <c r="N367" i="27" s="1"/>
  <c r="GP342" i="27"/>
  <c r="GP341" i="27" s="1"/>
  <c r="GP283" i="27"/>
  <c r="GP367" i="27" s="1"/>
  <c r="EW283" i="27"/>
  <c r="EW367" i="27" s="1"/>
  <c r="EW342" i="27"/>
  <c r="EW341" i="27" s="1"/>
  <c r="BX283" i="27"/>
  <c r="BX367" i="27" s="1"/>
  <c r="BX342" i="27"/>
  <c r="BX341" i="27" s="1"/>
  <c r="CA283" i="27"/>
  <c r="CA367" i="27" s="1"/>
  <c r="CA342" i="27"/>
  <c r="CA341" i="27" s="1"/>
  <c r="HO342" i="27"/>
  <c r="HO341" i="27" s="1"/>
  <c r="HO283" i="27"/>
  <c r="HO367" i="27" s="1"/>
  <c r="BM342" i="27"/>
  <c r="BM341" i="27" s="1"/>
  <c r="BM283" i="27"/>
  <c r="BM367" i="27" s="1"/>
  <c r="HN342" i="27"/>
  <c r="HN341" i="27" s="1"/>
  <c r="HN283" i="27"/>
  <c r="HN367" i="27" s="1"/>
  <c r="BP342" i="27"/>
  <c r="BP341" i="27" s="1"/>
  <c r="BP283" i="27"/>
  <c r="BP367" i="27" s="1"/>
  <c r="FN283" i="27"/>
  <c r="FN367" i="27" s="1"/>
  <c r="FN342" i="27"/>
  <c r="FN341" i="27" s="1"/>
  <c r="ED283" i="27"/>
  <c r="ED367" i="27" s="1"/>
  <c r="ED342" i="27"/>
  <c r="ED341" i="27" s="1"/>
  <c r="DM342" i="27"/>
  <c r="DM341" i="27" s="1"/>
  <c r="DM283" i="27"/>
  <c r="DM367" i="27" s="1"/>
  <c r="BL342" i="27"/>
  <c r="BL341" i="27" s="1"/>
  <c r="BL283" i="27"/>
  <c r="BL367" i="27" s="1"/>
  <c r="AP342" i="27"/>
  <c r="AP341" i="27" s="1"/>
  <c r="AP283" i="27"/>
  <c r="AP367" i="27" s="1"/>
  <c r="EU342" i="27"/>
  <c r="EU341" i="27" s="1"/>
  <c r="EU283" i="27"/>
  <c r="EU367" i="27" s="1"/>
  <c r="HE342" i="27"/>
  <c r="HE341" i="27" s="1"/>
  <c r="HE283" i="27"/>
  <c r="HE367" i="27" s="1"/>
  <c r="DL342" i="27"/>
  <c r="DL341" i="27" s="1"/>
  <c r="DL283" i="27"/>
  <c r="DL367" i="27" s="1"/>
  <c r="AA283" i="27"/>
  <c r="AA367" i="27" s="1"/>
  <c r="AA342" i="27"/>
  <c r="AA341" i="27" s="1"/>
  <c r="AT283" i="27"/>
  <c r="AT367" i="27" s="1"/>
  <c r="AT342" i="27"/>
  <c r="AT341" i="27" s="1"/>
  <c r="GN342" i="27"/>
  <c r="GN341" i="27" s="1"/>
  <c r="GN283" i="27"/>
  <c r="GN367" i="27" s="1"/>
  <c r="HF342" i="27"/>
  <c r="HF341" i="27" s="1"/>
  <c r="HF283" i="27"/>
  <c r="HF367" i="27" s="1"/>
  <c r="DW283" i="27"/>
  <c r="DW367" i="27" s="1"/>
  <c r="DW342" i="27"/>
  <c r="DW341" i="27" s="1"/>
  <c r="FX283" i="27"/>
  <c r="FX367" i="27" s="1"/>
  <c r="FX342" i="27"/>
  <c r="FX341" i="27" s="1"/>
  <c r="CS283" i="27"/>
  <c r="CS367" i="27" s="1"/>
  <c r="CS342" i="27"/>
  <c r="CS341" i="27" s="1"/>
  <c r="DT283" i="27"/>
  <c r="DT367" i="27" s="1"/>
  <c r="DT342" i="27"/>
  <c r="DT341" i="27" s="1"/>
  <c r="DX342" i="27"/>
  <c r="DX341" i="27" s="1"/>
  <c r="DX283" i="27"/>
  <c r="DX367" i="27" s="1"/>
  <c r="FW342" i="27"/>
  <c r="FW341" i="27" s="1"/>
  <c r="FW283" i="27"/>
  <c r="FW367" i="27" s="1"/>
  <c r="EZ342" i="27"/>
  <c r="EZ341" i="27" s="1"/>
  <c r="EZ283" i="27"/>
  <c r="EZ367" i="27" s="1"/>
  <c r="DG283" i="27"/>
  <c r="DG367" i="27" s="1"/>
  <c r="DG342" i="27"/>
  <c r="DG341" i="27" s="1"/>
  <c r="BK342" i="27"/>
  <c r="BK341" i="27" s="1"/>
  <c r="BK283" i="27"/>
  <c r="BK367" i="27" s="1"/>
  <c r="HG342" i="27"/>
  <c r="HG341" i="27" s="1"/>
  <c r="HG283" i="27"/>
  <c r="HG367" i="27" s="1"/>
  <c r="IE283" i="27"/>
  <c r="IE367" i="27" s="1"/>
  <c r="IE342" i="27"/>
  <c r="IE341" i="27" s="1"/>
  <c r="FT283" i="27"/>
  <c r="FT367" i="27" s="1"/>
  <c r="FT342" i="27"/>
  <c r="FT341" i="27" s="1"/>
  <c r="HI342" i="27"/>
  <c r="HI341" i="27" s="1"/>
  <c r="HI283" i="27"/>
  <c r="HI367" i="27" s="1"/>
  <c r="FU342" i="27"/>
  <c r="FU341" i="27" s="1"/>
  <c r="FU283" i="27"/>
  <c r="FU367" i="27" s="1"/>
  <c r="EO283" i="27"/>
  <c r="EO367" i="27" s="1"/>
  <c r="EO342" i="27"/>
  <c r="EO341" i="27" s="1"/>
  <c r="X342" i="27"/>
  <c r="X341" i="27" s="1"/>
  <c r="X283" i="27"/>
  <c r="X367" i="27" s="1"/>
  <c r="EX283" i="27"/>
  <c r="EX367" i="27" s="1"/>
  <c r="EX342" i="27"/>
  <c r="EX341" i="27" s="1"/>
  <c r="GU342" i="27"/>
  <c r="GU341" i="27" s="1"/>
  <c r="GU283" i="27"/>
  <c r="GU367" i="27" s="1"/>
  <c r="CK342" i="27"/>
  <c r="CK341" i="27" s="1"/>
  <c r="CK283" i="27"/>
  <c r="CK367" i="27" s="1"/>
  <c r="P283" i="27"/>
  <c r="P367" i="27" s="1"/>
  <c r="P342" i="27"/>
  <c r="P341" i="27" s="1"/>
  <c r="BG342" i="27"/>
  <c r="BG341" i="27" s="1"/>
  <c r="BG283" i="27"/>
  <c r="BG367" i="27" s="1"/>
  <c r="O283" i="27"/>
  <c r="O367" i="27" s="1"/>
  <c r="O342" i="27"/>
  <c r="O341" i="27" s="1"/>
  <c r="FL283" i="27"/>
  <c r="FL367" i="27" s="1"/>
  <c r="FL342" i="27"/>
  <c r="FL341" i="27" s="1"/>
  <c r="HJ342" i="27"/>
  <c r="HJ341" i="27" s="1"/>
  <c r="HJ283" i="27"/>
  <c r="HJ367" i="27" s="1"/>
  <c r="CJ283" i="27"/>
  <c r="CJ367" i="27" s="1"/>
  <c r="CJ342" i="27"/>
  <c r="CJ341" i="27" s="1"/>
  <c r="R283" i="27"/>
  <c r="R367" i="27" s="1"/>
  <c r="R342" i="27"/>
  <c r="R341" i="27" s="1"/>
  <c r="EL283" i="27"/>
  <c r="EL367" i="27" s="1"/>
  <c r="EL342" i="27"/>
  <c r="EL341" i="27" s="1"/>
  <c r="AN283" i="27"/>
  <c r="AN367" i="27" s="1"/>
  <c r="AN342" i="27"/>
  <c r="AN341" i="27" s="1"/>
  <c r="FF342" i="27"/>
  <c r="FF341" i="27" s="1"/>
  <c r="FF283" i="27"/>
  <c r="FF367" i="27" s="1"/>
  <c r="BS283" i="27"/>
  <c r="BS367" i="27" s="1"/>
  <c r="BS342" i="27"/>
  <c r="BS341" i="27" s="1"/>
  <c r="FP342" i="27"/>
  <c r="FP341" i="27" s="1"/>
  <c r="FP283" i="27"/>
  <c r="FP367" i="27" s="1"/>
  <c r="HW342" i="27"/>
  <c r="HW341" i="27" s="1"/>
  <c r="HW283" i="27"/>
  <c r="HW367" i="27" s="1"/>
  <c r="GX342" i="27"/>
  <c r="GX341" i="27" s="1"/>
  <c r="GX283" i="27"/>
  <c r="GX367" i="27" s="1"/>
  <c r="FG283" i="27"/>
  <c r="FG367" i="27" s="1"/>
  <c r="FG342" i="27"/>
  <c r="FG341" i="27" s="1"/>
  <c r="CG283" i="27"/>
  <c r="CG367" i="27" s="1"/>
  <c r="CG342" i="27"/>
  <c r="CG341" i="27" s="1"/>
  <c r="DR342" i="27"/>
  <c r="DR341" i="27" s="1"/>
  <c r="DR283" i="27"/>
  <c r="DR367" i="27" s="1"/>
  <c r="AQ342" i="27"/>
  <c r="AQ341" i="27" s="1"/>
  <c r="AQ283" i="27"/>
  <c r="AQ367" i="27" s="1"/>
  <c r="AX283" i="27"/>
  <c r="AX367" i="27" s="1"/>
  <c r="AX342" i="27"/>
  <c r="AX341" i="27" s="1"/>
  <c r="CT283" i="27"/>
  <c r="CT367" i="27" s="1"/>
  <c r="CT342" i="27"/>
  <c r="CT341" i="27" s="1"/>
  <c r="IG283" i="27"/>
  <c r="IG367" i="27" s="1"/>
  <c r="IG342" i="27"/>
  <c r="IG341" i="27" s="1"/>
  <c r="DB342" i="27"/>
  <c r="DB341" i="27" s="1"/>
  <c r="DB283" i="27"/>
  <c r="DB367" i="27" s="1"/>
  <c r="AI342" i="27"/>
  <c r="AI341" i="27" s="1"/>
  <c r="AI283" i="27"/>
  <c r="AI367" i="27" s="1"/>
  <c r="AF342" i="27"/>
  <c r="AF341" i="27" s="1"/>
  <c r="AF283" i="27"/>
  <c r="AF367" i="27" s="1"/>
  <c r="GG283" i="27"/>
  <c r="GG367" i="27" s="1"/>
  <c r="GG342" i="27"/>
  <c r="GG341" i="27" s="1"/>
  <c r="AU342" i="27"/>
  <c r="AU341" i="27" s="1"/>
  <c r="AU283" i="27"/>
  <c r="AU367" i="27" s="1"/>
  <c r="HQ283" i="27"/>
  <c r="HQ367" i="27" s="1"/>
  <c r="HQ342" i="27"/>
  <c r="HQ341" i="27" s="1"/>
  <c r="GJ342" i="27"/>
  <c r="GJ341" i="27" s="1"/>
  <c r="GJ283" i="27"/>
  <c r="GJ367" i="27" s="1"/>
  <c r="IF342" i="27"/>
  <c r="IF341" i="27" s="1"/>
  <c r="IF283" i="27"/>
  <c r="IF367" i="27" s="1"/>
  <c r="T283" i="27"/>
  <c r="T367" i="27" s="1"/>
  <c r="T342" i="27"/>
  <c r="T341" i="27" s="1"/>
  <c r="DZ342" i="27"/>
  <c r="DZ341" i="27" s="1"/>
  <c r="DZ283" i="27"/>
  <c r="DZ367" i="27" s="1"/>
  <c r="DC342" i="27"/>
  <c r="DC341" i="27" s="1"/>
  <c r="DC283" i="27"/>
  <c r="DC367" i="27" s="1"/>
  <c r="GY342" i="27"/>
  <c r="GY341" i="27" s="1"/>
  <c r="GY283" i="27"/>
  <c r="GY367" i="27" s="1"/>
  <c r="IJ342" i="27"/>
  <c r="IJ341" i="27" s="1"/>
  <c r="IJ283" i="27"/>
  <c r="IJ367" i="27" s="1"/>
  <c r="DQ283" i="27"/>
  <c r="DQ367" i="27" s="1"/>
  <c r="DQ342" i="27"/>
  <c r="DQ341" i="27" s="1"/>
  <c r="IH342" i="27"/>
  <c r="IH341" i="27" s="1"/>
  <c r="IH283" i="27"/>
  <c r="IH367" i="27" s="1"/>
  <c r="AD283" i="27"/>
  <c r="AD367" i="27" s="1"/>
  <c r="AD342" i="27"/>
  <c r="AD341" i="27" s="1"/>
  <c r="GI342" i="27"/>
  <c r="GI341" i="27" s="1"/>
  <c r="GI283" i="27"/>
  <c r="GI367" i="27" s="1"/>
  <c r="Q342" i="27"/>
  <c r="Q341" i="27" s="1"/>
  <c r="Q283" i="27"/>
  <c r="Q367" i="27" s="1"/>
  <c r="V283" i="27"/>
  <c r="V367" i="27" s="1"/>
  <c r="V342" i="27"/>
  <c r="V341" i="27" s="1"/>
  <c r="DD342" i="27"/>
  <c r="DD341" i="27" s="1"/>
  <c r="DD283" i="27"/>
  <c r="DD367" i="27" s="1"/>
  <c r="HH342" i="27"/>
  <c r="HH341" i="27" s="1"/>
  <c r="HH283" i="27"/>
  <c r="HH367" i="27" s="1"/>
  <c r="FQ283" i="27"/>
  <c r="FQ367" i="27" s="1"/>
  <c r="FQ342" i="27"/>
  <c r="FQ341" i="27" s="1"/>
  <c r="ER342" i="27"/>
  <c r="ER341" i="27" s="1"/>
  <c r="ER283" i="27"/>
  <c r="ER367" i="27" s="1"/>
  <c r="GQ283" i="27"/>
  <c r="GQ367" i="27" s="1"/>
  <c r="GQ342" i="27"/>
  <c r="GQ341" i="27" s="1"/>
  <c r="GT342" i="27"/>
  <c r="GT341" i="27" s="1"/>
  <c r="GT283" i="27"/>
  <c r="GT367" i="27" s="1"/>
  <c r="CQ283" i="27"/>
  <c r="CQ367" i="27" s="1"/>
  <c r="CQ342" i="27"/>
  <c r="CQ341" i="27" s="1"/>
  <c r="HT283" i="27"/>
  <c r="HT367" i="27" s="1"/>
  <c r="HT342" i="27"/>
  <c r="HT341" i="27" s="1"/>
  <c r="K283" i="27"/>
  <c r="K367" i="27" s="1"/>
  <c r="K342" i="27"/>
  <c r="K341" i="27" s="1"/>
  <c r="HP283" i="27"/>
  <c r="HP367" i="27" s="1"/>
  <c r="HP342" i="27"/>
  <c r="HP341" i="27" s="1"/>
  <c r="AH283" i="27"/>
  <c r="AH367" i="27" s="1"/>
  <c r="AH342" i="27"/>
  <c r="AH341" i="27" s="1"/>
  <c r="AZ342" i="27"/>
  <c r="AZ341" i="27" s="1"/>
  <c r="AZ283" i="27"/>
  <c r="AZ367" i="27" s="1"/>
  <c r="GZ283" i="27"/>
  <c r="GZ367" i="27" s="1"/>
  <c r="GZ342" i="27"/>
  <c r="GZ341" i="27" s="1"/>
  <c r="CL283" i="27"/>
  <c r="CL367" i="27" s="1"/>
  <c r="CL342" i="27"/>
  <c r="CL341" i="27" s="1"/>
  <c r="AL283" i="27"/>
  <c r="AL367" i="27" s="1"/>
  <c r="AL342" i="27"/>
  <c r="AL341" i="27" s="1"/>
  <c r="S342" i="27"/>
  <c r="S341" i="27" s="1"/>
  <c r="S283" i="27"/>
  <c r="S367" i="27" s="1"/>
  <c r="II342" i="27"/>
  <c r="II341" i="27" s="1"/>
  <c r="II283" i="27"/>
  <c r="II367" i="27" s="1"/>
  <c r="DN342" i="27"/>
  <c r="DN341" i="27" s="1"/>
  <c r="DN283" i="27"/>
  <c r="DN367" i="27" s="1"/>
  <c r="FC283" i="27"/>
  <c r="FC367" i="27" s="1"/>
  <c r="FC342" i="27"/>
  <c r="FC341" i="27" s="1"/>
  <c r="BQ283" i="27"/>
  <c r="BQ367" i="27" s="1"/>
  <c r="BQ342" i="27"/>
  <c r="BQ341" i="27" s="1"/>
  <c r="EK283" i="27"/>
  <c r="EK367" i="27" s="1"/>
  <c r="EK342" i="27"/>
  <c r="EK341" i="27" s="1"/>
  <c r="IB342" i="27"/>
  <c r="IB341" i="27" s="1"/>
  <c r="IB283" i="27"/>
  <c r="IB367" i="27" s="1"/>
  <c r="HU283" i="27"/>
  <c r="HU367" i="27" s="1"/>
  <c r="HU342" i="27"/>
  <c r="HU341" i="27" s="1"/>
  <c r="FE283" i="27"/>
  <c r="FE367" i="27" s="1"/>
  <c r="FE342" i="27"/>
  <c r="FE341" i="27" s="1"/>
  <c r="ET342" i="27"/>
  <c r="ET341" i="27" s="1"/>
  <c r="ET283" i="27"/>
  <c r="ET367" i="27" s="1"/>
  <c r="GA342" i="27"/>
  <c r="GA341" i="27" s="1"/>
  <c r="GA283" i="27"/>
  <c r="GA367" i="27" s="1"/>
  <c r="FD283" i="27"/>
  <c r="FD367" i="27" s="1"/>
  <c r="FD342" i="27"/>
  <c r="FD341" i="27" s="1"/>
  <c r="BF342" i="27"/>
  <c r="BF341" i="27" s="1"/>
  <c r="BF283" i="27"/>
  <c r="BF367" i="27" s="1"/>
  <c r="IC283" i="27"/>
  <c r="IC367" i="27" s="1"/>
  <c r="IC342" i="27"/>
  <c r="IC341" i="27" s="1"/>
  <c r="U283" i="27"/>
  <c r="U367" i="27" s="1"/>
  <c r="U342" i="27"/>
  <c r="U341" i="27" s="1"/>
  <c r="FK283" i="27"/>
  <c r="FK367" i="27" s="1"/>
  <c r="FK342" i="27"/>
  <c r="FK341" i="27" s="1"/>
  <c r="DE283" i="27"/>
  <c r="DE367" i="27" s="1"/>
  <c r="DE342" i="27"/>
  <c r="DE341" i="27" s="1"/>
  <c r="FV283" i="27"/>
  <c r="FV367" i="27" s="1"/>
  <c r="FV342" i="27"/>
  <c r="FV341" i="27" s="1"/>
  <c r="EV283" i="27"/>
  <c r="EV367" i="27" s="1"/>
  <c r="EV342" i="27"/>
  <c r="EV341" i="27" s="1"/>
  <c r="BJ342" i="27"/>
  <c r="BJ341" i="27" s="1"/>
  <c r="BJ283" i="27"/>
  <c r="BJ367" i="27" s="1"/>
  <c r="GM342" i="27"/>
  <c r="GM341" i="27" s="1"/>
  <c r="GM283" i="27"/>
  <c r="GM367" i="27" s="1"/>
  <c r="AB283" i="27"/>
  <c r="AB367" i="27" s="1"/>
  <c r="AB342" i="27"/>
  <c r="AB341" i="27" s="1"/>
  <c r="W283" i="27"/>
  <c r="W367" i="27" s="1"/>
  <c r="W342" i="27"/>
  <c r="W341" i="27" s="1"/>
  <c r="AR342" i="27"/>
  <c r="AR341" i="27" s="1"/>
  <c r="AR283" i="27"/>
  <c r="AR367" i="27" s="1"/>
  <c r="BR342" i="27"/>
  <c r="BR341" i="27" s="1"/>
  <c r="BR283" i="27"/>
  <c r="BR367" i="27" s="1"/>
  <c r="DK283" i="27"/>
  <c r="DK367" i="27" s="1"/>
  <c r="DK342" i="27"/>
  <c r="DK341" i="27" s="1"/>
  <c r="CX342" i="27"/>
  <c r="CX341" i="27" s="1"/>
  <c r="CX283" i="27"/>
  <c r="CX367" i="27" s="1"/>
  <c r="HM283" i="27"/>
  <c r="HM367" i="27" s="1"/>
  <c r="HM342" i="27"/>
  <c r="HM341" i="27" s="1"/>
  <c r="CP283" i="27"/>
  <c r="CP367" i="27" s="1"/>
  <c r="CP342" i="27"/>
  <c r="CP341" i="27" s="1"/>
  <c r="AC283" i="27"/>
  <c r="AC367" i="27" s="1"/>
  <c r="AC342" i="27"/>
  <c r="AC341" i="27" s="1"/>
  <c r="GW283" i="27"/>
  <c r="GW367" i="27" s="1"/>
  <c r="GW342" i="27"/>
  <c r="GW341" i="27" s="1"/>
  <c r="HK342" i="27"/>
  <c r="HK341" i="27" s="1"/>
  <c r="HK283" i="27"/>
  <c r="HK367" i="27" s="1"/>
  <c r="EE342" i="27"/>
  <c r="EE341" i="27" s="1"/>
  <c r="EE283" i="27"/>
  <c r="EE367" i="27" s="1"/>
  <c r="DO283" i="27"/>
  <c r="DO367" i="27" s="1"/>
  <c r="DO342" i="27"/>
  <c r="DO341" i="27" s="1"/>
  <c r="CB342" i="27"/>
  <c r="CB341" i="27" s="1"/>
  <c r="CB283" i="27"/>
  <c r="CB367" i="27" s="1"/>
  <c r="BB342" i="27"/>
  <c r="BB341" i="27" s="1"/>
  <c r="BB283" i="27"/>
  <c r="BB367" i="27" s="1"/>
  <c r="BY342" i="27"/>
  <c r="BY341" i="27" s="1"/>
  <c r="BY283" i="27"/>
  <c r="BY367" i="27" s="1"/>
  <c r="CW283" i="27"/>
  <c r="CW367" i="27" s="1"/>
  <c r="CW342" i="27"/>
  <c r="CW341" i="27" s="1"/>
  <c r="CI283" i="27"/>
  <c r="CI367" i="27" s="1"/>
  <c r="CI342" i="27"/>
  <c r="CI341" i="27" s="1"/>
  <c r="HB283" i="27"/>
  <c r="HB367" i="27" s="1"/>
  <c r="HB342" i="27"/>
  <c r="HB341" i="27" s="1"/>
  <c r="GR283" i="27"/>
  <c r="GR367" i="27" s="1"/>
  <c r="GR342" i="27"/>
  <c r="GR341" i="27" s="1"/>
  <c r="BI342" i="27"/>
  <c r="BI341" i="27" s="1"/>
  <c r="BI283" i="27"/>
  <c r="BI367" i="27" s="1"/>
  <c r="CC283" i="27"/>
  <c r="CC367" i="27" s="1"/>
  <c r="CC342" i="27"/>
  <c r="CC341" i="27" s="1"/>
  <c r="AS342" i="27"/>
  <c r="AS341" i="27" s="1"/>
  <c r="AS283" i="27"/>
  <c r="AS367" i="27" s="1"/>
  <c r="CY283" i="27"/>
  <c r="CY367" i="27" s="1"/>
  <c r="CY342" i="27"/>
  <c r="CY341" i="27" s="1"/>
  <c r="EI342" i="27"/>
  <c r="EI341" i="27" s="1"/>
  <c r="EI283" i="27"/>
  <c r="EI367" i="27" s="1"/>
  <c r="CE342" i="27"/>
  <c r="CE341" i="27" s="1"/>
  <c r="CE283" i="27"/>
  <c r="CE367" i="27" s="1"/>
  <c r="EY283" i="27"/>
  <c r="EY367" i="27" s="1"/>
  <c r="EY342" i="27"/>
  <c r="EY341" i="27" s="1"/>
  <c r="HY342" i="27"/>
  <c r="HY341" i="27" s="1"/>
  <c r="HY283" i="27"/>
  <c r="HY367" i="27" s="1"/>
  <c r="DV283" i="27"/>
  <c r="DV367" i="27" s="1"/>
  <c r="DV342" i="27"/>
  <c r="DV341" i="27" s="1"/>
  <c r="AG283" i="27"/>
  <c r="AG367" i="27" s="1"/>
  <c r="AG342" i="27"/>
  <c r="AG341" i="27" s="1"/>
  <c r="HA283" i="27"/>
  <c r="HA367" i="27" s="1"/>
  <c r="HA342" i="27"/>
  <c r="HA341" i="27" s="1"/>
  <c r="BD342" i="27"/>
  <c r="BD341" i="27" s="1"/>
  <c r="BD283" i="27"/>
  <c r="BD367" i="27" s="1"/>
  <c r="FA283" i="27"/>
  <c r="FA367" i="27" s="1"/>
  <c r="FA342" i="27"/>
  <c r="FA341" i="27" s="1"/>
  <c r="FZ283" i="27"/>
  <c r="FZ367" i="27" s="1"/>
  <c r="FZ342" i="27"/>
  <c r="FZ341" i="27" s="1"/>
  <c r="GL283" i="27"/>
  <c r="GL367" i="27" s="1"/>
  <c r="GL342" i="27"/>
  <c r="GL341" i="27" s="1"/>
  <c r="EN342" i="27"/>
  <c r="EN341" i="27" s="1"/>
  <c r="EN283" i="27"/>
  <c r="EN367" i="27" s="1"/>
  <c r="FB283" i="27"/>
  <c r="FB367" i="27" s="1"/>
  <c r="FB342" i="27"/>
  <c r="FB341" i="27" s="1"/>
  <c r="AE342" i="27"/>
  <c r="AE341" i="27" s="1"/>
  <c r="AE283" i="27"/>
  <c r="AE367" i="27" s="1"/>
  <c r="M283" i="27"/>
  <c r="M367" i="27" s="1"/>
  <c r="M342" i="27"/>
  <c r="M341" i="27" s="1"/>
  <c r="CM342" i="27"/>
  <c r="CM341" i="27" s="1"/>
  <c r="CM283" i="27"/>
  <c r="CM367" i="27" s="1"/>
  <c r="HV283" i="27"/>
  <c r="HV367" i="27" s="1"/>
  <c r="HV342" i="27"/>
  <c r="HV341" i="27" s="1"/>
  <c r="CZ283" i="27"/>
  <c r="CZ367" i="27" s="1"/>
  <c r="CZ342" i="27"/>
  <c r="CZ341" i="27" s="1"/>
  <c r="EP342" i="27"/>
  <c r="EP341" i="27" s="1"/>
  <c r="EP283" i="27"/>
  <c r="EP367" i="27" s="1"/>
  <c r="FJ283" i="27"/>
  <c r="FJ367" i="27" s="1"/>
  <c r="FJ342" i="27"/>
  <c r="FJ341" i="27" s="1"/>
  <c r="EQ283" i="27"/>
  <c r="EQ367" i="27" s="1"/>
  <c r="EQ342" i="27"/>
  <c r="EQ341" i="27" s="1"/>
  <c r="HL283" i="27"/>
  <c r="HL367" i="27" s="1"/>
  <c r="HL342" i="27"/>
  <c r="HL341" i="27" s="1"/>
  <c r="HD342" i="27"/>
  <c r="HD341" i="27" s="1"/>
  <c r="HD283" i="27"/>
  <c r="HD367" i="27" s="1"/>
  <c r="AJ283" i="27"/>
  <c r="AJ367" i="27" s="1"/>
  <c r="AJ342" i="27"/>
  <c r="AJ341" i="27" s="1"/>
  <c r="FH342" i="27"/>
  <c r="FH341" i="27" s="1"/>
  <c r="FH283" i="27"/>
  <c r="FH367" i="27" s="1"/>
  <c r="FI283" i="27"/>
  <c r="FI367" i="27" s="1"/>
  <c r="FI342" i="27"/>
  <c r="FI341" i="27" s="1"/>
  <c r="EH342" i="27"/>
  <c r="EH341" i="27" s="1"/>
  <c r="EH283" i="27"/>
  <c r="EH367" i="27" s="1"/>
  <c r="GB342" i="27"/>
  <c r="GB341" i="27" s="1"/>
  <c r="GB283" i="27"/>
  <c r="GB367" i="27" s="1"/>
  <c r="DJ342" i="27"/>
  <c r="DJ341" i="27" s="1"/>
  <c r="DJ283" i="27"/>
  <c r="DJ367" i="27" s="1"/>
  <c r="DI342" i="27"/>
  <c r="DI341" i="27" s="1"/>
  <c r="DI283" i="27"/>
  <c r="DI367" i="27" s="1"/>
  <c r="HS342" i="27"/>
  <c r="HS341" i="27" s="1"/>
  <c r="HS283" i="27"/>
  <c r="HS367" i="27" s="1"/>
  <c r="CD283" i="27"/>
  <c r="CD367" i="27" s="1"/>
  <c r="CD342" i="27"/>
  <c r="CD341" i="27" s="1"/>
  <c r="GF342" i="27"/>
  <c r="GF341" i="27" s="1"/>
  <c r="GF283" i="27"/>
  <c r="GF367" i="27" s="1"/>
  <c r="BW283" i="27"/>
  <c r="BW367" i="27" s="1"/>
  <c r="BW342" i="27"/>
  <c r="BW341" i="27" s="1"/>
  <c r="BT342" i="27"/>
  <c r="BT341" i="27" s="1"/>
  <c r="BT283" i="27"/>
  <c r="BT367" i="27" s="1"/>
  <c r="FM342" i="27"/>
  <c r="FM341" i="27" s="1"/>
  <c r="FM283" i="27"/>
  <c r="FM367" i="27" s="1"/>
  <c r="GE283" i="27"/>
  <c r="GE367" i="27" s="1"/>
  <c r="GE342" i="27"/>
  <c r="GE341" i="27" s="1"/>
  <c r="EB342" i="27"/>
  <c r="EB341" i="27" s="1"/>
  <c r="EB283" i="27"/>
  <c r="EB367" i="27" s="1"/>
  <c r="BC342" i="27"/>
  <c r="BC341" i="27" s="1"/>
  <c r="BC283" i="27"/>
  <c r="BC367" i="27" s="1"/>
  <c r="FR283" i="27"/>
  <c r="FR367" i="27" s="1"/>
  <c r="FR342" i="27"/>
  <c r="FR341" i="27" s="1"/>
  <c r="AK342" i="27"/>
  <c r="AK341" i="27" s="1"/>
  <c r="AK283" i="27"/>
  <c r="AK367" i="27" s="1"/>
  <c r="IK342" i="27"/>
  <c r="IK341" i="27" s="1"/>
  <c r="IK283" i="27"/>
  <c r="IK367" i="27" s="1"/>
  <c r="DU342" i="27"/>
  <c r="DU341" i="27" s="1"/>
  <c r="DU283" i="27"/>
  <c r="DU367" i="27" s="1"/>
  <c r="EJ283" i="27"/>
  <c r="EJ367" i="27" s="1"/>
  <c r="EJ342" i="27"/>
  <c r="EJ341" i="27" s="1"/>
  <c r="GK283" i="27"/>
  <c r="GK367" i="27" s="1"/>
  <c r="GK342" i="27"/>
  <c r="GK341" i="27" s="1"/>
  <c r="BU283" i="27"/>
  <c r="BU367" i="27" s="1"/>
  <c r="BU342" i="27"/>
  <c r="BU341" i="27" s="1"/>
  <c r="I283" i="27"/>
  <c r="I367" i="27" s="1"/>
  <c r="I342" i="27"/>
  <c r="I341" i="27" s="1"/>
  <c r="DP342" i="27"/>
  <c r="DP341" i="27" s="1"/>
  <c r="DP283" i="27"/>
  <c r="DP367" i="27" s="1"/>
  <c r="BV342" i="27"/>
  <c r="BV341" i="27" s="1"/>
  <c r="BV283" i="27"/>
  <c r="BV367" i="27" s="1"/>
  <c r="GD283" i="27"/>
  <c r="GD367" i="27" s="1"/>
  <c r="GD342" i="27"/>
  <c r="GD341" i="27" s="1"/>
  <c r="GS283" i="27"/>
  <c r="GS367" i="27" s="1"/>
  <c r="GS342" i="27"/>
  <c r="GS341" i="27" s="1"/>
  <c r="DS342" i="27"/>
  <c r="DS341" i="27" s="1"/>
  <c r="DS283" i="27"/>
  <c r="DS367" i="27" s="1"/>
  <c r="BH342" i="27"/>
  <c r="BH341" i="27" s="1"/>
  <c r="BH283" i="27"/>
  <c r="BH367" i="27" s="1"/>
  <c r="DY283" i="27"/>
  <c r="DY367" i="27" s="1"/>
  <c r="DY342" i="27"/>
  <c r="DY341" i="27" s="1"/>
  <c r="CR283" i="27"/>
  <c r="CR367" i="27" s="1"/>
  <c r="CR342" i="27"/>
  <c r="CR341" i="27" s="1"/>
  <c r="GO283" i="27"/>
  <c r="GO367" i="27" s="1"/>
  <c r="GO342" i="27"/>
  <c r="GO341" i="27" s="1"/>
  <c r="IA283" i="27"/>
  <c r="IA367" i="27" s="1"/>
  <c r="IA342" i="27"/>
  <c r="IA341" i="27" s="1"/>
  <c r="HC342" i="27"/>
  <c r="HC341" i="27" s="1"/>
  <c r="HC283" i="27"/>
  <c r="HC367" i="27" s="1"/>
  <c r="EA283" i="27"/>
  <c r="EA367" i="27" s="1"/>
  <c r="EA342" i="27"/>
  <c r="EA341" i="27" s="1"/>
  <c r="BO342" i="27"/>
  <c r="BO341" i="27" s="1"/>
  <c r="BO283" i="27"/>
  <c r="BO367" i="27" s="1"/>
  <c r="CN283" i="27"/>
  <c r="CN367" i="27" s="1"/>
  <c r="CN342" i="27"/>
  <c r="CN341" i="27" s="1"/>
  <c r="AO283" i="27"/>
  <c r="AO367" i="27" s="1"/>
  <c r="AO342" i="27"/>
  <c r="AO341" i="27" s="1"/>
  <c r="AY342" i="27"/>
  <c r="AY341" i="27" s="1"/>
  <c r="AY283" i="27"/>
  <c r="AY367" i="27" s="1"/>
  <c r="DH342" i="27"/>
  <c r="DH341" i="27" s="1"/>
  <c r="DH283" i="27"/>
  <c r="DH367" i="27" s="1"/>
  <c r="HX283" i="27"/>
  <c r="HX367" i="27" s="1"/>
  <c r="HX342" i="27"/>
  <c r="HX341" i="27" s="1"/>
  <c r="CF283" i="27"/>
  <c r="CF367" i="27" s="1"/>
  <c r="CF342" i="27"/>
  <c r="CF341" i="27" s="1"/>
  <c r="BE342" i="27"/>
  <c r="BE341" i="27" s="1"/>
  <c r="BE283" i="27"/>
  <c r="BE367" i="27" s="1"/>
  <c r="ID342" i="27"/>
  <c r="ID341" i="27" s="1"/>
  <c r="ID283" i="27"/>
  <c r="ID367" i="27" s="1"/>
  <c r="EF342" i="27"/>
  <c r="EF341" i="27" s="1"/>
  <c r="EF283" i="27"/>
  <c r="EF367" i="27" s="1"/>
  <c r="ES342" i="27"/>
  <c r="ES341" i="27" s="1"/>
  <c r="ES283" i="27"/>
  <c r="ES367" i="27" s="1"/>
  <c r="AW283" i="27"/>
  <c r="AW367" i="27" s="1"/>
  <c r="AW342" i="27"/>
  <c r="AW341" i="27" s="1"/>
  <c r="AM283" i="27"/>
  <c r="AM367" i="27" s="1"/>
  <c r="AM342" i="27"/>
  <c r="AM341" i="27" s="1"/>
  <c r="Z342" i="27"/>
  <c r="Z341" i="27" s="1"/>
  <c r="Z283" i="27"/>
  <c r="Z367" i="27" s="1"/>
  <c r="GV342" i="27"/>
  <c r="GV341" i="27" s="1"/>
  <c r="GV283" i="27"/>
  <c r="GV367" i="27" s="1"/>
  <c r="EG342" i="27"/>
  <c r="EG341" i="27" s="1"/>
  <c r="EG283" i="27"/>
  <c r="EG367" i="27" s="1"/>
  <c r="L342" i="27"/>
  <c r="L341" i="27" s="1"/>
  <c r="L283" i="27"/>
  <c r="L367" i="27" s="1"/>
  <c r="FY283" i="27"/>
  <c r="FY367" i="27" s="1"/>
  <c r="FY342" i="27"/>
  <c r="FY341" i="27" s="1"/>
  <c r="HR283" i="27"/>
  <c r="HR367" i="27" s="1"/>
  <c r="HR342" i="27"/>
  <c r="HR341" i="27" s="1"/>
  <c r="DF283" i="27"/>
  <c r="DF367" i="27" s="1"/>
  <c r="DF342" i="27"/>
  <c r="DF341" i="27" s="1"/>
  <c r="FS342" i="27"/>
  <c r="FS341" i="27" s="1"/>
  <c r="FS283" i="27"/>
  <c r="FS367" i="27" s="1"/>
  <c r="BA342" i="27"/>
  <c r="BA341" i="27" s="1"/>
  <c r="BA283" i="27"/>
  <c r="BA367" i="27" s="1"/>
  <c r="J283" i="27"/>
  <c r="J367" i="27" s="1"/>
  <c r="J342" i="27"/>
  <c r="J341" i="27" s="1"/>
  <c r="FO342" i="27"/>
  <c r="FO341" i="27" s="1"/>
  <c r="FO283" i="27"/>
  <c r="FO367" i="27" s="1"/>
  <c r="CV342" i="27"/>
  <c r="CV341" i="27" s="1"/>
  <c r="CV283" i="27"/>
  <c r="CV367" i="27" s="1"/>
  <c r="CU283" i="27"/>
  <c r="CU367" i="27" s="1"/>
  <c r="CU342" i="27"/>
  <c r="CU341" i="27" s="1"/>
  <c r="H283" i="27"/>
  <c r="H367" i="27" s="1"/>
  <c r="H342" i="27"/>
  <c r="H341" i="27" s="1"/>
  <c r="BZ342" i="27"/>
  <c r="BZ341" i="27" s="1"/>
  <c r="BZ283" i="27"/>
  <c r="BZ367" i="27" s="1"/>
  <c r="EC342" i="27"/>
  <c r="EC341" i="27" s="1"/>
  <c r="EC283" i="27"/>
  <c r="EC367" i="27" s="1"/>
  <c r="Y283" i="27"/>
  <c r="Y367" i="27" s="1"/>
  <c r="Y342" i="27"/>
  <c r="Y341" i="27" s="1"/>
  <c r="AV342" i="27"/>
  <c r="AV341" i="27" s="1"/>
  <c r="AV283" i="27"/>
  <c r="AV367" i="27" s="1"/>
  <c r="DA283" i="27"/>
  <c r="DA367" i="27" s="1"/>
  <c r="DA342" i="27"/>
  <c r="DA341" i="27" s="1"/>
  <c r="BN342" i="27"/>
  <c r="BN341" i="27" s="1"/>
  <c r="BN283" i="27"/>
  <c r="BN367" i="27" s="1"/>
  <c r="HZ342" i="27"/>
  <c r="HZ341" i="27" s="1"/>
  <c r="HZ283" i="27"/>
  <c r="HZ367" i="27" s="1"/>
  <c r="GH283" i="27"/>
  <c r="GH367" i="27" s="1"/>
  <c r="GH342" i="27"/>
  <c r="GH341" i="27" s="1"/>
  <c r="EM283" i="27"/>
  <c r="EM367" i="27" s="1"/>
  <c r="EM342" i="27"/>
  <c r="EM341" i="27" s="1"/>
  <c r="CO283" i="27"/>
  <c r="CO367" i="27" s="1"/>
  <c r="CO342" i="27"/>
  <c r="CO341" i="27" s="1"/>
  <c r="CB104" i="26"/>
  <c r="CD104" i="26" s="1"/>
  <c r="M400" i="27" l="1"/>
  <c r="N400" i="27" s="1"/>
  <c r="N403" i="27" s="1"/>
  <c r="W147" i="26"/>
  <c r="O147" i="26" s="1"/>
  <c r="Z146" i="26"/>
  <c r="AD145" i="26"/>
  <c r="FE82" i="26" s="1"/>
  <c r="L403" i="27"/>
  <c r="IA340" i="27"/>
  <c r="IA273" i="27" s="1"/>
  <c r="EL340" i="27"/>
  <c r="EL273" i="27" s="1"/>
  <c r="BA340" i="27"/>
  <c r="BA273" i="27" s="1"/>
  <c r="GK340" i="27"/>
  <c r="GK273" i="27" s="1"/>
  <c r="BC340" i="27"/>
  <c r="BC273" i="27" s="1"/>
  <c r="AB340" i="27"/>
  <c r="AB273" i="27" s="1"/>
  <c r="EA340" i="27"/>
  <c r="EA273" i="27" s="1"/>
  <c r="HV340" i="27"/>
  <c r="HV273" i="27" s="1"/>
  <c r="AT340" i="27"/>
  <c r="AT273" i="27" s="1"/>
  <c r="FP340" i="27"/>
  <c r="FP273" i="27" s="1"/>
  <c r="BS340" i="27"/>
  <c r="BS273" i="27" s="1"/>
  <c r="GY340" i="27"/>
  <c r="GY273" i="27" s="1"/>
  <c r="GD340" i="27"/>
  <c r="GD273" i="27" s="1"/>
  <c r="BR340" i="27"/>
  <c r="BR273" i="27" s="1"/>
  <c r="GL340" i="27"/>
  <c r="GL273" i="27" s="1"/>
  <c r="HR340" i="27"/>
  <c r="HR273" i="27" s="1"/>
  <c r="DC340" i="27"/>
  <c r="DC273" i="27" s="1"/>
  <c r="FQ340" i="27"/>
  <c r="FQ273" i="27" s="1"/>
  <c r="GX340" i="27"/>
  <c r="GX273" i="27" s="1"/>
  <c r="R340" i="27"/>
  <c r="R273" i="27" s="1"/>
  <c r="GR340" i="27"/>
  <c r="GR273" i="27" s="1"/>
  <c r="GG340" i="27"/>
  <c r="GG273" i="27" s="1"/>
  <c r="J340" i="27"/>
  <c r="J273" i="27" s="1"/>
  <c r="BY340" i="27"/>
  <c r="BY273" i="27" s="1"/>
  <c r="CV340" i="27"/>
  <c r="CV273" i="27" s="1"/>
  <c r="DE340" i="27"/>
  <c r="DE273" i="27" s="1"/>
  <c r="CQ340" i="27"/>
  <c r="CQ273" i="27" s="1"/>
  <c r="EI340" i="27"/>
  <c r="EI273" i="27" s="1"/>
  <c r="EJ340" i="27"/>
  <c r="EJ273" i="27" s="1"/>
  <c r="AV340" i="27"/>
  <c r="AV273" i="27" s="1"/>
  <c r="DW340" i="27"/>
  <c r="DW273" i="27" s="1"/>
  <c r="DB340" i="27"/>
  <c r="DB273" i="27" s="1"/>
  <c r="HM340" i="27"/>
  <c r="HM273" i="27" s="1"/>
  <c r="HQ340" i="27"/>
  <c r="HQ273" i="27" s="1"/>
  <c r="BQ340" i="27"/>
  <c r="BQ273" i="27" s="1"/>
  <c r="HB340" i="27"/>
  <c r="HB273" i="27" s="1"/>
  <c r="Q340" i="27"/>
  <c r="Q273" i="27" s="1"/>
  <c r="DF340" i="27"/>
  <c r="DF273" i="27" s="1"/>
  <c r="EP340" i="27"/>
  <c r="EP273" i="27" s="1"/>
  <c r="BJ340" i="27"/>
  <c r="BJ273" i="27" s="1"/>
  <c r="BZ340" i="27"/>
  <c r="BZ273" i="27" s="1"/>
  <c r="DP340" i="27"/>
  <c r="DP273" i="27" s="1"/>
  <c r="CF340" i="27"/>
  <c r="CF273" i="27" s="1"/>
  <c r="BG340" i="27"/>
  <c r="BG273" i="27" s="1"/>
  <c r="BX340" i="27"/>
  <c r="BX273" i="27" s="1"/>
  <c r="T340" i="27"/>
  <c r="T273" i="27" s="1"/>
  <c r="HU340" i="27"/>
  <c r="HU273" i="27" s="1"/>
  <c r="DJ340" i="27"/>
  <c r="DJ273" i="27" s="1"/>
  <c r="HF340" i="27"/>
  <c r="HF273" i="27" s="1"/>
  <c r="CB340" i="27"/>
  <c r="CB273" i="27" s="1"/>
  <c r="AA340" i="27"/>
  <c r="AA273" i="27" s="1"/>
  <c r="IE340" i="27"/>
  <c r="IE273" i="27" s="1"/>
  <c r="O340" i="27"/>
  <c r="O273" i="27" s="1"/>
  <c r="FJ340" i="27"/>
  <c r="FJ273" i="27" s="1"/>
  <c r="HL340" i="27"/>
  <c r="HL273" i="27" s="1"/>
  <c r="HK340" i="27"/>
  <c r="HK273" i="27" s="1"/>
  <c r="BE340" i="27"/>
  <c r="BE273" i="27" s="1"/>
  <c r="CK340" i="27"/>
  <c r="CK273" i="27" s="1"/>
  <c r="IC340" i="27"/>
  <c r="IC273" i="27" s="1"/>
  <c r="Z340" i="27"/>
  <c r="Z273" i="27" s="1"/>
  <c r="CL340" i="27"/>
  <c r="CL273" i="27" s="1"/>
  <c r="AZ340" i="27"/>
  <c r="AZ273" i="27" s="1"/>
  <c r="HW340" i="27"/>
  <c r="HW273" i="27" s="1"/>
  <c r="EV340" i="27"/>
  <c r="EV273" i="27" s="1"/>
  <c r="AY340" i="27"/>
  <c r="AY273" i="27" s="1"/>
  <c r="HA340" i="27"/>
  <c r="HA273" i="27" s="1"/>
  <c r="AC340" i="27"/>
  <c r="AC273" i="27" s="1"/>
  <c r="II340" i="27"/>
  <c r="II273" i="27" s="1"/>
  <c r="FG340" i="27"/>
  <c r="FG273" i="27" s="1"/>
  <c r="IJ340" i="27"/>
  <c r="IJ273" i="27" s="1"/>
  <c r="EY340" i="27"/>
  <c r="EY273" i="27" s="1"/>
  <c r="HC340" i="27"/>
  <c r="HC273" i="27" s="1"/>
  <c r="FO340" i="27"/>
  <c r="FO273" i="27" s="1"/>
  <c r="HS340" i="27"/>
  <c r="HS273" i="27" s="1"/>
  <c r="FB340" i="27"/>
  <c r="FB273" i="27" s="1"/>
  <c r="G340" i="27"/>
  <c r="AI340" i="27"/>
  <c r="AI273" i="27" s="1"/>
  <c r="IG340" i="27"/>
  <c r="IG273" i="27" s="1"/>
  <c r="DA340" i="27"/>
  <c r="DA273" i="27" s="1"/>
  <c r="FU340" i="27"/>
  <c r="FU273" i="27" s="1"/>
  <c r="FW340" i="27"/>
  <c r="FW273" i="27" s="1"/>
  <c r="FA340" i="27"/>
  <c r="FA273" i="27" s="1"/>
  <c r="CG340" i="27"/>
  <c r="CG273" i="27" s="1"/>
  <c r="GQ340" i="27"/>
  <c r="GQ273" i="27" s="1"/>
  <c r="DX340" i="27"/>
  <c r="DX273" i="27" s="1"/>
  <c r="GN340" i="27"/>
  <c r="GN273" i="27" s="1"/>
  <c r="BL340" i="27"/>
  <c r="BL273" i="27" s="1"/>
  <c r="EO340" i="27"/>
  <c r="EO273" i="27" s="1"/>
  <c r="AN340" i="27"/>
  <c r="AN273" i="27" s="1"/>
  <c r="BO340" i="27"/>
  <c r="BO273" i="27" s="1"/>
  <c r="GF340" i="27"/>
  <c r="GF273" i="27" s="1"/>
  <c r="GC340" i="27"/>
  <c r="GC273" i="27" s="1"/>
  <c r="FL340" i="27"/>
  <c r="FL273" i="27" s="1"/>
  <c r="FT340" i="27"/>
  <c r="FT273" i="27" s="1"/>
  <c r="L340" i="27"/>
  <c r="L273" i="27" s="1"/>
  <c r="HD340" i="27"/>
  <c r="HD273" i="27" s="1"/>
  <c r="BB340" i="27"/>
  <c r="BB273" i="27" s="1"/>
  <c r="P340" i="27"/>
  <c r="P273" i="27" s="1"/>
  <c r="DT340" i="27"/>
  <c r="DT273" i="27" s="1"/>
  <c r="DM340" i="27"/>
  <c r="DM273" i="27" s="1"/>
  <c r="AR340" i="27"/>
  <c r="AR273" i="27" s="1"/>
  <c r="BT340" i="27"/>
  <c r="BT273" i="27" s="1"/>
  <c r="GO340" i="27"/>
  <c r="GO273" i="27" s="1"/>
  <c r="DS340" i="27"/>
  <c r="DS273" i="27" s="1"/>
  <c r="AD340" i="27"/>
  <c r="AD273" i="27" s="1"/>
  <c r="BD340" i="27"/>
  <c r="BD273" i="27" s="1"/>
  <c r="DD340" i="27"/>
  <c r="DD273" i="27" s="1"/>
  <c r="HO340" i="27"/>
  <c r="HO273" i="27" s="1"/>
  <c r="DU340" i="27"/>
  <c r="DU273" i="27" s="1"/>
  <c r="V340" i="27"/>
  <c r="V273" i="27" s="1"/>
  <c r="FD340" i="27"/>
  <c r="FD273" i="27" s="1"/>
  <c r="GT340" i="27"/>
  <c r="GT273" i="27" s="1"/>
  <c r="AO340" i="27"/>
  <c r="AO273" i="27" s="1"/>
  <c r="CP340" i="27"/>
  <c r="CP273" i="27" s="1"/>
  <c r="EM340" i="27"/>
  <c r="EM273" i="27" s="1"/>
  <c r="HX340" i="27"/>
  <c r="HX273" i="27" s="1"/>
  <c r="BH340" i="27"/>
  <c r="BH273" i="27" s="1"/>
  <c r="K340" i="27"/>
  <c r="K273" i="27" s="1"/>
  <c r="CX340" i="27"/>
  <c r="CX273" i="27" s="1"/>
  <c r="FE340" i="27"/>
  <c r="FE273" i="27" s="1"/>
  <c r="CI340" i="27"/>
  <c r="CI273" i="27" s="1"/>
  <c r="HE340" i="27"/>
  <c r="HE273" i="27" s="1"/>
  <c r="DR340" i="27"/>
  <c r="DR273" i="27" s="1"/>
  <c r="EK340" i="27"/>
  <c r="EK273" i="27" s="1"/>
  <c r="FM340" i="27"/>
  <c r="FM273" i="27" s="1"/>
  <c r="AQ340" i="27"/>
  <c r="AQ273" i="27" s="1"/>
  <c r="FC340" i="27"/>
  <c r="FC273" i="27" s="1"/>
  <c r="Y340" i="27"/>
  <c r="Y273" i="27" s="1"/>
  <c r="X340" i="27"/>
  <c r="X273" i="27" s="1"/>
  <c r="FN340" i="27"/>
  <c r="FN273" i="27" s="1"/>
  <c r="FH340" i="27"/>
  <c r="FH273" i="27" s="1"/>
  <c r="AH340" i="27"/>
  <c r="AH273" i="27" s="1"/>
  <c r="CT340" i="27"/>
  <c r="CT273" i="27" s="1"/>
  <c r="CN340" i="27"/>
  <c r="CN273" i="27" s="1"/>
  <c r="CM340" i="27"/>
  <c r="CM273" i="27" s="1"/>
  <c r="U340" i="27"/>
  <c r="U273" i="27" s="1"/>
  <c r="HT340" i="27"/>
  <c r="HT273" i="27" s="1"/>
  <c r="BI340" i="27"/>
  <c r="BI273" i="27" s="1"/>
  <c r="FY340" i="27"/>
  <c r="FY273" i="27" s="1"/>
  <c r="ET340" i="27"/>
  <c r="ET273" i="27" s="1"/>
  <c r="EN340" i="27"/>
  <c r="EN273" i="27" s="1"/>
  <c r="DZ340" i="27"/>
  <c r="DZ273" i="27" s="1"/>
  <c r="DO340" i="27"/>
  <c r="DO273" i="27" s="1"/>
  <c r="AF340" i="27"/>
  <c r="AF273" i="27" s="1"/>
  <c r="EX340" i="27"/>
  <c r="EX273" i="27" s="1"/>
  <c r="EB340" i="27"/>
  <c r="EB273" i="27" s="1"/>
  <c r="GV340" i="27"/>
  <c r="GV273" i="27" s="1"/>
  <c r="FX340" i="27"/>
  <c r="FX273" i="27" s="1"/>
  <c r="CR340" i="27"/>
  <c r="CR273" i="27" s="1"/>
  <c r="BW340" i="27"/>
  <c r="BW273" i="27" s="1"/>
  <c r="DN340" i="27"/>
  <c r="DN273" i="27" s="1"/>
  <c r="AP340" i="27"/>
  <c r="AP273" i="27" s="1"/>
  <c r="IF340" i="27"/>
  <c r="IF273" i="27" s="1"/>
  <c r="EG340" i="27"/>
  <c r="EG273" i="27" s="1"/>
  <c r="GE340" i="27"/>
  <c r="GE273" i="27" s="1"/>
  <c r="CO340" i="27"/>
  <c r="CO273" i="27" s="1"/>
  <c r="BP340" i="27"/>
  <c r="BP273" i="27" s="1"/>
  <c r="CC340" i="27"/>
  <c r="CC273" i="27" s="1"/>
  <c r="FK340" i="27"/>
  <c r="FK273" i="27" s="1"/>
  <c r="AW340" i="27"/>
  <c r="AW273" i="27" s="1"/>
  <c r="CJ340" i="27"/>
  <c r="CJ273" i="27" s="1"/>
  <c r="EU340" i="27"/>
  <c r="EU273" i="27" s="1"/>
  <c r="HP340" i="27"/>
  <c r="HP273" i="27" s="1"/>
  <c r="HH340" i="27"/>
  <c r="HH273" i="27" s="1"/>
  <c r="GZ340" i="27"/>
  <c r="GZ273" i="27" s="1"/>
  <c r="CE340" i="27"/>
  <c r="CE273" i="27" s="1"/>
  <c r="ER340" i="27"/>
  <c r="ER273" i="27" s="1"/>
  <c r="I340" i="27"/>
  <c r="I273" i="27" s="1"/>
  <c r="BV340" i="27"/>
  <c r="BV273" i="27" s="1"/>
  <c r="H340" i="27"/>
  <c r="H273" i="27" s="1"/>
  <c r="EZ340" i="27"/>
  <c r="EZ273" i="27" s="1"/>
  <c r="IK340" i="27"/>
  <c r="IK273" i="27" s="1"/>
  <c r="HJ340" i="27"/>
  <c r="HJ273" i="27" s="1"/>
  <c r="BF340" i="27"/>
  <c r="BF273" i="27" s="1"/>
  <c r="AU340" i="27"/>
  <c r="AU273" i="27" s="1"/>
  <c r="AK340" i="27"/>
  <c r="AK273" i="27" s="1"/>
  <c r="CD340" i="27"/>
  <c r="CD273" i="27" s="1"/>
  <c r="AX340" i="27"/>
  <c r="AX273" i="27" s="1"/>
  <c r="AJ340" i="27"/>
  <c r="AJ273" i="27" s="1"/>
  <c r="CA340" i="27"/>
  <c r="CA273" i="27" s="1"/>
  <c r="BU340" i="27"/>
  <c r="BU273" i="27" s="1"/>
  <c r="EC340" i="27"/>
  <c r="EC273" i="27" s="1"/>
  <c r="EW340" i="27"/>
  <c r="EW273" i="27" s="1"/>
  <c r="DV340" i="27"/>
  <c r="DV273" i="27" s="1"/>
  <c r="FR340" i="27"/>
  <c r="FR273" i="27" s="1"/>
  <c r="W340" i="27"/>
  <c r="W273" i="27" s="1"/>
  <c r="FF340" i="27"/>
  <c r="FF273" i="27" s="1"/>
  <c r="HY340" i="27"/>
  <c r="HY273" i="27" s="1"/>
  <c r="DG340" i="27"/>
  <c r="DG273" i="27" s="1"/>
  <c r="ES340" i="27"/>
  <c r="ES273" i="27" s="1"/>
  <c r="GA340" i="27"/>
  <c r="GA273" i="27" s="1"/>
  <c r="GI340" i="27"/>
  <c r="GI273" i="27" s="1"/>
  <c r="ID340" i="27"/>
  <c r="ID273" i="27" s="1"/>
  <c r="GB340" i="27"/>
  <c r="GB273" i="27" s="1"/>
  <c r="IB340" i="27"/>
  <c r="IB273" i="27" s="1"/>
  <c r="EQ340" i="27"/>
  <c r="EQ273" i="27" s="1"/>
  <c r="M340" i="27"/>
  <c r="M273" i="27" s="1"/>
  <c r="HI340" i="27"/>
  <c r="HI273" i="27" s="1"/>
  <c r="GH340" i="27"/>
  <c r="GH273" i="27" s="1"/>
  <c r="GP340" i="27"/>
  <c r="GP273" i="27" s="1"/>
  <c r="ED340" i="27"/>
  <c r="ED273" i="27" s="1"/>
  <c r="CW340" i="27"/>
  <c r="CW273" i="27" s="1"/>
  <c r="FV340" i="27"/>
  <c r="FV273" i="27" s="1"/>
  <c r="DY340" i="27"/>
  <c r="DY273" i="27" s="1"/>
  <c r="EE340" i="27"/>
  <c r="EE273" i="27" s="1"/>
  <c r="CZ340" i="27"/>
  <c r="CZ273" i="27" s="1"/>
  <c r="BK340" i="27"/>
  <c r="BK273" i="27" s="1"/>
  <c r="DH340" i="27"/>
  <c r="DH273" i="27" s="1"/>
  <c r="HZ340" i="27"/>
  <c r="HZ273" i="27" s="1"/>
  <c r="CU340" i="27"/>
  <c r="CU273" i="27" s="1"/>
  <c r="EF340" i="27"/>
  <c r="EF273" i="27" s="1"/>
  <c r="DK340" i="27"/>
  <c r="DK273" i="27" s="1"/>
  <c r="S340" i="27"/>
  <c r="S273" i="27" s="1"/>
  <c r="CY340" i="27"/>
  <c r="CY273" i="27" s="1"/>
  <c r="BM340" i="27"/>
  <c r="BM273" i="27" s="1"/>
  <c r="AS340" i="27"/>
  <c r="AS273" i="27" s="1"/>
  <c r="BN340" i="27"/>
  <c r="BN273" i="27" s="1"/>
  <c r="HG340" i="27"/>
  <c r="HG273" i="27" s="1"/>
  <c r="HN340" i="27"/>
  <c r="HN273" i="27" s="1"/>
  <c r="GM340" i="27"/>
  <c r="GM273" i="27" s="1"/>
  <c r="AL340" i="27"/>
  <c r="AL273" i="27" s="1"/>
  <c r="EH340" i="27"/>
  <c r="EH273" i="27" s="1"/>
  <c r="CH340" i="27"/>
  <c r="CH273" i="27" s="1"/>
  <c r="AG340" i="27"/>
  <c r="AG273" i="27" s="1"/>
  <c r="AE340" i="27"/>
  <c r="AE273" i="27" s="1"/>
  <c r="AM340" i="27"/>
  <c r="AM273" i="27" s="1"/>
  <c r="GS340" i="27"/>
  <c r="GS273" i="27" s="1"/>
  <c r="GW340" i="27"/>
  <c r="GW273" i="27" s="1"/>
  <c r="GU340" i="27"/>
  <c r="GU273" i="27" s="1"/>
  <c r="FS340" i="27"/>
  <c r="FS273" i="27" s="1"/>
  <c r="DL340" i="27"/>
  <c r="DL273" i="27" s="1"/>
  <c r="IH340" i="27"/>
  <c r="IH273" i="27" s="1"/>
  <c r="N340" i="27"/>
  <c r="N273" i="27" s="1"/>
  <c r="DQ340" i="27"/>
  <c r="DQ273" i="27" s="1"/>
  <c r="FI340" i="27"/>
  <c r="FI273" i="27" s="1"/>
  <c r="GJ340" i="27"/>
  <c r="GJ273" i="27" s="1"/>
  <c r="DI340" i="27"/>
  <c r="DI273" i="27" s="1"/>
  <c r="FZ340" i="27"/>
  <c r="FZ273" i="27" s="1"/>
  <c r="CS340" i="27"/>
  <c r="CS273" i="27" s="1"/>
  <c r="HH383" i="27"/>
  <c r="HH373" i="27"/>
  <c r="DB373" i="27"/>
  <c r="DB383" i="27"/>
  <c r="FF373" i="27"/>
  <c r="FF383" i="27"/>
  <c r="BG383" i="27"/>
  <c r="BG373" i="27"/>
  <c r="HI373" i="27"/>
  <c r="HI383" i="27"/>
  <c r="DX383" i="27"/>
  <c r="DX373" i="27"/>
  <c r="HO383" i="27"/>
  <c r="HO373" i="27"/>
  <c r="GP373" i="27"/>
  <c r="GP383" i="27"/>
  <c r="ES373" i="27"/>
  <c r="ES383" i="27"/>
  <c r="IK373" i="27"/>
  <c r="IK383" i="27"/>
  <c r="CX383" i="27"/>
  <c r="CX373" i="27"/>
  <c r="DN373" i="27"/>
  <c r="DN383" i="27"/>
  <c r="GT373" i="27"/>
  <c r="GT383" i="27"/>
  <c r="GI383" i="27"/>
  <c r="GI373" i="27"/>
  <c r="AQ383" i="27"/>
  <c r="AQ373" i="27"/>
  <c r="GX383" i="27"/>
  <c r="GX373" i="27"/>
  <c r="BK383" i="27"/>
  <c r="BK373" i="27"/>
  <c r="AP373" i="27"/>
  <c r="AP383" i="27"/>
  <c r="GH373" i="27"/>
  <c r="GH383" i="27"/>
  <c r="H373" i="27"/>
  <c r="H383" i="27"/>
  <c r="J383" i="27"/>
  <c r="J373" i="27"/>
  <c r="HR383" i="27"/>
  <c r="HR373" i="27"/>
  <c r="CF383" i="27"/>
  <c r="CF373" i="27"/>
  <c r="AO383" i="27"/>
  <c r="AO373" i="27"/>
  <c r="DY373" i="27"/>
  <c r="DY383" i="27"/>
  <c r="GD383" i="27"/>
  <c r="GD373" i="27"/>
  <c r="BU373" i="27"/>
  <c r="BU383" i="27"/>
  <c r="BW383" i="27"/>
  <c r="BW373" i="27"/>
  <c r="FI383" i="27"/>
  <c r="FI373" i="27"/>
  <c r="HL373" i="27"/>
  <c r="HL383" i="27"/>
  <c r="CZ383" i="27"/>
  <c r="CZ373" i="27"/>
  <c r="FZ373" i="27"/>
  <c r="FZ383" i="27"/>
  <c r="AG383" i="27"/>
  <c r="AG373" i="27"/>
  <c r="CC383" i="27"/>
  <c r="CC373" i="27"/>
  <c r="CI373" i="27"/>
  <c r="CI383" i="27"/>
  <c r="GW373" i="27"/>
  <c r="GW383" i="27"/>
  <c r="W373" i="27"/>
  <c r="W383" i="27"/>
  <c r="EV373" i="27"/>
  <c r="EV383" i="27"/>
  <c r="U373" i="27"/>
  <c r="U383" i="27"/>
  <c r="CL383" i="27"/>
  <c r="CL373" i="27"/>
  <c r="HP383" i="27"/>
  <c r="HP373" i="27"/>
  <c r="T373" i="27"/>
  <c r="T383" i="27"/>
  <c r="CJ373" i="27"/>
  <c r="CJ383" i="27"/>
  <c r="EX383" i="27"/>
  <c r="EX373" i="27"/>
  <c r="DW373" i="27"/>
  <c r="DW383" i="27"/>
  <c r="AA383" i="27"/>
  <c r="AA373" i="27"/>
  <c r="FN383" i="27"/>
  <c r="FN373" i="27"/>
  <c r="EB373" i="27"/>
  <c r="EB383" i="27"/>
  <c r="AE383" i="27"/>
  <c r="AE373" i="27"/>
  <c r="IB373" i="27"/>
  <c r="IB383" i="27"/>
  <c r="IJ373" i="27"/>
  <c r="IJ383" i="27"/>
  <c r="BA373" i="27"/>
  <c r="BA383" i="27"/>
  <c r="EF373" i="27"/>
  <c r="EF383" i="27"/>
  <c r="BH373" i="27"/>
  <c r="BH383" i="27"/>
  <c r="BV383" i="27"/>
  <c r="BV373" i="27"/>
  <c r="AK373" i="27"/>
  <c r="AK383" i="27"/>
  <c r="GF383" i="27"/>
  <c r="GF373" i="27"/>
  <c r="DJ383" i="27"/>
  <c r="DJ373" i="27"/>
  <c r="FH373" i="27"/>
  <c r="FH383" i="27"/>
  <c r="EI383" i="27"/>
  <c r="EI373" i="27"/>
  <c r="BI383" i="27"/>
  <c r="BI373" i="27"/>
  <c r="ET373" i="27"/>
  <c r="ET383" i="27"/>
  <c r="II373" i="27"/>
  <c r="II383" i="27"/>
  <c r="DD373" i="27"/>
  <c r="DD383" i="27"/>
  <c r="GY383" i="27"/>
  <c r="GY373" i="27"/>
  <c r="IF373" i="27"/>
  <c r="IF383" i="27"/>
  <c r="DR383" i="27"/>
  <c r="DR373" i="27"/>
  <c r="HW383" i="27"/>
  <c r="HW373" i="27"/>
  <c r="HJ373" i="27"/>
  <c r="HJ383" i="27"/>
  <c r="X373" i="27"/>
  <c r="X383" i="27"/>
  <c r="HF373" i="27"/>
  <c r="HF383" i="27"/>
  <c r="DL383" i="27"/>
  <c r="DL373" i="27"/>
  <c r="BL373" i="27"/>
  <c r="BL383" i="27"/>
  <c r="BP373" i="27"/>
  <c r="BP383" i="27"/>
  <c r="N373" i="27"/>
  <c r="N383" i="27"/>
  <c r="GV383" i="27"/>
  <c r="GV373" i="27"/>
  <c r="CE373" i="27"/>
  <c r="CE383" i="27"/>
  <c r="CB373" i="27"/>
  <c r="CB383" i="27"/>
  <c r="GA373" i="27"/>
  <c r="GA383" i="27"/>
  <c r="AU383" i="27"/>
  <c r="AU373" i="27"/>
  <c r="HZ373" i="27"/>
  <c r="HZ383" i="27"/>
  <c r="Z373" i="27"/>
  <c r="Z383" i="27"/>
  <c r="Y383" i="27"/>
  <c r="Y373" i="27"/>
  <c r="CU383" i="27"/>
  <c r="CU373" i="27"/>
  <c r="FY383" i="27"/>
  <c r="FY373" i="27"/>
  <c r="HX383" i="27"/>
  <c r="HX373" i="27"/>
  <c r="CN373" i="27"/>
  <c r="CN383" i="27"/>
  <c r="IA383" i="27"/>
  <c r="IA373" i="27"/>
  <c r="GK373" i="27"/>
  <c r="GK383" i="27"/>
  <c r="GE383" i="27"/>
  <c r="GE373" i="27"/>
  <c r="EQ383" i="27"/>
  <c r="EQ373" i="27"/>
  <c r="HV383" i="27"/>
  <c r="HV373" i="27"/>
  <c r="FB383" i="27"/>
  <c r="FB373" i="27"/>
  <c r="FA383" i="27"/>
  <c r="FA373" i="27"/>
  <c r="DV383" i="27"/>
  <c r="DV373" i="27"/>
  <c r="CW373" i="27"/>
  <c r="CW383" i="27"/>
  <c r="DO383" i="27"/>
  <c r="DO373" i="27"/>
  <c r="AC373" i="27"/>
  <c r="AC383" i="27"/>
  <c r="DK373" i="27"/>
  <c r="DK383" i="27"/>
  <c r="AB383" i="27"/>
  <c r="AB373" i="27"/>
  <c r="FV383" i="27"/>
  <c r="FV373" i="27"/>
  <c r="IC383" i="27"/>
  <c r="IC373" i="27"/>
  <c r="EK373" i="27"/>
  <c r="EK383" i="27"/>
  <c r="GZ383" i="27"/>
  <c r="GZ373" i="27"/>
  <c r="K383" i="27"/>
  <c r="K373" i="27"/>
  <c r="GQ383" i="27"/>
  <c r="GQ373" i="27"/>
  <c r="AD383" i="27"/>
  <c r="AD373" i="27"/>
  <c r="GG383" i="27"/>
  <c r="GG373" i="27"/>
  <c r="IG383" i="27"/>
  <c r="IG373" i="27"/>
  <c r="AN383" i="27"/>
  <c r="AN373" i="27"/>
  <c r="P383" i="27"/>
  <c r="P373" i="27"/>
  <c r="FT383" i="27"/>
  <c r="FT373" i="27"/>
  <c r="DG373" i="27"/>
  <c r="DG383" i="27"/>
  <c r="DT373" i="27"/>
  <c r="DT383" i="27"/>
  <c r="CA383" i="27"/>
  <c r="CA373" i="27"/>
  <c r="GM383" i="27"/>
  <c r="GM373" i="27"/>
  <c r="BF383" i="27"/>
  <c r="BF373" i="27"/>
  <c r="S373" i="27"/>
  <c r="S383" i="27"/>
  <c r="AZ373" i="27"/>
  <c r="AZ383" i="27"/>
  <c r="ER383" i="27"/>
  <c r="ER373" i="27"/>
  <c r="IH383" i="27"/>
  <c r="IH373" i="27"/>
  <c r="DC383" i="27"/>
  <c r="DC373" i="27"/>
  <c r="GJ383" i="27"/>
  <c r="GJ373" i="27"/>
  <c r="AF383" i="27"/>
  <c r="AF373" i="27"/>
  <c r="FP373" i="27"/>
  <c r="FP383" i="27"/>
  <c r="CK383" i="27"/>
  <c r="CK373" i="27"/>
  <c r="EZ383" i="27"/>
  <c r="EZ373" i="27"/>
  <c r="GN383" i="27"/>
  <c r="GN373" i="27"/>
  <c r="HE373" i="27"/>
  <c r="HE383" i="27"/>
  <c r="DM383" i="27"/>
  <c r="DM373" i="27"/>
  <c r="HN373" i="27"/>
  <c r="HN383" i="27"/>
  <c r="GC373" i="27"/>
  <c r="GC383" i="27"/>
  <c r="AV383" i="27"/>
  <c r="AV373" i="27"/>
  <c r="BN383" i="27"/>
  <c r="BN373" i="27"/>
  <c r="L383" i="27"/>
  <c r="L373" i="27"/>
  <c r="DH373" i="27"/>
  <c r="DH383" i="27"/>
  <c r="DS383" i="27"/>
  <c r="DS373" i="27"/>
  <c r="CM383" i="27"/>
  <c r="CM373" i="27"/>
  <c r="BD383" i="27"/>
  <c r="BD373" i="27"/>
  <c r="HY383" i="27"/>
  <c r="HY373" i="27"/>
  <c r="BY383" i="27"/>
  <c r="BY373" i="27"/>
  <c r="EE383" i="27"/>
  <c r="EE373" i="27"/>
  <c r="BR373" i="27"/>
  <c r="BR383" i="27"/>
  <c r="CO373" i="27"/>
  <c r="CO383" i="27"/>
  <c r="AM383" i="27"/>
  <c r="AM373" i="27"/>
  <c r="GO383" i="27"/>
  <c r="GO373" i="27"/>
  <c r="EJ373" i="27"/>
  <c r="EJ383" i="27"/>
  <c r="FR373" i="27"/>
  <c r="FR383" i="27"/>
  <c r="CD383" i="27"/>
  <c r="CD373" i="27"/>
  <c r="AJ383" i="27"/>
  <c r="AJ373" i="27"/>
  <c r="FJ373" i="27"/>
  <c r="FJ383" i="27"/>
  <c r="CY373" i="27"/>
  <c r="CY383" i="27"/>
  <c r="GR383" i="27"/>
  <c r="GR373" i="27"/>
  <c r="CP373" i="27"/>
  <c r="CP383" i="27"/>
  <c r="DE383" i="27"/>
  <c r="DE373" i="27"/>
  <c r="FE373" i="27"/>
  <c r="FE383" i="27"/>
  <c r="BQ373" i="27"/>
  <c r="BQ383" i="27"/>
  <c r="HT383" i="27"/>
  <c r="HT373" i="27"/>
  <c r="V373" i="27"/>
  <c r="V383" i="27"/>
  <c r="CT383" i="27"/>
  <c r="CT373" i="27"/>
  <c r="CG383" i="27"/>
  <c r="CG373" i="27"/>
  <c r="EL373" i="27"/>
  <c r="EL383" i="27"/>
  <c r="FL383" i="27"/>
  <c r="FL373" i="27"/>
  <c r="EO373" i="27"/>
  <c r="EO383" i="27"/>
  <c r="IE373" i="27"/>
  <c r="IE383" i="27"/>
  <c r="CS383" i="27"/>
  <c r="CS373" i="27"/>
  <c r="BX373" i="27"/>
  <c r="BX383" i="27"/>
  <c r="DI373" i="27"/>
  <c r="DI383" i="27"/>
  <c r="CV383" i="27"/>
  <c r="CV373" i="27"/>
  <c r="BO373" i="27"/>
  <c r="BO383" i="27"/>
  <c r="DP373" i="27"/>
  <c r="DP383" i="27"/>
  <c r="BZ383" i="27"/>
  <c r="BZ373" i="27"/>
  <c r="EG373" i="27"/>
  <c r="EG383" i="27"/>
  <c r="BE373" i="27"/>
  <c r="BE383" i="27"/>
  <c r="AY383" i="27"/>
  <c r="AY373" i="27"/>
  <c r="DU373" i="27"/>
  <c r="DU383" i="27"/>
  <c r="BC373" i="27"/>
  <c r="BC383" i="27"/>
  <c r="BT373" i="27"/>
  <c r="BT383" i="27"/>
  <c r="HS373" i="27"/>
  <c r="HS383" i="27"/>
  <c r="EH383" i="27"/>
  <c r="EH373" i="27"/>
  <c r="HD383" i="27"/>
  <c r="HD373" i="27"/>
  <c r="EP383" i="27"/>
  <c r="EP373" i="27"/>
  <c r="AS383" i="27"/>
  <c r="AS373" i="27"/>
  <c r="BB373" i="27"/>
  <c r="BB383" i="27"/>
  <c r="HK373" i="27"/>
  <c r="HK383" i="27"/>
  <c r="AR383" i="27"/>
  <c r="AR373" i="27"/>
  <c r="BJ383" i="27"/>
  <c r="BJ373" i="27"/>
  <c r="Q373" i="27"/>
  <c r="Q383" i="27"/>
  <c r="DZ373" i="27"/>
  <c r="DZ383" i="27"/>
  <c r="AI373" i="27"/>
  <c r="AI383" i="27"/>
  <c r="GU383" i="27"/>
  <c r="GU373" i="27"/>
  <c r="FU373" i="27"/>
  <c r="FU383" i="27"/>
  <c r="HG373" i="27"/>
  <c r="HG383" i="27"/>
  <c r="FW383" i="27"/>
  <c r="FW373" i="27"/>
  <c r="EU373" i="27"/>
  <c r="EU383" i="27"/>
  <c r="BM373" i="27"/>
  <c r="BM383" i="27"/>
  <c r="HC383" i="27"/>
  <c r="HC373" i="27"/>
  <c r="EC383" i="27"/>
  <c r="EC373" i="27"/>
  <c r="FS383" i="27"/>
  <c r="FS373" i="27"/>
  <c r="ID383" i="27"/>
  <c r="ID373" i="27"/>
  <c r="FM383" i="27"/>
  <c r="FM373" i="27"/>
  <c r="GB383" i="27"/>
  <c r="GB373" i="27"/>
  <c r="EN373" i="27"/>
  <c r="EN383" i="27"/>
  <c r="FO383" i="27"/>
  <c r="FO373" i="27"/>
  <c r="EM383" i="27"/>
  <c r="EM373" i="27"/>
  <c r="DA373" i="27"/>
  <c r="DA383" i="27"/>
  <c r="DF383" i="27"/>
  <c r="DF373" i="27"/>
  <c r="AW383" i="27"/>
  <c r="AW373" i="27"/>
  <c r="EA383" i="27"/>
  <c r="EA373" i="27"/>
  <c r="CR373" i="27"/>
  <c r="CR383" i="27"/>
  <c r="GS383" i="27"/>
  <c r="GS373" i="27"/>
  <c r="I383" i="27"/>
  <c r="I373" i="27"/>
  <c r="M383" i="27"/>
  <c r="M373" i="27"/>
  <c r="GL383" i="27"/>
  <c r="GL373" i="27"/>
  <c r="HA373" i="27"/>
  <c r="HA383" i="27"/>
  <c r="EY373" i="27"/>
  <c r="EY383" i="27"/>
  <c r="HB383" i="27"/>
  <c r="HB373" i="27"/>
  <c r="HM383" i="27"/>
  <c r="HM373" i="27"/>
  <c r="FK383" i="27"/>
  <c r="FK373" i="27"/>
  <c r="FD383" i="27"/>
  <c r="FD373" i="27"/>
  <c r="HU373" i="27"/>
  <c r="HU383" i="27"/>
  <c r="FC373" i="27"/>
  <c r="FC383" i="27"/>
  <c r="AL373" i="27"/>
  <c r="AL383" i="27"/>
  <c r="AH373" i="27"/>
  <c r="AH383" i="27"/>
  <c r="CQ383" i="27"/>
  <c r="CQ373" i="27"/>
  <c r="FQ383" i="27"/>
  <c r="FQ373" i="27"/>
  <c r="DQ383" i="27"/>
  <c r="DQ373" i="27"/>
  <c r="HQ383" i="27"/>
  <c r="HQ373" i="27"/>
  <c r="AX383" i="27"/>
  <c r="AX373" i="27"/>
  <c r="FG373" i="27"/>
  <c r="FG383" i="27"/>
  <c r="BS383" i="27"/>
  <c r="BS373" i="27"/>
  <c r="R373" i="27"/>
  <c r="R383" i="27"/>
  <c r="O373" i="27"/>
  <c r="O383" i="27"/>
  <c r="FX373" i="27"/>
  <c r="FX383" i="27"/>
  <c r="AT383" i="27"/>
  <c r="AT373" i="27"/>
  <c r="ED373" i="27"/>
  <c r="ED383" i="27"/>
  <c r="EW373" i="27"/>
  <c r="EW383" i="27"/>
  <c r="CH383" i="27"/>
  <c r="CH373" i="27"/>
  <c r="CK104" i="26"/>
  <c r="CZ82" i="26"/>
  <c r="CG82" i="26"/>
  <c r="EL82" i="26"/>
  <c r="CI104" i="26"/>
  <c r="CU104" i="26" s="1"/>
  <c r="CK121" i="26" s="1"/>
  <c r="CK142" i="26" s="1"/>
  <c r="C153" i="25" s="1"/>
  <c r="B153" i="25" s="1"/>
  <c r="A153" i="25" s="1"/>
  <c r="DS82" i="26"/>
  <c r="N398" i="27"/>
  <c r="O400" i="27"/>
  <c r="P400" i="27" s="1"/>
  <c r="M403" i="27"/>
  <c r="M398" i="27"/>
  <c r="CB105" i="26"/>
  <c r="Q146" i="26"/>
  <c r="R146" i="26" s="1"/>
  <c r="CC105" i="26" s="1"/>
  <c r="AD146" i="26"/>
  <c r="Y147" i="26"/>
  <c r="H392" i="27" l="1"/>
  <c r="E373" i="27"/>
  <c r="U107" i="31" s="1"/>
  <c r="E383" i="27"/>
  <c r="M154" i="26" s="1"/>
  <c r="H408" i="27"/>
  <c r="F273" i="27"/>
  <c r="O403" i="27"/>
  <c r="O398" i="27"/>
  <c r="Z147" i="26"/>
  <c r="AB147" i="26"/>
  <c r="W148" i="26"/>
  <c r="CZ83" i="26"/>
  <c r="DS83" i="26"/>
  <c r="EL83" i="26"/>
  <c r="CG83" i="26"/>
  <c r="CI105" i="26"/>
  <c r="CU105" i="26" s="1"/>
  <c r="CK122" i="26" s="1"/>
  <c r="CK143" i="26" s="1"/>
  <c r="C154" i="25" s="1"/>
  <c r="B154" i="25" s="1"/>
  <c r="A154" i="25" s="1"/>
  <c r="FE83" i="26"/>
  <c r="CD105" i="26"/>
  <c r="CK105" i="26"/>
  <c r="P403" i="27"/>
  <c r="P398" i="27"/>
  <c r="Q400" i="27"/>
  <c r="H390" i="27" l="1"/>
  <c r="H395" i="27"/>
  <c r="I392" i="27"/>
  <c r="H406" i="27"/>
  <c r="H411" i="27"/>
  <c r="I408" i="27"/>
  <c r="M155" i="26"/>
  <c r="I160" i="26" s="1"/>
  <c r="K64" i="14" s="1"/>
  <c r="U242" i="11"/>
  <c r="Y148" i="26"/>
  <c r="O148" i="26"/>
  <c r="Q147" i="26"/>
  <c r="R147" i="26" s="1"/>
  <c r="CC106" i="26" s="1"/>
  <c r="AD147" i="26"/>
  <c r="CB106" i="26"/>
  <c r="R400" i="27"/>
  <c r="Q403" i="27"/>
  <c r="Q398" i="27"/>
  <c r="J392" i="27" l="1"/>
  <c r="I395" i="27"/>
  <c r="I390" i="27"/>
  <c r="J64" i="14"/>
  <c r="D64" i="14"/>
  <c r="I411" i="27"/>
  <c r="J408" i="27"/>
  <c r="I406" i="27"/>
  <c r="CZ84" i="26"/>
  <c r="CI106" i="26"/>
  <c r="CU106" i="26" s="1"/>
  <c r="CK123" i="26" s="1"/>
  <c r="CK144" i="26" s="1"/>
  <c r="C155" i="25" s="1"/>
  <c r="B155" i="25" s="1"/>
  <c r="A155" i="25" s="1"/>
  <c r="DS84" i="26"/>
  <c r="FE84" i="26"/>
  <c r="EL84" i="26"/>
  <c r="CG84" i="26"/>
  <c r="CD106" i="26"/>
  <c r="CK106" i="26"/>
  <c r="W149" i="26"/>
  <c r="O149" i="26" s="1"/>
  <c r="AB148" i="26"/>
  <c r="Z148" i="26"/>
  <c r="S400" i="27"/>
  <c r="R403" i="27"/>
  <c r="R398" i="27"/>
  <c r="J390" i="27" l="1"/>
  <c r="K392" i="27"/>
  <c r="J395" i="27"/>
  <c r="K408" i="27"/>
  <c r="J406" i="27"/>
  <c r="J411" i="27"/>
  <c r="Y149" i="26"/>
  <c r="Y150" i="26" s="1"/>
  <c r="Y151" i="26" s="1"/>
  <c r="X155" i="26" s="1"/>
  <c r="Y155" i="26" s="1"/>
  <c r="AD148" i="26"/>
  <c r="CB107" i="26"/>
  <c r="Q148" i="26"/>
  <c r="R148" i="26" s="1"/>
  <c r="CC107" i="26" s="1"/>
  <c r="S403" i="27"/>
  <c r="S398" i="27"/>
  <c r="T400" i="27"/>
  <c r="K406" i="27" l="1"/>
  <c r="K411" i="27"/>
  <c r="L408" i="27"/>
  <c r="L392" i="27"/>
  <c r="K395" i="27"/>
  <c r="K390" i="27"/>
  <c r="AB149" i="26"/>
  <c r="Y152" i="26" s="1"/>
  <c r="Y153" i="26" s="1"/>
  <c r="Z149" i="26"/>
  <c r="CD107" i="26"/>
  <c r="CK107" i="26"/>
  <c r="CI107" i="26"/>
  <c r="CU107" i="26" s="1"/>
  <c r="CK124" i="26" s="1"/>
  <c r="CK145" i="26" s="1"/>
  <c r="C156" i="25" s="1"/>
  <c r="B156" i="25" s="1"/>
  <c r="A156" i="25" s="1"/>
  <c r="DS85" i="26"/>
  <c r="CZ85" i="26"/>
  <c r="EL85" i="26"/>
  <c r="FE85" i="26"/>
  <c r="CG85" i="26"/>
  <c r="Y156" i="26"/>
  <c r="Z155" i="26"/>
  <c r="AB155" i="26"/>
  <c r="T398" i="27"/>
  <c r="U400" i="27"/>
  <c r="T403" i="27"/>
  <c r="M392" i="27" l="1"/>
  <c r="L390" i="27"/>
  <c r="L395" i="27"/>
  <c r="L411" i="27"/>
  <c r="M408" i="27"/>
  <c r="L406" i="27"/>
  <c r="S73" i="14"/>
  <c r="Q149" i="26"/>
  <c r="R149" i="26" s="1"/>
  <c r="CC108" i="26" s="1"/>
  <c r="AD149" i="26"/>
  <c r="FE86" i="26" s="1"/>
  <c r="CB108" i="26"/>
  <c r="CK108" i="26" s="1"/>
  <c r="Y158" i="26"/>
  <c r="Y159" i="26" s="1"/>
  <c r="AD155" i="26" s="1"/>
  <c r="AE155" i="26" s="1"/>
  <c r="AE156" i="26" s="1"/>
  <c r="Y157" i="26"/>
  <c r="V400" i="27"/>
  <c r="U398" i="27"/>
  <c r="U403" i="27"/>
  <c r="N408" i="27" l="1"/>
  <c r="M406" i="27"/>
  <c r="M411" i="27"/>
  <c r="M390" i="27"/>
  <c r="M395" i="27"/>
  <c r="N392" i="27"/>
  <c r="DS86" i="26"/>
  <c r="CZ86" i="26"/>
  <c r="EL86" i="26"/>
  <c r="CI108" i="26"/>
  <c r="CU108" i="26" s="1"/>
  <c r="CG86" i="26"/>
  <c r="CD108" i="26"/>
  <c r="AJ165" i="26"/>
  <c r="K69" i="14" s="1"/>
  <c r="R69" i="14" s="1"/>
  <c r="CY132" i="26"/>
  <c r="C132" i="25" s="1"/>
  <c r="V403" i="27"/>
  <c r="V398" i="27"/>
  <c r="W400" i="27"/>
  <c r="T9" i="20" l="1"/>
  <c r="E12" i="20"/>
  <c r="I34" i="20" s="1"/>
  <c r="E6" i="36"/>
  <c r="H6" i="36" s="1"/>
  <c r="T68" i="20" s="1"/>
  <c r="O408" i="27"/>
  <c r="N406" i="27"/>
  <c r="N411" i="27"/>
  <c r="N395" i="27"/>
  <c r="N390" i="27"/>
  <c r="O392" i="27"/>
  <c r="D6" i="35"/>
  <c r="E6" i="35" s="1"/>
  <c r="B132" i="25"/>
  <c r="A132" i="25" s="1"/>
  <c r="B133" i="25"/>
  <c r="A133" i="25" s="1"/>
  <c r="L31" i="24"/>
  <c r="V51" i="14"/>
  <c r="V278" i="14" s="1"/>
  <c r="E12" i="30" s="1"/>
  <c r="E20" i="30" s="1"/>
  <c r="E27" i="30" s="1"/>
  <c r="I34" i="30" s="1"/>
  <c r="N34" i="30" s="1"/>
  <c r="W403" i="27"/>
  <c r="X400" i="27"/>
  <c r="W398" i="27"/>
  <c r="E3" i="35" l="1"/>
  <c r="N34" i="20"/>
  <c r="C12" i="20"/>
  <c r="E20" i="20"/>
  <c r="E27" i="20" s="1"/>
  <c r="D48" i="20" s="1"/>
  <c r="AC68" i="20"/>
  <c r="AA68" i="20"/>
  <c r="AB68" i="20"/>
  <c r="O395" i="27"/>
  <c r="P392" i="27"/>
  <c r="O390" i="27"/>
  <c r="O411" i="27"/>
  <c r="P408" i="27"/>
  <c r="O406" i="27"/>
  <c r="X398" i="27"/>
  <c r="X403" i="27"/>
  <c r="Y400" i="27"/>
  <c r="C20" i="20" l="1"/>
  <c r="Q408" i="27"/>
  <c r="P406" i="27"/>
  <c r="P411" i="27"/>
  <c r="P395" i="27"/>
  <c r="P390" i="27"/>
  <c r="Q392" i="27"/>
  <c r="Z400" i="27"/>
  <c r="Y403" i="27"/>
  <c r="Y398" i="27"/>
  <c r="C27" i="20" l="1"/>
  <c r="Q411" i="27"/>
  <c r="R408" i="27"/>
  <c r="Q406" i="27"/>
  <c r="Q390" i="27"/>
  <c r="Q395" i="27"/>
  <c r="R392" i="27"/>
  <c r="AA400" i="27"/>
  <c r="Z403" i="27"/>
  <c r="Z398" i="27"/>
  <c r="R411" i="27" l="1"/>
  <c r="R406" i="27"/>
  <c r="S408" i="27"/>
  <c r="R390" i="27"/>
  <c r="R395" i="27"/>
  <c r="S392" i="27"/>
  <c r="AA398" i="27"/>
  <c r="AB400" i="27"/>
  <c r="AA403" i="27"/>
  <c r="S390" i="27" l="1"/>
  <c r="T392" i="27"/>
  <c r="S395" i="27"/>
  <c r="S406" i="27"/>
  <c r="S411" i="27"/>
  <c r="T408" i="27"/>
  <c r="AC400" i="27"/>
  <c r="AB398" i="27"/>
  <c r="AB403" i="27"/>
  <c r="T406" i="27" l="1"/>
  <c r="T411" i="27"/>
  <c r="U408" i="27"/>
  <c r="U392" i="27"/>
  <c r="T390" i="27"/>
  <c r="T395" i="27"/>
  <c r="AC398" i="27"/>
  <c r="AC403" i="27"/>
  <c r="AD400" i="27"/>
  <c r="U411" i="27" l="1"/>
  <c r="U406" i="27"/>
  <c r="V408" i="27"/>
  <c r="U390" i="27"/>
  <c r="U395" i="27"/>
  <c r="V392" i="27"/>
  <c r="AE400" i="27"/>
  <c r="AD398" i="27"/>
  <c r="AD403" i="27"/>
  <c r="V390" i="27" l="1"/>
  <c r="W392" i="27"/>
  <c r="V395" i="27"/>
  <c r="V406" i="27"/>
  <c r="V411" i="27"/>
  <c r="W408" i="27"/>
  <c r="AE403" i="27"/>
  <c r="AF400" i="27"/>
  <c r="AE398" i="27"/>
  <c r="X408" i="27" l="1"/>
  <c r="W406" i="27"/>
  <c r="W411" i="27"/>
  <c r="W395" i="27"/>
  <c r="W390" i="27"/>
  <c r="X392" i="27"/>
  <c r="AF403" i="27"/>
  <c r="AF398" i="27"/>
  <c r="AG400" i="27"/>
  <c r="Y408" i="27" l="1"/>
  <c r="X411" i="27"/>
  <c r="X406" i="27"/>
  <c r="X390" i="27"/>
  <c r="Y392" i="27"/>
  <c r="X395" i="27"/>
  <c r="AG398" i="27"/>
  <c r="AG403" i="27"/>
  <c r="AH400" i="27"/>
  <c r="Y411" i="27" l="1"/>
  <c r="Y406" i="27"/>
  <c r="Z408" i="27"/>
  <c r="Y390" i="27"/>
  <c r="Y395" i="27"/>
  <c r="Z392" i="27"/>
  <c r="AH398" i="27"/>
  <c r="AH403" i="27"/>
  <c r="AI400" i="27"/>
  <c r="AA392" i="27" l="1"/>
  <c r="Z390" i="27"/>
  <c r="Z395" i="27"/>
  <c r="Z411" i="27"/>
  <c r="AA408" i="27"/>
  <c r="Z406" i="27"/>
  <c r="AJ400" i="27"/>
  <c r="AI403" i="27"/>
  <c r="AI398" i="27"/>
  <c r="AB392" i="27" l="1"/>
  <c r="AA390" i="27"/>
  <c r="AA395" i="27"/>
  <c r="AB408" i="27"/>
  <c r="AA411" i="27"/>
  <c r="AA406" i="27"/>
  <c r="AJ403" i="27"/>
  <c r="AJ398" i="27"/>
  <c r="AK400" i="27"/>
  <c r="AC392" i="27" l="1"/>
  <c r="AB390" i="27"/>
  <c r="AB395" i="27"/>
  <c r="AC408" i="27"/>
  <c r="AB411" i="27"/>
  <c r="AB406" i="27"/>
  <c r="AK398" i="27"/>
  <c r="AK403" i="27"/>
  <c r="AL400" i="27"/>
  <c r="AC406" i="27" l="1"/>
  <c r="AD408" i="27"/>
  <c r="AC411" i="27"/>
  <c r="AD392" i="27"/>
  <c r="AC395" i="27"/>
  <c r="AC390" i="27"/>
  <c r="AM400" i="27"/>
  <c r="AL403" i="27"/>
  <c r="AL398" i="27"/>
  <c r="AD411" i="27" l="1"/>
  <c r="AE408" i="27"/>
  <c r="AD406" i="27"/>
  <c r="AD395" i="27"/>
  <c r="AD390" i="27"/>
  <c r="AE392" i="27"/>
  <c r="AM398" i="27"/>
  <c r="AN400" i="27"/>
  <c r="AM403" i="27"/>
  <c r="AF392" i="27" l="1"/>
  <c r="AE395" i="27"/>
  <c r="AE390" i="27"/>
  <c r="AE411" i="27"/>
  <c r="AF408" i="27"/>
  <c r="AE406" i="27"/>
  <c r="AO400" i="27"/>
  <c r="AN398" i="27"/>
  <c r="AN403" i="27"/>
  <c r="AG392" i="27" l="1"/>
  <c r="AF395" i="27"/>
  <c r="AF390" i="27"/>
  <c r="AF411" i="27"/>
  <c r="AG408" i="27"/>
  <c r="AF406" i="27"/>
  <c r="AP400" i="27"/>
  <c r="AO398" i="27"/>
  <c r="AO403" i="27"/>
  <c r="AH408" i="27" l="1"/>
  <c r="AG411" i="27"/>
  <c r="AG406" i="27"/>
  <c r="AG395" i="27"/>
  <c r="AH392" i="27"/>
  <c r="AG390" i="27"/>
  <c r="AQ400" i="27"/>
  <c r="AP403" i="27"/>
  <c r="AP398" i="27"/>
  <c r="AI408" i="27" l="1"/>
  <c r="AH411" i="27"/>
  <c r="AH406" i="27"/>
  <c r="AH395" i="27"/>
  <c r="AI392" i="27"/>
  <c r="AH390" i="27"/>
  <c r="AQ403" i="27"/>
  <c r="AR400" i="27"/>
  <c r="AQ398" i="27"/>
  <c r="AJ408" i="27" l="1"/>
  <c r="AI406" i="27"/>
  <c r="AI411" i="27"/>
  <c r="AJ392" i="27"/>
  <c r="AI390" i="27"/>
  <c r="AI395" i="27"/>
  <c r="AR398" i="27"/>
  <c r="AR403" i="27"/>
  <c r="AS400" i="27"/>
  <c r="AJ395" i="27" l="1"/>
  <c r="AK392" i="27"/>
  <c r="AJ390" i="27"/>
  <c r="AJ406" i="27"/>
  <c r="AK408" i="27"/>
  <c r="AJ411" i="27"/>
  <c r="AS398" i="27"/>
  <c r="AT400" i="27"/>
  <c r="AS403" i="27"/>
  <c r="AL408" i="27" l="1"/>
  <c r="AK411" i="27"/>
  <c r="AK406" i="27"/>
  <c r="AL392" i="27"/>
  <c r="AK395" i="27"/>
  <c r="AK390" i="27"/>
  <c r="AT398" i="27"/>
  <c r="AT403" i="27"/>
  <c r="AU400" i="27"/>
  <c r="AL390" i="27" l="1"/>
  <c r="AM392" i="27"/>
  <c r="AL395" i="27"/>
  <c r="AL411" i="27"/>
  <c r="AL406" i="27"/>
  <c r="AM408" i="27"/>
  <c r="AU398" i="27"/>
  <c r="AV400" i="27"/>
  <c r="AU403" i="27"/>
  <c r="AM406" i="27" l="1"/>
  <c r="AM411" i="27"/>
  <c r="AN408" i="27"/>
  <c r="AM390" i="27"/>
  <c r="AN392" i="27"/>
  <c r="AM395" i="27"/>
  <c r="AW400" i="27"/>
  <c r="AV398" i="27"/>
  <c r="AV403" i="27"/>
  <c r="AO392" i="27" l="1"/>
  <c r="AN390" i="27"/>
  <c r="AN395" i="27"/>
  <c r="AO408" i="27"/>
  <c r="AN411" i="27"/>
  <c r="AN406" i="27"/>
  <c r="AW398" i="27"/>
  <c r="AW403" i="27"/>
  <c r="AX400" i="27"/>
  <c r="AO395" i="27" l="1"/>
  <c r="AP392" i="27"/>
  <c r="AO390" i="27"/>
  <c r="AO406" i="27"/>
  <c r="AO411" i="27"/>
  <c r="AP408" i="27"/>
  <c r="AY400" i="27"/>
  <c r="AX398" i="27"/>
  <c r="AX403" i="27"/>
  <c r="AP411" i="27" l="1"/>
  <c r="AP406" i="27"/>
  <c r="AQ408" i="27"/>
  <c r="AQ392" i="27"/>
  <c r="AP390" i="27"/>
  <c r="AP395" i="27"/>
  <c r="AY398" i="27"/>
  <c r="AY403" i="27"/>
  <c r="AZ400" i="27"/>
  <c r="AQ395" i="27" l="1"/>
  <c r="AR392" i="27"/>
  <c r="AQ390" i="27"/>
  <c r="AQ411" i="27"/>
  <c r="AQ406" i="27"/>
  <c r="AR408" i="27"/>
  <c r="BA400" i="27"/>
  <c r="AZ403" i="27"/>
  <c r="AZ398" i="27"/>
  <c r="AR406" i="27" l="1"/>
  <c r="AS408" i="27"/>
  <c r="AR411" i="27"/>
  <c r="AR395" i="27"/>
  <c r="AR390" i="27"/>
  <c r="AS392" i="27"/>
  <c r="BB400" i="27"/>
  <c r="BA403" i="27"/>
  <c r="BA398" i="27"/>
  <c r="AS395" i="27" l="1"/>
  <c r="AT392" i="27"/>
  <c r="AS390" i="27"/>
  <c r="AS406" i="27"/>
  <c r="AT408" i="27"/>
  <c r="AS411" i="27"/>
  <c r="BC400" i="27"/>
  <c r="BB403" i="27"/>
  <c r="BB398" i="27"/>
  <c r="AU408" i="27" l="1"/>
  <c r="AT406" i="27"/>
  <c r="AT411" i="27"/>
  <c r="AU392" i="27"/>
  <c r="AT390" i="27"/>
  <c r="AT395" i="27"/>
  <c r="BC398" i="27"/>
  <c r="BD400" i="27"/>
  <c r="BC403" i="27"/>
  <c r="AU390" i="27" l="1"/>
  <c r="AU395" i="27"/>
  <c r="AV392" i="27"/>
  <c r="AU406" i="27"/>
  <c r="AU411" i="27"/>
  <c r="AV408" i="27"/>
  <c r="BD398" i="27"/>
  <c r="BE400" i="27"/>
  <c r="BD403" i="27"/>
  <c r="AV390" i="27" l="1"/>
  <c r="AW392" i="27"/>
  <c r="AV395" i="27"/>
  <c r="AV411" i="27"/>
  <c r="AW408" i="27"/>
  <c r="AV406" i="27"/>
  <c r="BE398" i="27"/>
  <c r="BE403" i="27"/>
  <c r="BF400" i="27"/>
  <c r="AX408" i="27" l="1"/>
  <c r="AW411" i="27"/>
  <c r="AW406" i="27"/>
  <c r="AW395" i="27"/>
  <c r="AX392" i="27"/>
  <c r="AW390" i="27"/>
  <c r="BF403" i="27"/>
  <c r="BG400" i="27"/>
  <c r="BF398" i="27"/>
  <c r="AY408" i="27" l="1"/>
  <c r="AX406" i="27"/>
  <c r="AX411" i="27"/>
  <c r="AX390" i="27"/>
  <c r="AY392" i="27"/>
  <c r="AX395" i="27"/>
  <c r="BH400" i="27"/>
  <c r="BG403" i="27"/>
  <c r="BG398" i="27"/>
  <c r="AY390" i="27" l="1"/>
  <c r="AZ392" i="27"/>
  <c r="AY395" i="27"/>
  <c r="AY411" i="27"/>
  <c r="AY406" i="27"/>
  <c r="AZ408" i="27"/>
  <c r="BH403" i="27"/>
  <c r="BI400" i="27"/>
  <c r="BH398" i="27"/>
  <c r="BA408" i="27" l="1"/>
  <c r="AZ411" i="27"/>
  <c r="AZ406" i="27"/>
  <c r="AZ395" i="27"/>
  <c r="AZ390" i="27"/>
  <c r="BA392" i="27"/>
  <c r="BJ400" i="27"/>
  <c r="BI398" i="27"/>
  <c r="BI403" i="27"/>
  <c r="BA390" i="27" l="1"/>
  <c r="BA395" i="27"/>
  <c r="BB392" i="27"/>
  <c r="BA406" i="27"/>
  <c r="BB408" i="27"/>
  <c r="BA411" i="27"/>
  <c r="BK400" i="27"/>
  <c r="BJ398" i="27"/>
  <c r="BJ403" i="27"/>
  <c r="BC408" i="27" l="1"/>
  <c r="BB406" i="27"/>
  <c r="BB411" i="27"/>
  <c r="BB390" i="27"/>
  <c r="BB395" i="27"/>
  <c r="BC392" i="27"/>
  <c r="BK398" i="27"/>
  <c r="BK403" i="27"/>
  <c r="BL400" i="27"/>
  <c r="BC390" i="27" l="1"/>
  <c r="BC395" i="27"/>
  <c r="BD392" i="27"/>
  <c r="BC411" i="27"/>
  <c r="BD408" i="27"/>
  <c r="BC406" i="27"/>
  <c r="BL398" i="27"/>
  <c r="BM400" i="27"/>
  <c r="BL403" i="27"/>
  <c r="BD411" i="27" l="1"/>
  <c r="BD406" i="27"/>
  <c r="BE408" i="27"/>
  <c r="BD390" i="27"/>
  <c r="BE392" i="27"/>
  <c r="BD395" i="27"/>
  <c r="BM398" i="27"/>
  <c r="BM403" i="27"/>
  <c r="BN400" i="27"/>
  <c r="BE395" i="27" l="1"/>
  <c r="BE390" i="27"/>
  <c r="BF392" i="27"/>
  <c r="BE406" i="27"/>
  <c r="BE411" i="27"/>
  <c r="BF408" i="27"/>
  <c r="BO400" i="27"/>
  <c r="BN398" i="27"/>
  <c r="BN403" i="27"/>
  <c r="BG408" i="27" l="1"/>
  <c r="BF406" i="27"/>
  <c r="BF411" i="27"/>
  <c r="BG392" i="27"/>
  <c r="BF395" i="27"/>
  <c r="BF390" i="27"/>
  <c r="BO398" i="27"/>
  <c r="BO403" i="27"/>
  <c r="BP400" i="27"/>
  <c r="BH408" i="27" l="1"/>
  <c r="BG406" i="27"/>
  <c r="BG411" i="27"/>
  <c r="BH392" i="27"/>
  <c r="BG395" i="27"/>
  <c r="BG390" i="27"/>
  <c r="BQ400" i="27"/>
  <c r="BP398" i="27"/>
  <c r="BP403" i="27"/>
  <c r="BI392" i="27" l="1"/>
  <c r="BH390" i="27"/>
  <c r="BH395" i="27"/>
  <c r="BH406" i="27"/>
  <c r="BH411" i="27"/>
  <c r="BI408" i="27"/>
  <c r="BQ398" i="27"/>
  <c r="BQ403" i="27"/>
  <c r="BR400" i="27"/>
  <c r="BJ408" i="27" l="1"/>
  <c r="BI406" i="27"/>
  <c r="BI411" i="27"/>
  <c r="BJ392" i="27"/>
  <c r="BI395" i="27"/>
  <c r="BI390" i="27"/>
  <c r="BR403" i="27"/>
  <c r="BR398" i="27"/>
  <c r="BS400" i="27"/>
  <c r="BJ390" i="27" l="1"/>
  <c r="BJ395" i="27"/>
  <c r="BK392" i="27"/>
  <c r="BJ411" i="27"/>
  <c r="BJ406" i="27"/>
  <c r="BK408" i="27"/>
  <c r="BS398" i="27"/>
  <c r="BT400" i="27"/>
  <c r="BS403" i="27"/>
  <c r="BK411" i="27" l="1"/>
  <c r="BK406" i="27"/>
  <c r="BL408" i="27"/>
  <c r="BK395" i="27"/>
  <c r="BL392" i="27"/>
  <c r="BK390" i="27"/>
  <c r="BU400" i="27"/>
  <c r="BT403" i="27"/>
  <c r="BT398" i="27"/>
  <c r="BL406" i="27" l="1"/>
  <c r="BL411" i="27"/>
  <c r="BM408" i="27"/>
  <c r="BL390" i="27"/>
  <c r="BM392" i="27"/>
  <c r="BL395" i="27"/>
  <c r="BU403" i="27"/>
  <c r="BV400" i="27"/>
  <c r="BU398" i="27"/>
  <c r="BM390" i="27" l="1"/>
  <c r="BM395" i="27"/>
  <c r="BN392" i="27"/>
  <c r="BM411" i="27"/>
  <c r="BM406" i="27"/>
  <c r="BN408" i="27"/>
  <c r="BV403" i="27"/>
  <c r="BW400" i="27"/>
  <c r="BV398" i="27"/>
  <c r="BN406" i="27" l="1"/>
  <c r="BO408" i="27"/>
  <c r="BN411" i="27"/>
  <c r="BN395" i="27"/>
  <c r="BO392" i="27"/>
  <c r="BN390" i="27"/>
  <c r="BW398" i="27"/>
  <c r="BW403" i="27"/>
  <c r="BX400" i="27"/>
  <c r="BP392" i="27" l="1"/>
  <c r="BO390" i="27"/>
  <c r="BO395" i="27"/>
  <c r="BP408" i="27"/>
  <c r="BO411" i="27"/>
  <c r="BO406" i="27"/>
  <c r="BY400" i="27"/>
  <c r="BX398" i="27"/>
  <c r="BX403" i="27"/>
  <c r="BQ408" i="27" l="1"/>
  <c r="BP406" i="27"/>
  <c r="BP411" i="27"/>
  <c r="BQ392" i="27"/>
  <c r="BP390" i="27"/>
  <c r="BP395" i="27"/>
  <c r="BZ400" i="27"/>
  <c r="BY403" i="27"/>
  <c r="BY398" i="27"/>
  <c r="BQ390" i="27" l="1"/>
  <c r="BR392" i="27"/>
  <c r="BQ395" i="27"/>
  <c r="BQ406" i="27"/>
  <c r="BR408" i="27"/>
  <c r="BQ411" i="27"/>
  <c r="CA400" i="27"/>
  <c r="BZ403" i="27"/>
  <c r="BZ398" i="27"/>
  <c r="BR411" i="27" l="1"/>
  <c r="BR406" i="27"/>
  <c r="BS408" i="27"/>
  <c r="BR390" i="27"/>
  <c r="BS392" i="27"/>
  <c r="BR395" i="27"/>
  <c r="CB400" i="27"/>
  <c r="CA398" i="27"/>
  <c r="CA403" i="27"/>
  <c r="BS390" i="27" l="1"/>
  <c r="BT392" i="27"/>
  <c r="BS395" i="27"/>
  <c r="BS406" i="27"/>
  <c r="BT408" i="27"/>
  <c r="BS411" i="27"/>
  <c r="CC400" i="27"/>
  <c r="CB403" i="27"/>
  <c r="CB398" i="27"/>
  <c r="BT406" i="27" l="1"/>
  <c r="BU408" i="27"/>
  <c r="BT411" i="27"/>
  <c r="BT395" i="27"/>
  <c r="BU392" i="27"/>
  <c r="BT390" i="27"/>
  <c r="CC403" i="27"/>
  <c r="CC398" i="27"/>
  <c r="CD400" i="27"/>
  <c r="BU411" i="27" l="1"/>
  <c r="BU406" i="27"/>
  <c r="BV408" i="27"/>
  <c r="BU390" i="27"/>
  <c r="BV392" i="27"/>
  <c r="BU395" i="27"/>
  <c r="CE400" i="27"/>
  <c r="CD398" i="27"/>
  <c r="CD403" i="27"/>
  <c r="BV395" i="27" l="1"/>
  <c r="BW392" i="27"/>
  <c r="BV390" i="27"/>
  <c r="BV406" i="27"/>
  <c r="BW408" i="27"/>
  <c r="BV411" i="27"/>
  <c r="CF400" i="27"/>
  <c r="CE403" i="27"/>
  <c r="CE398" i="27"/>
  <c r="BW406" i="27" l="1"/>
  <c r="BX408" i="27"/>
  <c r="BW411" i="27"/>
  <c r="BW395" i="27"/>
  <c r="BX392" i="27"/>
  <c r="BW390" i="27"/>
  <c r="CG400" i="27"/>
  <c r="CF398" i="27"/>
  <c r="CF403" i="27"/>
  <c r="BX395" i="27" l="1"/>
  <c r="BX390" i="27"/>
  <c r="BY392" i="27"/>
  <c r="BX406" i="27"/>
  <c r="BX411" i="27"/>
  <c r="BY408" i="27"/>
  <c r="CG403" i="27"/>
  <c r="CH400" i="27"/>
  <c r="CG398" i="27"/>
  <c r="BY406" i="27" l="1"/>
  <c r="BY411" i="27"/>
  <c r="BZ408" i="27"/>
  <c r="BY395" i="27"/>
  <c r="BZ392" i="27"/>
  <c r="BY390" i="27"/>
  <c r="CH398" i="27"/>
  <c r="CH403" i="27"/>
  <c r="CI400" i="27"/>
  <c r="CA392" i="27" l="1"/>
  <c r="BZ390" i="27"/>
  <c r="BZ395" i="27"/>
  <c r="BZ411" i="27"/>
  <c r="BZ406" i="27"/>
  <c r="CA408" i="27"/>
  <c r="CI398" i="27"/>
  <c r="CI403" i="27"/>
  <c r="CJ400" i="27"/>
  <c r="CB408" i="27" l="1"/>
  <c r="CA411" i="27"/>
  <c r="CA406" i="27"/>
  <c r="CA390" i="27"/>
  <c r="CB392" i="27"/>
  <c r="CA395" i="27"/>
  <c r="CJ403" i="27"/>
  <c r="CJ398" i="27"/>
  <c r="CK400" i="27"/>
  <c r="CB390" i="27" l="1"/>
  <c r="CB395" i="27"/>
  <c r="CC392" i="27"/>
  <c r="CC408" i="27"/>
  <c r="CB411" i="27"/>
  <c r="CB406" i="27"/>
  <c r="CK398" i="27"/>
  <c r="CK403" i="27"/>
  <c r="CL400" i="27"/>
  <c r="CC411" i="27" l="1"/>
  <c r="CD408" i="27"/>
  <c r="CC406" i="27"/>
  <c r="CC390" i="27"/>
  <c r="CC395" i="27"/>
  <c r="CD392" i="27"/>
  <c r="CL398" i="27"/>
  <c r="CL403" i="27"/>
  <c r="CM400" i="27"/>
  <c r="CD395" i="27" l="1"/>
  <c r="CE392" i="27"/>
  <c r="CD390" i="27"/>
  <c r="CD411" i="27"/>
  <c r="CD406" i="27"/>
  <c r="CE408" i="27"/>
  <c r="CN400" i="27"/>
  <c r="CM398" i="27"/>
  <c r="CM403" i="27"/>
  <c r="CE411" i="27" l="1"/>
  <c r="CE406" i="27"/>
  <c r="CF408" i="27"/>
  <c r="CE390" i="27"/>
  <c r="CE395" i="27"/>
  <c r="CF392" i="27"/>
  <c r="CN403" i="27"/>
  <c r="CN398" i="27"/>
  <c r="CO400" i="27"/>
  <c r="CF390" i="27" l="1"/>
  <c r="CF395" i="27"/>
  <c r="CG392" i="27"/>
  <c r="CF406" i="27"/>
  <c r="CF411" i="27"/>
  <c r="CG408" i="27"/>
  <c r="CP400" i="27"/>
  <c r="CO403" i="27"/>
  <c r="CO398" i="27"/>
  <c r="CG406" i="27" l="1"/>
  <c r="CG411" i="27"/>
  <c r="CH408" i="27"/>
  <c r="CG395" i="27"/>
  <c r="CH392" i="27"/>
  <c r="CG390" i="27"/>
  <c r="CP398" i="27"/>
  <c r="CQ400" i="27"/>
  <c r="CP403" i="27"/>
  <c r="CI408" i="27" l="1"/>
  <c r="CH411" i="27"/>
  <c r="CH406" i="27"/>
  <c r="CH390" i="27"/>
  <c r="CI392" i="27"/>
  <c r="CH395" i="27"/>
  <c r="CQ403" i="27"/>
  <c r="CR400" i="27"/>
  <c r="CQ398" i="27"/>
  <c r="CI395" i="27" l="1"/>
  <c r="CI390" i="27"/>
  <c r="CJ392" i="27"/>
  <c r="CJ408" i="27"/>
  <c r="CI411" i="27"/>
  <c r="CI406" i="27"/>
  <c r="CS400" i="27"/>
  <c r="CR398" i="27"/>
  <c r="CR403" i="27"/>
  <c r="CK408" i="27" l="1"/>
  <c r="CJ411" i="27"/>
  <c r="CJ406" i="27"/>
  <c r="CJ395" i="27"/>
  <c r="CJ390" i="27"/>
  <c r="CK392" i="27"/>
  <c r="CS398" i="27"/>
  <c r="CT400" i="27"/>
  <c r="CS403" i="27"/>
  <c r="CK406" i="27" l="1"/>
  <c r="CL408" i="27"/>
  <c r="CK411" i="27"/>
  <c r="CK395" i="27"/>
  <c r="CK390" i="27"/>
  <c r="CL392" i="27"/>
  <c r="CU400" i="27"/>
  <c r="CT398" i="27"/>
  <c r="CT403" i="27"/>
  <c r="CM392" i="27" l="1"/>
  <c r="CL395" i="27"/>
  <c r="CL390" i="27"/>
  <c r="CM408" i="27"/>
  <c r="CL411" i="27"/>
  <c r="CL406" i="27"/>
  <c r="CU403" i="27"/>
  <c r="CU398" i="27"/>
  <c r="CV400" i="27"/>
  <c r="CM411" i="27" l="1"/>
  <c r="CN408" i="27"/>
  <c r="CM406" i="27"/>
  <c r="CM390" i="27"/>
  <c r="CN392" i="27"/>
  <c r="CM395" i="27"/>
  <c r="CV398" i="27"/>
  <c r="CW400" i="27"/>
  <c r="CV403" i="27"/>
  <c r="CN411" i="27" l="1"/>
  <c r="CN406" i="27"/>
  <c r="CO408" i="27"/>
  <c r="CN390" i="27"/>
  <c r="CN395" i="27"/>
  <c r="CO392" i="27"/>
  <c r="CX400" i="27"/>
  <c r="CW403" i="27"/>
  <c r="CW398" i="27"/>
  <c r="CO390" i="27" l="1"/>
  <c r="CP392" i="27"/>
  <c r="CO395" i="27"/>
  <c r="CP408" i="27"/>
  <c r="CO406" i="27"/>
  <c r="CO411" i="27"/>
  <c r="CX403" i="27"/>
  <c r="CX398" i="27"/>
  <c r="CY400" i="27"/>
  <c r="CP406" i="27" l="1"/>
  <c r="CP411" i="27"/>
  <c r="CQ408" i="27"/>
  <c r="CP390" i="27"/>
  <c r="CQ392" i="27"/>
  <c r="CP395" i="27"/>
  <c r="CY398" i="27"/>
  <c r="CZ400" i="27"/>
  <c r="CY403" i="27"/>
  <c r="CR392" i="27" l="1"/>
  <c r="CQ390" i="27"/>
  <c r="CQ395" i="27"/>
  <c r="CQ406" i="27"/>
  <c r="CQ411" i="27"/>
  <c r="CR408" i="27"/>
  <c r="CZ398" i="27"/>
  <c r="DA400" i="27"/>
  <c r="CZ403" i="27"/>
  <c r="CS408" i="27" l="1"/>
  <c r="CR411" i="27"/>
  <c r="CR406" i="27"/>
  <c r="CR390" i="27"/>
  <c r="CS392" i="27"/>
  <c r="CR395" i="27"/>
  <c r="DB400" i="27"/>
  <c r="DA403" i="27"/>
  <c r="DA398" i="27"/>
  <c r="CS406" i="27" l="1"/>
  <c r="CS411" i="27"/>
  <c r="CT408" i="27"/>
  <c r="CT392" i="27"/>
  <c r="CS390" i="27"/>
  <c r="CS395" i="27"/>
  <c r="DC400" i="27"/>
  <c r="DB403" i="27"/>
  <c r="DB398" i="27"/>
  <c r="CU392" i="27" l="1"/>
  <c r="CT395" i="27"/>
  <c r="CT390" i="27"/>
  <c r="CT406" i="27"/>
  <c r="CU408" i="27"/>
  <c r="CT411" i="27"/>
  <c r="DC398" i="27"/>
  <c r="DC403" i="27"/>
  <c r="DD400" i="27"/>
  <c r="CU395" i="27" l="1"/>
  <c r="CU390" i="27"/>
  <c r="CV392" i="27"/>
  <c r="CV408" i="27"/>
  <c r="CU406" i="27"/>
  <c r="CU411" i="27"/>
  <c r="DD403" i="27"/>
  <c r="DE400" i="27"/>
  <c r="DD398" i="27"/>
  <c r="CV390" i="27" l="1"/>
  <c r="CW392" i="27"/>
  <c r="CV395" i="27"/>
  <c r="CV411" i="27"/>
  <c r="CW408" i="27"/>
  <c r="CV406" i="27"/>
  <c r="DF400" i="27"/>
  <c r="DE398" i="27"/>
  <c r="DE403" i="27"/>
  <c r="CX408" i="27" l="1"/>
  <c r="CW406" i="27"/>
  <c r="CW411" i="27"/>
  <c r="CW395" i="27"/>
  <c r="CW390" i="27"/>
  <c r="CX392" i="27"/>
  <c r="DF403" i="27"/>
  <c r="DG400" i="27"/>
  <c r="DF398" i="27"/>
  <c r="CX406" i="27" l="1"/>
  <c r="CX411" i="27"/>
  <c r="CY408" i="27"/>
  <c r="CX390" i="27"/>
  <c r="CY392" i="27"/>
  <c r="CX395" i="27"/>
  <c r="DG398" i="27"/>
  <c r="DG403" i="27"/>
  <c r="DH400" i="27"/>
  <c r="CY390" i="27" l="1"/>
  <c r="CY395" i="27"/>
  <c r="CZ392" i="27"/>
  <c r="CZ408" i="27"/>
  <c r="CY406" i="27"/>
  <c r="CY411" i="27"/>
  <c r="DI400" i="27"/>
  <c r="DH398" i="27"/>
  <c r="DH403" i="27"/>
  <c r="DA392" i="27" l="1"/>
  <c r="CZ390" i="27"/>
  <c r="CZ395" i="27"/>
  <c r="DA408" i="27"/>
  <c r="CZ411" i="27"/>
  <c r="CZ406" i="27"/>
  <c r="DI403" i="27"/>
  <c r="DJ400" i="27"/>
  <c r="DI398" i="27"/>
  <c r="DA390" i="27" l="1"/>
  <c r="DB392" i="27"/>
  <c r="DA395" i="27"/>
  <c r="DA411" i="27"/>
  <c r="DA406" i="27"/>
  <c r="DB408" i="27"/>
  <c r="DK400" i="27"/>
  <c r="DJ403" i="27"/>
  <c r="DJ398" i="27"/>
  <c r="DB406" i="27" l="1"/>
  <c r="DB411" i="27"/>
  <c r="DC408" i="27"/>
  <c r="DC392" i="27"/>
  <c r="DB390" i="27"/>
  <c r="DB395" i="27"/>
  <c r="DK398" i="27"/>
  <c r="DL400" i="27"/>
  <c r="DK403" i="27"/>
  <c r="DD392" i="27" l="1"/>
  <c r="DC390" i="27"/>
  <c r="DC395" i="27"/>
  <c r="DC406" i="27"/>
  <c r="DC411" i="27"/>
  <c r="DD408" i="27"/>
  <c r="DM400" i="27"/>
  <c r="DL403" i="27"/>
  <c r="DL398" i="27"/>
  <c r="DE392" i="27" l="1"/>
  <c r="DD395" i="27"/>
  <c r="DD390" i="27"/>
  <c r="DD411" i="27"/>
  <c r="DD406" i="27"/>
  <c r="DE408" i="27"/>
  <c r="DM398" i="27"/>
  <c r="DM403" i="27"/>
  <c r="DN400" i="27"/>
  <c r="DF392" i="27" l="1"/>
  <c r="DE395" i="27"/>
  <c r="DE390" i="27"/>
  <c r="DF408" i="27"/>
  <c r="DE406" i="27"/>
  <c r="DE411" i="27"/>
  <c r="DN403" i="27"/>
  <c r="DO400" i="27"/>
  <c r="DN398" i="27"/>
  <c r="DF411" i="27" l="1"/>
  <c r="DG408" i="27"/>
  <c r="DF406" i="27"/>
  <c r="DF395" i="27"/>
  <c r="DF390" i="27"/>
  <c r="DG392" i="27"/>
  <c r="DP400" i="27"/>
  <c r="DO403" i="27"/>
  <c r="DO398" i="27"/>
  <c r="DG390" i="27" l="1"/>
  <c r="DH392" i="27"/>
  <c r="DG395" i="27"/>
  <c r="DG406" i="27"/>
  <c r="DH408" i="27"/>
  <c r="DG411" i="27"/>
  <c r="DQ400" i="27"/>
  <c r="DP398" i="27"/>
  <c r="DP403" i="27"/>
  <c r="DH411" i="27" l="1"/>
  <c r="DH406" i="27"/>
  <c r="DI408" i="27"/>
  <c r="DI392" i="27"/>
  <c r="DH390" i="27"/>
  <c r="DH395" i="27"/>
  <c r="DR400" i="27"/>
  <c r="DQ398" i="27"/>
  <c r="DQ403" i="27"/>
  <c r="DI395" i="27" l="1"/>
  <c r="DI390" i="27"/>
  <c r="DJ392" i="27"/>
  <c r="DI406" i="27"/>
  <c r="DJ408" i="27"/>
  <c r="DI411" i="27"/>
  <c r="DR398" i="27"/>
  <c r="DS400" i="27"/>
  <c r="DR403" i="27"/>
  <c r="DJ390" i="27" l="1"/>
  <c r="DK392" i="27"/>
  <c r="DJ395" i="27"/>
  <c r="DJ411" i="27"/>
  <c r="DK408" i="27"/>
  <c r="DJ406" i="27"/>
  <c r="DT400" i="27"/>
  <c r="DS403" i="27"/>
  <c r="DS398" i="27"/>
  <c r="DL408" i="27" l="1"/>
  <c r="DK411" i="27"/>
  <c r="DK406" i="27"/>
  <c r="DL392" i="27"/>
  <c r="DK390" i="27"/>
  <c r="DK395" i="27"/>
  <c r="DT398" i="27"/>
  <c r="DT403" i="27"/>
  <c r="DU400" i="27"/>
  <c r="DL406" i="27" l="1"/>
  <c r="DM408" i="27"/>
  <c r="DL411" i="27"/>
  <c r="DL395" i="27"/>
  <c r="DL390" i="27"/>
  <c r="DM392" i="27"/>
  <c r="DU403" i="27"/>
  <c r="DU398" i="27"/>
  <c r="DV400" i="27"/>
  <c r="DM395" i="27" l="1"/>
  <c r="DN392" i="27"/>
  <c r="DM390" i="27"/>
  <c r="DM406" i="27"/>
  <c r="DM411" i="27"/>
  <c r="DN408" i="27"/>
  <c r="DW400" i="27"/>
  <c r="DV403" i="27"/>
  <c r="DV398" i="27"/>
  <c r="DO408" i="27" l="1"/>
  <c r="DN411" i="27"/>
  <c r="DN406" i="27"/>
  <c r="DN395" i="27"/>
  <c r="DN390" i="27"/>
  <c r="DO392" i="27"/>
  <c r="DX400" i="27"/>
  <c r="DW398" i="27"/>
  <c r="DW403" i="27"/>
  <c r="DO406" i="27" l="1"/>
  <c r="DP408" i="27"/>
  <c r="DO411" i="27"/>
  <c r="DP392" i="27"/>
  <c r="DO395" i="27"/>
  <c r="DO390" i="27"/>
  <c r="DY400" i="27"/>
  <c r="DX403" i="27"/>
  <c r="DX398" i="27"/>
  <c r="DP390" i="27" l="1"/>
  <c r="DP395" i="27"/>
  <c r="DQ392" i="27"/>
  <c r="DP411" i="27"/>
  <c r="DP406" i="27"/>
  <c r="DQ408" i="27"/>
  <c r="DY398" i="27"/>
  <c r="DY403" i="27"/>
  <c r="DZ400" i="27"/>
  <c r="DR392" i="27" l="1"/>
  <c r="DQ395" i="27"/>
  <c r="DQ390" i="27"/>
  <c r="DR408" i="27"/>
  <c r="DQ406" i="27"/>
  <c r="DQ411" i="27"/>
  <c r="EA400" i="27"/>
  <c r="DZ398" i="27"/>
  <c r="DZ403" i="27"/>
  <c r="DS392" i="27" l="1"/>
  <c r="DR395" i="27"/>
  <c r="DR390" i="27"/>
  <c r="DR411" i="27"/>
  <c r="DS408" i="27"/>
  <c r="DR406" i="27"/>
  <c r="EA398" i="27"/>
  <c r="EA403" i="27"/>
  <c r="EB400" i="27"/>
  <c r="DS411" i="27" l="1"/>
  <c r="DT408" i="27"/>
  <c r="DS406" i="27"/>
  <c r="DS395" i="27"/>
  <c r="DS390" i="27"/>
  <c r="DT392" i="27"/>
  <c r="EB398" i="27"/>
  <c r="EB403" i="27"/>
  <c r="EC400" i="27"/>
  <c r="DT406" i="27" l="1"/>
  <c r="DT411" i="27"/>
  <c r="DU408" i="27"/>
  <c r="DT395" i="27"/>
  <c r="DU392" i="27"/>
  <c r="DT390" i="27"/>
  <c r="EC398" i="27"/>
  <c r="ED400" i="27"/>
  <c r="EC403" i="27"/>
  <c r="DU395" i="27" l="1"/>
  <c r="DV392" i="27"/>
  <c r="DU390" i="27"/>
  <c r="DU411" i="27"/>
  <c r="DU406" i="27"/>
  <c r="DV408" i="27"/>
  <c r="ED398" i="27"/>
  <c r="EE400" i="27"/>
  <c r="ED403" i="27"/>
  <c r="DV411" i="27" l="1"/>
  <c r="DW408" i="27"/>
  <c r="DV406" i="27"/>
  <c r="DV395" i="27"/>
  <c r="DV390" i="27"/>
  <c r="DW392" i="27"/>
  <c r="EF400" i="27"/>
  <c r="EE398" i="27"/>
  <c r="EE403" i="27"/>
  <c r="DW390" i="27" l="1"/>
  <c r="DX392" i="27"/>
  <c r="DW395" i="27"/>
  <c r="DX408" i="27"/>
  <c r="DW411" i="27"/>
  <c r="DW406" i="27"/>
  <c r="EG400" i="27"/>
  <c r="EF398" i="27"/>
  <c r="EF403" i="27"/>
  <c r="DX390" i="27" l="1"/>
  <c r="DY392" i="27"/>
  <c r="DX395" i="27"/>
  <c r="DX411" i="27"/>
  <c r="DY408" i="27"/>
  <c r="DX406" i="27"/>
  <c r="EH400" i="27"/>
  <c r="EG398" i="27"/>
  <c r="EG403" i="27"/>
  <c r="DZ408" i="27" l="1"/>
  <c r="DY406" i="27"/>
  <c r="DY411" i="27"/>
  <c r="DZ392" i="27"/>
  <c r="DY395" i="27"/>
  <c r="DY390" i="27"/>
  <c r="EH403" i="27"/>
  <c r="EH398" i="27"/>
  <c r="EI400" i="27"/>
  <c r="EA392" i="27" l="1"/>
  <c r="DZ390" i="27"/>
  <c r="DZ395" i="27"/>
  <c r="DZ406" i="27"/>
  <c r="EA408" i="27"/>
  <c r="DZ411" i="27"/>
  <c r="EJ400" i="27"/>
  <c r="EI403" i="27"/>
  <c r="EI398" i="27"/>
  <c r="EA406" i="27" l="1"/>
  <c r="EB408" i="27"/>
  <c r="EA411" i="27"/>
  <c r="EA390" i="27"/>
  <c r="EA395" i="27"/>
  <c r="EB392" i="27"/>
  <c r="EJ403" i="27"/>
  <c r="EJ398" i="27"/>
  <c r="EK400" i="27"/>
  <c r="EB390" i="27" l="1"/>
  <c r="EB395" i="27"/>
  <c r="EC392" i="27"/>
  <c r="EC408" i="27"/>
  <c r="EB406" i="27"/>
  <c r="EB411" i="27"/>
  <c r="EL400" i="27"/>
  <c r="EK398" i="27"/>
  <c r="EK403" i="27"/>
  <c r="ED408" i="27" l="1"/>
  <c r="EC411" i="27"/>
  <c r="EC406" i="27"/>
  <c r="EC390" i="27"/>
  <c r="EC395" i="27"/>
  <c r="ED392" i="27"/>
  <c r="EL398" i="27"/>
  <c r="EL403" i="27"/>
  <c r="EM400" i="27"/>
  <c r="EE408" i="27" l="1"/>
  <c r="ED406" i="27"/>
  <c r="ED411" i="27"/>
  <c r="ED395" i="27"/>
  <c r="EE392" i="27"/>
  <c r="ED390" i="27"/>
  <c r="EM398" i="27"/>
  <c r="EN400" i="27"/>
  <c r="EM403" i="27"/>
  <c r="EF392" i="27" l="1"/>
  <c r="EE395" i="27"/>
  <c r="EE390" i="27"/>
  <c r="EE411" i="27"/>
  <c r="EE406" i="27"/>
  <c r="EF408" i="27"/>
  <c r="EN403" i="27"/>
  <c r="EN398" i="27"/>
  <c r="EO400" i="27"/>
  <c r="EG408" i="27" l="1"/>
  <c r="EF406" i="27"/>
  <c r="EF411" i="27"/>
  <c r="EF395" i="27"/>
  <c r="EG392" i="27"/>
  <c r="EF390" i="27"/>
  <c r="EP400" i="27"/>
  <c r="EO398" i="27"/>
  <c r="EO403" i="27"/>
  <c r="EG395" i="27" l="1"/>
  <c r="EH392" i="27"/>
  <c r="EG390" i="27"/>
  <c r="EH408" i="27"/>
  <c r="EG406" i="27"/>
  <c r="EG411" i="27"/>
  <c r="EP398" i="27"/>
  <c r="EP403" i="27"/>
  <c r="EQ400" i="27"/>
  <c r="EH411" i="27" l="1"/>
  <c r="EI408" i="27"/>
  <c r="EH406" i="27"/>
  <c r="EI392" i="27"/>
  <c r="EH395" i="27"/>
  <c r="EH390" i="27"/>
  <c r="EQ398" i="27"/>
  <c r="EQ403" i="27"/>
  <c r="ER400" i="27"/>
  <c r="EI395" i="27" l="1"/>
  <c r="EI390" i="27"/>
  <c r="EJ392" i="27"/>
  <c r="EI406" i="27"/>
  <c r="EJ408" i="27"/>
  <c r="EI411" i="27"/>
  <c r="ER398" i="27"/>
  <c r="ES400" i="27"/>
  <c r="ER403" i="27"/>
  <c r="EJ390" i="27" l="1"/>
  <c r="EK392" i="27"/>
  <c r="EJ395" i="27"/>
  <c r="EK408" i="27"/>
  <c r="EJ411" i="27"/>
  <c r="EJ406" i="27"/>
  <c r="ES398" i="27"/>
  <c r="ES403" i="27"/>
  <c r="ET400" i="27"/>
  <c r="EK406" i="27" l="1"/>
  <c r="EL408" i="27"/>
  <c r="EK411" i="27"/>
  <c r="EK395" i="27"/>
  <c r="EK390" i="27"/>
  <c r="EL392" i="27"/>
  <c r="ET403" i="27"/>
  <c r="EU400" i="27"/>
  <c r="ET398" i="27"/>
  <c r="EL395" i="27" l="1"/>
  <c r="EL390" i="27"/>
  <c r="EM392" i="27"/>
  <c r="EL406" i="27"/>
  <c r="EL411" i="27"/>
  <c r="EM408" i="27"/>
  <c r="EU403" i="27"/>
  <c r="EU398" i="27"/>
  <c r="EV400" i="27"/>
  <c r="EN408" i="27" l="1"/>
  <c r="EM411" i="27"/>
  <c r="EM406" i="27"/>
  <c r="EM395" i="27"/>
  <c r="EM390" i="27"/>
  <c r="EN392" i="27"/>
  <c r="EW400" i="27"/>
  <c r="EV398" i="27"/>
  <c r="EV403" i="27"/>
  <c r="EN390" i="27" l="1"/>
  <c r="EO392" i="27"/>
  <c r="EN395" i="27"/>
  <c r="EO408" i="27"/>
  <c r="EN406" i="27"/>
  <c r="EN411" i="27"/>
  <c r="EW403" i="27"/>
  <c r="EX400" i="27"/>
  <c r="EW398" i="27"/>
  <c r="EO395" i="27" l="1"/>
  <c r="EO390" i="27"/>
  <c r="EP392" i="27"/>
  <c r="EO411" i="27"/>
  <c r="EP408" i="27"/>
  <c r="EO406" i="27"/>
  <c r="EX398" i="27"/>
  <c r="EX403" i="27"/>
  <c r="EY400" i="27"/>
  <c r="EQ408" i="27" l="1"/>
  <c r="EP406" i="27"/>
  <c r="EP411" i="27"/>
  <c r="EP395" i="27"/>
  <c r="EP390" i="27"/>
  <c r="EQ392" i="27"/>
  <c r="EY398" i="27"/>
  <c r="EY403" i="27"/>
  <c r="EZ400" i="27"/>
  <c r="ER408" i="27" l="1"/>
  <c r="EQ411" i="27"/>
  <c r="EQ406" i="27"/>
  <c r="ER392" i="27"/>
  <c r="EQ390" i="27"/>
  <c r="EQ395" i="27"/>
  <c r="EZ398" i="27"/>
  <c r="EZ403" i="27"/>
  <c r="FA400" i="27"/>
  <c r="ER406" i="27" l="1"/>
  <c r="ES408" i="27"/>
  <c r="ER411" i="27"/>
  <c r="ER390" i="27"/>
  <c r="ES392" i="27"/>
  <c r="ER395" i="27"/>
  <c r="FA398" i="27"/>
  <c r="FA403" i="27"/>
  <c r="FB400" i="27"/>
  <c r="ET392" i="27" l="1"/>
  <c r="ES390" i="27"/>
  <c r="ES395" i="27"/>
  <c r="ES411" i="27"/>
  <c r="ES406" i="27"/>
  <c r="ET408" i="27"/>
  <c r="FB398" i="27"/>
  <c r="FC400" i="27"/>
  <c r="FB403" i="27"/>
  <c r="ET406" i="27" l="1"/>
  <c r="ET411" i="27"/>
  <c r="EU408" i="27"/>
  <c r="ET395" i="27"/>
  <c r="EU392" i="27"/>
  <c r="ET390" i="27"/>
  <c r="FD400" i="27"/>
  <c r="FC398" i="27"/>
  <c r="FC403" i="27"/>
  <c r="EU390" i="27" l="1"/>
  <c r="EU395" i="27"/>
  <c r="EV392" i="27"/>
  <c r="EU411" i="27"/>
  <c r="EU406" i="27"/>
  <c r="EV408" i="27"/>
  <c r="FE400" i="27"/>
  <c r="FD403" i="27"/>
  <c r="FD398" i="27"/>
  <c r="EV406" i="27" l="1"/>
  <c r="EW408" i="27"/>
  <c r="EV411" i="27"/>
  <c r="EV395" i="27"/>
  <c r="EW392" i="27"/>
  <c r="EV390" i="27"/>
  <c r="FF400" i="27"/>
  <c r="FE403" i="27"/>
  <c r="FE398" i="27"/>
  <c r="EX392" i="27" l="1"/>
  <c r="EW395" i="27"/>
  <c r="EW390" i="27"/>
  <c r="EX408" i="27"/>
  <c r="EW411" i="27"/>
  <c r="EW406" i="27"/>
  <c r="FF403" i="27"/>
  <c r="FG400" i="27"/>
  <c r="FF398" i="27"/>
  <c r="EX406" i="27" l="1"/>
  <c r="EY408" i="27"/>
  <c r="EX411" i="27"/>
  <c r="EX390" i="27"/>
  <c r="EX395" i="27"/>
  <c r="EY392" i="27"/>
  <c r="FG398" i="27"/>
  <c r="FH400" i="27"/>
  <c r="FG403" i="27"/>
  <c r="EY395" i="27" l="1"/>
  <c r="EZ392" i="27"/>
  <c r="EY390" i="27"/>
  <c r="EZ408" i="27"/>
  <c r="EY411" i="27"/>
  <c r="EY406" i="27"/>
  <c r="FH398" i="27"/>
  <c r="FI400" i="27"/>
  <c r="FH403" i="27"/>
  <c r="FA408" i="27" l="1"/>
  <c r="EZ406" i="27"/>
  <c r="EZ411" i="27"/>
  <c r="FA392" i="27"/>
  <c r="EZ390" i="27"/>
  <c r="EZ395" i="27"/>
  <c r="FJ400" i="27"/>
  <c r="FI398" i="27"/>
  <c r="FI403" i="27"/>
  <c r="FA395" i="27" l="1"/>
  <c r="FA390" i="27"/>
  <c r="FB392" i="27"/>
  <c r="FA411" i="27"/>
  <c r="FB408" i="27"/>
  <c r="FA406" i="27"/>
  <c r="FJ403" i="27"/>
  <c r="FK400" i="27"/>
  <c r="FJ398" i="27"/>
  <c r="FC408" i="27" l="1"/>
  <c r="FB406" i="27"/>
  <c r="FB411" i="27"/>
  <c r="FB390" i="27"/>
  <c r="FB395" i="27"/>
  <c r="FC392" i="27"/>
  <c r="FK398" i="27"/>
  <c r="FL400" i="27"/>
  <c r="FK403" i="27"/>
  <c r="FC390" i="27" l="1"/>
  <c r="FD392" i="27"/>
  <c r="FC395" i="27"/>
  <c r="FC406" i="27"/>
  <c r="FC411" i="27"/>
  <c r="FD408" i="27"/>
  <c r="FL398" i="27"/>
  <c r="FL403" i="27"/>
  <c r="FM400" i="27"/>
  <c r="FD411" i="27" l="1"/>
  <c r="FD406" i="27"/>
  <c r="FE408" i="27"/>
  <c r="FD395" i="27"/>
  <c r="FD390" i="27"/>
  <c r="FE392" i="27"/>
  <c r="FM398" i="27"/>
  <c r="FM403" i="27"/>
  <c r="FN400" i="27"/>
  <c r="FE406" i="27" l="1"/>
  <c r="FE411" i="27"/>
  <c r="FF408" i="27"/>
  <c r="FE390" i="27"/>
  <c r="FF392" i="27"/>
  <c r="FE395" i="27"/>
  <c r="FO400" i="27"/>
  <c r="FN403" i="27"/>
  <c r="FN398" i="27"/>
  <c r="FG392" i="27" l="1"/>
  <c r="FF390" i="27"/>
  <c r="FF395" i="27"/>
  <c r="FF411" i="27"/>
  <c r="FF406" i="27"/>
  <c r="FG408" i="27"/>
  <c r="FO403" i="27"/>
  <c r="FP400" i="27"/>
  <c r="FO398" i="27"/>
  <c r="FG390" i="27" l="1"/>
  <c r="FH392" i="27"/>
  <c r="FG395" i="27"/>
  <c r="FG411" i="27"/>
  <c r="FH408" i="27"/>
  <c r="FG406" i="27"/>
  <c r="FQ400" i="27"/>
  <c r="FP398" i="27"/>
  <c r="FP403" i="27"/>
  <c r="FH411" i="27" l="1"/>
  <c r="FH406" i="27"/>
  <c r="FI408" i="27"/>
  <c r="FH395" i="27"/>
  <c r="FI392" i="27"/>
  <c r="FH390" i="27"/>
  <c r="FQ398" i="27"/>
  <c r="FQ403" i="27"/>
  <c r="FR400" i="27"/>
  <c r="FI406" i="27" l="1"/>
  <c r="FJ408" i="27"/>
  <c r="FI411" i="27"/>
  <c r="FJ392" i="27"/>
  <c r="FI395" i="27"/>
  <c r="FI390" i="27"/>
  <c r="FR403" i="27"/>
  <c r="FR398" i="27"/>
  <c r="FS400" i="27"/>
  <c r="FJ395" i="27" l="1"/>
  <c r="FJ390" i="27"/>
  <c r="FK392" i="27"/>
  <c r="FJ406" i="27"/>
  <c r="FJ411" i="27"/>
  <c r="FK408" i="27"/>
  <c r="FS403" i="27"/>
  <c r="FS398" i="27"/>
  <c r="FT400" i="27"/>
  <c r="FL408" i="27" l="1"/>
  <c r="FK411" i="27"/>
  <c r="FK406" i="27"/>
  <c r="FK390" i="27"/>
  <c r="FL392" i="27"/>
  <c r="FK395" i="27"/>
  <c r="FU400" i="27"/>
  <c r="FT398" i="27"/>
  <c r="FT403" i="27"/>
  <c r="FL406" i="27" l="1"/>
  <c r="FM408" i="27"/>
  <c r="FL411" i="27"/>
  <c r="FL395" i="27"/>
  <c r="FL390" i="27"/>
  <c r="FM392" i="27"/>
  <c r="FU398" i="27"/>
  <c r="FV400" i="27"/>
  <c r="FU403" i="27"/>
  <c r="FN392" i="27" l="1"/>
  <c r="FM395" i="27"/>
  <c r="FM390" i="27"/>
  <c r="FN408" i="27"/>
  <c r="FM411" i="27"/>
  <c r="FM406" i="27"/>
  <c r="FV403" i="27"/>
  <c r="FW400" i="27"/>
  <c r="FV398" i="27"/>
  <c r="FN390" i="27" l="1"/>
  <c r="FO392" i="27"/>
  <c r="FN395" i="27"/>
  <c r="FN411" i="27"/>
  <c r="FO408" i="27"/>
  <c r="FN406" i="27"/>
  <c r="FW403" i="27"/>
  <c r="FW398" i="27"/>
  <c r="FX400" i="27"/>
  <c r="FO411" i="27" l="1"/>
  <c r="FP408" i="27"/>
  <c r="FO406" i="27"/>
  <c r="FO390" i="27"/>
  <c r="FO395" i="27"/>
  <c r="FP392" i="27"/>
  <c r="FX398" i="27"/>
  <c r="FY400" i="27"/>
  <c r="FX403" i="27"/>
  <c r="FQ392" i="27" l="1"/>
  <c r="FP395" i="27"/>
  <c r="FP390" i="27"/>
  <c r="FP411" i="27"/>
  <c r="FQ408" i="27"/>
  <c r="FP406" i="27"/>
  <c r="FY398" i="27"/>
  <c r="FZ400" i="27"/>
  <c r="FY403" i="27"/>
  <c r="FQ390" i="27" l="1"/>
  <c r="FQ395" i="27"/>
  <c r="FR392" i="27"/>
  <c r="FQ411" i="27"/>
  <c r="FR408" i="27"/>
  <c r="FQ406" i="27"/>
  <c r="GA400" i="27"/>
  <c r="FZ398" i="27"/>
  <c r="FZ403" i="27"/>
  <c r="FR406" i="27" l="1"/>
  <c r="FS408" i="27"/>
  <c r="FR411" i="27"/>
  <c r="FR390" i="27"/>
  <c r="FS392" i="27"/>
  <c r="FR395" i="27"/>
  <c r="GB400" i="27"/>
  <c r="GA398" i="27"/>
  <c r="GA403" i="27"/>
  <c r="FT392" i="27" l="1"/>
  <c r="FS390" i="27"/>
  <c r="FS395" i="27"/>
  <c r="FS406" i="27"/>
  <c r="FT408" i="27"/>
  <c r="FS411" i="27"/>
  <c r="GC400" i="27"/>
  <c r="GB398" i="27"/>
  <c r="GB403" i="27"/>
  <c r="FU408" i="27" l="1"/>
  <c r="FT411" i="27"/>
  <c r="FT406" i="27"/>
  <c r="FU392" i="27"/>
  <c r="FT390" i="27"/>
  <c r="FT395" i="27"/>
  <c r="GC398" i="27"/>
  <c r="GD400" i="27"/>
  <c r="GC403" i="27"/>
  <c r="FU411" i="27" l="1"/>
  <c r="FU406" i="27"/>
  <c r="FV408" i="27"/>
  <c r="FV392" i="27"/>
  <c r="FU395" i="27"/>
  <c r="FU390" i="27"/>
  <c r="GE400" i="27"/>
  <c r="GD403" i="27"/>
  <c r="GD398" i="27"/>
  <c r="FV395" i="27" l="1"/>
  <c r="FV390" i="27"/>
  <c r="FW392" i="27"/>
  <c r="FV411" i="27"/>
  <c r="FV406" i="27"/>
  <c r="FW408" i="27"/>
  <c r="GF400" i="27"/>
  <c r="GE403" i="27"/>
  <c r="GE398" i="27"/>
  <c r="FW411" i="27" l="1"/>
  <c r="FX408" i="27"/>
  <c r="FW406" i="27"/>
  <c r="FW395" i="27"/>
  <c r="FW390" i="27"/>
  <c r="FX392" i="27"/>
  <c r="GF398" i="27"/>
  <c r="GG400" i="27"/>
  <c r="GF403" i="27"/>
  <c r="FY408" i="27" l="1"/>
  <c r="FX406" i="27"/>
  <c r="FX411" i="27"/>
  <c r="FX390" i="27"/>
  <c r="FY392" i="27"/>
  <c r="FX395" i="27"/>
  <c r="GG403" i="27"/>
  <c r="GG398" i="27"/>
  <c r="GH400" i="27"/>
  <c r="FY406" i="27" l="1"/>
  <c r="FZ408" i="27"/>
  <c r="FY411" i="27"/>
  <c r="FZ392" i="27"/>
  <c r="FY395" i="27"/>
  <c r="FY390" i="27"/>
  <c r="GI400" i="27"/>
  <c r="GH403" i="27"/>
  <c r="GH398" i="27"/>
  <c r="GA392" i="27" l="1"/>
  <c r="FZ390" i="27"/>
  <c r="FZ395" i="27"/>
  <c r="FZ406" i="27"/>
  <c r="FZ411" i="27"/>
  <c r="GA408" i="27"/>
  <c r="GI403" i="27"/>
  <c r="GJ400" i="27"/>
  <c r="GI398" i="27"/>
  <c r="GA390" i="27" l="1"/>
  <c r="GB392" i="27"/>
  <c r="GA395" i="27"/>
  <c r="GA406" i="27"/>
  <c r="GB408" i="27"/>
  <c r="GA411" i="27"/>
  <c r="GK400" i="27"/>
  <c r="GJ398" i="27"/>
  <c r="GJ403" i="27"/>
  <c r="GB406" i="27" l="1"/>
  <c r="GC408" i="27"/>
  <c r="GB411" i="27"/>
  <c r="GC392" i="27"/>
  <c r="GB390" i="27"/>
  <c r="GB395" i="27"/>
  <c r="GK403" i="27"/>
  <c r="GK398" i="27"/>
  <c r="GL400" i="27"/>
  <c r="GC390" i="27" l="1"/>
  <c r="GC395" i="27"/>
  <c r="GD392" i="27"/>
  <c r="GC406" i="27"/>
  <c r="GC411" i="27"/>
  <c r="GD408" i="27"/>
  <c r="GL403" i="27"/>
  <c r="GL398" i="27"/>
  <c r="GM400" i="27"/>
  <c r="GD406" i="27" l="1"/>
  <c r="GE408" i="27"/>
  <c r="GD411" i="27"/>
  <c r="GE392" i="27"/>
  <c r="GD395" i="27"/>
  <c r="GD390" i="27"/>
  <c r="GM398" i="27"/>
  <c r="GN400" i="27"/>
  <c r="GM403" i="27"/>
  <c r="GF392" i="27" l="1"/>
  <c r="GE390" i="27"/>
  <c r="GE395" i="27"/>
  <c r="GE411" i="27"/>
  <c r="GF408" i="27"/>
  <c r="GE406" i="27"/>
  <c r="GO400" i="27"/>
  <c r="GN398" i="27"/>
  <c r="GN403" i="27"/>
  <c r="GF390" i="27" l="1"/>
  <c r="GF395" i="27"/>
  <c r="GG392" i="27"/>
  <c r="GF406" i="27"/>
  <c r="GF411" i="27"/>
  <c r="GG408" i="27"/>
  <c r="GO398" i="27"/>
  <c r="GO403" i="27"/>
  <c r="GP400" i="27"/>
  <c r="GH408" i="27" l="1"/>
  <c r="GG406" i="27"/>
  <c r="GG411" i="27"/>
  <c r="GG390" i="27"/>
  <c r="GG395" i="27"/>
  <c r="GH392" i="27"/>
  <c r="GP403" i="27"/>
  <c r="GP398" i="27"/>
  <c r="GQ400" i="27"/>
  <c r="GH395" i="27" l="1"/>
  <c r="GH390" i="27"/>
  <c r="GI392" i="27"/>
  <c r="GH406" i="27"/>
  <c r="GH411" i="27"/>
  <c r="GI408" i="27"/>
  <c r="GQ403" i="27"/>
  <c r="GQ398" i="27"/>
  <c r="GR400" i="27"/>
  <c r="GJ392" i="27" l="1"/>
  <c r="GI390" i="27"/>
  <c r="GI395" i="27"/>
  <c r="GI411" i="27"/>
  <c r="GI406" i="27"/>
  <c r="GJ408" i="27"/>
  <c r="GR403" i="27"/>
  <c r="GS400" i="27"/>
  <c r="GR398" i="27"/>
  <c r="GJ411" i="27" l="1"/>
  <c r="GJ406" i="27"/>
  <c r="GK408" i="27"/>
  <c r="GJ395" i="27"/>
  <c r="GK392" i="27"/>
  <c r="GJ390" i="27"/>
  <c r="GT400" i="27"/>
  <c r="GS403" i="27"/>
  <c r="GS398" i="27"/>
  <c r="GL392" i="27" l="1"/>
  <c r="GK390" i="27"/>
  <c r="GK395" i="27"/>
  <c r="GK411" i="27"/>
  <c r="GL408" i="27"/>
  <c r="GK406" i="27"/>
  <c r="GT398" i="27"/>
  <c r="GT403" i="27"/>
  <c r="GU400" i="27"/>
  <c r="GM392" i="27" l="1"/>
  <c r="GL390" i="27"/>
  <c r="GL395" i="27"/>
  <c r="GL411" i="27"/>
  <c r="GL406" i="27"/>
  <c r="GM408" i="27"/>
  <c r="GU403" i="27"/>
  <c r="GV400" i="27"/>
  <c r="GU398" i="27"/>
  <c r="GM411" i="27" l="1"/>
  <c r="GM406" i="27"/>
  <c r="GN408" i="27"/>
  <c r="GN392" i="27"/>
  <c r="GM390" i="27"/>
  <c r="GM395" i="27"/>
  <c r="GW400" i="27"/>
  <c r="GV398" i="27"/>
  <c r="GV403" i="27"/>
  <c r="GN390" i="27" l="1"/>
  <c r="GN395" i="27"/>
  <c r="GO392" i="27"/>
  <c r="GO408" i="27"/>
  <c r="GN406" i="27"/>
  <c r="GN411" i="27"/>
  <c r="GW398" i="27"/>
  <c r="GW403" i="27"/>
  <c r="GX400" i="27"/>
  <c r="GO411" i="27" l="1"/>
  <c r="GO406" i="27"/>
  <c r="GP408" i="27"/>
  <c r="GO395" i="27"/>
  <c r="GP392" i="27"/>
  <c r="GO390" i="27"/>
  <c r="GX403" i="27"/>
  <c r="GY400" i="27"/>
  <c r="GX398" i="27"/>
  <c r="GP395" i="27" l="1"/>
  <c r="GQ392" i="27"/>
  <c r="GP390" i="27"/>
  <c r="GQ408" i="27"/>
  <c r="GP406" i="27"/>
  <c r="GP411" i="27"/>
  <c r="GZ400" i="27"/>
  <c r="GY398" i="27"/>
  <c r="GY403" i="27"/>
  <c r="GR408" i="27" l="1"/>
  <c r="GQ406" i="27"/>
  <c r="GQ411" i="27"/>
  <c r="GQ390" i="27"/>
  <c r="GR392" i="27"/>
  <c r="GQ395" i="27"/>
  <c r="HA400" i="27"/>
  <c r="GZ403" i="27"/>
  <c r="GZ398" i="27"/>
  <c r="GR395" i="27" l="1"/>
  <c r="GR390" i="27"/>
  <c r="GS392" i="27"/>
  <c r="GR411" i="27"/>
  <c r="GR406" i="27"/>
  <c r="GS408" i="27"/>
  <c r="HB400" i="27"/>
  <c r="HA398" i="27"/>
  <c r="HA403" i="27"/>
  <c r="GS406" i="27" l="1"/>
  <c r="GT408" i="27"/>
  <c r="GS411" i="27"/>
  <c r="GS395" i="27"/>
  <c r="GT392" i="27"/>
  <c r="GS390" i="27"/>
  <c r="HB403" i="27"/>
  <c r="HB398" i="27"/>
  <c r="HC400" i="27"/>
  <c r="GT406" i="27" l="1"/>
  <c r="GT411" i="27"/>
  <c r="GU408" i="27"/>
  <c r="GU392" i="27"/>
  <c r="GT395" i="27"/>
  <c r="GT390" i="27"/>
  <c r="HC398" i="27"/>
  <c r="HD400" i="27"/>
  <c r="HC403" i="27"/>
  <c r="GU390" i="27" l="1"/>
  <c r="GU395" i="27"/>
  <c r="GV392" i="27"/>
  <c r="GV408" i="27"/>
  <c r="GU411" i="27"/>
  <c r="GU406" i="27"/>
  <c r="HE400" i="27"/>
  <c r="HD398" i="27"/>
  <c r="HD403" i="27"/>
  <c r="GV411" i="27" l="1"/>
  <c r="GW408" i="27"/>
  <c r="GV406" i="27"/>
  <c r="GV390" i="27"/>
  <c r="GV395" i="27"/>
  <c r="GW392" i="27"/>
  <c r="HE403" i="27"/>
  <c r="HF400" i="27"/>
  <c r="HE398" i="27"/>
  <c r="GX392" i="27" l="1"/>
  <c r="GW390" i="27"/>
  <c r="GW395" i="27"/>
  <c r="GW411" i="27"/>
  <c r="GX408" i="27"/>
  <c r="GW406" i="27"/>
  <c r="HF398" i="27"/>
  <c r="HG400" i="27"/>
  <c r="HF403" i="27"/>
  <c r="GX395" i="27" l="1"/>
  <c r="GY392" i="27"/>
  <c r="GX390" i="27"/>
  <c r="GX406" i="27"/>
  <c r="GY408" i="27"/>
  <c r="GX411" i="27"/>
  <c r="HG398" i="27"/>
  <c r="HG403" i="27"/>
  <c r="HH400" i="27"/>
  <c r="GZ408" i="27" l="1"/>
  <c r="GY411" i="27"/>
  <c r="GY406" i="27"/>
  <c r="GY395" i="27"/>
  <c r="GY390" i="27"/>
  <c r="GZ392" i="27"/>
  <c r="HI400" i="27"/>
  <c r="HH403" i="27"/>
  <c r="HH398" i="27"/>
  <c r="GZ406" i="27" l="1"/>
  <c r="GZ411" i="27"/>
  <c r="HA408" i="27"/>
  <c r="GZ390" i="27"/>
  <c r="HA392" i="27"/>
  <c r="GZ395" i="27"/>
  <c r="HI403" i="27"/>
  <c r="HJ400" i="27"/>
  <c r="HI398" i="27"/>
  <c r="HA390" i="27" l="1"/>
  <c r="HA395" i="27"/>
  <c r="HB392" i="27"/>
  <c r="HB408" i="27"/>
  <c r="HA411" i="27"/>
  <c r="HA406" i="27"/>
  <c r="HK400" i="27"/>
  <c r="HJ403" i="27"/>
  <c r="HJ398" i="27"/>
  <c r="HC408" i="27" l="1"/>
  <c r="HB411" i="27"/>
  <c r="HB406" i="27"/>
  <c r="HB390" i="27"/>
  <c r="HB395" i="27"/>
  <c r="HC392" i="27"/>
  <c r="HK398" i="27"/>
  <c r="HK403" i="27"/>
  <c r="HL400" i="27"/>
  <c r="HC406" i="27" l="1"/>
  <c r="HD408" i="27"/>
  <c r="HC411" i="27"/>
  <c r="HC390" i="27"/>
  <c r="HD392" i="27"/>
  <c r="HC395" i="27"/>
  <c r="HM400" i="27"/>
  <c r="HL403" i="27"/>
  <c r="HL398" i="27"/>
  <c r="HD390" i="27" l="1"/>
  <c r="HD395" i="27"/>
  <c r="HE392" i="27"/>
  <c r="HD411" i="27"/>
  <c r="HE408" i="27"/>
  <c r="HD406" i="27"/>
  <c r="HM403" i="27"/>
  <c r="HM398" i="27"/>
  <c r="HN400" i="27"/>
  <c r="HE395" i="27" l="1"/>
  <c r="HE390" i="27"/>
  <c r="HF392" i="27"/>
  <c r="HF408" i="27"/>
  <c r="HE411" i="27"/>
  <c r="HE406" i="27"/>
  <c r="HO400" i="27"/>
  <c r="HN398" i="27"/>
  <c r="HN403" i="27"/>
  <c r="HG408" i="27" l="1"/>
  <c r="HF406" i="27"/>
  <c r="HF411" i="27"/>
  <c r="HF395" i="27"/>
  <c r="HF390" i="27"/>
  <c r="HG392" i="27"/>
  <c r="HO398" i="27"/>
  <c r="HO403" i="27"/>
  <c r="HP400" i="27"/>
  <c r="HG395" i="27" l="1"/>
  <c r="HG390" i="27"/>
  <c r="HH392" i="27"/>
  <c r="HG406" i="27"/>
  <c r="HH408" i="27"/>
  <c r="HG411" i="27"/>
  <c r="HP403" i="27"/>
  <c r="HP398" i="27"/>
  <c r="HQ400" i="27"/>
  <c r="HI408" i="27" l="1"/>
  <c r="HH406" i="27"/>
  <c r="HH411" i="27"/>
  <c r="HI392" i="27"/>
  <c r="HH390" i="27"/>
  <c r="HH395" i="27"/>
  <c r="HR400" i="27"/>
  <c r="HQ398" i="27"/>
  <c r="HQ403" i="27"/>
  <c r="HI390" i="27" l="1"/>
  <c r="HJ392" i="27"/>
  <c r="HI395" i="27"/>
  <c r="HI411" i="27"/>
  <c r="HJ408" i="27"/>
  <c r="HI406" i="27"/>
  <c r="HS400" i="27"/>
  <c r="HR398" i="27"/>
  <c r="HR403" i="27"/>
  <c r="HJ411" i="27" l="1"/>
  <c r="HJ406" i="27"/>
  <c r="HK408" i="27"/>
  <c r="HK392" i="27"/>
  <c r="HJ390" i="27"/>
  <c r="HJ395" i="27"/>
  <c r="HS403" i="27"/>
  <c r="HS398" i="27"/>
  <c r="HT400" i="27"/>
  <c r="HK395" i="27" l="1"/>
  <c r="HL392" i="27"/>
  <c r="HK390" i="27"/>
  <c r="HK406" i="27"/>
  <c r="HL408" i="27"/>
  <c r="HK411" i="27"/>
  <c r="HT398" i="27"/>
  <c r="HT403" i="27"/>
  <c r="HU400" i="27"/>
  <c r="HL406" i="27" l="1"/>
  <c r="HL411" i="27"/>
  <c r="HM408" i="27"/>
  <c r="HM392" i="27"/>
  <c r="HL395" i="27"/>
  <c r="HL390" i="27"/>
  <c r="HU403" i="27"/>
  <c r="HV400" i="27"/>
  <c r="HU398" i="27"/>
  <c r="HN408" i="27" l="1"/>
  <c r="HM411" i="27"/>
  <c r="HM406" i="27"/>
  <c r="HM395" i="27"/>
  <c r="HN392" i="27"/>
  <c r="HM390" i="27"/>
  <c r="HW400" i="27"/>
  <c r="HV398" i="27"/>
  <c r="HV403" i="27"/>
  <c r="HO392" i="27" l="1"/>
  <c r="HN395" i="27"/>
  <c r="HN390" i="27"/>
  <c r="HO408" i="27"/>
  <c r="HN411" i="27"/>
  <c r="HN406" i="27"/>
  <c r="HW398" i="27"/>
  <c r="HW403" i="27"/>
  <c r="HX400" i="27"/>
  <c r="HP408" i="27" l="1"/>
  <c r="HO411" i="27"/>
  <c r="HO406" i="27"/>
  <c r="HP392" i="27"/>
  <c r="HO390" i="27"/>
  <c r="HO395" i="27"/>
  <c r="HX403" i="27"/>
  <c r="HX398" i="27"/>
  <c r="HY400" i="27"/>
  <c r="HP406" i="27" l="1"/>
  <c r="HP411" i="27"/>
  <c r="HQ408" i="27"/>
  <c r="HP390" i="27"/>
  <c r="HP395" i="27"/>
  <c r="HQ392" i="27"/>
  <c r="HY398" i="27"/>
  <c r="HZ400" i="27"/>
  <c r="HY403" i="27"/>
  <c r="HQ390" i="27" l="1"/>
  <c r="HR392" i="27"/>
  <c r="HQ395" i="27"/>
  <c r="HQ406" i="27"/>
  <c r="HQ411" i="27"/>
  <c r="HR408" i="27"/>
  <c r="IA400" i="27"/>
  <c r="HZ398" i="27"/>
  <c r="HZ403" i="27"/>
  <c r="HR411" i="27" l="1"/>
  <c r="HS408" i="27"/>
  <c r="HR406" i="27"/>
  <c r="HR390" i="27"/>
  <c r="HR395" i="27"/>
  <c r="HS392" i="27"/>
  <c r="IA398" i="27"/>
  <c r="IB400" i="27"/>
  <c r="IA403" i="27"/>
  <c r="HT392" i="27" l="1"/>
  <c r="HS395" i="27"/>
  <c r="HS390" i="27"/>
  <c r="HT408" i="27"/>
  <c r="HS411" i="27"/>
  <c r="HS406" i="27"/>
  <c r="IB403" i="27"/>
  <c r="IC400" i="27"/>
  <c r="IB398" i="27"/>
  <c r="HT411" i="27" l="1"/>
  <c r="HT406" i="27"/>
  <c r="HU408" i="27"/>
  <c r="HT395" i="27"/>
  <c r="HT390" i="27"/>
  <c r="HU392" i="27"/>
  <c r="ID400" i="27"/>
  <c r="IC403" i="27"/>
  <c r="IC398" i="27"/>
  <c r="HU390" i="27" l="1"/>
  <c r="HV392" i="27"/>
  <c r="HU395" i="27"/>
  <c r="HV408" i="27"/>
  <c r="HU406" i="27"/>
  <c r="HU411" i="27"/>
  <c r="IE400" i="27"/>
  <c r="ID398" i="27"/>
  <c r="ID403" i="27"/>
  <c r="HV406" i="27" l="1"/>
  <c r="HW408" i="27"/>
  <c r="HV411" i="27"/>
  <c r="HV390" i="27"/>
  <c r="HV395" i="27"/>
  <c r="HW392" i="27"/>
  <c r="IE403" i="27"/>
  <c r="IF400" i="27"/>
  <c r="IE398" i="27"/>
  <c r="HW395" i="27" l="1"/>
  <c r="HX392" i="27"/>
  <c r="HW390" i="27"/>
  <c r="HW411" i="27"/>
  <c r="HX408" i="27"/>
  <c r="HW406" i="27"/>
  <c r="IG400" i="27"/>
  <c r="IF403" i="27"/>
  <c r="IF398" i="27"/>
  <c r="HY392" i="27" l="1"/>
  <c r="HX395" i="27"/>
  <c r="HX390" i="27"/>
  <c r="HX411" i="27"/>
  <c r="HX406" i="27"/>
  <c r="HY408" i="27"/>
  <c r="IH400" i="27"/>
  <c r="IG403" i="27"/>
  <c r="IG398" i="27"/>
  <c r="HY411" i="27" l="1"/>
  <c r="HY406" i="27"/>
  <c r="HZ408" i="27"/>
  <c r="HY390" i="27"/>
  <c r="HZ392" i="27"/>
  <c r="HY395" i="27"/>
  <c r="IH398" i="27"/>
  <c r="II400" i="27"/>
  <c r="IH403" i="27"/>
  <c r="IA392" i="27" l="1"/>
  <c r="HZ390" i="27"/>
  <c r="HZ395" i="27"/>
  <c r="HZ406" i="27"/>
  <c r="HZ411" i="27"/>
  <c r="IA408" i="27"/>
  <c r="II398" i="27"/>
  <c r="II403" i="27"/>
  <c r="IJ400" i="27"/>
  <c r="IA406" i="27" l="1"/>
  <c r="IA411" i="27"/>
  <c r="IB408" i="27"/>
  <c r="IA395" i="27"/>
  <c r="IB392" i="27"/>
  <c r="IA390" i="27"/>
  <c r="IJ398" i="27"/>
  <c r="IJ403" i="27"/>
  <c r="IK400" i="27"/>
  <c r="IB390" i="27" l="1"/>
  <c r="IC392" i="27"/>
  <c r="IB395" i="27"/>
  <c r="IB411" i="27"/>
  <c r="IB406" i="27"/>
  <c r="IC408" i="27"/>
  <c r="IK398" i="27"/>
  <c r="DC399" i="27" s="1"/>
  <c r="DC401" i="27" s="1"/>
  <c r="DC404" i="27" s="1"/>
  <c r="IK403" i="27"/>
  <c r="ID408" i="27" l="1"/>
  <c r="IC406" i="27"/>
  <c r="IC411" i="27"/>
  <c r="ID392" i="27"/>
  <c r="IC390" i="27"/>
  <c r="IC395" i="27"/>
  <c r="GM399" i="27"/>
  <c r="GM401" i="27" s="1"/>
  <c r="GM404" i="27" s="1"/>
  <c r="CN399" i="27"/>
  <c r="CN401" i="27" s="1"/>
  <c r="CN404" i="27" s="1"/>
  <c r="HY399" i="27"/>
  <c r="HY401" i="27" s="1"/>
  <c r="HY404" i="27" s="1"/>
  <c r="FB399" i="27"/>
  <c r="FB401" i="27" s="1"/>
  <c r="FB404" i="27" s="1"/>
  <c r="GA399" i="27"/>
  <c r="GA401" i="27" s="1"/>
  <c r="GA404" i="27" s="1"/>
  <c r="HS399" i="27"/>
  <c r="HS401" i="27" s="1"/>
  <c r="HS404" i="27" s="1"/>
  <c r="EC399" i="27"/>
  <c r="EC401" i="27" s="1"/>
  <c r="EC404" i="27" s="1"/>
  <c r="AY399" i="27"/>
  <c r="AY401" i="27" s="1"/>
  <c r="AY404" i="27" s="1"/>
  <c r="AA399" i="27"/>
  <c r="AA401" i="27" s="1"/>
  <c r="AA404" i="27" s="1"/>
  <c r="X399" i="27"/>
  <c r="X401" i="27" s="1"/>
  <c r="X404" i="27" s="1"/>
  <c r="CD399" i="27"/>
  <c r="CD401" i="27" s="1"/>
  <c r="CD404" i="27" s="1"/>
  <c r="HT399" i="27"/>
  <c r="HT401" i="27" s="1"/>
  <c r="HT404" i="27" s="1"/>
  <c r="DU399" i="27"/>
  <c r="DU401" i="27" s="1"/>
  <c r="DU404" i="27" s="1"/>
  <c r="FU399" i="27"/>
  <c r="FU401" i="27" s="1"/>
  <c r="FU404" i="27" s="1"/>
  <c r="EE399" i="27"/>
  <c r="EE401" i="27" s="1"/>
  <c r="EE404" i="27" s="1"/>
  <c r="EI399" i="27"/>
  <c r="EI401" i="27" s="1"/>
  <c r="EI404" i="27" s="1"/>
  <c r="AB399" i="27"/>
  <c r="AB401" i="27" s="1"/>
  <c r="AB404" i="27" s="1"/>
  <c r="AW399" i="27"/>
  <c r="AW401" i="27" s="1"/>
  <c r="AW404" i="27" s="1"/>
  <c r="BH399" i="27"/>
  <c r="BH401" i="27" s="1"/>
  <c r="BH404" i="27" s="1"/>
  <c r="IK399" i="27"/>
  <c r="IK401" i="27" s="1"/>
  <c r="IK404" i="27" s="1"/>
  <c r="BZ399" i="27"/>
  <c r="BZ401" i="27" s="1"/>
  <c r="BZ404" i="27" s="1"/>
  <c r="DM399" i="27"/>
  <c r="DM401" i="27" s="1"/>
  <c r="DM404" i="27" s="1"/>
  <c r="GJ399" i="27"/>
  <c r="GJ401" i="27" s="1"/>
  <c r="GJ404" i="27" s="1"/>
  <c r="AJ399" i="27"/>
  <c r="AJ401" i="27" s="1"/>
  <c r="AJ404" i="27" s="1"/>
  <c r="HC399" i="27"/>
  <c r="HC401" i="27" s="1"/>
  <c r="HC404" i="27" s="1"/>
  <c r="M399" i="27"/>
  <c r="M401" i="27" s="1"/>
  <c r="M404" i="27" s="1"/>
  <c r="DD399" i="27"/>
  <c r="DD401" i="27" s="1"/>
  <c r="DD404" i="27" s="1"/>
  <c r="AP399" i="27"/>
  <c r="AP401" i="27" s="1"/>
  <c r="AP404" i="27" s="1"/>
  <c r="CQ399" i="27"/>
  <c r="CQ401" i="27" s="1"/>
  <c r="CQ404" i="27" s="1"/>
  <c r="AU399" i="27"/>
  <c r="AU401" i="27" s="1"/>
  <c r="AU404" i="27" s="1"/>
  <c r="Y399" i="27"/>
  <c r="Y401" i="27" s="1"/>
  <c r="Y404" i="27" s="1"/>
  <c r="HI399" i="27"/>
  <c r="HI401" i="27" s="1"/>
  <c r="HI404" i="27" s="1"/>
  <c r="Z399" i="27"/>
  <c r="Z401" i="27" s="1"/>
  <c r="Z404" i="27" s="1"/>
  <c r="AC399" i="27"/>
  <c r="AC401" i="27" s="1"/>
  <c r="AC404" i="27" s="1"/>
  <c r="AM399" i="27"/>
  <c r="AM401" i="27" s="1"/>
  <c r="AM404" i="27" s="1"/>
  <c r="GH399" i="27"/>
  <c r="GH401" i="27" s="1"/>
  <c r="GH404" i="27" s="1"/>
  <c r="EN399" i="27"/>
  <c r="EN401" i="27" s="1"/>
  <c r="EN404" i="27" s="1"/>
  <c r="EK399" i="27"/>
  <c r="EK401" i="27" s="1"/>
  <c r="EK404" i="27" s="1"/>
  <c r="GD399" i="27"/>
  <c r="GD401" i="27" s="1"/>
  <c r="GD404" i="27" s="1"/>
  <c r="FK399" i="27"/>
  <c r="FK401" i="27" s="1"/>
  <c r="FK404" i="27" s="1"/>
  <c r="FT399" i="27"/>
  <c r="FT401" i="27" s="1"/>
  <c r="FT404" i="27" s="1"/>
  <c r="BX399" i="27"/>
  <c r="BX401" i="27" s="1"/>
  <c r="BX404" i="27" s="1"/>
  <c r="ER399" i="27"/>
  <c r="ER401" i="27" s="1"/>
  <c r="ER404" i="27" s="1"/>
  <c r="DO399" i="27"/>
  <c r="DO401" i="27" s="1"/>
  <c r="DO404" i="27" s="1"/>
  <c r="ED399" i="27"/>
  <c r="ED401" i="27" s="1"/>
  <c r="ED404" i="27" s="1"/>
  <c r="FA399" i="27"/>
  <c r="FA401" i="27" s="1"/>
  <c r="FA404" i="27" s="1"/>
  <c r="DI399" i="27"/>
  <c r="DI401" i="27" s="1"/>
  <c r="DI404" i="27" s="1"/>
  <c r="L399" i="27"/>
  <c r="L401" i="27" s="1"/>
  <c r="L404" i="27" s="1"/>
  <c r="FH399" i="27"/>
  <c r="FH401" i="27" s="1"/>
  <c r="FH404" i="27" s="1"/>
  <c r="AR399" i="27"/>
  <c r="AR401" i="27" s="1"/>
  <c r="AR404" i="27" s="1"/>
  <c r="CT399" i="27"/>
  <c r="CT401" i="27" s="1"/>
  <c r="CT404" i="27" s="1"/>
  <c r="FN399" i="27"/>
  <c r="FN401" i="27" s="1"/>
  <c r="FN404" i="27" s="1"/>
  <c r="AK399" i="27"/>
  <c r="AK401" i="27" s="1"/>
  <c r="AK404" i="27" s="1"/>
  <c r="BP399" i="27"/>
  <c r="BP401" i="27" s="1"/>
  <c r="BP404" i="27" s="1"/>
  <c r="AT399" i="27"/>
  <c r="AT401" i="27" s="1"/>
  <c r="AT404" i="27" s="1"/>
  <c r="O399" i="27"/>
  <c r="O401" i="27" s="1"/>
  <c r="O404" i="27" s="1"/>
  <c r="DB399" i="27"/>
  <c r="DB401" i="27" s="1"/>
  <c r="DB404" i="27" s="1"/>
  <c r="CL399" i="27"/>
  <c r="CL401" i="27" s="1"/>
  <c r="CL404" i="27" s="1"/>
  <c r="EW399" i="27"/>
  <c r="EW401" i="27" s="1"/>
  <c r="EW404" i="27" s="1"/>
  <c r="GC399" i="27"/>
  <c r="GC401" i="27" s="1"/>
  <c r="GC404" i="27" s="1"/>
  <c r="P399" i="27"/>
  <c r="P401" i="27" s="1"/>
  <c r="P404" i="27" s="1"/>
  <c r="BO399" i="27"/>
  <c r="BO401" i="27" s="1"/>
  <c r="BO404" i="27" s="1"/>
  <c r="CJ399" i="27"/>
  <c r="CJ401" i="27" s="1"/>
  <c r="CJ404" i="27" s="1"/>
  <c r="HL399" i="27"/>
  <c r="HL401" i="27" s="1"/>
  <c r="HL404" i="27" s="1"/>
  <c r="CU399" i="27"/>
  <c r="CU401" i="27" s="1"/>
  <c r="CU404" i="27" s="1"/>
  <c r="DJ399" i="27"/>
  <c r="DJ401" i="27" s="1"/>
  <c r="DJ404" i="27" s="1"/>
  <c r="EU399" i="27"/>
  <c r="EU401" i="27" s="1"/>
  <c r="EU404" i="27" s="1"/>
  <c r="DR399" i="27"/>
  <c r="DR401" i="27" s="1"/>
  <c r="DR404" i="27" s="1"/>
  <c r="W399" i="27"/>
  <c r="W401" i="27" s="1"/>
  <c r="W404" i="27" s="1"/>
  <c r="GQ399" i="27"/>
  <c r="GQ401" i="27" s="1"/>
  <c r="GQ404" i="27" s="1"/>
  <c r="CA399" i="27"/>
  <c r="CA401" i="27" s="1"/>
  <c r="CA404" i="27" s="1"/>
  <c r="HP399" i="27"/>
  <c r="HP401" i="27" s="1"/>
  <c r="HP404" i="27" s="1"/>
  <c r="EP399" i="27"/>
  <c r="EP401" i="27" s="1"/>
  <c r="EP404" i="27" s="1"/>
  <c r="AE399" i="27"/>
  <c r="AE401" i="27" s="1"/>
  <c r="AE404" i="27" s="1"/>
  <c r="J399" i="27"/>
  <c r="J401" i="27" s="1"/>
  <c r="J404" i="27" s="1"/>
  <c r="DE399" i="27"/>
  <c r="DE401" i="27" s="1"/>
  <c r="DE404" i="27" s="1"/>
  <c r="BY399" i="27"/>
  <c r="BY401" i="27" s="1"/>
  <c r="BY404" i="27" s="1"/>
  <c r="T399" i="27"/>
  <c r="T401" i="27" s="1"/>
  <c r="T404" i="27" s="1"/>
  <c r="AX399" i="27"/>
  <c r="AX401" i="27" s="1"/>
  <c r="AX404" i="27" s="1"/>
  <c r="BI399" i="27"/>
  <c r="BI401" i="27" s="1"/>
  <c r="BI404" i="27" s="1"/>
  <c r="DZ399" i="27"/>
  <c r="DZ401" i="27" s="1"/>
  <c r="DZ404" i="27" s="1"/>
  <c r="R399" i="27"/>
  <c r="R401" i="27" s="1"/>
  <c r="R404" i="27" s="1"/>
  <c r="DG399" i="27"/>
  <c r="DG401" i="27" s="1"/>
  <c r="DG404" i="27" s="1"/>
  <c r="S399" i="27"/>
  <c r="S401" i="27" s="1"/>
  <c r="S404" i="27" s="1"/>
  <c r="BF399" i="27"/>
  <c r="BF401" i="27" s="1"/>
  <c r="BF404" i="27" s="1"/>
  <c r="DQ399" i="27"/>
  <c r="DQ401" i="27" s="1"/>
  <c r="DQ404" i="27" s="1"/>
  <c r="HN399" i="27"/>
  <c r="HN401" i="27" s="1"/>
  <c r="HN404" i="27" s="1"/>
  <c r="DW399" i="27"/>
  <c r="DW401" i="27" s="1"/>
  <c r="DW404" i="27" s="1"/>
  <c r="DX399" i="27"/>
  <c r="DX401" i="27" s="1"/>
  <c r="DX404" i="27" s="1"/>
  <c r="IA399" i="27"/>
  <c r="IA401" i="27" s="1"/>
  <c r="IA404" i="27" s="1"/>
  <c r="FD399" i="27"/>
  <c r="FD401" i="27" s="1"/>
  <c r="FD404" i="27" s="1"/>
  <c r="FZ399" i="27"/>
  <c r="FZ401" i="27" s="1"/>
  <c r="FZ404" i="27" s="1"/>
  <c r="AL399" i="27"/>
  <c r="AL401" i="27" s="1"/>
  <c r="AL404" i="27" s="1"/>
  <c r="GG399" i="27"/>
  <c r="GG401" i="27" s="1"/>
  <c r="GG404" i="27" s="1"/>
  <c r="HG399" i="27"/>
  <c r="HG401" i="27" s="1"/>
  <c r="HG404" i="27" s="1"/>
  <c r="CS399" i="27"/>
  <c r="CS401" i="27" s="1"/>
  <c r="CS404" i="27" s="1"/>
  <c r="CZ399" i="27"/>
  <c r="CZ401" i="27" s="1"/>
  <c r="CZ404" i="27" s="1"/>
  <c r="HQ399" i="27"/>
  <c r="HQ401" i="27" s="1"/>
  <c r="HQ404" i="27" s="1"/>
  <c r="BT399" i="27"/>
  <c r="BT401" i="27" s="1"/>
  <c r="BT404" i="27" s="1"/>
  <c r="DT399" i="27"/>
  <c r="DT401" i="27" s="1"/>
  <c r="DT404" i="27" s="1"/>
  <c r="GK399" i="27"/>
  <c r="GK401" i="27" s="1"/>
  <c r="GK404" i="27" s="1"/>
  <c r="II399" i="27"/>
  <c r="II401" i="27" s="1"/>
  <c r="II404" i="27" s="1"/>
  <c r="ID399" i="27"/>
  <c r="ID401" i="27" s="1"/>
  <c r="ID404" i="27" s="1"/>
  <c r="FJ399" i="27"/>
  <c r="FJ401" i="27" s="1"/>
  <c r="FJ404" i="27" s="1"/>
  <c r="HK399" i="27"/>
  <c r="HK401" i="27" s="1"/>
  <c r="HK404" i="27" s="1"/>
  <c r="GF399" i="27"/>
  <c r="GF401" i="27" s="1"/>
  <c r="GF404" i="27" s="1"/>
  <c r="EL399" i="27"/>
  <c r="EL401" i="27" s="1"/>
  <c r="EL404" i="27" s="1"/>
  <c r="AG399" i="27"/>
  <c r="AG401" i="27" s="1"/>
  <c r="AG404" i="27" s="1"/>
  <c r="HA399" i="27"/>
  <c r="HA401" i="27" s="1"/>
  <c r="HA404" i="27" s="1"/>
  <c r="H399" i="27"/>
  <c r="H401" i="27" s="1"/>
  <c r="H404" i="27" s="1"/>
  <c r="BD399" i="27"/>
  <c r="BD401" i="27" s="1"/>
  <c r="BD404" i="27" s="1"/>
  <c r="IB399" i="27"/>
  <c r="IB401" i="27" s="1"/>
  <c r="IB404" i="27" s="1"/>
  <c r="GB399" i="27"/>
  <c r="GB401" i="27" s="1"/>
  <c r="GB404" i="27" s="1"/>
  <c r="IH399" i="27"/>
  <c r="IH401" i="27" s="1"/>
  <c r="IH404" i="27" s="1"/>
  <c r="HD399" i="27"/>
  <c r="HD401" i="27" s="1"/>
  <c r="HD404" i="27" s="1"/>
  <c r="EG399" i="27"/>
  <c r="EG401" i="27" s="1"/>
  <c r="EG404" i="27" s="1"/>
  <c r="BU399" i="27"/>
  <c r="BU401" i="27" s="1"/>
  <c r="BU404" i="27" s="1"/>
  <c r="CI399" i="27"/>
  <c r="CI401" i="27" s="1"/>
  <c r="CI404" i="27" s="1"/>
  <c r="CX399" i="27"/>
  <c r="CX401" i="27" s="1"/>
  <c r="CX404" i="27" s="1"/>
  <c r="BE399" i="27"/>
  <c r="BE401" i="27" s="1"/>
  <c r="BE404" i="27" s="1"/>
  <c r="BS399" i="27"/>
  <c r="BS401" i="27" s="1"/>
  <c r="BS404" i="27" s="1"/>
  <c r="IE399" i="27"/>
  <c r="IE401" i="27" s="1"/>
  <c r="IE404" i="27" s="1"/>
  <c r="BM399" i="27"/>
  <c r="BM401" i="27" s="1"/>
  <c r="BM404" i="27" s="1"/>
  <c r="I399" i="27"/>
  <c r="I401" i="27" s="1"/>
  <c r="I404" i="27" s="1"/>
  <c r="BV399" i="27"/>
  <c r="BV401" i="27" s="1"/>
  <c r="BV404" i="27" s="1"/>
  <c r="GN399" i="27"/>
  <c r="GN401" i="27" s="1"/>
  <c r="GN404" i="27" s="1"/>
  <c r="FE399" i="27"/>
  <c r="FE401" i="27" s="1"/>
  <c r="FE404" i="27" s="1"/>
  <c r="GY399" i="27"/>
  <c r="GY401" i="27" s="1"/>
  <c r="GY404" i="27" s="1"/>
  <c r="EM399" i="27"/>
  <c r="EM401" i="27" s="1"/>
  <c r="EM404" i="27" s="1"/>
  <c r="CR399" i="27"/>
  <c r="CR401" i="27" s="1"/>
  <c r="CR404" i="27" s="1"/>
  <c r="FL399" i="27"/>
  <c r="FL401" i="27" s="1"/>
  <c r="FL404" i="27" s="1"/>
  <c r="DS399" i="27"/>
  <c r="DS401" i="27" s="1"/>
  <c r="DS404" i="27" s="1"/>
  <c r="BW399" i="27"/>
  <c r="BW401" i="27" s="1"/>
  <c r="BW404" i="27" s="1"/>
  <c r="HR399" i="27"/>
  <c r="HR401" i="27" s="1"/>
  <c r="HR404" i="27" s="1"/>
  <c r="HB399" i="27"/>
  <c r="HB401" i="27" s="1"/>
  <c r="HB404" i="27" s="1"/>
  <c r="EF399" i="27"/>
  <c r="EF401" i="27" s="1"/>
  <c r="EF404" i="27" s="1"/>
  <c r="BQ399" i="27"/>
  <c r="BQ401" i="27" s="1"/>
  <c r="BQ404" i="27" s="1"/>
  <c r="U399" i="27"/>
  <c r="U401" i="27" s="1"/>
  <c r="U404" i="27" s="1"/>
  <c r="GW399" i="27"/>
  <c r="GW401" i="27" s="1"/>
  <c r="GW404" i="27" s="1"/>
  <c r="AN399" i="27"/>
  <c r="AN401" i="27" s="1"/>
  <c r="AN404" i="27" s="1"/>
  <c r="HW399" i="27"/>
  <c r="HW401" i="27" s="1"/>
  <c r="HW404" i="27" s="1"/>
  <c r="HH399" i="27"/>
  <c r="HH401" i="27" s="1"/>
  <c r="HH404" i="27" s="1"/>
  <c r="HU399" i="27"/>
  <c r="HU401" i="27" s="1"/>
  <c r="HU404" i="27" s="1"/>
  <c r="EY399" i="27"/>
  <c r="EY401" i="27" s="1"/>
  <c r="EY404" i="27" s="1"/>
  <c r="GR399" i="27"/>
  <c r="GR401" i="27" s="1"/>
  <c r="GR404" i="27" s="1"/>
  <c r="GU399" i="27"/>
  <c r="GU401" i="27" s="1"/>
  <c r="GU404" i="27" s="1"/>
  <c r="BB399" i="27"/>
  <c r="BB401" i="27" s="1"/>
  <c r="BB404" i="27" s="1"/>
  <c r="CK399" i="27"/>
  <c r="CK401" i="27" s="1"/>
  <c r="CK404" i="27" s="1"/>
  <c r="FX399" i="27"/>
  <c r="FX401" i="27" s="1"/>
  <c r="FX404" i="27" s="1"/>
  <c r="AD399" i="27"/>
  <c r="AD401" i="27" s="1"/>
  <c r="AD404" i="27" s="1"/>
  <c r="BA399" i="27"/>
  <c r="BA401" i="27" s="1"/>
  <c r="BA404" i="27" s="1"/>
  <c r="K399" i="27"/>
  <c r="K401" i="27" s="1"/>
  <c r="K404" i="27" s="1"/>
  <c r="EB399" i="27"/>
  <c r="EB401" i="27" s="1"/>
  <c r="EB404" i="27" s="1"/>
  <c r="FP399" i="27"/>
  <c r="FP401" i="27" s="1"/>
  <c r="FP404" i="27" s="1"/>
  <c r="FC399" i="27"/>
  <c r="FC401" i="27" s="1"/>
  <c r="FC404" i="27" s="1"/>
  <c r="CE399" i="27"/>
  <c r="CE401" i="27" s="1"/>
  <c r="CE404" i="27" s="1"/>
  <c r="FI399" i="27"/>
  <c r="FI401" i="27" s="1"/>
  <c r="FI404" i="27" s="1"/>
  <c r="EQ399" i="27"/>
  <c r="EQ401" i="27" s="1"/>
  <c r="EQ404" i="27" s="1"/>
  <c r="FG399" i="27"/>
  <c r="FG401" i="27" s="1"/>
  <c r="FG404" i="27" s="1"/>
  <c r="AS399" i="27"/>
  <c r="AS401" i="27" s="1"/>
  <c r="AS404" i="27" s="1"/>
  <c r="GI399" i="27"/>
  <c r="GI401" i="27" s="1"/>
  <c r="GI404" i="27" s="1"/>
  <c r="IJ399" i="27"/>
  <c r="IJ401" i="27" s="1"/>
  <c r="IJ404" i="27" s="1"/>
  <c r="CH399" i="27"/>
  <c r="CH401" i="27" s="1"/>
  <c r="CH404" i="27" s="1"/>
  <c r="CM399" i="27"/>
  <c r="CM401" i="27" s="1"/>
  <c r="CM404" i="27" s="1"/>
  <c r="IC399" i="27"/>
  <c r="IC401" i="27" s="1"/>
  <c r="IC404" i="27" s="1"/>
  <c r="HM399" i="27"/>
  <c r="HM401" i="27" s="1"/>
  <c r="HM404" i="27" s="1"/>
  <c r="CP399" i="27"/>
  <c r="CP401" i="27" s="1"/>
  <c r="CP404" i="27" s="1"/>
  <c r="DH399" i="27"/>
  <c r="DH401" i="27" s="1"/>
  <c r="DH404" i="27" s="1"/>
  <c r="DP399" i="27"/>
  <c r="DP401" i="27" s="1"/>
  <c r="DP404" i="27" s="1"/>
  <c r="CV399" i="27"/>
  <c r="CV401" i="27" s="1"/>
  <c r="CV404" i="27" s="1"/>
  <c r="IF399" i="27"/>
  <c r="IF401" i="27" s="1"/>
  <c r="IF404" i="27" s="1"/>
  <c r="HF399" i="27"/>
  <c r="HF401" i="27" s="1"/>
  <c r="HF404" i="27" s="1"/>
  <c r="GO399" i="27"/>
  <c r="GO401" i="27" s="1"/>
  <c r="GO404" i="27" s="1"/>
  <c r="FV399" i="27"/>
  <c r="FV401" i="27" s="1"/>
  <c r="FV404" i="27" s="1"/>
  <c r="FY399" i="27"/>
  <c r="FY401" i="27" s="1"/>
  <c r="FY404" i="27" s="1"/>
  <c r="CY399" i="27"/>
  <c r="CY401" i="27" s="1"/>
  <c r="CY404" i="27" s="1"/>
  <c r="BK399" i="27"/>
  <c r="BK401" i="27" s="1"/>
  <c r="BK404" i="27" s="1"/>
  <c r="AF399" i="27"/>
  <c r="AF401" i="27" s="1"/>
  <c r="AF404" i="27" s="1"/>
  <c r="EA399" i="27"/>
  <c r="EA401" i="27" s="1"/>
  <c r="EA404" i="27" s="1"/>
  <c r="EH399" i="27"/>
  <c r="EH401" i="27" s="1"/>
  <c r="EH404" i="27" s="1"/>
  <c r="HO399" i="27"/>
  <c r="HO401" i="27" s="1"/>
  <c r="HO404" i="27" s="1"/>
  <c r="AZ399" i="27"/>
  <c r="AZ401" i="27" s="1"/>
  <c r="AZ404" i="27" s="1"/>
  <c r="DV399" i="27"/>
  <c r="DV401" i="27" s="1"/>
  <c r="DV404" i="27" s="1"/>
  <c r="FF399" i="27"/>
  <c r="FF401" i="27" s="1"/>
  <c r="FF404" i="27" s="1"/>
  <c r="FW399" i="27"/>
  <c r="FW401" i="27" s="1"/>
  <c r="FW404" i="27" s="1"/>
  <c r="HV399" i="27"/>
  <c r="HV401" i="27" s="1"/>
  <c r="HV404" i="27" s="1"/>
  <c r="AI399" i="27"/>
  <c r="AI401" i="27" s="1"/>
  <c r="AI404" i="27" s="1"/>
  <c r="CC399" i="27"/>
  <c r="CC401" i="27" s="1"/>
  <c r="CC404" i="27" s="1"/>
  <c r="AH399" i="27"/>
  <c r="AH401" i="27" s="1"/>
  <c r="AH404" i="27" s="1"/>
  <c r="ES399" i="27"/>
  <c r="ES401" i="27" s="1"/>
  <c r="ES404" i="27" s="1"/>
  <c r="HZ399" i="27"/>
  <c r="HZ401" i="27" s="1"/>
  <c r="HZ404" i="27" s="1"/>
  <c r="ET399" i="27"/>
  <c r="ET401" i="27" s="1"/>
  <c r="ET404" i="27" s="1"/>
  <c r="FQ399" i="27"/>
  <c r="FQ401" i="27" s="1"/>
  <c r="FQ404" i="27" s="1"/>
  <c r="HX399" i="27"/>
  <c r="HX401" i="27" s="1"/>
  <c r="HX404" i="27" s="1"/>
  <c r="V399" i="27"/>
  <c r="V401" i="27" s="1"/>
  <c r="V404" i="27" s="1"/>
  <c r="FO399" i="27"/>
  <c r="FO401" i="27" s="1"/>
  <c r="FO404" i="27" s="1"/>
  <c r="AV399" i="27"/>
  <c r="AV401" i="27" s="1"/>
  <c r="AV404" i="27" s="1"/>
  <c r="GX399" i="27"/>
  <c r="GX401" i="27" s="1"/>
  <c r="GX404" i="27" s="1"/>
  <c r="HE399" i="27"/>
  <c r="HE401" i="27" s="1"/>
  <c r="HE404" i="27" s="1"/>
  <c r="HJ399" i="27"/>
  <c r="HJ401" i="27" s="1"/>
  <c r="HJ404" i="27" s="1"/>
  <c r="BC399" i="27"/>
  <c r="BC401" i="27" s="1"/>
  <c r="BC404" i="27" s="1"/>
  <c r="BN399" i="27"/>
  <c r="BN401" i="27" s="1"/>
  <c r="BN404" i="27" s="1"/>
  <c r="BR399" i="27"/>
  <c r="BR401" i="27" s="1"/>
  <c r="BR404" i="27" s="1"/>
  <c r="BJ399" i="27"/>
  <c r="BJ401" i="27" s="1"/>
  <c r="BJ404" i="27" s="1"/>
  <c r="FS399" i="27"/>
  <c r="FS401" i="27" s="1"/>
  <c r="FS404" i="27" s="1"/>
  <c r="BG399" i="27"/>
  <c r="BG401" i="27" s="1"/>
  <c r="BG404" i="27" s="1"/>
  <c r="GT399" i="27"/>
  <c r="GT401" i="27" s="1"/>
  <c r="GT404" i="27" s="1"/>
  <c r="EV399" i="27"/>
  <c r="EV401" i="27" s="1"/>
  <c r="EV404" i="27" s="1"/>
  <c r="CO399" i="27"/>
  <c r="CO401" i="27" s="1"/>
  <c r="CO404" i="27" s="1"/>
  <c r="DL399" i="27"/>
  <c r="DL401" i="27" s="1"/>
  <c r="DL404" i="27" s="1"/>
  <c r="GV399" i="27"/>
  <c r="GV401" i="27" s="1"/>
  <c r="GV404" i="27" s="1"/>
  <c r="AQ399" i="27"/>
  <c r="AQ401" i="27" s="1"/>
  <c r="AQ404" i="27" s="1"/>
  <c r="FR399" i="27"/>
  <c r="FR401" i="27" s="1"/>
  <c r="FR404" i="27" s="1"/>
  <c r="Q399" i="27"/>
  <c r="Q401" i="27" s="1"/>
  <c r="Q404" i="27" s="1"/>
  <c r="FM399" i="27"/>
  <c r="FM401" i="27" s="1"/>
  <c r="FM404" i="27" s="1"/>
  <c r="EZ399" i="27"/>
  <c r="EZ401" i="27" s="1"/>
  <c r="EZ404" i="27" s="1"/>
  <c r="GL399" i="27"/>
  <c r="GL401" i="27" s="1"/>
  <c r="GL404" i="27" s="1"/>
  <c r="DK399" i="27"/>
  <c r="DK401" i="27" s="1"/>
  <c r="DK404" i="27" s="1"/>
  <c r="GP399" i="27"/>
  <c r="GP401" i="27" s="1"/>
  <c r="GP404" i="27" s="1"/>
  <c r="GE399" i="27"/>
  <c r="GE401" i="27" s="1"/>
  <c r="GE404" i="27" s="1"/>
  <c r="IG399" i="27"/>
  <c r="IG401" i="27" s="1"/>
  <c r="IG404" i="27" s="1"/>
  <c r="EO399" i="27"/>
  <c r="EO401" i="27" s="1"/>
  <c r="EO404" i="27" s="1"/>
  <c r="DN399" i="27"/>
  <c r="DN401" i="27" s="1"/>
  <c r="DN404" i="27" s="1"/>
  <c r="AO399" i="27"/>
  <c r="AO401" i="27" s="1"/>
  <c r="AO404" i="27" s="1"/>
  <c r="CW399" i="27"/>
  <c r="CW401" i="27" s="1"/>
  <c r="CW404" i="27" s="1"/>
  <c r="EJ399" i="27"/>
  <c r="EJ401" i="27" s="1"/>
  <c r="EJ404" i="27" s="1"/>
  <c r="DF399" i="27"/>
  <c r="DF401" i="27" s="1"/>
  <c r="DF404" i="27" s="1"/>
  <c r="CB399" i="27"/>
  <c r="CB401" i="27" s="1"/>
  <c r="CB404" i="27" s="1"/>
  <c r="N399" i="27"/>
  <c r="N401" i="27" s="1"/>
  <c r="N404" i="27" s="1"/>
  <c r="CG399" i="27"/>
  <c r="CG401" i="27" s="1"/>
  <c r="CG404" i="27" s="1"/>
  <c r="DA399" i="27"/>
  <c r="DA401" i="27" s="1"/>
  <c r="DA404" i="27" s="1"/>
  <c r="EX399" i="27"/>
  <c r="EX401" i="27" s="1"/>
  <c r="EX404" i="27" s="1"/>
  <c r="CF399" i="27"/>
  <c r="CF401" i="27" s="1"/>
  <c r="CF404" i="27" s="1"/>
  <c r="DY399" i="27"/>
  <c r="DY401" i="27" s="1"/>
  <c r="DY404" i="27" s="1"/>
  <c r="BL399" i="27"/>
  <c r="BL401" i="27" s="1"/>
  <c r="BL404" i="27" s="1"/>
  <c r="GS399" i="27"/>
  <c r="GS401" i="27" s="1"/>
  <c r="GS404" i="27" s="1"/>
  <c r="GZ399" i="27"/>
  <c r="GZ401" i="27" s="1"/>
  <c r="GZ404" i="27" s="1"/>
  <c r="IE392" i="27" l="1"/>
  <c r="ID395" i="27"/>
  <c r="ID390" i="27"/>
  <c r="ID411" i="27"/>
  <c r="IE408" i="27"/>
  <c r="ID406" i="27"/>
  <c r="CA380" i="27"/>
  <c r="HU380" i="27"/>
  <c r="EP380" i="27"/>
  <c r="ER380" i="27"/>
  <c r="DB380" i="27"/>
  <c r="W380" i="27"/>
  <c r="HS380" i="27"/>
  <c r="N380" i="27"/>
  <c r="AU380" i="27"/>
  <c r="CF380" i="27"/>
  <c r="FT380" i="27"/>
  <c r="BT380" i="27"/>
  <c r="HQ380" i="27"/>
  <c r="AZ380" i="27"/>
  <c r="FW380" i="27"/>
  <c r="DV380" i="27"/>
  <c r="GI380" i="27"/>
  <c r="DC380" i="27"/>
  <c r="HF380" i="27"/>
  <c r="HK380" i="27"/>
  <c r="BL380" i="27"/>
  <c r="FR380" i="27"/>
  <c r="J380" i="27"/>
  <c r="DD380" i="27"/>
  <c r="AK380" i="27"/>
  <c r="GO380" i="27"/>
  <c r="FI380" i="27"/>
  <c r="BJ380" i="27"/>
  <c r="X380" i="27"/>
  <c r="EQ380" i="27"/>
  <c r="EK380" i="27"/>
  <c r="FS380" i="27"/>
  <c r="DE380" i="27"/>
  <c r="CY380" i="27"/>
  <c r="AF380" i="27"/>
  <c r="M380" i="27"/>
  <c r="AA380" i="27"/>
  <c r="BV380" i="27"/>
  <c r="EJ380" i="27"/>
  <c r="CM380" i="27"/>
  <c r="FQ380" i="27"/>
  <c r="FD380" i="27"/>
  <c r="BM380" i="27"/>
  <c r="BN380" i="27"/>
  <c r="GH380" i="27"/>
  <c r="AG380" i="27"/>
  <c r="HB380" i="27"/>
  <c r="ID380" i="27"/>
  <c r="IJ380" i="27"/>
  <c r="HY380" i="27"/>
  <c r="BP380" i="27"/>
  <c r="CQ380" i="27"/>
  <c r="FZ380" i="27"/>
  <c r="IC380" i="27"/>
  <c r="FU380" i="27"/>
  <c r="CR380" i="27"/>
  <c r="AV380" i="27"/>
  <c r="FK380" i="27"/>
  <c r="GG380" i="27"/>
  <c r="GV380" i="27"/>
  <c r="AO380" i="27"/>
  <c r="CH380" i="27"/>
  <c r="BO380" i="27"/>
  <c r="AX380" i="27"/>
  <c r="CT380" i="27"/>
  <c r="GP380" i="27"/>
  <c r="GQ380" i="27"/>
  <c r="P380" i="27"/>
  <c r="BE380" i="27"/>
  <c r="AP380" i="27"/>
  <c r="GL380" i="27"/>
  <c r="GY380" i="27"/>
  <c r="IB380" i="27"/>
  <c r="H380" i="27"/>
  <c r="CP380" i="27"/>
  <c r="CI380" i="27"/>
  <c r="EY380" i="27"/>
  <c r="HC380" i="27"/>
  <c r="BS380" i="27"/>
  <c r="II380" i="27"/>
  <c r="EV380" i="27"/>
  <c r="GK380" i="27"/>
  <c r="O380" i="27"/>
  <c r="HZ380" i="27"/>
  <c r="AR380" i="27"/>
  <c r="CU380" i="27"/>
  <c r="HJ380" i="27"/>
  <c r="BD380" i="27"/>
  <c r="ED380" i="27"/>
  <c r="AD380" i="27"/>
  <c r="HN380" i="27"/>
  <c r="BG380" i="27"/>
  <c r="DM380" i="27"/>
  <c r="CK380" i="27"/>
  <c r="ES380" i="27"/>
  <c r="EN380" i="27"/>
  <c r="CW380" i="27"/>
  <c r="BU380" i="27"/>
  <c r="DU380" i="27"/>
  <c r="DO380" i="27"/>
  <c r="FA380" i="27"/>
  <c r="FM380" i="27"/>
  <c r="HE380" i="27"/>
  <c r="GA380" i="27"/>
  <c r="GT380" i="27"/>
  <c r="GD380" i="27"/>
  <c r="EX380" i="27"/>
  <c r="BI380" i="27"/>
  <c r="FG380" i="27"/>
  <c r="HV380" i="27"/>
  <c r="BF380" i="27"/>
  <c r="AL380" i="27"/>
  <c r="CX380" i="27"/>
  <c r="K380" i="27"/>
  <c r="HR380" i="27"/>
  <c r="HD380" i="27"/>
  <c r="S380" i="27"/>
  <c r="FJ380" i="27"/>
  <c r="CV380" i="27"/>
  <c r="CJ380" i="27"/>
  <c r="FV380" i="27"/>
  <c r="AW380" i="27"/>
  <c r="DZ380" i="27"/>
  <c r="EB380" i="27"/>
  <c r="DQ380" i="27"/>
  <c r="AH380" i="27"/>
  <c r="EF380" i="27"/>
  <c r="HW380" i="27"/>
  <c r="AE380" i="27"/>
  <c r="Z380" i="27"/>
  <c r="BY380" i="27"/>
  <c r="FY380" i="27"/>
  <c r="BX380" i="27"/>
  <c r="CG380" i="27"/>
  <c r="DN380" i="27"/>
  <c r="HG380" i="27"/>
  <c r="FF380" i="27"/>
  <c r="BA380" i="27"/>
  <c r="ET380" i="27"/>
  <c r="DR380" i="27"/>
  <c r="FH380" i="27"/>
  <c r="HL380" i="27"/>
  <c r="IG380" i="27"/>
  <c r="CB380" i="27"/>
  <c r="Q380" i="27"/>
  <c r="BQ380" i="27"/>
  <c r="DG380" i="27"/>
  <c r="EL380" i="27"/>
  <c r="HI380" i="27"/>
  <c r="HP380" i="27"/>
  <c r="DS380" i="27"/>
  <c r="GS380" i="27"/>
  <c r="CD380" i="27"/>
  <c r="EE380" i="27"/>
  <c r="FP380" i="27"/>
  <c r="AS380" i="27"/>
  <c r="GU380" i="27"/>
  <c r="FB380" i="27"/>
  <c r="HT380" i="27"/>
  <c r="DJ380" i="27"/>
  <c r="V380" i="27"/>
  <c r="HM380" i="27"/>
  <c r="HO380" i="27"/>
  <c r="BZ380" i="27"/>
  <c r="BC380" i="27"/>
  <c r="IF380" i="27"/>
  <c r="IE380" i="27"/>
  <c r="EG380" i="27"/>
  <c r="GJ380" i="27"/>
  <c r="GN380" i="27"/>
  <c r="FO380" i="27"/>
  <c r="EH380" i="27"/>
  <c r="AN380" i="27"/>
  <c r="IK380" i="27"/>
  <c r="IK381" i="27" s="1"/>
  <c r="GB380" i="27"/>
  <c r="HH380" i="27"/>
  <c r="AT380" i="27"/>
  <c r="EW380" i="27"/>
  <c r="CL380" i="27"/>
  <c r="DW380" i="27"/>
  <c r="CN380" i="27"/>
  <c r="FE380" i="27"/>
  <c r="DL380" i="27"/>
  <c r="DY380" i="27"/>
  <c r="DT380" i="27"/>
  <c r="CS380" i="27"/>
  <c r="FL380" i="27"/>
  <c r="AJ380" i="27"/>
  <c r="U380" i="27"/>
  <c r="R380" i="27"/>
  <c r="L380" i="27"/>
  <c r="FX380" i="27"/>
  <c r="AB380" i="27"/>
  <c r="AQ380" i="27"/>
  <c r="BB380" i="27"/>
  <c r="GM380" i="27"/>
  <c r="HA380" i="27"/>
  <c r="CE380" i="27"/>
  <c r="DK380" i="27"/>
  <c r="GR380" i="27"/>
  <c r="DH380" i="27"/>
  <c r="EI380" i="27"/>
  <c r="FC380" i="27"/>
  <c r="GC380" i="27"/>
  <c r="DI380" i="27"/>
  <c r="IH380" i="27"/>
  <c r="BK380" i="27"/>
  <c r="DX380" i="27"/>
  <c r="GZ380" i="27"/>
  <c r="EA380" i="27"/>
  <c r="EU380" i="27"/>
  <c r="BR380" i="27"/>
  <c r="EM380" i="27"/>
  <c r="HX380" i="27"/>
  <c r="GW380" i="27"/>
  <c r="GX380" i="27"/>
  <c r="BW380" i="27"/>
  <c r="IA380" i="27"/>
  <c r="AM380" i="27"/>
  <c r="Y380" i="27"/>
  <c r="EO380" i="27"/>
  <c r="CZ380" i="27"/>
  <c r="T380" i="27"/>
  <c r="EC380" i="27"/>
  <c r="AI380" i="27"/>
  <c r="I380" i="27"/>
  <c r="DP380" i="27"/>
  <c r="DA380" i="27"/>
  <c r="GF380" i="27"/>
  <c r="BH380" i="27"/>
  <c r="GE380" i="27"/>
  <c r="EZ380" i="27"/>
  <c r="CC380" i="27"/>
  <c r="CO380" i="27"/>
  <c r="AC380" i="27"/>
  <c r="AY380" i="27"/>
  <c r="DF380" i="27"/>
  <c r="FN380" i="27"/>
  <c r="IF408" i="27" l="1"/>
  <c r="IE411" i="27"/>
  <c r="IE406" i="27"/>
  <c r="IF392" i="27"/>
  <c r="IE395" i="27"/>
  <c r="IE390" i="27"/>
  <c r="AT381" i="27"/>
  <c r="AU381" i="27"/>
  <c r="GI381" i="27"/>
  <c r="AG381" i="27"/>
  <c r="FG381" i="27"/>
  <c r="CW381" i="27"/>
  <c r="HK381" i="27"/>
  <c r="BT381" i="27"/>
  <c r="CA381" i="27"/>
  <c r="EC381" i="27"/>
  <c r="AJ381" i="27"/>
  <c r="BZ381" i="27"/>
  <c r="HN381" i="27"/>
  <c r="GH381" i="27"/>
  <c r="W381" i="27"/>
  <c r="HT381" i="27"/>
  <c r="CF381" i="27"/>
  <c r="HU381" i="27"/>
  <c r="FZ381" i="27"/>
  <c r="DA381" i="27"/>
  <c r="Z381" i="27"/>
  <c r="AA381" i="27"/>
  <c r="EW381" i="27"/>
  <c r="DZ381" i="27"/>
  <c r="GA381" i="27"/>
  <c r="DB381" i="27"/>
  <c r="HP381" i="27"/>
  <c r="GG381" i="27"/>
  <c r="BL381" i="27"/>
  <c r="BP381" i="27"/>
  <c r="S381" i="27"/>
  <c r="DL381" i="27"/>
  <c r="FT381" i="27"/>
  <c r="GF381" i="27"/>
  <c r="EP381" i="27"/>
  <c r="GQ381" i="27"/>
  <c r="AE381" i="27"/>
  <c r="AF381" i="27"/>
  <c r="R381" i="27"/>
  <c r="DM381" i="27"/>
  <c r="BE381" i="27"/>
  <c r="AO381" i="27"/>
  <c r="CH381" i="27"/>
  <c r="BU381" i="27"/>
  <c r="EQ381" i="27"/>
  <c r="AY381" i="27"/>
  <c r="AZ381" i="27"/>
  <c r="IA381" i="27"/>
  <c r="AV381" i="27"/>
  <c r="FI381" i="27"/>
  <c r="EK381" i="27"/>
  <c r="BX381" i="27"/>
  <c r="HM381" i="27"/>
  <c r="FC381" i="27"/>
  <c r="AC381" i="27"/>
  <c r="FK381" i="27"/>
  <c r="HA381" i="27"/>
  <c r="AN381" i="27"/>
  <c r="FA381" i="27"/>
  <c r="HB381" i="27"/>
  <c r="BB381" i="27"/>
  <c r="AR381" i="27"/>
  <c r="FY381" i="27"/>
  <c r="HR381" i="27"/>
  <c r="DP381" i="27"/>
  <c r="BW381" i="27"/>
  <c r="J381" i="27"/>
  <c r="GP381" i="27"/>
  <c r="EZ381" i="27"/>
  <c r="FF381" i="27"/>
  <c r="FV381" i="27"/>
  <c r="GD381" i="27"/>
  <c r="CY381" i="27"/>
  <c r="HX381" i="27"/>
  <c r="FD381" i="27"/>
  <c r="GO381" i="27"/>
  <c r="Y381" i="27"/>
  <c r="GC381" i="27"/>
  <c r="H381" i="27"/>
  <c r="AD381" i="27"/>
  <c r="CG381" i="27"/>
  <c r="FJ381" i="27"/>
  <c r="CK381" i="27"/>
  <c r="CN381" i="27"/>
  <c r="AP381" i="27"/>
  <c r="CT381" i="27"/>
  <c r="EU381" i="27"/>
  <c r="CX381" i="27"/>
  <c r="ED381" i="27"/>
  <c r="HC381" i="27"/>
  <c r="BQ381" i="27"/>
  <c r="DQ381" i="27"/>
  <c r="HY381" i="27"/>
  <c r="EX381" i="27"/>
  <c r="DW381" i="27"/>
  <c r="HH381" i="27"/>
  <c r="HF381" i="27"/>
  <c r="HQ381" i="27"/>
  <c r="EV381" i="27"/>
  <c r="DF381" i="27"/>
  <c r="U381" i="27"/>
  <c r="GS381" i="27"/>
  <c r="HV381" i="27"/>
  <c r="II381" i="27"/>
  <c r="GJ381" i="27"/>
  <c r="V381" i="27"/>
  <c r="GT381" i="27"/>
  <c r="CC381" i="27"/>
  <c r="DJ381" i="27"/>
  <c r="IC381" i="27"/>
  <c r="DD381" i="27"/>
  <c r="DX381" i="27"/>
  <c r="CD381" i="27"/>
  <c r="CV381" i="27"/>
  <c r="AM381" i="27"/>
  <c r="GX381" i="27"/>
  <c r="DC381" i="27"/>
  <c r="EB381" i="27"/>
  <c r="BF381" i="27"/>
  <c r="P381" i="27"/>
  <c r="GU381" i="27"/>
  <c r="BM381" i="27"/>
  <c r="BJ381" i="27"/>
  <c r="L381" i="27"/>
  <c r="CI381" i="27"/>
  <c r="BH381" i="27"/>
  <c r="HJ381" i="27"/>
  <c r="BN381" i="27"/>
  <c r="FL381" i="27"/>
  <c r="FB381" i="27"/>
  <c r="DO381" i="27"/>
  <c r="EH381" i="27"/>
  <c r="AI381" i="27"/>
  <c r="AS381" i="27"/>
  <c r="O381" i="27"/>
  <c r="FX381" i="27"/>
  <c r="DS381" i="27"/>
  <c r="HI381" i="27"/>
  <c r="DR381" i="27"/>
  <c r="CQ381" i="27"/>
  <c r="FR381" i="27"/>
  <c r="EG381" i="27"/>
  <c r="AL381" i="27"/>
  <c r="BC381" i="27"/>
  <c r="AW381" i="27"/>
  <c r="CL381" i="27"/>
  <c r="DU381" i="27"/>
  <c r="N381" i="27"/>
  <c r="DV381" i="27"/>
  <c r="FS381" i="27"/>
  <c r="IH381" i="27"/>
  <c r="ID381" i="27"/>
  <c r="CJ381" i="27"/>
  <c r="BD381" i="27"/>
  <c r="EN381" i="27"/>
  <c r="EM381" i="27"/>
  <c r="DI381" i="27"/>
  <c r="CM381" i="27"/>
  <c r="K381" i="27"/>
  <c r="GB381" i="27"/>
  <c r="AK381" i="27"/>
  <c r="CR381" i="27"/>
  <c r="HG381" i="27"/>
  <c r="FO381" i="27"/>
  <c r="ET381" i="27"/>
  <c r="BY381" i="27"/>
  <c r="DY381" i="27"/>
  <c r="EA381" i="27"/>
  <c r="X381" i="27"/>
  <c r="FP381" i="27"/>
  <c r="CS381" i="27"/>
  <c r="FN381" i="27"/>
  <c r="HZ381" i="27"/>
  <c r="DT381" i="27"/>
  <c r="HL381" i="27"/>
  <c r="GZ381" i="27"/>
  <c r="EY381" i="27"/>
  <c r="I381" i="27"/>
  <c r="DH381" i="27"/>
  <c r="M381" i="27"/>
  <c r="CZ381" i="27"/>
  <c r="EE381" i="27"/>
  <c r="GM381" i="27"/>
  <c r="GY381" i="27"/>
  <c r="BG381" i="27"/>
  <c r="AB381" i="27"/>
  <c r="DG381" i="27"/>
  <c r="HW381" i="27"/>
  <c r="BA381" i="27"/>
  <c r="AX381" i="27"/>
  <c r="CB381" i="27"/>
  <c r="GW381" i="27"/>
  <c r="IF381" i="27"/>
  <c r="EF381" i="27"/>
  <c r="HD381" i="27"/>
  <c r="ES381" i="27"/>
  <c r="BR381" i="27"/>
  <c r="GL381" i="27"/>
  <c r="FU381" i="27"/>
  <c r="DE381" i="27"/>
  <c r="FW381" i="27"/>
  <c r="IE381" i="27"/>
  <c r="HO381" i="27"/>
  <c r="IB381" i="27"/>
  <c r="CE381" i="27"/>
  <c r="BK381" i="27"/>
  <c r="CU381" i="27"/>
  <c r="IJ381" i="27"/>
  <c r="GK381" i="27"/>
  <c r="GV381" i="27"/>
  <c r="T381" i="27"/>
  <c r="EO381" i="27"/>
  <c r="BS381" i="27"/>
  <c r="AQ381" i="27"/>
  <c r="EI381" i="27"/>
  <c r="EJ381" i="27"/>
  <c r="EL381" i="27"/>
  <c r="AH381" i="27"/>
  <c r="Q381" i="27"/>
  <c r="HS381" i="27"/>
  <c r="FE381" i="27"/>
  <c r="IG381" i="27"/>
  <c r="BV381" i="27"/>
  <c r="DN381" i="27"/>
  <c r="GE381" i="27"/>
  <c r="CP381" i="27"/>
  <c r="FQ381" i="27"/>
  <c r="CO381" i="27"/>
  <c r="BO381" i="27"/>
  <c r="ER381" i="27"/>
  <c r="BI381" i="27"/>
  <c r="FH381" i="27"/>
  <c r="HE381" i="27"/>
  <c r="E380" i="27"/>
  <c r="T76" i="31" s="1"/>
  <c r="I79" i="31" s="1"/>
  <c r="DK381" i="27"/>
  <c r="GR381" i="27"/>
  <c r="GN381" i="27"/>
  <c r="FM381" i="27"/>
  <c r="IF390" i="27" l="1"/>
  <c r="IG392" i="27"/>
  <c r="IF395" i="27"/>
  <c r="IF411" i="27"/>
  <c r="IG408" i="27"/>
  <c r="IF406" i="27"/>
  <c r="G79" i="31"/>
  <c r="I114" i="31" s="1"/>
  <c r="D79" i="31"/>
  <c r="L283" i="11"/>
  <c r="E381" i="27"/>
  <c r="W78" i="31" s="1"/>
  <c r="T78" i="31"/>
  <c r="IG406" i="27" l="1"/>
  <c r="IG411" i="27"/>
  <c r="IH408" i="27"/>
  <c r="IH392" i="27"/>
  <c r="IG395" i="27"/>
  <c r="IG390" i="27"/>
  <c r="J283" i="11"/>
  <c r="K65" i="14"/>
  <c r="C283" i="11"/>
  <c r="I283" i="11"/>
  <c r="M283" i="11"/>
  <c r="O65" i="14" s="1"/>
  <c r="W79" i="31"/>
  <c r="M73" i="31"/>
  <c r="I81" i="31"/>
  <c r="U281" i="11" s="1"/>
  <c r="L281" i="11" s="1"/>
  <c r="D127" i="31"/>
  <c r="O126" i="31" s="1"/>
  <c r="C72" i="31"/>
  <c r="F70" i="31" s="1"/>
  <c r="I70" i="31" s="1"/>
  <c r="N70" i="31" s="1"/>
  <c r="C73" i="31"/>
  <c r="J73" i="31"/>
  <c r="I77" i="31"/>
  <c r="L279" i="11" s="1"/>
  <c r="IH395" i="27" l="1"/>
  <c r="IH390" i="27"/>
  <c r="II392" i="27"/>
  <c r="II408" i="27"/>
  <c r="IH411" i="27"/>
  <c r="IH406" i="27"/>
  <c r="J65" i="14"/>
  <c r="D65" i="14"/>
  <c r="O128" i="31"/>
  <c r="O120" i="31"/>
  <c r="O105" i="31"/>
  <c r="O89" i="31"/>
  <c r="O104" i="31"/>
  <c r="J128" i="31"/>
  <c r="O112" i="31"/>
  <c r="K61" i="14"/>
  <c r="D58" i="14" s="1"/>
  <c r="V282" i="11"/>
  <c r="O100" i="31"/>
  <c r="O119" i="31"/>
  <c r="O124" i="31"/>
  <c r="O106" i="31"/>
  <c r="O74" i="31"/>
  <c r="O113" i="31"/>
  <c r="O94" i="31"/>
  <c r="O99" i="31"/>
  <c r="O86" i="31"/>
  <c r="O97" i="31"/>
  <c r="O116" i="31"/>
  <c r="O109" i="31"/>
  <c r="O123" i="31"/>
  <c r="L128" i="31"/>
  <c r="O98" i="31"/>
  <c r="O75" i="31"/>
  <c r="O110" i="31"/>
  <c r="O93" i="31"/>
  <c r="O127" i="31"/>
  <c r="O115" i="31"/>
  <c r="I128" i="31"/>
  <c r="O91" i="31"/>
  <c r="O95" i="31"/>
  <c r="O83" i="31"/>
  <c r="K72" i="31"/>
  <c r="O103" i="31"/>
  <c r="O87" i="31"/>
  <c r="O96" i="31"/>
  <c r="N128" i="31"/>
  <c r="O114" i="31"/>
  <c r="O92" i="31"/>
  <c r="O78" i="31"/>
  <c r="O85" i="31"/>
  <c r="O121" i="31"/>
  <c r="O107" i="31"/>
  <c r="O84" i="31"/>
  <c r="O82" i="31"/>
  <c r="O101" i="31"/>
  <c r="O108" i="31"/>
  <c r="O90" i="31"/>
  <c r="O122" i="31"/>
  <c r="O117" i="31"/>
  <c r="O71" i="31"/>
  <c r="K128" i="31"/>
  <c r="O125" i="31"/>
  <c r="O111" i="31"/>
  <c r="M128" i="31"/>
  <c r="O80" i="31"/>
  <c r="O102" i="31"/>
  <c r="G31" i="31"/>
  <c r="F32" i="31" s="1"/>
  <c r="G81" i="31"/>
  <c r="J114" i="31" s="1"/>
  <c r="D81" i="31"/>
  <c r="G114" i="31"/>
  <c r="O118" i="31"/>
  <c r="O88" i="31"/>
  <c r="II411" i="27" l="1"/>
  <c r="IJ408" i="27"/>
  <c r="II406" i="27"/>
  <c r="II395" i="27"/>
  <c r="IJ392" i="27"/>
  <c r="II390" i="27"/>
  <c r="R61" i="14"/>
  <c r="D61" i="14"/>
  <c r="K114" i="31"/>
  <c r="IK392" i="27" l="1"/>
  <c r="IJ395" i="27"/>
  <c r="IJ390" i="27"/>
  <c r="IJ411" i="27"/>
  <c r="IK408" i="27"/>
  <c r="IJ406" i="27"/>
  <c r="IK411" i="27" l="1"/>
  <c r="IK406" i="27"/>
  <c r="DD407" i="27" s="1"/>
  <c r="DD409" i="27" s="1"/>
  <c r="DD412" i="27" s="1"/>
  <c r="IK390" i="27"/>
  <c r="DD391" i="27" s="1"/>
  <c r="DD393" i="27" s="1"/>
  <c r="DD396" i="27" s="1"/>
  <c r="IK395" i="27"/>
  <c r="AQ391" i="27" l="1"/>
  <c r="AQ393" i="27" s="1"/>
  <c r="AQ396" i="27" s="1"/>
  <c r="H391" i="27"/>
  <c r="H393" i="27" s="1"/>
  <c r="H396" i="27" s="1"/>
  <c r="EZ391" i="27"/>
  <c r="EZ393" i="27" s="1"/>
  <c r="EZ396" i="27" s="1"/>
  <c r="EM407" i="27"/>
  <c r="EM409" i="27" s="1"/>
  <c r="EM412" i="27" s="1"/>
  <c r="IG391" i="27"/>
  <c r="IG393" i="27" s="1"/>
  <c r="IG396" i="27" s="1"/>
  <c r="GP391" i="27"/>
  <c r="GP393" i="27" s="1"/>
  <c r="GP396" i="27" s="1"/>
  <c r="FV391" i="27"/>
  <c r="FV393" i="27" s="1"/>
  <c r="FV396" i="27" s="1"/>
  <c r="BE391" i="27"/>
  <c r="BE393" i="27" s="1"/>
  <c r="BE396" i="27" s="1"/>
  <c r="CD391" i="27"/>
  <c r="CD393" i="27" s="1"/>
  <c r="CD396" i="27" s="1"/>
  <c r="BQ391" i="27"/>
  <c r="BQ393" i="27" s="1"/>
  <c r="BQ396" i="27" s="1"/>
  <c r="GE391" i="27"/>
  <c r="GE393" i="27" s="1"/>
  <c r="GE396" i="27" s="1"/>
  <c r="BI391" i="27"/>
  <c r="BI393" i="27" s="1"/>
  <c r="BI396" i="27" s="1"/>
  <c r="CT391" i="27"/>
  <c r="CT393" i="27" s="1"/>
  <c r="CT396" i="27" s="1"/>
  <c r="HH391" i="27"/>
  <c r="HH393" i="27" s="1"/>
  <c r="HH396" i="27" s="1"/>
  <c r="GI391" i="27"/>
  <c r="GI393" i="27" s="1"/>
  <c r="GI396" i="27" s="1"/>
  <c r="S391" i="27"/>
  <c r="S393" i="27" s="1"/>
  <c r="S396" i="27" s="1"/>
  <c r="AW391" i="27"/>
  <c r="AW393" i="27" s="1"/>
  <c r="AW396" i="27" s="1"/>
  <c r="I391" i="27"/>
  <c r="I393" i="27" s="1"/>
  <c r="I396" i="27" s="1"/>
  <c r="DM391" i="27"/>
  <c r="DM393" i="27" s="1"/>
  <c r="DM396" i="27" s="1"/>
  <c r="FZ391" i="27"/>
  <c r="FZ393" i="27" s="1"/>
  <c r="FZ396" i="27" s="1"/>
  <c r="IA391" i="27"/>
  <c r="IA393" i="27" s="1"/>
  <c r="IA396" i="27" s="1"/>
  <c r="IJ391" i="27"/>
  <c r="IJ393" i="27" s="1"/>
  <c r="IJ396" i="27" s="1"/>
  <c r="FD391" i="27"/>
  <c r="FD393" i="27" s="1"/>
  <c r="FD396" i="27" s="1"/>
  <c r="BD391" i="27"/>
  <c r="BD393" i="27" s="1"/>
  <c r="BD396" i="27" s="1"/>
  <c r="CC391" i="27"/>
  <c r="CC393" i="27" s="1"/>
  <c r="CC396" i="27" s="1"/>
  <c r="EX391" i="27"/>
  <c r="EX393" i="27" s="1"/>
  <c r="EX396" i="27" s="1"/>
  <c r="DJ391" i="27"/>
  <c r="DJ393" i="27" s="1"/>
  <c r="DJ396" i="27" s="1"/>
  <c r="GY391" i="27"/>
  <c r="GY393" i="27" s="1"/>
  <c r="GY396" i="27" s="1"/>
  <c r="GA391" i="27"/>
  <c r="GA393" i="27" s="1"/>
  <c r="GA396" i="27" s="1"/>
  <c r="GL391" i="27"/>
  <c r="GL393" i="27" s="1"/>
  <c r="GL396" i="27" s="1"/>
  <c r="ER391" i="27"/>
  <c r="ER393" i="27" s="1"/>
  <c r="ER396" i="27" s="1"/>
  <c r="CN391" i="27"/>
  <c r="CN393" i="27" s="1"/>
  <c r="CN396" i="27" s="1"/>
  <c r="AV391" i="27"/>
  <c r="AV393" i="27" s="1"/>
  <c r="AV396" i="27" s="1"/>
  <c r="BR391" i="27"/>
  <c r="BR393" i="27" s="1"/>
  <c r="BR396" i="27" s="1"/>
  <c r="FS391" i="27"/>
  <c r="FS393" i="27" s="1"/>
  <c r="FS396" i="27" s="1"/>
  <c r="FO391" i="27"/>
  <c r="FO393" i="27" s="1"/>
  <c r="FO396" i="27" s="1"/>
  <c r="BS391" i="27"/>
  <c r="BS393" i="27" s="1"/>
  <c r="BS396" i="27" s="1"/>
  <c r="DA391" i="27"/>
  <c r="DA393" i="27" s="1"/>
  <c r="DA396" i="27" s="1"/>
  <c r="EU391" i="27"/>
  <c r="EU393" i="27" s="1"/>
  <c r="EU396" i="27" s="1"/>
  <c r="GS391" i="27"/>
  <c r="GS393" i="27" s="1"/>
  <c r="GS396" i="27" s="1"/>
  <c r="EF391" i="27"/>
  <c r="EF393" i="27" s="1"/>
  <c r="EF396" i="27" s="1"/>
  <c r="Z391" i="27"/>
  <c r="Z393" i="27" s="1"/>
  <c r="Z396" i="27" s="1"/>
  <c r="FM391" i="27"/>
  <c r="FM393" i="27" s="1"/>
  <c r="FM396" i="27" s="1"/>
  <c r="GT391" i="27"/>
  <c r="GT393" i="27" s="1"/>
  <c r="GT396" i="27" s="1"/>
  <c r="AM391" i="27"/>
  <c r="AM393" i="27" s="1"/>
  <c r="AM396" i="27" s="1"/>
  <c r="BH391" i="27"/>
  <c r="BH393" i="27" s="1"/>
  <c r="BH396" i="27" s="1"/>
  <c r="HZ391" i="27"/>
  <c r="HZ393" i="27" s="1"/>
  <c r="HZ396" i="27" s="1"/>
  <c r="CX391" i="27"/>
  <c r="CX393" i="27" s="1"/>
  <c r="CX396" i="27" s="1"/>
  <c r="IE391" i="27"/>
  <c r="IE393" i="27" s="1"/>
  <c r="IE396" i="27" s="1"/>
  <c r="AD391" i="27"/>
  <c r="AD393" i="27" s="1"/>
  <c r="AD396" i="27" s="1"/>
  <c r="EC391" i="27"/>
  <c r="EC393" i="27" s="1"/>
  <c r="EC396" i="27" s="1"/>
  <c r="CK391" i="27"/>
  <c r="CK393" i="27" s="1"/>
  <c r="CK396" i="27" s="1"/>
  <c r="CL391" i="27"/>
  <c r="CL393" i="27" s="1"/>
  <c r="CL396" i="27" s="1"/>
  <c r="BY391" i="27"/>
  <c r="BY393" i="27" s="1"/>
  <c r="BY396" i="27" s="1"/>
  <c r="GJ391" i="27"/>
  <c r="GJ393" i="27" s="1"/>
  <c r="GJ396" i="27" s="1"/>
  <c r="HY391" i="27"/>
  <c r="HY393" i="27" s="1"/>
  <c r="HY396" i="27" s="1"/>
  <c r="BG391" i="27"/>
  <c r="BG393" i="27" s="1"/>
  <c r="BG396" i="27" s="1"/>
  <c r="GF391" i="27"/>
  <c r="GF393" i="27" s="1"/>
  <c r="GF396" i="27" s="1"/>
  <c r="CU391" i="27"/>
  <c r="CU393" i="27" s="1"/>
  <c r="CU396" i="27" s="1"/>
  <c r="GB391" i="27"/>
  <c r="GB393" i="27" s="1"/>
  <c r="GB396" i="27" s="1"/>
  <c r="HB391" i="27"/>
  <c r="HB393" i="27" s="1"/>
  <c r="HB396" i="27" s="1"/>
  <c r="GZ391" i="27"/>
  <c r="GZ393" i="27" s="1"/>
  <c r="GZ396" i="27" s="1"/>
  <c r="CY391" i="27"/>
  <c r="CY393" i="27" s="1"/>
  <c r="CY396" i="27" s="1"/>
  <c r="AN391" i="27"/>
  <c r="AN393" i="27" s="1"/>
  <c r="AN396" i="27" s="1"/>
  <c r="DZ391" i="27"/>
  <c r="DZ393" i="27" s="1"/>
  <c r="DZ396" i="27" s="1"/>
  <c r="HG391" i="27"/>
  <c r="HG393" i="27" s="1"/>
  <c r="HG396" i="27" s="1"/>
  <c r="DB391" i="27"/>
  <c r="DB393" i="27" s="1"/>
  <c r="DB396" i="27" s="1"/>
  <c r="BU391" i="27"/>
  <c r="BU393" i="27" s="1"/>
  <c r="BU396" i="27" s="1"/>
  <c r="FW391" i="27"/>
  <c r="FW393" i="27" s="1"/>
  <c r="FW396" i="27" s="1"/>
  <c r="HM391" i="27"/>
  <c r="HM393" i="27" s="1"/>
  <c r="HM396" i="27" s="1"/>
  <c r="BV391" i="27"/>
  <c r="BV393" i="27" s="1"/>
  <c r="BV396" i="27" s="1"/>
  <c r="CB391" i="27"/>
  <c r="CB393" i="27" s="1"/>
  <c r="CB396" i="27" s="1"/>
  <c r="FR391" i="27"/>
  <c r="FR393" i="27" s="1"/>
  <c r="FR396" i="27" s="1"/>
  <c r="CW391" i="27"/>
  <c r="CW393" i="27" s="1"/>
  <c r="CW396" i="27" s="1"/>
  <c r="DL391" i="27"/>
  <c r="DL393" i="27" s="1"/>
  <c r="DL396" i="27" s="1"/>
  <c r="CT407" i="27"/>
  <c r="CT409" i="27" s="1"/>
  <c r="CT412" i="27" s="1"/>
  <c r="EU407" i="27"/>
  <c r="EU409" i="27" s="1"/>
  <c r="EU412" i="27" s="1"/>
  <c r="HW407" i="27"/>
  <c r="HW409" i="27" s="1"/>
  <c r="HW412" i="27" s="1"/>
  <c r="DL407" i="27"/>
  <c r="DL409" i="27" s="1"/>
  <c r="DL412" i="27" s="1"/>
  <c r="EP407" i="27"/>
  <c r="EP409" i="27" s="1"/>
  <c r="EP412" i="27" s="1"/>
  <c r="HO407" i="27"/>
  <c r="HO409" i="27" s="1"/>
  <c r="HO412" i="27" s="1"/>
  <c r="O407" i="27"/>
  <c r="O409" i="27" s="1"/>
  <c r="O412" i="27" s="1"/>
  <c r="HI407" i="27"/>
  <c r="HI409" i="27" s="1"/>
  <c r="HI412" i="27" s="1"/>
  <c r="IA407" i="27"/>
  <c r="IA409" i="27" s="1"/>
  <c r="IA412" i="27" s="1"/>
  <c r="BJ407" i="27"/>
  <c r="BJ409" i="27" s="1"/>
  <c r="BJ412" i="27" s="1"/>
  <c r="BC407" i="27"/>
  <c r="BC409" i="27" s="1"/>
  <c r="BC412" i="27" s="1"/>
  <c r="BO407" i="27"/>
  <c r="BO409" i="27" s="1"/>
  <c r="BO412" i="27" s="1"/>
  <c r="T407" i="27"/>
  <c r="T409" i="27" s="1"/>
  <c r="T412" i="27" s="1"/>
  <c r="GE407" i="27"/>
  <c r="GE409" i="27" s="1"/>
  <c r="GE412" i="27" s="1"/>
  <c r="AC407" i="27"/>
  <c r="AC409" i="27" s="1"/>
  <c r="AC412" i="27" s="1"/>
  <c r="CI407" i="27"/>
  <c r="CI409" i="27" s="1"/>
  <c r="CI412" i="27" s="1"/>
  <c r="DQ407" i="27"/>
  <c r="DQ409" i="27" s="1"/>
  <c r="DQ412" i="27" s="1"/>
  <c r="DT407" i="27"/>
  <c r="DT409" i="27" s="1"/>
  <c r="DT412" i="27" s="1"/>
  <c r="GK407" i="27"/>
  <c r="GK409" i="27" s="1"/>
  <c r="GK412" i="27" s="1"/>
  <c r="DN407" i="27"/>
  <c r="DN409" i="27" s="1"/>
  <c r="DN412" i="27" s="1"/>
  <c r="BW407" i="27"/>
  <c r="BW409" i="27" s="1"/>
  <c r="BW412" i="27" s="1"/>
  <c r="GT407" i="27"/>
  <c r="GT409" i="27" s="1"/>
  <c r="GT412" i="27" s="1"/>
  <c r="J407" i="27"/>
  <c r="J409" i="27" s="1"/>
  <c r="J412" i="27" s="1"/>
  <c r="GW407" i="27"/>
  <c r="GW409" i="27" s="1"/>
  <c r="GW412" i="27" s="1"/>
  <c r="P407" i="27"/>
  <c r="P409" i="27" s="1"/>
  <c r="P412" i="27" s="1"/>
  <c r="BS407" i="27"/>
  <c r="BS409" i="27" s="1"/>
  <c r="BS412" i="27" s="1"/>
  <c r="IG407" i="27"/>
  <c r="IG409" i="27" s="1"/>
  <c r="IG412" i="27" s="1"/>
  <c r="AZ407" i="27"/>
  <c r="AZ409" i="27" s="1"/>
  <c r="AZ412" i="27" s="1"/>
  <c r="CV391" i="27"/>
  <c r="CV393" i="27" s="1"/>
  <c r="CV396" i="27" s="1"/>
  <c r="BV407" i="27"/>
  <c r="BV409" i="27" s="1"/>
  <c r="BV412" i="27" s="1"/>
  <c r="AS407" i="27"/>
  <c r="AS409" i="27" s="1"/>
  <c r="AS412" i="27" s="1"/>
  <c r="BQ407" i="27"/>
  <c r="BQ409" i="27" s="1"/>
  <c r="BQ412" i="27" s="1"/>
  <c r="AJ407" i="27"/>
  <c r="AJ409" i="27" s="1"/>
  <c r="AJ412" i="27" s="1"/>
  <c r="FN407" i="27"/>
  <c r="FN409" i="27" s="1"/>
  <c r="FN412" i="27" s="1"/>
  <c r="FK407" i="27"/>
  <c r="FK409" i="27" s="1"/>
  <c r="FK412" i="27" s="1"/>
  <c r="HS407" i="27"/>
  <c r="HS409" i="27" s="1"/>
  <c r="HS412" i="27" s="1"/>
  <c r="AR407" i="27"/>
  <c r="AR409" i="27" s="1"/>
  <c r="AR412" i="27" s="1"/>
  <c r="GV407" i="27"/>
  <c r="GV409" i="27" s="1"/>
  <c r="GV412" i="27" s="1"/>
  <c r="DF407" i="27"/>
  <c r="DF409" i="27" s="1"/>
  <c r="DF412" i="27" s="1"/>
  <c r="CP407" i="27"/>
  <c r="CP409" i="27" s="1"/>
  <c r="CP412" i="27" s="1"/>
  <c r="FA407" i="27"/>
  <c r="FA409" i="27" s="1"/>
  <c r="FA412" i="27" s="1"/>
  <c r="HV407" i="27"/>
  <c r="HV409" i="27" s="1"/>
  <c r="HV412" i="27" s="1"/>
  <c r="EJ407" i="27"/>
  <c r="EJ409" i="27" s="1"/>
  <c r="EJ412" i="27" s="1"/>
  <c r="FX407" i="27"/>
  <c r="FX409" i="27" s="1"/>
  <c r="FX412" i="27" s="1"/>
  <c r="FQ407" i="27"/>
  <c r="FQ409" i="27" s="1"/>
  <c r="FQ412" i="27" s="1"/>
  <c r="FR407" i="27"/>
  <c r="FR409" i="27" s="1"/>
  <c r="FR412" i="27" s="1"/>
  <c r="DU407" i="27"/>
  <c r="DU409" i="27" s="1"/>
  <c r="DU412" i="27" s="1"/>
  <c r="X407" i="27"/>
  <c r="X409" i="27" s="1"/>
  <c r="X412" i="27" s="1"/>
  <c r="HG407" i="27"/>
  <c r="HG409" i="27" s="1"/>
  <c r="HG412" i="27" s="1"/>
  <c r="HR407" i="27"/>
  <c r="HR409" i="27" s="1"/>
  <c r="HR412" i="27" s="1"/>
  <c r="HZ407" i="27"/>
  <c r="HZ409" i="27" s="1"/>
  <c r="HZ412" i="27" s="1"/>
  <c r="V407" i="27"/>
  <c r="V409" i="27" s="1"/>
  <c r="V412" i="27" s="1"/>
  <c r="FO407" i="27"/>
  <c r="FO409" i="27" s="1"/>
  <c r="FO412" i="27" s="1"/>
  <c r="IF407" i="27"/>
  <c r="IF409" i="27" s="1"/>
  <c r="IF412" i="27" s="1"/>
  <c r="ID407" i="27"/>
  <c r="ID409" i="27" s="1"/>
  <c r="ID412" i="27" s="1"/>
  <c r="EA407" i="27"/>
  <c r="EA409" i="27" s="1"/>
  <c r="EA412" i="27" s="1"/>
  <c r="HL407" i="27"/>
  <c r="HL409" i="27" s="1"/>
  <c r="HL412" i="27" s="1"/>
  <c r="EW407" i="27"/>
  <c r="EW409" i="27" s="1"/>
  <c r="EW412" i="27" s="1"/>
  <c r="AC391" i="27"/>
  <c r="AC393" i="27" s="1"/>
  <c r="AC396" i="27" s="1"/>
  <c r="II391" i="27"/>
  <c r="II393" i="27" s="1"/>
  <c r="II396" i="27" s="1"/>
  <c r="CG391" i="27"/>
  <c r="CG393" i="27" s="1"/>
  <c r="CG396" i="27" s="1"/>
  <c r="O391" i="27"/>
  <c r="O393" i="27" s="1"/>
  <c r="O396" i="27" s="1"/>
  <c r="AT391" i="27"/>
  <c r="AT393" i="27" s="1"/>
  <c r="AT396" i="27" s="1"/>
  <c r="BM391" i="27"/>
  <c r="BM393" i="27" s="1"/>
  <c r="BM396" i="27" s="1"/>
  <c r="DH391" i="27"/>
  <c r="DH393" i="27" s="1"/>
  <c r="DH396" i="27" s="1"/>
  <c r="HT391" i="27"/>
  <c r="HT393" i="27" s="1"/>
  <c r="HT396" i="27" s="1"/>
  <c r="AE391" i="27"/>
  <c r="AE393" i="27" s="1"/>
  <c r="AE396" i="27" s="1"/>
  <c r="HE391" i="27"/>
  <c r="HE393" i="27" s="1"/>
  <c r="HE396" i="27" s="1"/>
  <c r="CP391" i="27"/>
  <c r="CP393" i="27" s="1"/>
  <c r="CP396" i="27" s="1"/>
  <c r="FY391" i="27"/>
  <c r="FY393" i="27" s="1"/>
  <c r="FY396" i="27" s="1"/>
  <c r="R391" i="27"/>
  <c r="R393" i="27" s="1"/>
  <c r="R396" i="27" s="1"/>
  <c r="BT391" i="27"/>
  <c r="BT393" i="27" s="1"/>
  <c r="BT396" i="27" s="1"/>
  <c r="HJ391" i="27"/>
  <c r="HJ393" i="27" s="1"/>
  <c r="HJ396" i="27" s="1"/>
  <c r="FI391" i="27"/>
  <c r="FI393" i="27" s="1"/>
  <c r="FI396" i="27" s="1"/>
  <c r="HC391" i="27"/>
  <c r="HC393" i="27" s="1"/>
  <c r="HC396" i="27" s="1"/>
  <c r="CM391" i="27"/>
  <c r="CM393" i="27" s="1"/>
  <c r="CM396" i="27" s="1"/>
  <c r="AH391" i="27"/>
  <c r="AH393" i="27" s="1"/>
  <c r="AH396" i="27" s="1"/>
  <c r="EG391" i="27"/>
  <c r="EG393" i="27" s="1"/>
  <c r="EG396" i="27" s="1"/>
  <c r="K391" i="27"/>
  <c r="K393" i="27" s="1"/>
  <c r="K396" i="27" s="1"/>
  <c r="HD391" i="27"/>
  <c r="HD393" i="27" s="1"/>
  <c r="HD396" i="27" s="1"/>
  <c r="FJ391" i="27"/>
  <c r="FJ393" i="27" s="1"/>
  <c r="FJ396" i="27" s="1"/>
  <c r="GH391" i="27"/>
  <c r="GH393" i="27" s="1"/>
  <c r="GH396" i="27" s="1"/>
  <c r="AR391" i="27"/>
  <c r="AR393" i="27" s="1"/>
  <c r="AR396" i="27" s="1"/>
  <c r="AF407" i="27"/>
  <c r="AF409" i="27" s="1"/>
  <c r="AF412" i="27" s="1"/>
  <c r="CE407" i="27"/>
  <c r="CE409" i="27" s="1"/>
  <c r="CE412" i="27" s="1"/>
  <c r="W407" i="27"/>
  <c r="W409" i="27" s="1"/>
  <c r="W412" i="27" s="1"/>
  <c r="AD407" i="27"/>
  <c r="AD409" i="27" s="1"/>
  <c r="AD412" i="27" s="1"/>
  <c r="FE407" i="27"/>
  <c r="FE409" i="27" s="1"/>
  <c r="FE412" i="27" s="1"/>
  <c r="GO407" i="27"/>
  <c r="GO409" i="27" s="1"/>
  <c r="GO412" i="27" s="1"/>
  <c r="FH407" i="27"/>
  <c r="FH409" i="27" s="1"/>
  <c r="FH412" i="27" s="1"/>
  <c r="GD407" i="27"/>
  <c r="GD409" i="27" s="1"/>
  <c r="GD412" i="27" s="1"/>
  <c r="GN407" i="27"/>
  <c r="GN409" i="27" s="1"/>
  <c r="GN412" i="27" s="1"/>
  <c r="AB407" i="27"/>
  <c r="AB409" i="27" s="1"/>
  <c r="AB412" i="27" s="1"/>
  <c r="HB407" i="27"/>
  <c r="HB409" i="27" s="1"/>
  <c r="HB412" i="27" s="1"/>
  <c r="CY407" i="27"/>
  <c r="CY409" i="27" s="1"/>
  <c r="CY412" i="27" s="1"/>
  <c r="FY407" i="27"/>
  <c r="FY409" i="27" s="1"/>
  <c r="FY412" i="27" s="1"/>
  <c r="BT407" i="27"/>
  <c r="BT409" i="27" s="1"/>
  <c r="BT412" i="27" s="1"/>
  <c r="K407" i="27"/>
  <c r="K409" i="27" s="1"/>
  <c r="K412" i="27" s="1"/>
  <c r="GL407" i="27"/>
  <c r="GL409" i="27" s="1"/>
  <c r="GL412" i="27" s="1"/>
  <c r="HD407" i="27"/>
  <c r="HD409" i="27" s="1"/>
  <c r="HD412" i="27" s="1"/>
  <c r="HJ407" i="27"/>
  <c r="HJ409" i="27" s="1"/>
  <c r="HJ412" i="27" s="1"/>
  <c r="HA407" i="27"/>
  <c r="HA409" i="27" s="1"/>
  <c r="HA412" i="27" s="1"/>
  <c r="II407" i="27"/>
  <c r="II409" i="27" s="1"/>
  <c r="II412" i="27" s="1"/>
  <c r="EY407" i="27"/>
  <c r="EY409" i="27" s="1"/>
  <c r="EY412" i="27" s="1"/>
  <c r="AM407" i="27"/>
  <c r="AM409" i="27" s="1"/>
  <c r="AM412" i="27" s="1"/>
  <c r="N407" i="27"/>
  <c r="N409" i="27" s="1"/>
  <c r="N412" i="27" s="1"/>
  <c r="CX407" i="27"/>
  <c r="CX409" i="27" s="1"/>
  <c r="CX412" i="27" s="1"/>
  <c r="HN407" i="27"/>
  <c r="HN409" i="27" s="1"/>
  <c r="HN412" i="27" s="1"/>
  <c r="DC407" i="27"/>
  <c r="DC409" i="27" s="1"/>
  <c r="DC412" i="27" s="1"/>
  <c r="ET407" i="27"/>
  <c r="ET409" i="27" s="1"/>
  <c r="ET412" i="27" s="1"/>
  <c r="DA407" i="27"/>
  <c r="DA409" i="27" s="1"/>
  <c r="DA412" i="27" s="1"/>
  <c r="HE407" i="27"/>
  <c r="HE409" i="27" s="1"/>
  <c r="HE412" i="27" s="1"/>
  <c r="J391" i="27"/>
  <c r="J393" i="27" s="1"/>
  <c r="J396" i="27" s="1"/>
  <c r="GV391" i="27"/>
  <c r="GV393" i="27" s="1"/>
  <c r="GV396" i="27" s="1"/>
  <c r="AK391" i="27"/>
  <c r="AK393" i="27" s="1"/>
  <c r="AK396" i="27" s="1"/>
  <c r="GM391" i="27"/>
  <c r="GM393" i="27" s="1"/>
  <c r="GM396" i="27" s="1"/>
  <c r="EV391" i="27"/>
  <c r="EV393" i="27" s="1"/>
  <c r="EV396" i="27" s="1"/>
  <c r="EL391" i="27"/>
  <c r="EL393" i="27" s="1"/>
  <c r="EL396" i="27" s="1"/>
  <c r="CR391" i="27"/>
  <c r="CR393" i="27" s="1"/>
  <c r="CR396" i="27" s="1"/>
  <c r="FN391" i="27"/>
  <c r="FN393" i="27" s="1"/>
  <c r="FN396" i="27" s="1"/>
  <c r="DI391" i="27"/>
  <c r="DI393" i="27" s="1"/>
  <c r="DI396" i="27" s="1"/>
  <c r="HR391" i="27"/>
  <c r="HR393" i="27" s="1"/>
  <c r="HR396" i="27" s="1"/>
  <c r="U391" i="27"/>
  <c r="U393" i="27" s="1"/>
  <c r="U396" i="27" s="1"/>
  <c r="HF391" i="27"/>
  <c r="HF393" i="27" s="1"/>
  <c r="HF396" i="27" s="1"/>
  <c r="GW391" i="27"/>
  <c r="GW393" i="27" s="1"/>
  <c r="GW396" i="27" s="1"/>
  <c r="FX391" i="27"/>
  <c r="FX393" i="27" s="1"/>
  <c r="FX396" i="27" s="1"/>
  <c r="HX391" i="27"/>
  <c r="HX393" i="27" s="1"/>
  <c r="HX396" i="27" s="1"/>
  <c r="GC391" i="27"/>
  <c r="GC393" i="27" s="1"/>
  <c r="GC396" i="27" s="1"/>
  <c r="AZ391" i="27"/>
  <c r="AZ393" i="27" s="1"/>
  <c r="AZ396" i="27" s="1"/>
  <c r="AY391" i="27"/>
  <c r="AY393" i="27" s="1"/>
  <c r="AY396" i="27" s="1"/>
  <c r="CI391" i="27"/>
  <c r="CI393" i="27" s="1"/>
  <c r="CI396" i="27" s="1"/>
  <c r="ID391" i="27"/>
  <c r="ID393" i="27" s="1"/>
  <c r="ID396" i="27" s="1"/>
  <c r="FA391" i="27"/>
  <c r="FA393" i="27" s="1"/>
  <c r="FA396" i="27" s="1"/>
  <c r="CZ391" i="27"/>
  <c r="CZ393" i="27" s="1"/>
  <c r="CZ396" i="27" s="1"/>
  <c r="CJ391" i="27"/>
  <c r="CJ393" i="27" s="1"/>
  <c r="CJ396" i="27" s="1"/>
  <c r="ES391" i="27"/>
  <c r="ES393" i="27" s="1"/>
  <c r="ES396" i="27" s="1"/>
  <c r="BK391" i="27"/>
  <c r="BK393" i="27" s="1"/>
  <c r="BK396" i="27" s="1"/>
  <c r="AI391" i="27"/>
  <c r="AI393" i="27" s="1"/>
  <c r="AI396" i="27" s="1"/>
  <c r="AG391" i="27"/>
  <c r="AG393" i="27" s="1"/>
  <c r="AG396" i="27" s="1"/>
  <c r="EW391" i="27"/>
  <c r="EW393" i="27" s="1"/>
  <c r="EW396" i="27" s="1"/>
  <c r="DV391" i="27"/>
  <c r="DV393" i="27" s="1"/>
  <c r="DV396" i="27" s="1"/>
  <c r="EB407" i="27"/>
  <c r="EB409" i="27" s="1"/>
  <c r="EB412" i="27" s="1"/>
  <c r="BM407" i="27"/>
  <c r="BM409" i="27" s="1"/>
  <c r="BM412" i="27" s="1"/>
  <c r="DR407" i="27"/>
  <c r="DR409" i="27" s="1"/>
  <c r="DR412" i="27" s="1"/>
  <c r="IE407" i="27"/>
  <c r="IE409" i="27" s="1"/>
  <c r="IE412" i="27" s="1"/>
  <c r="BX407" i="27"/>
  <c r="BX409" i="27" s="1"/>
  <c r="BX412" i="27" s="1"/>
  <c r="IJ407" i="27"/>
  <c r="IJ409" i="27" s="1"/>
  <c r="IJ412" i="27" s="1"/>
  <c r="DY407" i="27"/>
  <c r="DY409" i="27" s="1"/>
  <c r="DY412" i="27" s="1"/>
  <c r="I407" i="27"/>
  <c r="I409" i="27" s="1"/>
  <c r="I412" i="27" s="1"/>
  <c r="AG407" i="27"/>
  <c r="AG409" i="27" s="1"/>
  <c r="AG412" i="27" s="1"/>
  <c r="AW407" i="27"/>
  <c r="AW409" i="27" s="1"/>
  <c r="AW412" i="27" s="1"/>
  <c r="DW407" i="27"/>
  <c r="DW409" i="27" s="1"/>
  <c r="DW412" i="27" s="1"/>
  <c r="HX407" i="27"/>
  <c r="HX409" i="27" s="1"/>
  <c r="HX412" i="27" s="1"/>
  <c r="FS407" i="27"/>
  <c r="FS409" i="27" s="1"/>
  <c r="FS412" i="27" s="1"/>
  <c r="BP407" i="27"/>
  <c r="BP409" i="27" s="1"/>
  <c r="BP412" i="27" s="1"/>
  <c r="BG407" i="27"/>
  <c r="BG409" i="27" s="1"/>
  <c r="BG412" i="27" s="1"/>
  <c r="HF407" i="27"/>
  <c r="HF409" i="27" s="1"/>
  <c r="HF412" i="27" s="1"/>
  <c r="BH407" i="27"/>
  <c r="BH409" i="27" s="1"/>
  <c r="BH412" i="27" s="1"/>
  <c r="ED407" i="27"/>
  <c r="ED409" i="27" s="1"/>
  <c r="ED412" i="27" s="1"/>
  <c r="GP407" i="27"/>
  <c r="GP409" i="27" s="1"/>
  <c r="GP412" i="27" s="1"/>
  <c r="AY407" i="27"/>
  <c r="AY409" i="27" s="1"/>
  <c r="AY412" i="27" s="1"/>
  <c r="AV407" i="27"/>
  <c r="AV409" i="27" s="1"/>
  <c r="AV412" i="27" s="1"/>
  <c r="AX407" i="27"/>
  <c r="AX409" i="27" s="1"/>
  <c r="AX412" i="27" s="1"/>
  <c r="BK407" i="27"/>
  <c r="BK409" i="27" s="1"/>
  <c r="BK412" i="27" s="1"/>
  <c r="BE407" i="27"/>
  <c r="BE409" i="27" s="1"/>
  <c r="BE412" i="27" s="1"/>
  <c r="DX407" i="27"/>
  <c r="DX409" i="27" s="1"/>
  <c r="DX412" i="27" s="1"/>
  <c r="BB407" i="27"/>
  <c r="BB409" i="27" s="1"/>
  <c r="BB412" i="27" s="1"/>
  <c r="EK407" i="27"/>
  <c r="EK409" i="27" s="1"/>
  <c r="EK412" i="27" s="1"/>
  <c r="GY407" i="27"/>
  <c r="GY409" i="27" s="1"/>
  <c r="GY412" i="27" s="1"/>
  <c r="HU407" i="27"/>
  <c r="HU409" i="27" s="1"/>
  <c r="HU412" i="27" s="1"/>
  <c r="DH407" i="27"/>
  <c r="DH409" i="27" s="1"/>
  <c r="DH412" i="27" s="1"/>
  <c r="BC391" i="27"/>
  <c r="BC393" i="27" s="1"/>
  <c r="BC396" i="27" s="1"/>
  <c r="HI391" i="27"/>
  <c r="HI393" i="27" s="1"/>
  <c r="HI396" i="27" s="1"/>
  <c r="DU391" i="27"/>
  <c r="DU393" i="27" s="1"/>
  <c r="DU396" i="27" s="1"/>
  <c r="GR391" i="27"/>
  <c r="GR393" i="27" s="1"/>
  <c r="GR396" i="27" s="1"/>
  <c r="AA391" i="27"/>
  <c r="AA393" i="27" s="1"/>
  <c r="AA396" i="27" s="1"/>
  <c r="IC391" i="27"/>
  <c r="IC393" i="27" s="1"/>
  <c r="IC396" i="27" s="1"/>
  <c r="CH391" i="27"/>
  <c r="CH393" i="27" s="1"/>
  <c r="CH396" i="27" s="1"/>
  <c r="L391" i="27"/>
  <c r="L393" i="27" s="1"/>
  <c r="L396" i="27" s="1"/>
  <c r="BJ391" i="27"/>
  <c r="BJ393" i="27" s="1"/>
  <c r="BJ396" i="27" s="1"/>
  <c r="FQ391" i="27"/>
  <c r="FQ393" i="27" s="1"/>
  <c r="FQ396" i="27" s="1"/>
  <c r="DY391" i="27"/>
  <c r="DY393" i="27" s="1"/>
  <c r="DY396" i="27" s="1"/>
  <c r="BZ391" i="27"/>
  <c r="BZ393" i="27" s="1"/>
  <c r="BZ396" i="27" s="1"/>
  <c r="FC391" i="27"/>
  <c r="FC393" i="27" s="1"/>
  <c r="FC396" i="27" s="1"/>
  <c r="CS391" i="27"/>
  <c r="CS393" i="27" s="1"/>
  <c r="CS396" i="27" s="1"/>
  <c r="HQ391" i="27"/>
  <c r="HQ393" i="27" s="1"/>
  <c r="HQ396" i="27" s="1"/>
  <c r="AX391" i="27"/>
  <c r="AX393" i="27" s="1"/>
  <c r="AX396" i="27" s="1"/>
  <c r="DO391" i="27"/>
  <c r="DO393" i="27" s="1"/>
  <c r="DO396" i="27" s="1"/>
  <c r="DR391" i="27"/>
  <c r="DR393" i="27" s="1"/>
  <c r="DR396" i="27" s="1"/>
  <c r="BN391" i="27"/>
  <c r="BN393" i="27" s="1"/>
  <c r="BN396" i="27" s="1"/>
  <c r="FP391" i="27"/>
  <c r="FP393" i="27" s="1"/>
  <c r="FP396" i="27" s="1"/>
  <c r="DX391" i="27"/>
  <c r="DX393" i="27" s="1"/>
  <c r="DX396" i="27" s="1"/>
  <c r="DE391" i="27"/>
  <c r="DE393" i="27" s="1"/>
  <c r="DE396" i="27" s="1"/>
  <c r="BX391" i="27"/>
  <c r="BX393" i="27" s="1"/>
  <c r="BX396" i="27" s="1"/>
  <c r="IB391" i="27"/>
  <c r="IB393" i="27" s="1"/>
  <c r="IB396" i="27" s="1"/>
  <c r="FZ407" i="27"/>
  <c r="FZ409" i="27" s="1"/>
  <c r="FZ412" i="27" s="1"/>
  <c r="HY407" i="27"/>
  <c r="HY409" i="27" s="1"/>
  <c r="HY412" i="27" s="1"/>
  <c r="CD407" i="27"/>
  <c r="CD409" i="27" s="1"/>
  <c r="CD412" i="27" s="1"/>
  <c r="FD407" i="27"/>
  <c r="FD409" i="27" s="1"/>
  <c r="FD412" i="27" s="1"/>
  <c r="EE407" i="27"/>
  <c r="EE409" i="27" s="1"/>
  <c r="EE412" i="27" s="1"/>
  <c r="BA407" i="27"/>
  <c r="BA409" i="27" s="1"/>
  <c r="BA412" i="27" s="1"/>
  <c r="EL407" i="27"/>
  <c r="EL409" i="27" s="1"/>
  <c r="EL412" i="27" s="1"/>
  <c r="CH407" i="27"/>
  <c r="CH409" i="27" s="1"/>
  <c r="CH412" i="27" s="1"/>
  <c r="AA407" i="27"/>
  <c r="AA409" i="27" s="1"/>
  <c r="AA412" i="27" s="1"/>
  <c r="U407" i="27"/>
  <c r="U409" i="27" s="1"/>
  <c r="U412" i="27" s="1"/>
  <c r="CQ407" i="27"/>
  <c r="CQ409" i="27" s="1"/>
  <c r="CQ412" i="27" s="1"/>
  <c r="CK407" i="27"/>
  <c r="CK409" i="27" s="1"/>
  <c r="CK412" i="27" s="1"/>
  <c r="CR407" i="27"/>
  <c r="CR409" i="27" s="1"/>
  <c r="CR412" i="27" s="1"/>
  <c r="BU407" i="27"/>
  <c r="BU409" i="27" s="1"/>
  <c r="BU412" i="27" s="1"/>
  <c r="EF407" i="27"/>
  <c r="EF409" i="27" s="1"/>
  <c r="EF412" i="27" s="1"/>
  <c r="AT407" i="27"/>
  <c r="AT409" i="27" s="1"/>
  <c r="AT412" i="27" s="1"/>
  <c r="DV407" i="27"/>
  <c r="DV409" i="27" s="1"/>
  <c r="DV412" i="27" s="1"/>
  <c r="FI407" i="27"/>
  <c r="FI409" i="27" s="1"/>
  <c r="FI412" i="27" s="1"/>
  <c r="AU407" i="27"/>
  <c r="AU409" i="27" s="1"/>
  <c r="AU412" i="27" s="1"/>
  <c r="DM407" i="27"/>
  <c r="DM409" i="27" s="1"/>
  <c r="DM412" i="27" s="1"/>
  <c r="GM407" i="27"/>
  <c r="GM409" i="27" s="1"/>
  <c r="GM412" i="27" s="1"/>
  <c r="EN407" i="27"/>
  <c r="EN409" i="27" s="1"/>
  <c r="EN412" i="27" s="1"/>
  <c r="GF407" i="27"/>
  <c r="GF409" i="27" s="1"/>
  <c r="GF412" i="27" s="1"/>
  <c r="HC407" i="27"/>
  <c r="HC409" i="27" s="1"/>
  <c r="HC412" i="27" s="1"/>
  <c r="EO407" i="27"/>
  <c r="EO409" i="27" s="1"/>
  <c r="EO412" i="27" s="1"/>
  <c r="EI407" i="27"/>
  <c r="EI409" i="27" s="1"/>
  <c r="EI412" i="27" s="1"/>
  <c r="CV407" i="27"/>
  <c r="CV409" i="27" s="1"/>
  <c r="CV412" i="27" s="1"/>
  <c r="GA407" i="27"/>
  <c r="GA409" i="27" s="1"/>
  <c r="GA412" i="27" s="1"/>
  <c r="GZ407" i="27"/>
  <c r="GZ409" i="27" s="1"/>
  <c r="GZ412" i="27" s="1"/>
  <c r="DK407" i="27"/>
  <c r="DK409" i="27" s="1"/>
  <c r="DK412" i="27" s="1"/>
  <c r="GD391" i="27"/>
  <c r="GD393" i="27" s="1"/>
  <c r="GD396" i="27" s="1"/>
  <c r="EJ391" i="27"/>
  <c r="EJ393" i="27" s="1"/>
  <c r="EJ396" i="27" s="1"/>
  <c r="FT391" i="27"/>
  <c r="FT393" i="27" s="1"/>
  <c r="FT396" i="27" s="1"/>
  <c r="IH391" i="27"/>
  <c r="IH393" i="27" s="1"/>
  <c r="IH396" i="27" s="1"/>
  <c r="EA391" i="27"/>
  <c r="EA393" i="27" s="1"/>
  <c r="EA396" i="27" s="1"/>
  <c r="HS391" i="27"/>
  <c r="HS393" i="27" s="1"/>
  <c r="HS396" i="27" s="1"/>
  <c r="W391" i="27"/>
  <c r="W393" i="27" s="1"/>
  <c r="W396" i="27" s="1"/>
  <c r="EK391" i="27"/>
  <c r="EK393" i="27" s="1"/>
  <c r="EK396" i="27" s="1"/>
  <c r="AJ391" i="27"/>
  <c r="AJ393" i="27" s="1"/>
  <c r="AJ396" i="27" s="1"/>
  <c r="IK391" i="27"/>
  <c r="IK393" i="27" s="1"/>
  <c r="IK396" i="27" s="1"/>
  <c r="EN391" i="27"/>
  <c r="EN393" i="27" s="1"/>
  <c r="EN396" i="27" s="1"/>
  <c r="DQ391" i="27"/>
  <c r="DQ393" i="27" s="1"/>
  <c r="DQ396" i="27" s="1"/>
  <c r="AF391" i="27"/>
  <c r="AF393" i="27" s="1"/>
  <c r="AF396" i="27" s="1"/>
  <c r="DC391" i="27"/>
  <c r="DC393" i="27" s="1"/>
  <c r="DC396" i="27" s="1"/>
  <c r="DT391" i="27"/>
  <c r="DT393" i="27" s="1"/>
  <c r="DT396" i="27" s="1"/>
  <c r="CA391" i="27"/>
  <c r="CA393" i="27" s="1"/>
  <c r="CA396" i="27" s="1"/>
  <c r="DW391" i="27"/>
  <c r="DW393" i="27" s="1"/>
  <c r="DW396" i="27" s="1"/>
  <c r="FK391" i="27"/>
  <c r="FK393" i="27" s="1"/>
  <c r="FK396" i="27" s="1"/>
  <c r="AS391" i="27"/>
  <c r="AS393" i="27" s="1"/>
  <c r="AS396" i="27" s="1"/>
  <c r="HW391" i="27"/>
  <c r="HW393" i="27" s="1"/>
  <c r="HW396" i="27" s="1"/>
  <c r="CE391" i="27"/>
  <c r="CE393" i="27" s="1"/>
  <c r="CE396" i="27" s="1"/>
  <c r="CQ391" i="27"/>
  <c r="CQ393" i="27" s="1"/>
  <c r="CQ396" i="27" s="1"/>
  <c r="BW391" i="27"/>
  <c r="BW393" i="27" s="1"/>
  <c r="BW396" i="27" s="1"/>
  <c r="BB391" i="27"/>
  <c r="BB393" i="27" s="1"/>
  <c r="BB396" i="27" s="1"/>
  <c r="X391" i="27"/>
  <c r="X393" i="27" s="1"/>
  <c r="X396" i="27" s="1"/>
  <c r="GO391" i="27"/>
  <c r="GO393" i="27" s="1"/>
  <c r="GO396" i="27" s="1"/>
  <c r="DP391" i="27"/>
  <c r="DP393" i="27" s="1"/>
  <c r="DP396" i="27" s="1"/>
  <c r="EH391" i="27"/>
  <c r="EH393" i="27" s="1"/>
  <c r="EH396" i="27" s="1"/>
  <c r="CS407" i="27"/>
  <c r="CS409" i="27" s="1"/>
  <c r="CS412" i="27" s="1"/>
  <c r="BN407" i="27"/>
  <c r="BN409" i="27" s="1"/>
  <c r="BN412" i="27" s="1"/>
  <c r="IC407" i="27"/>
  <c r="IC409" i="27" s="1"/>
  <c r="IC412" i="27" s="1"/>
  <c r="GS407" i="27"/>
  <c r="GS409" i="27" s="1"/>
  <c r="GS412" i="27" s="1"/>
  <c r="ES407" i="27"/>
  <c r="ES409" i="27" s="1"/>
  <c r="ES412" i="27" s="1"/>
  <c r="EH407" i="27"/>
  <c r="EH409" i="27" s="1"/>
  <c r="EH412" i="27" s="1"/>
  <c r="AN407" i="27"/>
  <c r="AN409" i="27" s="1"/>
  <c r="AN412" i="27" s="1"/>
  <c r="IB407" i="27"/>
  <c r="IB409" i="27" s="1"/>
  <c r="IB412" i="27" s="1"/>
  <c r="CZ407" i="27"/>
  <c r="CZ409" i="27" s="1"/>
  <c r="CZ412" i="27" s="1"/>
  <c r="EQ407" i="27"/>
  <c r="EQ409" i="27" s="1"/>
  <c r="EQ412" i="27" s="1"/>
  <c r="DP407" i="27"/>
  <c r="DP409" i="27" s="1"/>
  <c r="DP412" i="27" s="1"/>
  <c r="AH407" i="27"/>
  <c r="AH409" i="27" s="1"/>
  <c r="AH412" i="27" s="1"/>
  <c r="DO407" i="27"/>
  <c r="DO409" i="27" s="1"/>
  <c r="DO412" i="27" s="1"/>
  <c r="CG407" i="27"/>
  <c r="CG409" i="27" s="1"/>
  <c r="CG412" i="27" s="1"/>
  <c r="CN407" i="27"/>
  <c r="CN409" i="27" s="1"/>
  <c r="CN412" i="27" s="1"/>
  <c r="DS407" i="27"/>
  <c r="DS409" i="27" s="1"/>
  <c r="DS412" i="27" s="1"/>
  <c r="FV407" i="27"/>
  <c r="FV409" i="27" s="1"/>
  <c r="FV412" i="27" s="1"/>
  <c r="AI407" i="27"/>
  <c r="AI409" i="27" s="1"/>
  <c r="AI412" i="27" s="1"/>
  <c r="FL407" i="27"/>
  <c r="FL409" i="27" s="1"/>
  <c r="FL412" i="27" s="1"/>
  <c r="CW407" i="27"/>
  <c r="CW409" i="27" s="1"/>
  <c r="CW412" i="27" s="1"/>
  <c r="CA407" i="27"/>
  <c r="CA409" i="27" s="1"/>
  <c r="CA412" i="27" s="1"/>
  <c r="AQ407" i="27"/>
  <c r="AQ409" i="27" s="1"/>
  <c r="AQ412" i="27" s="1"/>
  <c r="IH407" i="27"/>
  <c r="IH409" i="27" s="1"/>
  <c r="IH412" i="27" s="1"/>
  <c r="DG407" i="27"/>
  <c r="DG409" i="27" s="1"/>
  <c r="DG412" i="27" s="1"/>
  <c r="GI407" i="27"/>
  <c r="GI409" i="27" s="1"/>
  <c r="GI412" i="27" s="1"/>
  <c r="EZ407" i="27"/>
  <c r="EZ409" i="27" s="1"/>
  <c r="EZ412" i="27" s="1"/>
  <c r="FM407" i="27"/>
  <c r="FM409" i="27" s="1"/>
  <c r="FM412" i="27" s="1"/>
  <c r="GX407" i="27"/>
  <c r="GX409" i="27" s="1"/>
  <c r="GX412" i="27" s="1"/>
  <c r="EX407" i="27"/>
  <c r="EX409" i="27" s="1"/>
  <c r="EX412" i="27" s="1"/>
  <c r="FU407" i="27"/>
  <c r="FU409" i="27" s="1"/>
  <c r="FU412" i="27" s="1"/>
  <c r="T391" i="27"/>
  <c r="T393" i="27" s="1"/>
  <c r="T396" i="27" s="1"/>
  <c r="AU391" i="27"/>
  <c r="AU393" i="27" s="1"/>
  <c r="AU396" i="27" s="1"/>
  <c r="FG391" i="27"/>
  <c r="FG393" i="27" s="1"/>
  <c r="FG396" i="27" s="1"/>
  <c r="FH391" i="27"/>
  <c r="FH393" i="27" s="1"/>
  <c r="FH396" i="27" s="1"/>
  <c r="BP391" i="27"/>
  <c r="BP393" i="27" s="1"/>
  <c r="BP396" i="27" s="1"/>
  <c r="EB391" i="27"/>
  <c r="EB393" i="27" s="1"/>
  <c r="EB396" i="27" s="1"/>
  <c r="DF391" i="27"/>
  <c r="DF393" i="27" s="1"/>
  <c r="DF396" i="27" s="1"/>
  <c r="CF391" i="27"/>
  <c r="CF393" i="27" s="1"/>
  <c r="CF396" i="27" s="1"/>
  <c r="EP391" i="27"/>
  <c r="EP393" i="27" s="1"/>
  <c r="EP396" i="27" s="1"/>
  <c r="GQ391" i="27"/>
  <c r="GQ393" i="27" s="1"/>
  <c r="GQ396" i="27" s="1"/>
  <c r="FE391" i="27"/>
  <c r="FE393" i="27" s="1"/>
  <c r="FE396" i="27" s="1"/>
  <c r="FF391" i="27"/>
  <c r="FF393" i="27" s="1"/>
  <c r="FF396" i="27" s="1"/>
  <c r="EE391" i="27"/>
  <c r="EE393" i="27" s="1"/>
  <c r="EE396" i="27" s="1"/>
  <c r="DK391" i="27"/>
  <c r="DK393" i="27" s="1"/>
  <c r="DK396" i="27" s="1"/>
  <c r="GN391" i="27"/>
  <c r="GN393" i="27" s="1"/>
  <c r="GN396" i="27" s="1"/>
  <c r="HP391" i="27"/>
  <c r="HP393" i="27" s="1"/>
  <c r="HP396" i="27" s="1"/>
  <c r="HL391" i="27"/>
  <c r="HL393" i="27" s="1"/>
  <c r="HL396" i="27" s="1"/>
  <c r="EO391" i="27"/>
  <c r="EO393" i="27" s="1"/>
  <c r="EO396" i="27" s="1"/>
  <c r="GG391" i="27"/>
  <c r="GG393" i="27" s="1"/>
  <c r="GG396" i="27" s="1"/>
  <c r="FU391" i="27"/>
  <c r="FU393" i="27" s="1"/>
  <c r="FU396" i="27" s="1"/>
  <c r="BL391" i="27"/>
  <c r="BL393" i="27" s="1"/>
  <c r="BL396" i="27" s="1"/>
  <c r="HO391" i="27"/>
  <c r="HO393" i="27" s="1"/>
  <c r="HO396" i="27" s="1"/>
  <c r="P391" i="27"/>
  <c r="P393" i="27" s="1"/>
  <c r="P396" i="27" s="1"/>
  <c r="HK391" i="27"/>
  <c r="HK393" i="27" s="1"/>
  <c r="HK396" i="27" s="1"/>
  <c r="EM391" i="27"/>
  <c r="EM393" i="27" s="1"/>
  <c r="EM396" i="27" s="1"/>
  <c r="HA391" i="27"/>
  <c r="HA393" i="27" s="1"/>
  <c r="HA396" i="27" s="1"/>
  <c r="EY391" i="27"/>
  <c r="EY393" i="27" s="1"/>
  <c r="EY396" i="27" s="1"/>
  <c r="BA391" i="27"/>
  <c r="BA393" i="27" s="1"/>
  <c r="BA396" i="27" s="1"/>
  <c r="BF407" i="27"/>
  <c r="BF409" i="27" s="1"/>
  <c r="BF412" i="27" s="1"/>
  <c r="DI407" i="27"/>
  <c r="DI409" i="27" s="1"/>
  <c r="DI412" i="27" s="1"/>
  <c r="GC407" i="27"/>
  <c r="GC409" i="27" s="1"/>
  <c r="GC412" i="27" s="1"/>
  <c r="FC407" i="27"/>
  <c r="FC409" i="27" s="1"/>
  <c r="FC412" i="27" s="1"/>
  <c r="R407" i="27"/>
  <c r="R409" i="27" s="1"/>
  <c r="R412" i="27" s="1"/>
  <c r="CC407" i="27"/>
  <c r="CC409" i="27" s="1"/>
  <c r="CC412" i="27" s="1"/>
  <c r="AP407" i="27"/>
  <c r="AP409" i="27" s="1"/>
  <c r="AP412" i="27" s="1"/>
  <c r="FT407" i="27"/>
  <c r="FT409" i="27" s="1"/>
  <c r="FT412" i="27" s="1"/>
  <c r="BY407" i="27"/>
  <c r="BY409" i="27" s="1"/>
  <c r="BY412" i="27" s="1"/>
  <c r="DE407" i="27"/>
  <c r="DE409" i="27" s="1"/>
  <c r="DE412" i="27" s="1"/>
  <c r="BR407" i="27"/>
  <c r="BR409" i="27" s="1"/>
  <c r="BR412" i="27" s="1"/>
  <c r="Z407" i="27"/>
  <c r="Z409" i="27" s="1"/>
  <c r="Z412" i="27" s="1"/>
  <c r="HM407" i="27"/>
  <c r="HM409" i="27" s="1"/>
  <c r="HM412" i="27" s="1"/>
  <c r="FP407" i="27"/>
  <c r="FP409" i="27" s="1"/>
  <c r="FP412" i="27" s="1"/>
  <c r="GB407" i="27"/>
  <c r="GB409" i="27" s="1"/>
  <c r="GB412" i="27" s="1"/>
  <c r="M407" i="27"/>
  <c r="M409" i="27" s="1"/>
  <c r="M412" i="27" s="1"/>
  <c r="CU407" i="27"/>
  <c r="CU409" i="27" s="1"/>
  <c r="CU412" i="27" s="1"/>
  <c r="CB407" i="27"/>
  <c r="CB409" i="27" s="1"/>
  <c r="CB412" i="27" s="1"/>
  <c r="GJ407" i="27"/>
  <c r="GJ409" i="27" s="1"/>
  <c r="GJ412" i="27" s="1"/>
  <c r="BZ407" i="27"/>
  <c r="BZ409" i="27" s="1"/>
  <c r="BZ412" i="27" s="1"/>
  <c r="AK407" i="27"/>
  <c r="AK409" i="27" s="1"/>
  <c r="AK412" i="27" s="1"/>
  <c r="GU407" i="27"/>
  <c r="GU409" i="27" s="1"/>
  <c r="GU412" i="27" s="1"/>
  <c r="Q407" i="27"/>
  <c r="Q409" i="27" s="1"/>
  <c r="Q412" i="27" s="1"/>
  <c r="CF407" i="27"/>
  <c r="CF409" i="27" s="1"/>
  <c r="CF412" i="27" s="1"/>
  <c r="CL407" i="27"/>
  <c r="CL409" i="27" s="1"/>
  <c r="CL412" i="27" s="1"/>
  <c r="HK407" i="27"/>
  <c r="HK409" i="27" s="1"/>
  <c r="HK412" i="27" s="1"/>
  <c r="AE407" i="27"/>
  <c r="AE409" i="27" s="1"/>
  <c r="AE412" i="27" s="1"/>
  <c r="GQ407" i="27"/>
  <c r="GQ409" i="27" s="1"/>
  <c r="GQ412" i="27" s="1"/>
  <c r="S407" i="27"/>
  <c r="S409" i="27" s="1"/>
  <c r="S412" i="27" s="1"/>
  <c r="CJ407" i="27"/>
  <c r="CJ409" i="27" s="1"/>
  <c r="CJ412" i="27" s="1"/>
  <c r="DN391" i="27"/>
  <c r="DN393" i="27" s="1"/>
  <c r="DN396" i="27" s="1"/>
  <c r="HV391" i="27"/>
  <c r="HV393" i="27" s="1"/>
  <c r="HV396" i="27" s="1"/>
  <c r="GX391" i="27"/>
  <c r="GX393" i="27" s="1"/>
  <c r="GX396" i="27" s="1"/>
  <c r="BF391" i="27"/>
  <c r="BF393" i="27" s="1"/>
  <c r="BF396" i="27" s="1"/>
  <c r="BO391" i="27"/>
  <c r="BO393" i="27" s="1"/>
  <c r="BO396" i="27" s="1"/>
  <c r="HN391" i="27"/>
  <c r="HN393" i="27" s="1"/>
  <c r="HN396" i="27" s="1"/>
  <c r="FL391" i="27"/>
  <c r="FL393" i="27" s="1"/>
  <c r="FL396" i="27" s="1"/>
  <c r="IF391" i="27"/>
  <c r="IF393" i="27" s="1"/>
  <c r="IF396" i="27" s="1"/>
  <c r="GU391" i="27"/>
  <c r="GU393" i="27" s="1"/>
  <c r="GU396" i="27" s="1"/>
  <c r="AP391" i="27"/>
  <c r="AP393" i="27" s="1"/>
  <c r="AP396" i="27" s="1"/>
  <c r="ET391" i="27"/>
  <c r="ET393" i="27" s="1"/>
  <c r="ET396" i="27" s="1"/>
  <c r="AL391" i="27"/>
  <c r="AL393" i="27" s="1"/>
  <c r="AL396" i="27" s="1"/>
  <c r="CO391" i="27"/>
  <c r="CO393" i="27" s="1"/>
  <c r="CO396" i="27" s="1"/>
  <c r="EI391" i="27"/>
  <c r="EI393" i="27" s="1"/>
  <c r="EI396" i="27" s="1"/>
  <c r="EQ391" i="27"/>
  <c r="EQ393" i="27" s="1"/>
  <c r="EQ396" i="27" s="1"/>
  <c r="N391" i="27"/>
  <c r="N393" i="27" s="1"/>
  <c r="N396" i="27" s="1"/>
  <c r="DG391" i="27"/>
  <c r="DG393" i="27" s="1"/>
  <c r="DG396" i="27" s="1"/>
  <c r="ED391" i="27"/>
  <c r="ED393" i="27" s="1"/>
  <c r="ED396" i="27" s="1"/>
  <c r="Q391" i="27"/>
  <c r="Q393" i="27" s="1"/>
  <c r="Q396" i="27" s="1"/>
  <c r="DS391" i="27"/>
  <c r="DS393" i="27" s="1"/>
  <c r="DS396" i="27" s="1"/>
  <c r="M391" i="27"/>
  <c r="M393" i="27" s="1"/>
  <c r="M396" i="27" s="1"/>
  <c r="FB391" i="27"/>
  <c r="FB393" i="27" s="1"/>
  <c r="FB396" i="27" s="1"/>
  <c r="Y391" i="27"/>
  <c r="Y393" i="27" s="1"/>
  <c r="Y396" i="27" s="1"/>
  <c r="GK391" i="27"/>
  <c r="GK393" i="27" s="1"/>
  <c r="GK396" i="27" s="1"/>
  <c r="HU391" i="27"/>
  <c r="HU393" i="27" s="1"/>
  <c r="HU396" i="27" s="1"/>
  <c r="AO391" i="27"/>
  <c r="AO393" i="27" s="1"/>
  <c r="AO396" i="27" s="1"/>
  <c r="AB391" i="27"/>
  <c r="AB393" i="27" s="1"/>
  <c r="AB396" i="27" s="1"/>
  <c r="V391" i="27"/>
  <c r="V393" i="27" s="1"/>
  <c r="V396" i="27" s="1"/>
  <c r="DJ407" i="27"/>
  <c r="DJ409" i="27" s="1"/>
  <c r="DJ412" i="27" s="1"/>
  <c r="GH407" i="27"/>
  <c r="GH409" i="27" s="1"/>
  <c r="GH412" i="27" s="1"/>
  <c r="HH407" i="27"/>
  <c r="HH409" i="27" s="1"/>
  <c r="HH412" i="27" s="1"/>
  <c r="BD407" i="27"/>
  <c r="BD409" i="27" s="1"/>
  <c r="BD412" i="27" s="1"/>
  <c r="DZ407" i="27"/>
  <c r="DZ409" i="27" s="1"/>
  <c r="DZ412" i="27" s="1"/>
  <c r="BI407" i="27"/>
  <c r="BI409" i="27" s="1"/>
  <c r="BI412" i="27" s="1"/>
  <c r="CO407" i="27"/>
  <c r="CO409" i="27" s="1"/>
  <c r="CO412" i="27" s="1"/>
  <c r="HT407" i="27"/>
  <c r="HT409" i="27" s="1"/>
  <c r="HT412" i="27" s="1"/>
  <c r="GG407" i="27"/>
  <c r="GG409" i="27" s="1"/>
  <c r="GG412" i="27" s="1"/>
  <c r="EG407" i="27"/>
  <c r="EG409" i="27" s="1"/>
  <c r="EG412" i="27" s="1"/>
  <c r="ER407" i="27"/>
  <c r="ER409" i="27" s="1"/>
  <c r="ER412" i="27" s="1"/>
  <c r="FJ407" i="27"/>
  <c r="FJ409" i="27" s="1"/>
  <c r="FJ412" i="27" s="1"/>
  <c r="FF407" i="27"/>
  <c r="FF409" i="27" s="1"/>
  <c r="FF412" i="27" s="1"/>
  <c r="BL407" i="27"/>
  <c r="BL409" i="27" s="1"/>
  <c r="BL412" i="27" s="1"/>
  <c r="AL407" i="27"/>
  <c r="AL409" i="27" s="1"/>
  <c r="AL412" i="27" s="1"/>
  <c r="HQ407" i="27"/>
  <c r="HQ409" i="27" s="1"/>
  <c r="HQ412" i="27" s="1"/>
  <c r="EV407" i="27"/>
  <c r="EV409" i="27" s="1"/>
  <c r="EV412" i="27" s="1"/>
  <c r="FB407" i="27"/>
  <c r="FB409" i="27" s="1"/>
  <c r="FB412" i="27" s="1"/>
  <c r="GR407" i="27"/>
  <c r="GR409" i="27" s="1"/>
  <c r="GR412" i="27" s="1"/>
  <c r="L407" i="27"/>
  <c r="L409" i="27" s="1"/>
  <c r="L412" i="27" s="1"/>
  <c r="HP407" i="27"/>
  <c r="HP409" i="27" s="1"/>
  <c r="HP412" i="27" s="1"/>
  <c r="Y407" i="27"/>
  <c r="Y409" i="27" s="1"/>
  <c r="Y412" i="27" s="1"/>
  <c r="AO407" i="27"/>
  <c r="AO409" i="27" s="1"/>
  <c r="AO412" i="27" s="1"/>
  <c r="IK407" i="27"/>
  <c r="IK409" i="27" s="1"/>
  <c r="IK412" i="27" s="1"/>
  <c r="CM407" i="27"/>
  <c r="CM409" i="27" s="1"/>
  <c r="CM412" i="27" s="1"/>
  <c r="FG407" i="27"/>
  <c r="FG409" i="27" s="1"/>
  <c r="FG412" i="27" s="1"/>
  <c r="EC407" i="27"/>
  <c r="EC409" i="27" s="1"/>
  <c r="EC412" i="27" s="1"/>
  <c r="FW407" i="27"/>
  <c r="FW409" i="27" s="1"/>
  <c r="FW412" i="27" s="1"/>
  <c r="DB407" i="27"/>
  <c r="DB409" i="27" s="1"/>
  <c r="DB412" i="27" s="1"/>
  <c r="H407" i="27"/>
  <c r="H409" i="27" s="1"/>
  <c r="H412" i="27" s="1"/>
  <c r="T91" i="31"/>
  <c r="T89" i="31"/>
  <c r="T102" i="31"/>
  <c r="T104" i="31"/>
  <c r="AT375" i="27" l="1"/>
  <c r="AT371" i="27" s="1"/>
  <c r="CM375" i="27"/>
  <c r="CM371" i="27" s="1"/>
  <c r="CU375" i="27"/>
  <c r="CU371" i="27" s="1"/>
  <c r="CH375" i="27"/>
  <c r="AI375" i="27"/>
  <c r="BW375" i="27"/>
  <c r="DF375" i="27"/>
  <c r="T375" i="27"/>
  <c r="FQ375" i="27"/>
  <c r="HT375" i="27"/>
  <c r="AV375" i="27"/>
  <c r="HN375" i="27"/>
  <c r="EH375" i="27"/>
  <c r="BK375" i="27"/>
  <c r="EB375" i="27"/>
  <c r="BG375" i="27"/>
  <c r="BO375" i="27"/>
  <c r="BC375" i="27"/>
  <c r="GW375" i="27"/>
  <c r="CA375" i="27"/>
  <c r="FA375" i="27"/>
  <c r="GD375" i="27"/>
  <c r="Q375" i="27"/>
  <c r="GM375" i="27"/>
  <c r="GC375" i="27"/>
  <c r="AZ375" i="27"/>
  <c r="X375" i="27"/>
  <c r="DS375" i="27"/>
  <c r="DE375" i="27"/>
  <c r="GH375" i="27"/>
  <c r="AK375" i="27"/>
  <c r="EJ375" i="27"/>
  <c r="I375" i="27"/>
  <c r="DG375" i="27"/>
  <c r="AX375" i="27"/>
  <c r="FM375" i="27"/>
  <c r="DR375" i="27"/>
  <c r="GF375" i="27"/>
  <c r="AO375" i="27"/>
  <c r="FS375" i="27"/>
  <c r="AY375" i="27"/>
  <c r="CR375" i="27"/>
  <c r="CE375" i="27"/>
  <c r="HW375" i="27"/>
  <c r="AF375" i="27"/>
  <c r="BR385" i="27"/>
  <c r="O385" i="27"/>
  <c r="AM385" i="27"/>
  <c r="EL385" i="27"/>
  <c r="BK385" i="27"/>
  <c r="FA385" i="27"/>
  <c r="EO385" i="27"/>
  <c r="GK385" i="27"/>
  <c r="EM385" i="27"/>
  <c r="Q385" i="27"/>
  <c r="AY385" i="27"/>
  <c r="DU385" i="27"/>
  <c r="AT385" i="27"/>
  <c r="AX385" i="27"/>
  <c r="DZ385" i="27"/>
  <c r="GE385" i="27"/>
  <c r="DC385" i="27"/>
  <c r="DD385" i="27"/>
  <c r="HX385" i="27"/>
  <c r="FQ385" i="27"/>
  <c r="HZ385" i="27"/>
  <c r="FB385" i="27"/>
  <c r="FC385" i="27"/>
  <c r="CH385" i="27"/>
  <c r="BW385" i="27"/>
  <c r="IK385" i="27"/>
  <c r="BJ385" i="27"/>
  <c r="BH385" i="27"/>
  <c r="M385" i="27"/>
  <c r="HO385" i="27"/>
  <c r="IJ385" i="27"/>
  <c r="DO385" i="27"/>
  <c r="II385" i="27"/>
  <c r="AQ385" i="27"/>
  <c r="EJ385" i="27"/>
  <c r="GN385" i="27"/>
  <c r="HS385" i="27"/>
  <c r="CF385" i="27"/>
  <c r="EV385" i="27"/>
  <c r="FJ385" i="27"/>
  <c r="CN385" i="27"/>
  <c r="BU385" i="27"/>
  <c r="CM385" i="27"/>
  <c r="AO385" i="27"/>
  <c r="EW385" i="27"/>
  <c r="BQ385" i="27"/>
  <c r="FX385" i="27"/>
  <c r="GO385" i="27"/>
  <c r="GM385" i="27"/>
  <c r="IC385" i="27"/>
  <c r="AI385" i="27"/>
  <c r="HG385" i="27"/>
  <c r="HN385" i="27"/>
  <c r="CZ385" i="27"/>
  <c r="HU385" i="27"/>
  <c r="DL385" i="27"/>
  <c r="EI385" i="27"/>
  <c r="DA385" i="27"/>
  <c r="AW385" i="27"/>
  <c r="IB385" i="27"/>
  <c r="EN385" i="27"/>
  <c r="FW385" i="27"/>
  <c r="AA385" i="27"/>
  <c r="CC385" i="27"/>
  <c r="EA385" i="27"/>
  <c r="CP385" i="27"/>
  <c r="BM385" i="27"/>
  <c r="FZ385" i="27"/>
  <c r="DM385" i="27"/>
  <c r="FK385" i="27"/>
  <c r="CI385" i="27"/>
  <c r="BI385" i="27"/>
  <c r="ER385" i="27"/>
  <c r="DY385" i="27"/>
  <c r="BO385" i="27"/>
  <c r="FV385" i="27"/>
  <c r="GI385" i="27"/>
  <c r="HE385" i="27"/>
  <c r="DT385" i="27"/>
  <c r="AD385" i="27"/>
  <c r="FH385" i="27"/>
  <c r="GX385" i="27"/>
  <c r="K385" i="27"/>
  <c r="IF385" i="27"/>
  <c r="BE385" i="27"/>
  <c r="HW385" i="27"/>
  <c r="HD385" i="27"/>
  <c r="BN385" i="27"/>
  <c r="FE385" i="27"/>
  <c r="ES385" i="27"/>
  <c r="GG385" i="27"/>
  <c r="AJ385" i="27"/>
  <c r="BZ385" i="27"/>
  <c r="CU385" i="27"/>
  <c r="CD385" i="27"/>
  <c r="HI385" i="27"/>
  <c r="I385" i="27"/>
  <c r="U385" i="27"/>
  <c r="CS385" i="27"/>
  <c r="GT385" i="27"/>
  <c r="CX385" i="27"/>
  <c r="DJ385" i="27"/>
  <c r="CJ385" i="27"/>
  <c r="HR385" i="27"/>
  <c r="DE385" i="27"/>
  <c r="EP385" i="27"/>
  <c r="FF385" i="27"/>
  <c r="CT385" i="27"/>
  <c r="AC385" i="27"/>
  <c r="J385" i="27"/>
  <c r="BF385" i="27"/>
  <c r="AP385" i="27"/>
  <c r="AK385" i="27"/>
  <c r="P385" i="27"/>
  <c r="BY385" i="27"/>
  <c r="DG385" i="27"/>
  <c r="EE385" i="27"/>
  <c r="BX385" i="27"/>
  <c r="AN385" i="27"/>
  <c r="N385" i="27"/>
  <c r="BB385" i="27"/>
  <c r="AS385" i="27"/>
  <c r="HP385" i="27"/>
  <c r="EQ385" i="27"/>
  <c r="DB385" i="27"/>
  <c r="HA385" i="27"/>
  <c r="HT385" i="27"/>
  <c r="DX385" i="27"/>
  <c r="AV385" i="27"/>
  <c r="HY385" i="27"/>
  <c r="AE385" i="27"/>
  <c r="AF385" i="27"/>
  <c r="HL385" i="27"/>
  <c r="CL385" i="27"/>
  <c r="W385" i="27"/>
  <c r="ID385" i="27"/>
  <c r="Y385" i="27"/>
  <c r="IG385" i="27"/>
  <c r="FG385" i="27"/>
  <c r="V385" i="27"/>
  <c r="IA385" i="27"/>
  <c r="GP385" i="27"/>
  <c r="BS385" i="27"/>
  <c r="DN385" i="27"/>
  <c r="DI385" i="27"/>
  <c r="EU385" i="27"/>
  <c r="EK385" i="27"/>
  <c r="CB385" i="27"/>
  <c r="ET385" i="27"/>
  <c r="DR385" i="27"/>
  <c r="S385" i="27"/>
  <c r="CO385" i="27"/>
  <c r="Z385" i="27"/>
  <c r="GR385" i="27"/>
  <c r="AB385" i="27"/>
  <c r="CQ385" i="27"/>
  <c r="FS385" i="27"/>
  <c r="GC385" i="27"/>
  <c r="ED385" i="27"/>
  <c r="FU385" i="27"/>
  <c r="BC385" i="27"/>
  <c r="HM385" i="27"/>
  <c r="EF385" i="27"/>
  <c r="DF385" i="27"/>
  <c r="DS385" i="27"/>
  <c r="EG385" i="27"/>
  <c r="EB385" i="27"/>
  <c r="GJ385" i="27"/>
  <c r="HJ385" i="27"/>
  <c r="GS385" i="27"/>
  <c r="AR385" i="27"/>
  <c r="CW385" i="27"/>
  <c r="GF385" i="27"/>
  <c r="GU385" i="27"/>
  <c r="GB385" i="27"/>
  <c r="AH385" i="27"/>
  <c r="FD385" i="27"/>
  <c r="EX385" i="27"/>
  <c r="FR385" i="27"/>
  <c r="BL385" i="27"/>
  <c r="BP385" i="27"/>
  <c r="GZ385" i="27"/>
  <c r="DW385" i="27"/>
  <c r="DV385" i="27"/>
  <c r="EY385" i="27"/>
  <c r="BA385" i="27"/>
  <c r="AZ385" i="27"/>
  <c r="FI385" i="27"/>
  <c r="CK385" i="27"/>
  <c r="FN385" i="27"/>
  <c r="HH385" i="27"/>
  <c r="H385" i="27"/>
  <c r="FY385" i="27"/>
  <c r="BV385" i="27"/>
  <c r="HQ385" i="27"/>
  <c r="HB385" i="27"/>
  <c r="GV385" i="27"/>
  <c r="EH385" i="27"/>
  <c r="DK385" i="27"/>
  <c r="DH385" i="27"/>
  <c r="GL385" i="27"/>
  <c r="CR385" i="27"/>
  <c r="CV385" i="27"/>
  <c r="IH385" i="27"/>
  <c r="GH385" i="27"/>
  <c r="GQ385" i="27"/>
  <c r="FL385" i="27"/>
  <c r="BG385" i="27"/>
  <c r="HF385" i="27"/>
  <c r="AL385" i="27"/>
  <c r="R385" i="27"/>
  <c r="CG385" i="27"/>
  <c r="L385" i="27"/>
  <c r="BD385" i="27"/>
  <c r="CA385" i="27"/>
  <c r="GW385" i="27"/>
  <c r="T385" i="27"/>
  <c r="FT385" i="27"/>
  <c r="EC385" i="27"/>
  <c r="DQ385" i="27"/>
  <c r="FM385" i="27"/>
  <c r="GA385" i="27"/>
  <c r="FO385" i="27"/>
  <c r="GD385" i="27"/>
  <c r="AG385" i="27"/>
  <c r="CY385" i="27"/>
  <c r="GY385" i="27"/>
  <c r="EZ385" i="27"/>
  <c r="HV385" i="27"/>
  <c r="HK385" i="27"/>
  <c r="HC385" i="27"/>
  <c r="DP385" i="27"/>
  <c r="CE385" i="27"/>
  <c r="AU385" i="27"/>
  <c r="IE385" i="27"/>
  <c r="FP385" i="27"/>
  <c r="BT385" i="27"/>
  <c r="X385" i="27"/>
  <c r="BH375" i="27"/>
  <c r="DL375" i="27"/>
  <c r="DK375" i="27"/>
  <c r="BL375" i="27"/>
  <c r="ES375" i="27"/>
  <c r="HB375" i="27"/>
  <c r="EG375" i="27"/>
  <c r="CC375" i="27"/>
  <c r="CG375" i="27"/>
  <c r="ER375" i="27"/>
  <c r="CO375" i="27"/>
  <c r="BA375" i="27"/>
  <c r="AE375" i="27"/>
  <c r="DY375" i="27"/>
  <c r="GG375" i="27"/>
  <c r="BQ375" i="27"/>
  <c r="L375" i="27"/>
  <c r="HS375" i="27"/>
  <c r="HV375" i="27"/>
  <c r="IE375" i="27"/>
  <c r="DU375" i="27"/>
  <c r="BX375" i="27"/>
  <c r="V375" i="27"/>
  <c r="HH375" i="27"/>
  <c r="FF375" i="27"/>
  <c r="CK375" i="27"/>
  <c r="FB375" i="27"/>
  <c r="DN375" i="27"/>
  <c r="P375" i="27"/>
  <c r="BN375" i="27"/>
  <c r="BU375" i="27"/>
  <c r="CP375" i="27"/>
  <c r="CD375" i="27"/>
  <c r="EN375" i="27"/>
  <c r="HF375" i="27"/>
  <c r="GR375" i="27"/>
  <c r="AQ375" i="27"/>
  <c r="FR375" i="27"/>
  <c r="AS375" i="27"/>
  <c r="HJ375" i="27"/>
  <c r="GS375" i="27"/>
  <c r="FV375" i="27"/>
  <c r="DH375" i="27"/>
  <c r="FZ375" i="27"/>
  <c r="BY375" i="27"/>
  <c r="EM375" i="27"/>
  <c r="EP375" i="27"/>
  <c r="AC375" i="27"/>
  <c r="FL375" i="27"/>
  <c r="HZ375" i="27"/>
  <c r="DW375" i="27"/>
  <c r="FJ375" i="27"/>
  <c r="IG375" i="27"/>
  <c r="DP375" i="27"/>
  <c r="FH375" i="27"/>
  <c r="GY375" i="27"/>
  <c r="CZ375" i="27"/>
  <c r="FE375" i="27"/>
  <c r="AM375" i="27"/>
  <c r="BM375" i="27"/>
  <c r="EC375" i="27"/>
  <c r="CT375" i="27"/>
  <c r="GN375" i="27"/>
  <c r="AA375" i="27"/>
  <c r="DV375" i="27"/>
  <c r="GP375" i="27"/>
  <c r="FW375" i="27"/>
  <c r="BR375" i="27"/>
  <c r="FT375" i="27"/>
  <c r="DM375" i="27"/>
  <c r="HD375" i="27"/>
  <c r="FN375" i="27"/>
  <c r="FG375" i="27"/>
  <c r="K375" i="27"/>
  <c r="DJ375" i="27"/>
  <c r="HE375" i="27"/>
  <c r="J375" i="27"/>
  <c r="GL375" i="27"/>
  <c r="FU375" i="27"/>
  <c r="CY375" i="27"/>
  <c r="ED375" i="27"/>
  <c r="CX375" i="27"/>
  <c r="EU375" i="27"/>
  <c r="FD375" i="27"/>
  <c r="HU375" i="27"/>
  <c r="IB375" i="27"/>
  <c r="CQ375" i="27"/>
  <c r="ID375" i="27"/>
  <c r="HA375" i="27"/>
  <c r="BF375" i="27"/>
  <c r="BI375" i="27"/>
  <c r="EW375" i="27"/>
  <c r="DX375" i="27"/>
  <c r="FI375" i="27"/>
  <c r="CN375" i="27"/>
  <c r="CW375" i="27"/>
  <c r="CL375" i="27"/>
  <c r="EA375" i="27"/>
  <c r="FY375" i="27"/>
  <c r="GU375" i="27"/>
  <c r="BD375" i="27"/>
  <c r="GO375" i="27"/>
  <c r="DZ375" i="27"/>
  <c r="FX375" i="27"/>
  <c r="BV375" i="27"/>
  <c r="S375" i="27"/>
  <c r="EZ375" i="27"/>
  <c r="IF375" i="27"/>
  <c r="DI375" i="27"/>
  <c r="Z375" i="27"/>
  <c r="BB375" i="27"/>
  <c r="CV375" i="27"/>
  <c r="FC375" i="27"/>
  <c r="H375" i="27"/>
  <c r="IA375" i="27"/>
  <c r="FP375" i="27"/>
  <c r="EK375" i="27"/>
  <c r="HG375" i="27"/>
  <c r="DT375" i="27"/>
  <c r="W375" i="27"/>
  <c r="DD375" i="27"/>
  <c r="HM375" i="27"/>
  <c r="N375" i="27"/>
  <c r="FO375" i="27"/>
  <c r="HK375" i="27"/>
  <c r="AG375" i="27"/>
  <c r="E371" i="27"/>
  <c r="W211" i="25" s="1"/>
  <c r="W215" i="25" s="1"/>
  <c r="F17" i="27" s="1"/>
  <c r="GB375" i="27"/>
  <c r="IH375" i="27"/>
  <c r="AW375" i="27"/>
  <c r="GK375" i="27"/>
  <c r="EQ375" i="27"/>
  <c r="Y375" i="27"/>
  <c r="BS375" i="27"/>
  <c r="O375" i="27"/>
  <c r="EI375" i="27"/>
  <c r="HX375" i="27"/>
  <c r="AH375" i="27"/>
  <c r="CF375" i="27"/>
  <c r="IK375" i="27"/>
  <c r="BP375" i="27"/>
  <c r="DQ375" i="27"/>
  <c r="AJ375" i="27"/>
  <c r="HO375" i="27"/>
  <c r="BT375" i="27"/>
  <c r="HI375" i="27"/>
  <c r="EF375" i="27"/>
  <c r="CB375" i="27"/>
  <c r="DB375" i="27"/>
  <c r="U375" i="27"/>
  <c r="BJ375" i="27"/>
  <c r="GA375" i="27"/>
  <c r="IJ375" i="27"/>
  <c r="GV375" i="27"/>
  <c r="GZ375" i="27"/>
  <c r="CS375" i="27"/>
  <c r="HY375" i="27"/>
  <c r="R375" i="27"/>
  <c r="GX375" i="27"/>
  <c r="AR375" i="27"/>
  <c r="AD375" i="27"/>
  <c r="II375" i="27"/>
  <c r="BZ375" i="27"/>
  <c r="CI375" i="27"/>
  <c r="DA375" i="27"/>
  <c r="EL375" i="27"/>
  <c r="IC375" i="27"/>
  <c r="AB375" i="27"/>
  <c r="FK375" i="27"/>
  <c r="GT375" i="27"/>
  <c r="EY375" i="27"/>
  <c r="DO375" i="27"/>
  <c r="GJ375" i="27"/>
  <c r="HQ375" i="27"/>
  <c r="HP375" i="27"/>
  <c r="EX375" i="27"/>
  <c r="BE375" i="27"/>
  <c r="GQ375" i="27"/>
  <c r="GE375" i="27"/>
  <c r="AN375" i="27"/>
  <c r="EO375" i="27"/>
  <c r="HL375" i="27"/>
  <c r="CJ375" i="27"/>
  <c r="ET375" i="27"/>
  <c r="AP375" i="27"/>
  <c r="M375" i="27"/>
  <c r="HR375" i="27"/>
  <c r="GI375" i="27"/>
  <c r="DC375" i="27"/>
  <c r="AL375" i="27"/>
  <c r="EV375" i="27"/>
  <c r="AU375" i="27"/>
  <c r="EE375" i="27"/>
  <c r="HC375" i="27"/>
  <c r="I90" i="31"/>
  <c r="J86" i="31"/>
  <c r="I94" i="31"/>
  <c r="C85" i="31"/>
  <c r="F83" i="31" s="1"/>
  <c r="I83" i="31" s="1"/>
  <c r="N83" i="31" s="1"/>
  <c r="C86" i="31"/>
  <c r="M86" i="31"/>
  <c r="W104" i="31"/>
  <c r="M99" i="31"/>
  <c r="I103" i="31"/>
  <c r="C98" i="31"/>
  <c r="F96" i="31" s="1"/>
  <c r="I96" i="31" s="1"/>
  <c r="N96" i="31" s="1"/>
  <c r="I107" i="31"/>
  <c r="G107" i="31" s="1"/>
  <c r="J118" i="31" s="1"/>
  <c r="J99" i="31"/>
  <c r="C99" i="31"/>
  <c r="W91" i="31"/>
  <c r="GP386" i="27" l="1"/>
  <c r="BU386" i="27"/>
  <c r="HZ386" i="27"/>
  <c r="Y386" i="27"/>
  <c r="DO386" i="27"/>
  <c r="AY386" i="27"/>
  <c r="O386" i="27"/>
  <c r="BB386" i="27"/>
  <c r="CI386" i="27"/>
  <c r="EG386" i="27"/>
  <c r="EJ386" i="27"/>
  <c r="FA386" i="27"/>
  <c r="EO386" i="27"/>
  <c r="CT376" i="27"/>
  <c r="ID386" i="27"/>
  <c r="FK386" i="27"/>
  <c r="CF386" i="27"/>
  <c r="FQ386" i="27"/>
  <c r="DU386" i="27"/>
  <c r="HG386" i="27"/>
  <c r="HE386" i="27"/>
  <c r="HU386" i="27"/>
  <c r="AD386" i="27"/>
  <c r="GK386" i="27"/>
  <c r="FF386" i="27"/>
  <c r="BR386" i="27"/>
  <c r="BW386" i="27"/>
  <c r="EM386" i="27"/>
  <c r="FX386" i="27"/>
  <c r="FC386" i="27"/>
  <c r="DZ386" i="27"/>
  <c r="GC386" i="27"/>
  <c r="AA386" i="27"/>
  <c r="CQ386" i="27"/>
  <c r="IF386" i="27"/>
  <c r="CD386" i="27"/>
  <c r="BF386" i="27"/>
  <c r="DG386" i="27"/>
  <c r="AO386" i="27"/>
  <c r="BH386" i="27"/>
  <c r="W386" i="27"/>
  <c r="FZ386" i="27"/>
  <c r="BS386" i="27"/>
  <c r="CJ386" i="27"/>
  <c r="HP386" i="27"/>
  <c r="HI386" i="27"/>
  <c r="CC386" i="27"/>
  <c r="CH386" i="27"/>
  <c r="GO386" i="27"/>
  <c r="FJ386" i="27"/>
  <c r="GE386" i="27"/>
  <c r="EB386" i="27"/>
  <c r="CU386" i="27"/>
  <c r="HO386" i="27"/>
  <c r="CN386" i="27"/>
  <c r="FN386" i="27"/>
  <c r="DJ386" i="27"/>
  <c r="EA386" i="27"/>
  <c r="HA386" i="27"/>
  <c r="FH386" i="27"/>
  <c r="AT386" i="27"/>
  <c r="AK386" i="27"/>
  <c r="HX386" i="27"/>
  <c r="ER386" i="27"/>
  <c r="AM386" i="27"/>
  <c r="K386" i="27"/>
  <c r="GG386" i="27"/>
  <c r="BO386" i="27"/>
  <c r="DE386" i="27"/>
  <c r="Q386" i="27"/>
  <c r="S386" i="27"/>
  <c r="BM386" i="27"/>
  <c r="AI386" i="27"/>
  <c r="FO386" i="27"/>
  <c r="EE386" i="27"/>
  <c r="EW386" i="27"/>
  <c r="HL386" i="27"/>
  <c r="FS386" i="27"/>
  <c r="GI386" i="27"/>
  <c r="DM386" i="27"/>
  <c r="M386" i="27"/>
  <c r="CX386" i="27"/>
  <c r="BZ386" i="27"/>
  <c r="HS386" i="27"/>
  <c r="BE386" i="27"/>
  <c r="BK386" i="27"/>
  <c r="AF386" i="27"/>
  <c r="AJ386" i="27"/>
  <c r="GV386" i="27"/>
  <c r="GR386" i="27"/>
  <c r="GT386" i="27"/>
  <c r="DL386" i="27"/>
  <c r="CZ386" i="27"/>
  <c r="ET386" i="27"/>
  <c r="DC386" i="27"/>
  <c r="DV386" i="27"/>
  <c r="FB386" i="27"/>
  <c r="EF386" i="27"/>
  <c r="DP386" i="27"/>
  <c r="CV386" i="27"/>
  <c r="AE386" i="27"/>
  <c r="CS386" i="27"/>
  <c r="AZ386" i="27"/>
  <c r="GQ386" i="27"/>
  <c r="AR386" i="27"/>
  <c r="T386" i="27"/>
  <c r="GW386" i="27"/>
  <c r="DX386" i="27"/>
  <c r="CO386" i="27"/>
  <c r="IB386" i="27"/>
  <c r="BT386" i="27"/>
  <c r="AP386" i="27"/>
  <c r="N386" i="27"/>
  <c r="DH386" i="27"/>
  <c r="FG386" i="27"/>
  <c r="CM386" i="27"/>
  <c r="CI371" i="27"/>
  <c r="CH376" i="27"/>
  <c r="GT376" i="27"/>
  <c r="GU371" i="27"/>
  <c r="FI376" i="27"/>
  <c r="FJ371" i="27"/>
  <c r="BL371" i="27"/>
  <c r="BK376" i="27"/>
  <c r="GE371" i="27"/>
  <c r="GD376" i="27"/>
  <c r="CE376" i="27"/>
  <c r="CF371" i="27"/>
  <c r="FX376" i="27"/>
  <c r="FY371" i="27"/>
  <c r="AL376" i="27"/>
  <c r="AM371" i="27"/>
  <c r="FB371" i="27"/>
  <c r="FA376" i="27"/>
  <c r="CO371" i="27"/>
  <c r="CN376" i="27"/>
  <c r="DJ376" i="27"/>
  <c r="DK371" i="27"/>
  <c r="HB376" i="27"/>
  <c r="HC371" i="27"/>
  <c r="L376" i="27"/>
  <c r="M371" i="27"/>
  <c r="GQ371" i="27"/>
  <c r="GP376" i="27"/>
  <c r="GS376" i="27"/>
  <c r="GT371" i="27"/>
  <c r="II371" i="27"/>
  <c r="IH376" i="27"/>
  <c r="GV371" i="27"/>
  <c r="GU376" i="27"/>
  <c r="HI371" i="27"/>
  <c r="HH376" i="27"/>
  <c r="AH371" i="27"/>
  <c r="AG376" i="27"/>
  <c r="AW371" i="27"/>
  <c r="AV376" i="27"/>
  <c r="HM371" i="27"/>
  <c r="HL376" i="27"/>
  <c r="H371" i="27"/>
  <c r="E375" i="27"/>
  <c r="S371" i="27"/>
  <c r="R376" i="27"/>
  <c r="EA371" i="27"/>
  <c r="DZ376" i="27"/>
  <c r="BE376" i="27"/>
  <c r="BF371" i="27"/>
  <c r="CX371" i="27"/>
  <c r="CW376" i="27"/>
  <c r="K371" i="27"/>
  <c r="J376" i="27"/>
  <c r="GP371" i="27"/>
  <c r="GO376" i="27"/>
  <c r="FE371" i="27"/>
  <c r="FD376" i="27"/>
  <c r="HZ371" i="27"/>
  <c r="HY376" i="27"/>
  <c r="FV371" i="27"/>
  <c r="FU376" i="27"/>
  <c r="EN371" i="27"/>
  <c r="EM376" i="27"/>
  <c r="CK371" i="27"/>
  <c r="CJ376" i="27"/>
  <c r="HS371" i="27"/>
  <c r="HR376" i="27"/>
  <c r="ER371" i="27"/>
  <c r="EQ376" i="27"/>
  <c r="DL371" i="27"/>
  <c r="DK376" i="27"/>
  <c r="E385" i="27"/>
  <c r="AG386" i="27"/>
  <c r="FT386" i="27"/>
  <c r="IC386" i="27"/>
  <c r="DW386" i="27"/>
  <c r="HQ386" i="27"/>
  <c r="HH386" i="27"/>
  <c r="AC386" i="27"/>
  <c r="CB386" i="27"/>
  <c r="DK386" i="27"/>
  <c r="GN386" i="27"/>
  <c r="FI386" i="27"/>
  <c r="DN386" i="27"/>
  <c r="CG386" i="27"/>
  <c r="GD386" i="27"/>
  <c r="GJ386" i="27"/>
  <c r="AF371" i="27"/>
  <c r="AE376" i="27"/>
  <c r="DQ376" i="27"/>
  <c r="DR371" i="27"/>
  <c r="DE371" i="27"/>
  <c r="DD376" i="27"/>
  <c r="FA371" i="27"/>
  <c r="EZ376" i="27"/>
  <c r="EH371" i="27"/>
  <c r="EG376" i="27"/>
  <c r="AI371" i="27"/>
  <c r="AH376" i="27"/>
  <c r="DN376" i="27"/>
  <c r="DO371" i="27"/>
  <c r="FP371" i="27"/>
  <c r="FO376" i="27"/>
  <c r="BR371" i="27"/>
  <c r="BQ376" i="27"/>
  <c r="IE371" i="27"/>
  <c r="ID376" i="27"/>
  <c r="BZ371" i="27"/>
  <c r="BY376" i="27"/>
  <c r="GJ376" i="27"/>
  <c r="GK371" i="27"/>
  <c r="ET376" i="27"/>
  <c r="EU371" i="27"/>
  <c r="DH371" i="27"/>
  <c r="DG376" i="27"/>
  <c r="EE371" i="27"/>
  <c r="ED376" i="27"/>
  <c r="AP371" i="27"/>
  <c r="AO376" i="27"/>
  <c r="BE371" i="27"/>
  <c r="BD376" i="27"/>
  <c r="FJ376" i="27"/>
  <c r="FK371" i="27"/>
  <c r="AD371" i="27"/>
  <c r="AC376" i="27"/>
  <c r="II376" i="27"/>
  <c r="IJ371" i="27"/>
  <c r="BT371" i="27"/>
  <c r="BS376" i="27"/>
  <c r="HX371" i="27"/>
  <c r="HW376" i="27"/>
  <c r="IH371" i="27"/>
  <c r="IG376" i="27"/>
  <c r="DD371" i="27"/>
  <c r="DC376" i="27"/>
  <c r="FC371" i="27"/>
  <c r="FB376" i="27"/>
  <c r="BU376" i="27"/>
  <c r="BV371" i="27"/>
  <c r="CL371" i="27"/>
  <c r="CK376" i="27"/>
  <c r="HA371" i="27"/>
  <c r="GZ376" i="27"/>
  <c r="ED371" i="27"/>
  <c r="EC376" i="27"/>
  <c r="FG371" i="27"/>
  <c r="FF376" i="27"/>
  <c r="DV371" i="27"/>
  <c r="DU376" i="27"/>
  <c r="CZ371" i="27"/>
  <c r="CY376" i="27"/>
  <c r="FL371" i="27"/>
  <c r="FK376" i="27"/>
  <c r="GR376" i="27"/>
  <c r="GS371" i="27"/>
  <c r="CD371" i="27"/>
  <c r="CC376" i="27"/>
  <c r="FE376" i="27"/>
  <c r="FF371" i="27"/>
  <c r="K376" i="27"/>
  <c r="L371" i="27"/>
  <c r="CG371" i="27"/>
  <c r="CF376" i="27"/>
  <c r="BH371" i="27"/>
  <c r="BG376" i="27"/>
  <c r="HB386" i="27"/>
  <c r="GA386" i="27"/>
  <c r="EC386" i="27"/>
  <c r="R386" i="27"/>
  <c r="V386" i="27"/>
  <c r="HC386" i="27"/>
  <c r="DS386" i="27"/>
  <c r="Z386" i="27"/>
  <c r="HT386" i="27"/>
  <c r="FW386" i="27"/>
  <c r="EU386" i="27"/>
  <c r="II386" i="27"/>
  <c r="DY386" i="27"/>
  <c r="EN386" i="27"/>
  <c r="HV376" i="27"/>
  <c r="HW371" i="27"/>
  <c r="FM371" i="27"/>
  <c r="FL376" i="27"/>
  <c r="DS371" i="27"/>
  <c r="DR376" i="27"/>
  <c r="BZ376" i="27"/>
  <c r="CA371" i="27"/>
  <c r="HM376" i="27"/>
  <c r="HN371" i="27"/>
  <c r="CH371" i="27"/>
  <c r="CG376" i="27"/>
  <c r="AM376" i="27"/>
  <c r="AN371" i="27"/>
  <c r="EQ371" i="27"/>
  <c r="EP376" i="27"/>
  <c r="HE371" i="27"/>
  <c r="HD376" i="27"/>
  <c r="GR371" i="27"/>
  <c r="GQ376" i="27"/>
  <c r="GZ371" i="27"/>
  <c r="GY376" i="27"/>
  <c r="IA371" i="27"/>
  <c r="HZ376" i="27"/>
  <c r="DI376" i="27"/>
  <c r="DJ371" i="27"/>
  <c r="AU371" i="27"/>
  <c r="AT376" i="27"/>
  <c r="EX371" i="27"/>
  <c r="EW376" i="27"/>
  <c r="AR371" i="27"/>
  <c r="AQ376" i="27"/>
  <c r="HN376" i="27"/>
  <c r="HO371" i="27"/>
  <c r="EI371" i="27"/>
  <c r="EH376" i="27"/>
  <c r="GB371" i="27"/>
  <c r="GA376" i="27"/>
  <c r="W371" i="27"/>
  <c r="V376" i="27"/>
  <c r="CV371" i="27"/>
  <c r="CU376" i="27"/>
  <c r="FW376" i="27"/>
  <c r="FX371" i="27"/>
  <c r="CW371" i="27"/>
  <c r="CV376" i="27"/>
  <c r="IC376" i="27"/>
  <c r="ID371" i="27"/>
  <c r="CX376" i="27"/>
  <c r="CY371" i="27"/>
  <c r="FN371" i="27"/>
  <c r="FM376" i="27"/>
  <c r="AA371" i="27"/>
  <c r="Z376" i="27"/>
  <c r="GY371" i="27"/>
  <c r="GX376" i="27"/>
  <c r="AC371" i="27"/>
  <c r="AB376" i="27"/>
  <c r="HJ371" i="27"/>
  <c r="HI376" i="27"/>
  <c r="CP371" i="27"/>
  <c r="CO376" i="27"/>
  <c r="HH371" i="27"/>
  <c r="HG376" i="27"/>
  <c r="BP376" i="27"/>
  <c r="BQ371" i="27"/>
  <c r="CC371" i="27"/>
  <c r="CB376" i="27"/>
  <c r="HJ386" i="27"/>
  <c r="BC386" i="27"/>
  <c r="FM386" i="27"/>
  <c r="GY386" i="27"/>
  <c r="GB386" i="27"/>
  <c r="DQ386" i="27"/>
  <c r="CK386" i="27"/>
  <c r="GZ386" i="27"/>
  <c r="I386" i="27"/>
  <c r="DI386" i="27"/>
  <c r="CT386" i="27"/>
  <c r="HV386" i="27"/>
  <c r="HD386" i="27"/>
  <c r="FV386" i="27"/>
  <c r="CY386" i="27"/>
  <c r="BP386" i="27"/>
  <c r="CE386" i="27"/>
  <c r="HN386" i="27"/>
  <c r="AW386" i="27"/>
  <c r="EZ386" i="27"/>
  <c r="CE371" i="27"/>
  <c r="CD376" i="27"/>
  <c r="AX371" i="27"/>
  <c r="AW376" i="27"/>
  <c r="X371" i="27"/>
  <c r="W376" i="27"/>
  <c r="GV376" i="27"/>
  <c r="GW371" i="27"/>
  <c r="AV371" i="27"/>
  <c r="AU376" i="27"/>
  <c r="CB371" i="27"/>
  <c r="CA376" i="27"/>
  <c r="IE376" i="27"/>
  <c r="IF371" i="27"/>
  <c r="BM371" i="27"/>
  <c r="BL376" i="27"/>
  <c r="BA371" i="27"/>
  <c r="AZ376" i="27"/>
  <c r="EX376" i="27"/>
  <c r="EY371" i="27"/>
  <c r="N371" i="27"/>
  <c r="M376" i="27"/>
  <c r="BI371" i="27"/>
  <c r="BH376" i="27"/>
  <c r="DV376" i="27"/>
  <c r="DW371" i="27"/>
  <c r="ET371" i="27"/>
  <c r="ES376" i="27"/>
  <c r="AB371" i="27"/>
  <c r="AA376" i="27"/>
  <c r="FZ376" i="27"/>
  <c r="GA371" i="27"/>
  <c r="EV371" i="27"/>
  <c r="EU376" i="27"/>
  <c r="CI376" i="27"/>
  <c r="CJ371" i="27"/>
  <c r="HO376" i="27"/>
  <c r="HP371" i="27"/>
  <c r="IC371" i="27"/>
  <c r="IB376" i="27"/>
  <c r="GX371" i="27"/>
  <c r="GW376" i="27"/>
  <c r="BI376" i="27"/>
  <c r="BJ371" i="27"/>
  <c r="AJ371" i="27"/>
  <c r="AI376" i="27"/>
  <c r="N376" i="27"/>
  <c r="O371" i="27"/>
  <c r="AW19" i="27"/>
  <c r="GO19" i="27"/>
  <c r="EB19" i="27"/>
  <c r="CY19" i="27"/>
  <c r="BI19" i="27"/>
  <c r="GL19" i="27"/>
  <c r="BV19" i="27"/>
  <c r="EF19" i="27"/>
  <c r="CG19" i="27"/>
  <c r="AM19" i="27"/>
  <c r="HM19" i="27"/>
  <c r="BC19" i="27"/>
  <c r="CK19" i="27"/>
  <c r="HH19" i="27"/>
  <c r="EI19" i="27"/>
  <c r="DC19" i="27"/>
  <c r="AE19" i="27"/>
  <c r="CA19" i="27"/>
  <c r="AL19" i="27"/>
  <c r="HI19" i="27"/>
  <c r="AC19" i="27"/>
  <c r="N19" i="27"/>
  <c r="GY19" i="27"/>
  <c r="FO19" i="27"/>
  <c r="O19" i="27"/>
  <c r="H19" i="27"/>
  <c r="BA19" i="27"/>
  <c r="AV19" i="27"/>
  <c r="HE19" i="27"/>
  <c r="ER19" i="27"/>
  <c r="CM19" i="27"/>
  <c r="DQ19" i="27"/>
  <c r="GU19" i="27"/>
  <c r="EG19" i="27"/>
  <c r="GF19" i="27"/>
  <c r="HG19" i="27"/>
  <c r="IA19" i="27"/>
  <c r="FU19" i="27"/>
  <c r="BZ19" i="27"/>
  <c r="K19" i="27"/>
  <c r="DY19" i="27"/>
  <c r="IG19" i="27"/>
  <c r="FB19" i="27"/>
  <c r="P19" i="27"/>
  <c r="DH19" i="27"/>
  <c r="BG19" i="27"/>
  <c r="GI19" i="27"/>
  <c r="DM19" i="27"/>
  <c r="BU19" i="27"/>
  <c r="DZ19" i="27"/>
  <c r="AT19" i="27"/>
  <c r="FH19" i="27"/>
  <c r="HU19" i="27"/>
  <c r="CS19" i="27"/>
  <c r="FG19" i="27"/>
  <c r="GJ19" i="27"/>
  <c r="EA19" i="27"/>
  <c r="GW19" i="27"/>
  <c r="HK19" i="27"/>
  <c r="BN19" i="27"/>
  <c r="AJ19" i="27"/>
  <c r="GE19" i="27"/>
  <c r="DI19" i="27"/>
  <c r="AK19" i="27"/>
  <c r="EY19" i="27"/>
  <c r="GA19" i="27"/>
  <c r="X19" i="27"/>
  <c r="EL19" i="27"/>
  <c r="CP19" i="27"/>
  <c r="BH19" i="27"/>
  <c r="EU19" i="27"/>
  <c r="FZ19" i="27"/>
  <c r="GB19" i="27"/>
  <c r="HR19" i="27"/>
  <c r="AF19" i="27"/>
  <c r="DV19" i="27"/>
  <c r="CO19" i="27"/>
  <c r="FI19" i="27"/>
  <c r="GG19" i="27"/>
  <c r="AD19" i="27"/>
  <c r="AG19" i="27"/>
  <c r="AB19" i="27"/>
  <c r="GV19" i="27"/>
  <c r="DF19" i="27"/>
  <c r="M19" i="27"/>
  <c r="BF19" i="27"/>
  <c r="II19" i="27"/>
  <c r="GP19" i="27"/>
  <c r="CF19" i="27"/>
  <c r="GS19" i="27"/>
  <c r="CJ19" i="27"/>
  <c r="FS19" i="27"/>
  <c r="DL19" i="27"/>
  <c r="BY19" i="27"/>
  <c r="AZ19" i="27"/>
  <c r="EW19" i="27"/>
  <c r="IK19" i="27"/>
  <c r="BM19" i="27"/>
  <c r="BP19" i="27"/>
  <c r="ES19" i="27"/>
  <c r="GZ19" i="27"/>
  <c r="S19" i="27"/>
  <c r="HZ19" i="27"/>
  <c r="DW19" i="27"/>
  <c r="AI19" i="27"/>
  <c r="L19" i="27"/>
  <c r="BX19" i="27"/>
  <c r="DP19" i="27"/>
  <c r="FA19" i="27"/>
  <c r="HS19" i="27"/>
  <c r="FM19" i="27"/>
  <c r="EC19" i="27"/>
  <c r="DB19" i="27"/>
  <c r="ID19" i="27"/>
  <c r="GK19" i="27"/>
  <c r="EZ19" i="27"/>
  <c r="V19" i="27"/>
  <c r="CC19" i="27"/>
  <c r="DG19" i="27"/>
  <c r="BE19" i="27"/>
  <c r="FR19" i="27"/>
  <c r="FY19" i="27"/>
  <c r="GX19" i="27"/>
  <c r="FX19" i="27"/>
  <c r="DR19" i="27"/>
  <c r="HC19" i="27"/>
  <c r="ED19" i="27"/>
  <c r="E18" i="27"/>
  <c r="HN19" i="27"/>
  <c r="HF19" i="27"/>
  <c r="CW19" i="27"/>
  <c r="FL19" i="27"/>
  <c r="HY19" i="27"/>
  <c r="IE19" i="27"/>
  <c r="EJ19" i="27"/>
  <c r="AO19" i="27"/>
  <c r="I19" i="27"/>
  <c r="DK19" i="27"/>
  <c r="FV19" i="27"/>
  <c r="CV19" i="27"/>
  <c r="HT19" i="27"/>
  <c r="ET19" i="27"/>
  <c r="BB19" i="27"/>
  <c r="CZ19" i="27"/>
  <c r="EX19" i="27"/>
  <c r="EV19" i="27"/>
  <c r="DJ19" i="27"/>
  <c r="BL19" i="27"/>
  <c r="GQ19" i="27"/>
  <c r="HB19" i="27"/>
  <c r="EK19" i="27"/>
  <c r="CB19" i="27"/>
  <c r="GD19" i="27"/>
  <c r="AH19" i="27"/>
  <c r="AS19" i="27"/>
  <c r="HV19" i="27"/>
  <c r="HX19" i="27"/>
  <c r="AR19" i="27"/>
  <c r="BR19" i="27"/>
  <c r="HD19" i="27"/>
  <c r="CQ19" i="27"/>
  <c r="Z19" i="27"/>
  <c r="FP19" i="27"/>
  <c r="DT19" i="27"/>
  <c r="BO19" i="27"/>
  <c r="CR19" i="27"/>
  <c r="AN19" i="27"/>
  <c r="BS19" i="27"/>
  <c r="AA19" i="27"/>
  <c r="EP19" i="27"/>
  <c r="HL19" i="27"/>
  <c r="FC19" i="27"/>
  <c r="DS19" i="27"/>
  <c r="FQ19" i="27"/>
  <c r="EN19" i="27"/>
  <c r="BD19" i="27"/>
  <c r="FE19" i="27"/>
  <c r="BK19" i="27"/>
  <c r="DE19" i="27"/>
  <c r="EE19" i="27"/>
  <c r="BT19" i="27"/>
  <c r="BQ19" i="27"/>
  <c r="FN19" i="27"/>
  <c r="Q19" i="27"/>
  <c r="FK19" i="27"/>
  <c r="IH19" i="27"/>
  <c r="IB19" i="27"/>
  <c r="AY19" i="27"/>
  <c r="HW19" i="27"/>
  <c r="HQ19" i="27"/>
  <c r="DX19" i="27"/>
  <c r="BW19" i="27"/>
  <c r="HA19" i="27"/>
  <c r="HJ19" i="27"/>
  <c r="IF19" i="27"/>
  <c r="EH19" i="27"/>
  <c r="AP19" i="27"/>
  <c r="EO19" i="27"/>
  <c r="FJ19" i="27"/>
  <c r="BJ19" i="27"/>
  <c r="GH19" i="27"/>
  <c r="CU19" i="27"/>
  <c r="CH19" i="27"/>
  <c r="GT19" i="27"/>
  <c r="AU19" i="27"/>
  <c r="CI19" i="27"/>
  <c r="R19" i="27"/>
  <c r="CX19" i="27"/>
  <c r="CL19" i="27"/>
  <c r="GN19" i="27"/>
  <c r="DD19" i="27"/>
  <c r="AQ19" i="27"/>
  <c r="J19" i="27"/>
  <c r="FT19" i="27"/>
  <c r="DN19" i="27"/>
  <c r="T19" i="27"/>
  <c r="DA19" i="27"/>
  <c r="EQ19" i="27"/>
  <c r="EM19" i="27"/>
  <c r="CE19" i="27"/>
  <c r="FD19" i="27"/>
  <c r="IC19" i="27"/>
  <c r="U19" i="27"/>
  <c r="GM19" i="27"/>
  <c r="DU19" i="27"/>
  <c r="CD19" i="27"/>
  <c r="AX19" i="27"/>
  <c r="Y19" i="27"/>
  <c r="HP19" i="27"/>
  <c r="CN19" i="27"/>
  <c r="CT19" i="27"/>
  <c r="GR19" i="27"/>
  <c r="DO19" i="27"/>
  <c r="HO19" i="27"/>
  <c r="W19" i="27"/>
  <c r="FF19" i="27"/>
  <c r="IJ19" i="27"/>
  <c r="GC19" i="27"/>
  <c r="FW19" i="27"/>
  <c r="DT371" i="27"/>
  <c r="DS376" i="27"/>
  <c r="BA376" i="27"/>
  <c r="BB371" i="27"/>
  <c r="DZ371" i="27"/>
  <c r="DY376" i="27"/>
  <c r="CN371" i="27"/>
  <c r="CM376" i="27"/>
  <c r="CP376" i="27"/>
  <c r="CQ371" i="27"/>
  <c r="FU371" i="27"/>
  <c r="FT376" i="27"/>
  <c r="HD371" i="27"/>
  <c r="HC376" i="27"/>
  <c r="GN371" i="27"/>
  <c r="GM376" i="27"/>
  <c r="FH371" i="27"/>
  <c r="FG376" i="27"/>
  <c r="EP371" i="27"/>
  <c r="EO376" i="27"/>
  <c r="AS371" i="27"/>
  <c r="AR376" i="27"/>
  <c r="BU371" i="27"/>
  <c r="BT376" i="27"/>
  <c r="V371" i="27"/>
  <c r="U376" i="27"/>
  <c r="GF376" i="27"/>
  <c r="GG371" i="27"/>
  <c r="EG371" i="27"/>
  <c r="EF376" i="27"/>
  <c r="FL386" i="27"/>
  <c r="GU386" i="27"/>
  <c r="DR386" i="27"/>
  <c r="FR386" i="27"/>
  <c r="ES386" i="27"/>
  <c r="HK386" i="27"/>
  <c r="DA386" i="27"/>
  <c r="ED386" i="27"/>
  <c r="AB386" i="27"/>
  <c r="CW386" i="27"/>
  <c r="BY386" i="27"/>
  <c r="BD386" i="27"/>
  <c r="GH386" i="27"/>
  <c r="HM386" i="27"/>
  <c r="EV386" i="27"/>
  <c r="HR386" i="27"/>
  <c r="L386" i="27"/>
  <c r="HY386" i="27"/>
  <c r="AS386" i="27"/>
  <c r="BJ386" i="27"/>
  <c r="CR371" i="27"/>
  <c r="CQ376" i="27"/>
  <c r="DG371" i="27"/>
  <c r="DF376" i="27"/>
  <c r="AZ371" i="27"/>
  <c r="AY376" i="27"/>
  <c r="BB376" i="27"/>
  <c r="BC371" i="27"/>
  <c r="HS376" i="27"/>
  <c r="HT371" i="27"/>
  <c r="FN376" i="27"/>
  <c r="FO371" i="27"/>
  <c r="DM376" i="27"/>
  <c r="DN371" i="27"/>
  <c r="AL371" i="27"/>
  <c r="AK376" i="27"/>
  <c r="HQ371" i="27"/>
  <c r="HP376" i="27"/>
  <c r="U371" i="27"/>
  <c r="T376" i="27"/>
  <c r="BR376" i="27"/>
  <c r="BS371" i="27"/>
  <c r="HF376" i="27"/>
  <c r="HG371" i="27"/>
  <c r="GO371" i="27"/>
  <c r="GN376" i="27"/>
  <c r="FI371" i="27"/>
  <c r="FH376" i="27"/>
  <c r="IA376" i="27"/>
  <c r="IB371" i="27"/>
  <c r="GL371" i="27"/>
  <c r="GK376" i="27"/>
  <c r="DL376" i="27"/>
  <c r="DM371" i="27"/>
  <c r="CT371" i="27"/>
  <c r="CS376" i="27"/>
  <c r="DP371" i="27"/>
  <c r="DO376" i="27"/>
  <c r="EL376" i="27"/>
  <c r="EM371" i="27"/>
  <c r="FR371" i="27"/>
  <c r="FQ376" i="27"/>
  <c r="BM376" i="27"/>
  <c r="BN371" i="27"/>
  <c r="BW376" i="27"/>
  <c r="BX371" i="27"/>
  <c r="DY371" i="27"/>
  <c r="DX376" i="27"/>
  <c r="HA376" i="27"/>
  <c r="HB371" i="27"/>
  <c r="EY386" i="27"/>
  <c r="IG386" i="27"/>
  <c r="CP386" i="27"/>
  <c r="CA386" i="27"/>
  <c r="U386" i="27"/>
  <c r="EP386" i="27"/>
  <c r="DF386" i="27"/>
  <c r="GS386" i="27"/>
  <c r="IE386" i="27"/>
  <c r="FU386" i="27"/>
  <c r="FY386" i="27"/>
  <c r="IA386" i="27"/>
  <c r="HF386" i="27"/>
  <c r="AN386" i="27"/>
  <c r="GM386" i="27"/>
  <c r="BG386" i="27"/>
  <c r="FP386" i="27"/>
  <c r="DT386" i="27"/>
  <c r="EK386" i="27"/>
  <c r="AX376" i="27"/>
  <c r="AY371" i="27"/>
  <c r="I371" i="27"/>
  <c r="H376" i="27"/>
  <c r="GC371" i="27"/>
  <c r="GB376" i="27"/>
  <c r="BO371" i="27"/>
  <c r="BN376" i="27"/>
  <c r="FP376" i="27"/>
  <c r="FQ371" i="27"/>
  <c r="CL376" i="27"/>
  <c r="GI371" i="27"/>
  <c r="GH376" i="27"/>
  <c r="IK371" i="27"/>
  <c r="IJ376" i="27"/>
  <c r="IK376" i="27"/>
  <c r="FC376" i="27"/>
  <c r="FD371" i="27"/>
  <c r="FZ371" i="27"/>
  <c r="FY376" i="27"/>
  <c r="HL371" i="27"/>
  <c r="HK376" i="27"/>
  <c r="EK376" i="27"/>
  <c r="EL371" i="27"/>
  <c r="R371" i="27"/>
  <c r="Q376" i="27"/>
  <c r="DP376" i="27"/>
  <c r="DQ371" i="27"/>
  <c r="AG371" i="27"/>
  <c r="AF376" i="27"/>
  <c r="Y376" i="27"/>
  <c r="Z371" i="27"/>
  <c r="DC371" i="27"/>
  <c r="DB376" i="27"/>
  <c r="EO371" i="27"/>
  <c r="EN376" i="27"/>
  <c r="GJ371" i="27"/>
  <c r="GI376" i="27"/>
  <c r="DA371" i="27"/>
  <c r="CZ376" i="27"/>
  <c r="HX376" i="27"/>
  <c r="HY371" i="27"/>
  <c r="DA376" i="27"/>
  <c r="DB371" i="27"/>
  <c r="BP371" i="27"/>
  <c r="BO376" i="27"/>
  <c r="Y371" i="27"/>
  <c r="X376" i="27"/>
  <c r="HK371" i="27"/>
  <c r="HJ376" i="27"/>
  <c r="EK371" i="27"/>
  <c r="EJ376" i="27"/>
  <c r="DI371" i="27"/>
  <c r="DH376" i="27"/>
  <c r="BD371" i="27"/>
  <c r="BC376" i="27"/>
  <c r="DX371" i="27"/>
  <c r="DW376" i="27"/>
  <c r="HT376" i="27"/>
  <c r="HU371" i="27"/>
  <c r="J371" i="27"/>
  <c r="I376" i="27"/>
  <c r="FT371" i="27"/>
  <c r="FS376" i="27"/>
  <c r="EC371" i="27"/>
  <c r="EB376" i="27"/>
  <c r="IF376" i="27"/>
  <c r="IG371" i="27"/>
  <c r="BY371" i="27"/>
  <c r="BX376" i="27"/>
  <c r="AQ371" i="27"/>
  <c r="AP376" i="27"/>
  <c r="P371" i="27"/>
  <c r="O376" i="27"/>
  <c r="DU371" i="27"/>
  <c r="DT376" i="27"/>
  <c r="AE371" i="27"/>
  <c r="AD376" i="27"/>
  <c r="ES371" i="27"/>
  <c r="ER376" i="27"/>
  <c r="GX386" i="27"/>
  <c r="AQ386" i="27"/>
  <c r="BX386" i="27"/>
  <c r="FE386" i="27"/>
  <c r="CR386" i="27"/>
  <c r="GF386" i="27"/>
  <c r="J386" i="27"/>
  <c r="BN386" i="27"/>
  <c r="BL386" i="27"/>
  <c r="AV386" i="27"/>
  <c r="AH386" i="27"/>
  <c r="CL386" i="27"/>
  <c r="EI386" i="27"/>
  <c r="BI386" i="27"/>
  <c r="HW386" i="27"/>
  <c r="AX386" i="27"/>
  <c r="AL386" i="27"/>
  <c r="FS371" i="27"/>
  <c r="FR376" i="27"/>
  <c r="EJ371" i="27"/>
  <c r="EI376" i="27"/>
  <c r="GM371" i="27"/>
  <c r="GL376" i="27"/>
  <c r="BG371" i="27"/>
  <c r="BF376" i="27"/>
  <c r="T371" i="27"/>
  <c r="S376" i="27"/>
  <c r="IJ386" i="27"/>
  <c r="IK386" i="27"/>
  <c r="P386" i="27"/>
  <c r="AN376" i="27"/>
  <c r="AO371" i="27"/>
  <c r="AK371" i="27"/>
  <c r="AJ376" i="27"/>
  <c r="P376" i="27"/>
  <c r="Q371" i="27"/>
  <c r="EB371" i="27"/>
  <c r="EA376" i="27"/>
  <c r="DE376" i="27"/>
  <c r="DF371" i="27"/>
  <c r="AS376" i="27"/>
  <c r="CS371" i="27"/>
  <c r="CR376" i="27"/>
  <c r="EV376" i="27"/>
  <c r="EW371" i="27"/>
  <c r="HR371" i="27"/>
  <c r="HQ376" i="27"/>
  <c r="EF371" i="27"/>
  <c r="EE376" i="27"/>
  <c r="EY376" i="27"/>
  <c r="EZ371" i="27"/>
  <c r="FW371" i="27"/>
  <c r="FV376" i="27"/>
  <c r="HF371" i="27"/>
  <c r="HE376" i="27"/>
  <c r="HV371" i="27"/>
  <c r="HU376" i="27"/>
  <c r="EX386" i="27"/>
  <c r="X386" i="27"/>
  <c r="AU386" i="27"/>
  <c r="BA386" i="27"/>
  <c r="DD386" i="27"/>
  <c r="H386" i="27"/>
  <c r="FD386" i="27"/>
  <c r="EQ386" i="27"/>
  <c r="EH386" i="27"/>
  <c r="GL386" i="27"/>
  <c r="IH386" i="27"/>
  <c r="BV386" i="27"/>
  <c r="DB386" i="27"/>
  <c r="EL386" i="27"/>
  <c r="BQ386" i="27"/>
  <c r="GE376" i="27"/>
  <c r="GF371" i="27"/>
  <c r="GH371" i="27"/>
  <c r="GG376" i="27"/>
  <c r="GD371" i="27"/>
  <c r="GC376" i="27"/>
  <c r="BJ376" i="27"/>
  <c r="BK371" i="27"/>
  <c r="BV376" i="27"/>
  <c r="BW371" i="27"/>
  <c r="L91" i="20"/>
  <c r="V284" i="11"/>
  <c r="V283" i="11" s="1"/>
  <c r="T279" i="11"/>
  <c r="G59" i="31"/>
  <c r="I155" i="26"/>
  <c r="K63" i="14" s="1"/>
  <c r="G94" i="31"/>
  <c r="J116" i="31" s="1"/>
  <c r="D107" i="31"/>
  <c r="G118" i="31"/>
  <c r="K118" i="31" s="1"/>
  <c r="G125" i="31" s="1"/>
  <c r="G116" i="31"/>
  <c r="I154" i="26"/>
  <c r="D94" i="31"/>
  <c r="CX20" i="27" l="1"/>
  <c r="CX17" i="27" s="1"/>
  <c r="CY20" i="27"/>
  <c r="CY17" i="27" s="1"/>
  <c r="BE20" i="27"/>
  <c r="BE17" i="27" s="1"/>
  <c r="DL20" i="27"/>
  <c r="DL17" i="27" s="1"/>
  <c r="GO20" i="27"/>
  <c r="GO17" i="27" s="1"/>
  <c r="GK20" i="27"/>
  <c r="GK17" i="27" s="1"/>
  <c r="P20" i="27"/>
  <c r="P17" i="27" s="1"/>
  <c r="CO20" i="27"/>
  <c r="CO17" i="27" s="1"/>
  <c r="DM20" i="27"/>
  <c r="DM17" i="27" s="1"/>
  <c r="AT20" i="27"/>
  <c r="AT17" i="27" s="1"/>
  <c r="BU20" i="27"/>
  <c r="BU17" i="27" s="1"/>
  <c r="H20" i="27"/>
  <c r="H17" i="27" s="1"/>
  <c r="FD20" i="27"/>
  <c r="FD17" i="27" s="1"/>
  <c r="EC20" i="27"/>
  <c r="EC17" i="27" s="1"/>
  <c r="FV20" i="27"/>
  <c r="FV17" i="27" s="1"/>
  <c r="FQ20" i="27"/>
  <c r="FQ17" i="27" s="1"/>
  <c r="FM20" i="27"/>
  <c r="FM17" i="27" s="1"/>
  <c r="HB20" i="27"/>
  <c r="HB17" i="27" s="1"/>
  <c r="ET20" i="27"/>
  <c r="ET17" i="27" s="1"/>
  <c r="HE20" i="27"/>
  <c r="HE17" i="27" s="1"/>
  <c r="DG20" i="27"/>
  <c r="DG17" i="27" s="1"/>
  <c r="FA20" i="27"/>
  <c r="FA17" i="27" s="1"/>
  <c r="HL20" i="27"/>
  <c r="HL17" i="27" s="1"/>
  <c r="K20" i="27"/>
  <c r="K17" i="27" s="1"/>
  <c r="HP20" i="27"/>
  <c r="HP17" i="27" s="1"/>
  <c r="CF20" i="27"/>
  <c r="CF17" i="27" s="1"/>
  <c r="HH20" i="27"/>
  <c r="HH17" i="27" s="1"/>
  <c r="FC20" i="27"/>
  <c r="FC17" i="27" s="1"/>
  <c r="ID20" i="27"/>
  <c r="ID17" i="27" s="1"/>
  <c r="HY20" i="27"/>
  <c r="HY17" i="27" s="1"/>
  <c r="CM20" i="27"/>
  <c r="CM17" i="27" s="1"/>
  <c r="AN20" i="27"/>
  <c r="AN17" i="27" s="1"/>
  <c r="GB20" i="27"/>
  <c r="GB17" i="27" s="1"/>
  <c r="FL20" i="27"/>
  <c r="FL17" i="27" s="1"/>
  <c r="GC20" i="27"/>
  <c r="GC17" i="27" s="1"/>
  <c r="GI20" i="27"/>
  <c r="GI17" i="27" s="1"/>
  <c r="CI20" i="27"/>
  <c r="CI17" i="27" s="1"/>
  <c r="CR20" i="27"/>
  <c r="CR17" i="27" s="1"/>
  <c r="DO20" i="27"/>
  <c r="DO17" i="27" s="1"/>
  <c r="BD20" i="27"/>
  <c r="BD17" i="27" s="1"/>
  <c r="CW20" i="27"/>
  <c r="CW17" i="27" s="1"/>
  <c r="W20" i="27"/>
  <c r="W17" i="27" s="1"/>
  <c r="HZ20" i="27"/>
  <c r="HZ17" i="27" s="1"/>
  <c r="BL20" i="27"/>
  <c r="BL17" i="27" s="1"/>
  <c r="DC20" i="27"/>
  <c r="DC17" i="27" s="1"/>
  <c r="AP20" i="27"/>
  <c r="AP17" i="27" s="1"/>
  <c r="J20" i="27"/>
  <c r="J17" i="27" s="1"/>
  <c r="GL20" i="27"/>
  <c r="GL17" i="27" s="1"/>
  <c r="CP20" i="27"/>
  <c r="CP17" i="27" s="1"/>
  <c r="EJ20" i="27"/>
  <c r="EJ17" i="27" s="1"/>
  <c r="AQ20" i="27"/>
  <c r="AQ17" i="27" s="1"/>
  <c r="GR20" i="27"/>
  <c r="GR17" i="27" s="1"/>
  <c r="HN20" i="27"/>
  <c r="HN17" i="27" s="1"/>
  <c r="AH20" i="27"/>
  <c r="AH17" i="27" s="1"/>
  <c r="GZ20" i="27"/>
  <c r="GZ17" i="27" s="1"/>
  <c r="CV20" i="27"/>
  <c r="CV17" i="27" s="1"/>
  <c r="EO20" i="27"/>
  <c r="EO17" i="27" s="1"/>
  <c r="FK20" i="27"/>
  <c r="FK17" i="27" s="1"/>
  <c r="EU20" i="27"/>
  <c r="EU17" i="27" s="1"/>
  <c r="BA20" i="27"/>
  <c r="BA17" i="27" s="1"/>
  <c r="DQ20" i="27"/>
  <c r="DQ17" i="27" s="1"/>
  <c r="BX20" i="27"/>
  <c r="BX17" i="27" s="1"/>
  <c r="EE20" i="27"/>
  <c r="EE17" i="27" s="1"/>
  <c r="AC20" i="27"/>
  <c r="AC17" i="27" s="1"/>
  <c r="EK20" i="27"/>
  <c r="EK17" i="27" s="1"/>
  <c r="HV20" i="27"/>
  <c r="HV17" i="27" s="1"/>
  <c r="AM20" i="27"/>
  <c r="AM17" i="27" s="1"/>
  <c r="AX20" i="27"/>
  <c r="AX17" i="27" s="1"/>
  <c r="CC20" i="27"/>
  <c r="CC17" i="27" s="1"/>
  <c r="IF20" i="27"/>
  <c r="IF17" i="27" s="1"/>
  <c r="AW20" i="27"/>
  <c r="AW17" i="27" s="1"/>
  <c r="EB20" i="27"/>
  <c r="EB17" i="27" s="1"/>
  <c r="BW20" i="27"/>
  <c r="BW17" i="27" s="1"/>
  <c r="EW20" i="27"/>
  <c r="EW17" i="27" s="1"/>
  <c r="DK20" i="27"/>
  <c r="DK17" i="27" s="1"/>
  <c r="L20" i="27"/>
  <c r="L17" i="27" s="1"/>
  <c r="AA20" i="27"/>
  <c r="AA17" i="27" s="1"/>
  <c r="HS20" i="27"/>
  <c r="HS17" i="27" s="1"/>
  <c r="T20" i="27"/>
  <c r="T17" i="27" s="1"/>
  <c r="CH20" i="27"/>
  <c r="CH17" i="27" s="1"/>
  <c r="EZ20" i="27"/>
  <c r="EZ17" i="27" s="1"/>
  <c r="I20" i="27"/>
  <c r="I17" i="27" s="1"/>
  <c r="HK20" i="27"/>
  <c r="HK17" i="27" s="1"/>
  <c r="CT20" i="27"/>
  <c r="CT17" i="27" s="1"/>
  <c r="U20" i="27"/>
  <c r="U17" i="27" s="1"/>
  <c r="AK20" i="27"/>
  <c r="AK17" i="27" s="1"/>
  <c r="DY20" i="27"/>
  <c r="DY17" i="27" s="1"/>
  <c r="FW20" i="27"/>
  <c r="FW17" i="27" s="1"/>
  <c r="CU20" i="27"/>
  <c r="CU17" i="27" s="1"/>
  <c r="CZ20" i="27"/>
  <c r="CZ17" i="27" s="1"/>
  <c r="GS20" i="27"/>
  <c r="GS17" i="27" s="1"/>
  <c r="IH20" i="27"/>
  <c r="IH17" i="27" s="1"/>
  <c r="BK20" i="27"/>
  <c r="BK17" i="27" s="1"/>
  <c r="EM20" i="27"/>
  <c r="EM17" i="27" s="1"/>
  <c r="GT20" i="27"/>
  <c r="GT17" i="27" s="1"/>
  <c r="GE20" i="27"/>
  <c r="GE17" i="27" s="1"/>
  <c r="IJ20" i="27"/>
  <c r="IJ17" i="27" s="1"/>
  <c r="AV20" i="27"/>
  <c r="AV17" i="27" s="1"/>
  <c r="HU20" i="27"/>
  <c r="HU17" i="27" s="1"/>
  <c r="S20" i="27"/>
  <c r="S17" i="27" s="1"/>
  <c r="IG20" i="27"/>
  <c r="IG17" i="27" s="1"/>
  <c r="AR20" i="27"/>
  <c r="AR17" i="27" s="1"/>
  <c r="CB20" i="27"/>
  <c r="CB17" i="27" s="1"/>
  <c r="GA20" i="27"/>
  <c r="GA17" i="27" s="1"/>
  <c r="DZ20" i="27"/>
  <c r="DZ17" i="27" s="1"/>
  <c r="AI20" i="27"/>
  <c r="AI17" i="27" s="1"/>
  <c r="DB20" i="27"/>
  <c r="DB17" i="27" s="1"/>
  <c r="BR20" i="27"/>
  <c r="BR17" i="27" s="1"/>
  <c r="AJ20" i="27"/>
  <c r="AJ17" i="27" s="1"/>
  <c r="FH20" i="27"/>
  <c r="FH17" i="27" s="1"/>
  <c r="AB20" i="27"/>
  <c r="AB17" i="27" s="1"/>
  <c r="GX20" i="27"/>
  <c r="GX17" i="27" s="1"/>
  <c r="HF20" i="27"/>
  <c r="HF17" i="27" s="1"/>
  <c r="DI20" i="27"/>
  <c r="DI17" i="27" s="1"/>
  <c r="AF20" i="27"/>
  <c r="AF17" i="27" s="1"/>
  <c r="BZ20" i="27"/>
  <c r="BZ17" i="27" s="1"/>
  <c r="BB20" i="27"/>
  <c r="BB17" i="27" s="1"/>
  <c r="BS20" i="27"/>
  <c r="BS17" i="27" s="1"/>
  <c r="DE20" i="27"/>
  <c r="DE17" i="27" s="1"/>
  <c r="BN20" i="27"/>
  <c r="BN17" i="27" s="1"/>
  <c r="ES20" i="27"/>
  <c r="ES17" i="27" s="1"/>
  <c r="GF20" i="27"/>
  <c r="GF17" i="27" s="1"/>
  <c r="CS20" i="27"/>
  <c r="CS17" i="27" s="1"/>
  <c r="CD20" i="27"/>
  <c r="CD17" i="27" s="1"/>
  <c r="CA20" i="27"/>
  <c r="CA17" i="27" s="1"/>
  <c r="DX20" i="27"/>
  <c r="DX17" i="27" s="1"/>
  <c r="AU20" i="27"/>
  <c r="AU17" i="27" s="1"/>
  <c r="BP20" i="27"/>
  <c r="BP17" i="27" s="1"/>
  <c r="EF20" i="27"/>
  <c r="EF17" i="27" s="1"/>
  <c r="EG20" i="27"/>
  <c r="EG17" i="27" s="1"/>
  <c r="FJ20" i="27"/>
  <c r="FJ17" i="27" s="1"/>
  <c r="GQ20" i="27"/>
  <c r="GQ17" i="27" s="1"/>
  <c r="CG20" i="27"/>
  <c r="CG17" i="27" s="1"/>
  <c r="DP20" i="27"/>
  <c r="DP17" i="27" s="1"/>
  <c r="HO20" i="27"/>
  <c r="HO17" i="27" s="1"/>
  <c r="EX20" i="27"/>
  <c r="EX17" i="27" s="1"/>
  <c r="CL20" i="27"/>
  <c r="CL17" i="27" s="1"/>
  <c r="EQ20" i="27"/>
  <c r="EQ17" i="27" s="1"/>
  <c r="BM20" i="27"/>
  <c r="BM17" i="27" s="1"/>
  <c r="FP20" i="27"/>
  <c r="FP17" i="27" s="1"/>
  <c r="HJ20" i="27"/>
  <c r="HJ17" i="27" s="1"/>
  <c r="GU20" i="27"/>
  <c r="GU17" i="27" s="1"/>
  <c r="EY20" i="27"/>
  <c r="EY17" i="27" s="1"/>
  <c r="BJ20" i="27"/>
  <c r="BJ17" i="27" s="1"/>
  <c r="GP20" i="27"/>
  <c r="GP17" i="27" s="1"/>
  <c r="Q20" i="27"/>
  <c r="Q17" i="27" s="1"/>
  <c r="CQ20" i="27"/>
  <c r="CQ17" i="27" s="1"/>
  <c r="EP20" i="27"/>
  <c r="EP17" i="27" s="1"/>
  <c r="DR20" i="27"/>
  <c r="DR17" i="27" s="1"/>
  <c r="GD20" i="27"/>
  <c r="GD17" i="27" s="1"/>
  <c r="BF20" i="27"/>
  <c r="BF17" i="27" s="1"/>
  <c r="FB20" i="27"/>
  <c r="FB17" i="27" s="1"/>
  <c r="IE20" i="27"/>
  <c r="IE17" i="27" s="1"/>
  <c r="FZ20" i="27"/>
  <c r="FZ17" i="27" s="1"/>
  <c r="X20" i="27"/>
  <c r="X17" i="27" s="1"/>
  <c r="FR20" i="27"/>
  <c r="FR17" i="27" s="1"/>
  <c r="FY20" i="27"/>
  <c r="FY17" i="27" s="1"/>
  <c r="GG20" i="27"/>
  <c r="GG17" i="27" s="1"/>
  <c r="FF20" i="27"/>
  <c r="FF17" i="27" s="1"/>
  <c r="FS20" i="27"/>
  <c r="FS17" i="27" s="1"/>
  <c r="DV20" i="27"/>
  <c r="DV17" i="27" s="1"/>
  <c r="EV20" i="27"/>
  <c r="EV17" i="27" s="1"/>
  <c r="GV20" i="27"/>
  <c r="GV17" i="27" s="1"/>
  <c r="CE20" i="27"/>
  <c r="CE17" i="27" s="1"/>
  <c r="EH20" i="27"/>
  <c r="EH17" i="27" s="1"/>
  <c r="AE20" i="27"/>
  <c r="AE17" i="27" s="1"/>
  <c r="FO20" i="27"/>
  <c r="FO17" i="27" s="1"/>
  <c r="AG20" i="27"/>
  <c r="AG17" i="27" s="1"/>
  <c r="DF20" i="27"/>
  <c r="DF17" i="27" s="1"/>
  <c r="HC20" i="27"/>
  <c r="HC17" i="27" s="1"/>
  <c r="DJ20" i="27"/>
  <c r="DJ17" i="27" s="1"/>
  <c r="V20" i="27"/>
  <c r="V17" i="27" s="1"/>
  <c r="FG20" i="27"/>
  <c r="FG17" i="27" s="1"/>
  <c r="ER20" i="27"/>
  <c r="ER17" i="27" s="1"/>
  <c r="N20" i="27"/>
  <c r="N17" i="27" s="1"/>
  <c r="AL20" i="27"/>
  <c r="AL17" i="27" s="1"/>
  <c r="BG20" i="27"/>
  <c r="BG17" i="27" s="1"/>
  <c r="AZ20" i="27"/>
  <c r="AZ17" i="27" s="1"/>
  <c r="BV20" i="27"/>
  <c r="BV17" i="27" s="1"/>
  <c r="O20" i="27"/>
  <c r="O17" i="27" s="1"/>
  <c r="DU20" i="27"/>
  <c r="DU17" i="27" s="1"/>
  <c r="IB20" i="27"/>
  <c r="IB17" i="27" s="1"/>
  <c r="II20" i="27"/>
  <c r="II17" i="27" s="1"/>
  <c r="DN20" i="27"/>
  <c r="DN17" i="27" s="1"/>
  <c r="FE20" i="27"/>
  <c r="FE17" i="27" s="1"/>
  <c r="CJ20" i="27"/>
  <c r="CJ17" i="27" s="1"/>
  <c r="IA20" i="27"/>
  <c r="IA17" i="27" s="1"/>
  <c r="EN20" i="27"/>
  <c r="EN17" i="27" s="1"/>
  <c r="Y20" i="27"/>
  <c r="Y17" i="27" s="1"/>
  <c r="HG20" i="27"/>
  <c r="HG17" i="27" s="1"/>
  <c r="HA20" i="27"/>
  <c r="HA17" i="27" s="1"/>
  <c r="EL20" i="27"/>
  <c r="EL17" i="27" s="1"/>
  <c r="CN20" i="27"/>
  <c r="CN17" i="27" s="1"/>
  <c r="BY20" i="27"/>
  <c r="BY17" i="27" s="1"/>
  <c r="M20" i="27"/>
  <c r="M17" i="27" s="1"/>
  <c r="DT20" i="27"/>
  <c r="DT17" i="27" s="1"/>
  <c r="BT20" i="27"/>
  <c r="BT17" i="27" s="1"/>
  <c r="GH20" i="27"/>
  <c r="GH17" i="27" s="1"/>
  <c r="BQ20" i="27"/>
  <c r="BQ17" i="27" s="1"/>
  <c r="R20" i="27"/>
  <c r="R17" i="27" s="1"/>
  <c r="HI20" i="27"/>
  <c r="HI17" i="27" s="1"/>
  <c r="HD20" i="27"/>
  <c r="HD17" i="27" s="1"/>
  <c r="DA20" i="27"/>
  <c r="DA17" i="27" s="1"/>
  <c r="BI20" i="27"/>
  <c r="BI17" i="27" s="1"/>
  <c r="DD20" i="27"/>
  <c r="DD17" i="27" s="1"/>
  <c r="AS20" i="27"/>
  <c r="AS17" i="27" s="1"/>
  <c r="AO20" i="27"/>
  <c r="AO17" i="27" s="1"/>
  <c r="IC20" i="27"/>
  <c r="IC17" i="27" s="1"/>
  <c r="AY20" i="27"/>
  <c r="AY17" i="27" s="1"/>
  <c r="GN20" i="27"/>
  <c r="GN17" i="27" s="1"/>
  <c r="FI20" i="27"/>
  <c r="FI17" i="27" s="1"/>
  <c r="HM20" i="27"/>
  <c r="HM17" i="27" s="1"/>
  <c r="ED20" i="27"/>
  <c r="ED17" i="27" s="1"/>
  <c r="GM20" i="27"/>
  <c r="GM17" i="27" s="1"/>
  <c r="BO20" i="27"/>
  <c r="BO17" i="27" s="1"/>
  <c r="DW20" i="27"/>
  <c r="DW17" i="27" s="1"/>
  <c r="GJ20" i="27"/>
  <c r="GJ17" i="27" s="1"/>
  <c r="AD20" i="27"/>
  <c r="AD17" i="27" s="1"/>
  <c r="GW20" i="27"/>
  <c r="GW17" i="27" s="1"/>
  <c r="HX20" i="27"/>
  <c r="HX17" i="27" s="1"/>
  <c r="EA20" i="27"/>
  <c r="EA17" i="27" s="1"/>
  <c r="BH20" i="27"/>
  <c r="BH17" i="27" s="1"/>
  <c r="EI20" i="27"/>
  <c r="EI17" i="27" s="1"/>
  <c r="GY20" i="27"/>
  <c r="GY17" i="27" s="1"/>
  <c r="DS20" i="27"/>
  <c r="DS17" i="27" s="1"/>
  <c r="FX20" i="27"/>
  <c r="FX17" i="27" s="1"/>
  <c r="HT20" i="27"/>
  <c r="HT17" i="27" s="1"/>
  <c r="HW20" i="27"/>
  <c r="HW17" i="27" s="1"/>
  <c r="CK20" i="27"/>
  <c r="CK17" i="27" s="1"/>
  <c r="DH20" i="27"/>
  <c r="DH17" i="27" s="1"/>
  <c r="Z20" i="27"/>
  <c r="Z17" i="27" s="1"/>
  <c r="BC20" i="27"/>
  <c r="BC17" i="27" s="1"/>
  <c r="FU20" i="27"/>
  <c r="FU17" i="27" s="1"/>
  <c r="FN20" i="27"/>
  <c r="FN17" i="27" s="1"/>
  <c r="FT20" i="27"/>
  <c r="FT17" i="27" s="1"/>
  <c r="IK20" i="27"/>
  <c r="IK17" i="27" s="1"/>
  <c r="HQ20" i="27"/>
  <c r="HQ17" i="27" s="1"/>
  <c r="HR20" i="27"/>
  <c r="HR17" i="27" s="1"/>
  <c r="E386" i="27"/>
  <c r="E376" i="27"/>
  <c r="L280" i="11"/>
  <c r="V286" i="11"/>
  <c r="I280" i="11" s="1"/>
  <c r="Q65" i="14"/>
  <c r="K58" i="14"/>
  <c r="R58" i="14" s="1"/>
  <c r="E5" i="36" s="1"/>
  <c r="H5" i="36" s="1"/>
  <c r="M279" i="11"/>
  <c r="O58" i="14" s="1"/>
  <c r="D154" i="26"/>
  <c r="E155" i="26" s="1"/>
  <c r="K60" i="14"/>
  <c r="K116" i="31"/>
  <c r="G123" i="31" s="1"/>
  <c r="D63" i="14"/>
  <c r="H63" i="14"/>
  <c r="T70" i="20" l="1"/>
  <c r="R257" i="14"/>
  <c r="X257" i="14" s="1"/>
  <c r="W92" i="31"/>
  <c r="W105" i="31"/>
  <c r="L282" i="11"/>
  <c r="G34" i="31" s="1"/>
  <c r="U282" i="11"/>
  <c r="Q62" i="14"/>
  <c r="F24" i="31"/>
  <c r="C280" i="11"/>
  <c r="J280" i="11"/>
  <c r="Q59" i="14"/>
  <c r="C282" i="11"/>
  <c r="M282" i="11" s="1"/>
  <c r="O62" i="14" s="1"/>
  <c r="C284" i="11"/>
  <c r="L284" i="11"/>
  <c r="I284" i="11"/>
  <c r="J284" i="11" s="1"/>
  <c r="M280" i="11"/>
  <c r="O59" i="14" s="1"/>
  <c r="Q66" i="14"/>
  <c r="K59" i="14"/>
  <c r="E280" i="11"/>
  <c r="D59" i="14" s="1"/>
  <c r="H59" i="14" s="1"/>
  <c r="R65" i="14"/>
  <c r="C26" i="14"/>
  <c r="F26" i="14" s="1"/>
  <c r="AC65" i="14"/>
  <c r="F60" i="14"/>
  <c r="F258" i="14" s="1"/>
  <c r="Q63" i="14"/>
  <c r="G63" i="14"/>
  <c r="Q60" i="14"/>
  <c r="E160" i="26"/>
  <c r="Q64" i="14" s="1"/>
  <c r="H20" i="36" l="1"/>
  <c r="E20" i="36"/>
  <c r="E23" i="36"/>
  <c r="K62" i="14"/>
  <c r="D62" i="14" s="1"/>
  <c r="R59" i="14"/>
  <c r="M284" i="11"/>
  <c r="O66" i="14" s="1"/>
  <c r="K66" i="14"/>
  <c r="AC59" i="14"/>
  <c r="C21" i="14"/>
  <c r="F21" i="14" s="1"/>
  <c r="C27" i="14"/>
  <c r="F27" i="14" s="1"/>
  <c r="AC66" i="14"/>
  <c r="AC62" i="14"/>
  <c r="C24" i="14"/>
  <c r="F24" i="14" s="1"/>
  <c r="AC64" i="14"/>
  <c r="R64" i="14"/>
  <c r="C22" i="14"/>
  <c r="F22" i="14" s="1"/>
  <c r="AC60" i="14"/>
  <c r="R63" i="14"/>
  <c r="AC63" i="14"/>
  <c r="C25" i="14"/>
  <c r="F25" i="14" s="1"/>
  <c r="R60" i="14"/>
  <c r="AB70" i="20" l="1"/>
  <c r="R62" i="14"/>
  <c r="X52" i="14" s="1"/>
  <c r="X280" i="14" s="1"/>
  <c r="D66" i="14"/>
  <c r="J66" i="14" s="1"/>
  <c r="R66" i="14"/>
  <c r="V52" i="14"/>
  <c r="V280" i="14" s="1"/>
  <c r="I12" i="30" s="1"/>
  <c r="I20" i="30" s="1"/>
  <c r="N20" i="30" s="1"/>
  <c r="AA70" i="20" l="1"/>
  <c r="T62" i="20" s="1"/>
  <c r="AC70" i="20"/>
  <c r="AC62" i="20" s="1"/>
  <c r="E53" i="20" s="1"/>
  <c r="Q78" i="14"/>
  <c r="I12" i="20" s="1"/>
  <c r="L35" i="24"/>
  <c r="N12" i="30"/>
  <c r="J13" i="30" s="1"/>
  <c r="I41" i="30" s="1"/>
  <c r="I27" i="30"/>
  <c r="L51" i="20" l="1"/>
  <c r="E51" i="20" s="1"/>
  <c r="G12" i="20"/>
  <c r="N12" i="20" s="1"/>
  <c r="J13" i="20" s="1"/>
  <c r="I20" i="20"/>
  <c r="U62" i="20"/>
  <c r="L53" i="20" s="1"/>
  <c r="AC78" i="14"/>
  <c r="I48" i="30"/>
  <c r="J62" i="30" s="1"/>
  <c r="E13" i="30"/>
  <c r="D41" i="30" s="1"/>
  <c r="D48" i="30" s="1"/>
  <c r="N27" i="30"/>
  <c r="E62" i="20" l="1"/>
  <c r="E68" i="20"/>
  <c r="E70" i="20"/>
  <c r="E66" i="20"/>
  <c r="E64" i="20"/>
  <c r="E72" i="20"/>
  <c r="I27" i="20"/>
  <c r="G20" i="20"/>
  <c r="G27" i="20" s="1"/>
  <c r="J64" i="30"/>
  <c r="N41" i="30"/>
  <c r="L112" i="30" s="1"/>
  <c r="P113" i="20" s="1"/>
  <c r="J66" i="30"/>
  <c r="J70" i="30"/>
  <c r="J68" i="30"/>
  <c r="E72" i="30"/>
  <c r="E68" i="30"/>
  <c r="E54" i="30"/>
  <c r="E64" i="30"/>
  <c r="E70" i="30"/>
  <c r="E66" i="30"/>
  <c r="D75" i="20" l="1"/>
  <c r="D78" i="20" s="1"/>
  <c r="N20" i="20"/>
  <c r="N27" i="20" s="1"/>
  <c r="M20" i="24"/>
  <c r="E13" i="20"/>
  <c r="I41" i="20" s="1"/>
  <c r="M17" i="24"/>
  <c r="M34" i="24"/>
  <c r="M31" i="24"/>
  <c r="M36" i="24"/>
  <c r="M37" i="24"/>
  <c r="M24" i="24"/>
  <c r="E12" i="24"/>
  <c r="M30" i="24"/>
  <c r="M23" i="24"/>
  <c r="M22" i="24"/>
  <c r="M33" i="24"/>
  <c r="M26" i="24"/>
  <c r="M27" i="24"/>
  <c r="M29" i="24"/>
  <c r="M28" i="24"/>
  <c r="M25" i="24"/>
  <c r="M16" i="24"/>
  <c r="M32" i="24"/>
  <c r="M35" i="24"/>
  <c r="M21" i="24"/>
  <c r="M19" i="24"/>
  <c r="M15" i="24"/>
  <c r="M18" i="24"/>
  <c r="E104" i="30"/>
  <c r="N48" i="30"/>
  <c r="L116" i="30"/>
  <c r="P117" i="20" s="1"/>
  <c r="I75" i="30"/>
  <c r="I85" i="30" s="1"/>
  <c r="D85" i="20" l="1"/>
  <c r="D62" i="20"/>
  <c r="I48" i="20"/>
  <c r="J62" i="20" s="1"/>
  <c r="I78" i="30"/>
  <c r="D62" i="30" l="1"/>
  <c r="E62" i="30" s="1"/>
  <c r="D75" i="30" s="1"/>
  <c r="O62" i="20"/>
  <c r="N41" i="20"/>
  <c r="L117" i="20" s="1"/>
  <c r="J70" i="20"/>
  <c r="J68" i="20"/>
  <c r="J64" i="20"/>
  <c r="J66" i="20"/>
  <c r="E100" i="30"/>
  <c r="E102" i="30"/>
  <c r="E98" i="30"/>
  <c r="M75" i="30" l="1"/>
  <c r="D78" i="30"/>
  <c r="D85" i="30"/>
  <c r="N85" i="30" s="1"/>
  <c r="N87" i="30" s="1"/>
  <c r="I91" i="30" s="1"/>
  <c r="I75" i="20"/>
  <c r="I85" i="20" s="1"/>
  <c r="N85" i="20" s="1"/>
  <c r="L113" i="20"/>
  <c r="N48" i="20"/>
  <c r="L120" i="30" l="1"/>
  <c r="L122" i="30"/>
  <c r="M102" i="20"/>
  <c r="L118" i="30"/>
  <c r="P119" i="20" s="1"/>
  <c r="E106" i="30"/>
  <c r="L114" i="30"/>
  <c r="P115" i="20" s="1"/>
  <c r="N87" i="20"/>
  <c r="I91" i="20" s="1"/>
  <c r="I78" i="20"/>
  <c r="M75" i="20"/>
  <c r="L115" i="20" s="1"/>
  <c r="O115" i="20" l="1"/>
  <c r="P102" i="20"/>
  <c r="O117" i="20"/>
  <c r="O113" i="20"/>
  <c r="E104" i="20"/>
  <c r="E98" i="20"/>
  <c r="M100" i="20"/>
  <c r="P100" i="20" s="1"/>
  <c r="L121" i="20"/>
  <c r="E100" i="20"/>
  <c r="P121" i="20"/>
  <c r="E102" i="20"/>
  <c r="P123" i="20"/>
  <c r="L123" i="20"/>
  <c r="E106" i="20"/>
  <c r="L119" i="20"/>
  <c r="O119" i="20" s="1"/>
  <c r="O121" i="20" l="1"/>
  <c r="O123"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Fortes Engenharia</author>
  </authors>
  <commentList>
    <comment ref="O537" authorId="0" shapeId="0" xr:uid="{00000000-0006-0000-0000-000001000000}">
      <text>
        <r>
          <rPr>
            <b/>
            <sz val="9"/>
            <color indexed="81"/>
            <rFont val="Tahoma"/>
            <family val="2"/>
          </rPr>
          <t xml:space="preserve">Fortanks:
se quiser mudar valor insira aqui
</t>
        </r>
        <r>
          <rPr>
            <sz val="9"/>
            <color indexed="81"/>
            <rFont val="Tahoma"/>
            <family val="2"/>
          </rPr>
          <t xml:space="preserve">
</t>
        </r>
      </text>
    </comment>
    <comment ref="O539" authorId="0" shapeId="0" xr:uid="{00000000-0006-0000-0000-000002000000}">
      <text>
        <r>
          <rPr>
            <b/>
            <sz val="9"/>
            <color indexed="81"/>
            <rFont val="Tahoma"/>
            <family val="2"/>
          </rPr>
          <t xml:space="preserve">Fortanks:
se quiser mudar valor insira aqui
</t>
        </r>
        <r>
          <rPr>
            <sz val="9"/>
            <color indexed="81"/>
            <rFont val="Tahoma"/>
            <family val="2"/>
          </rPr>
          <t xml:space="preserve">
</t>
        </r>
      </text>
    </comment>
    <comment ref="O615" authorId="0" shapeId="0" xr:uid="{00000000-0006-0000-0000-000003000000}">
      <text>
        <r>
          <rPr>
            <b/>
            <sz val="9"/>
            <color indexed="81"/>
            <rFont val="Tahoma"/>
            <family val="2"/>
          </rPr>
          <t xml:space="preserve">Fortanks:
se quiser mudar valor insira aqui
</t>
        </r>
        <r>
          <rPr>
            <sz val="9"/>
            <color indexed="81"/>
            <rFont val="Tahoma"/>
            <family val="2"/>
          </rPr>
          <t xml:space="preserve">
</t>
        </r>
      </text>
    </comment>
    <comment ref="O617" authorId="0" shapeId="0" xr:uid="{00000000-0006-0000-0000-000004000000}">
      <text>
        <r>
          <rPr>
            <b/>
            <sz val="9"/>
            <color indexed="81"/>
            <rFont val="Tahoma"/>
            <family val="2"/>
          </rPr>
          <t xml:space="preserve">Fortanks:
se quiser mudar valor insira aqui
</t>
        </r>
        <r>
          <rPr>
            <sz val="9"/>
            <color indexed="81"/>
            <rFont val="Tahoma"/>
            <family val="2"/>
          </rPr>
          <t xml:space="preserve">
</t>
        </r>
      </text>
    </comment>
    <comment ref="O619" authorId="0" shapeId="0" xr:uid="{00000000-0006-0000-0000-000005000000}">
      <text>
        <r>
          <rPr>
            <b/>
            <sz val="9"/>
            <color indexed="81"/>
            <rFont val="Tahoma"/>
            <family val="2"/>
          </rPr>
          <t xml:space="preserve">Fortanks:
se quiser mudar valor insira aqui
</t>
        </r>
        <r>
          <rPr>
            <sz val="9"/>
            <color indexed="81"/>
            <rFont val="Tahoma"/>
            <family val="2"/>
          </rPr>
          <t xml:space="preserve">
</t>
        </r>
      </text>
    </comment>
    <comment ref="O621" authorId="0" shapeId="0" xr:uid="{00000000-0006-0000-0000-000006000000}">
      <text>
        <r>
          <rPr>
            <b/>
            <sz val="9"/>
            <color indexed="81"/>
            <rFont val="Tahoma"/>
            <family val="2"/>
          </rPr>
          <t xml:space="preserve">Fortanks:
se quiser mudar valor insira aqui
</t>
        </r>
        <r>
          <rPr>
            <sz val="9"/>
            <color indexed="81"/>
            <rFont val="Tahoma"/>
            <family val="2"/>
          </rPr>
          <t xml:space="preserve">
</t>
        </r>
      </text>
    </comment>
    <comment ref="O623" authorId="0" shapeId="0" xr:uid="{00000000-0006-0000-0000-000007000000}">
      <text>
        <r>
          <rPr>
            <b/>
            <sz val="9"/>
            <color indexed="81"/>
            <rFont val="Tahoma"/>
            <family val="2"/>
          </rPr>
          <t xml:space="preserve">Fortanks:
se quiser mudar valor insira aqui
</t>
        </r>
        <r>
          <rPr>
            <sz val="9"/>
            <color indexed="81"/>
            <rFont val="Tahoma"/>
            <family val="2"/>
          </rPr>
          <t xml:space="preserve">
</t>
        </r>
      </text>
    </comment>
    <comment ref="M637" authorId="0" shapeId="0" xr:uid="{00000000-0006-0000-0000-000008000000}">
      <text>
        <r>
          <rPr>
            <b/>
            <sz val="9"/>
            <color indexed="81"/>
            <rFont val="Tahoma"/>
            <family val="2"/>
          </rPr>
          <t xml:space="preserve">Fortanks:
se quiser mudar o diâmetro da cordoalha  insira valor aqui
</t>
        </r>
        <r>
          <rPr>
            <sz val="9"/>
            <color indexed="81"/>
            <rFont val="Tahoma"/>
            <family val="2"/>
          </rPr>
          <t xml:space="preserve">
</t>
        </r>
      </text>
    </comment>
    <comment ref="O637" authorId="0" shapeId="0" xr:uid="{00000000-0006-0000-0000-000009000000}">
      <text>
        <r>
          <rPr>
            <b/>
            <sz val="9"/>
            <color indexed="81"/>
            <rFont val="Tahoma"/>
            <family val="2"/>
          </rPr>
          <t xml:space="preserve">Fortanks:
se quiser mudar valor do peso por metro insira aqui
</t>
        </r>
        <r>
          <rPr>
            <sz val="9"/>
            <color indexed="81"/>
            <rFont val="Tahoma"/>
            <family val="2"/>
          </rPr>
          <t xml:space="preserve">
</t>
        </r>
      </text>
    </comment>
    <comment ref="O639" authorId="0" shapeId="0" xr:uid="{00000000-0006-0000-0000-00000A000000}">
      <text>
        <r>
          <rPr>
            <b/>
            <sz val="9"/>
            <color indexed="81"/>
            <rFont val="Tahoma"/>
            <family val="2"/>
          </rPr>
          <t xml:space="preserve">Fortanks:
se quiser mudar valor insira aqui
</t>
        </r>
        <r>
          <rPr>
            <sz val="9"/>
            <color indexed="81"/>
            <rFont val="Tahoma"/>
            <family val="2"/>
          </rPr>
          <t xml:space="preserve">
</t>
        </r>
      </text>
    </comment>
    <comment ref="O642" authorId="0" shapeId="0" xr:uid="{00000000-0006-0000-0000-00000B000000}">
      <text>
        <r>
          <rPr>
            <b/>
            <sz val="9"/>
            <color indexed="81"/>
            <rFont val="Tahoma"/>
            <family val="2"/>
          </rPr>
          <t xml:space="preserve">Fortanks:
se quiser mudar valor insira aqui
</t>
        </r>
        <r>
          <rPr>
            <sz val="9"/>
            <color indexed="81"/>
            <rFont val="Tahoma"/>
            <family val="2"/>
          </rPr>
          <t xml:space="preserve">
</t>
        </r>
      </text>
    </comment>
    <comment ref="O644" authorId="0" shapeId="0" xr:uid="{00000000-0006-0000-0000-00000C000000}">
      <text>
        <r>
          <rPr>
            <b/>
            <sz val="9"/>
            <color indexed="81"/>
            <rFont val="Tahoma"/>
            <family val="2"/>
          </rPr>
          <t xml:space="preserve">Fortanks:
se quiser mudar valor insira aqui
</t>
        </r>
        <r>
          <rPr>
            <sz val="9"/>
            <color indexed="81"/>
            <rFont val="Tahoma"/>
            <family val="2"/>
          </rPr>
          <t xml:space="preserve">
</t>
        </r>
      </text>
    </comment>
    <comment ref="M694" authorId="0" shapeId="0" xr:uid="{00000000-0006-0000-0000-00000D000000}">
      <text>
        <r>
          <rPr>
            <b/>
            <sz val="9"/>
            <color indexed="81"/>
            <rFont val="Tahoma"/>
            <family val="2"/>
          </rPr>
          <t xml:space="preserve">Fortanks:
se quiser mudar valor insira aqui
</t>
        </r>
        <r>
          <rPr>
            <sz val="9"/>
            <color indexed="81"/>
            <rFont val="Tahoma"/>
            <family val="2"/>
          </rPr>
          <t xml:space="preserve">
</t>
        </r>
      </text>
    </comment>
    <comment ref="O700" authorId="0" shapeId="0" xr:uid="{00000000-0006-0000-0000-00000E000000}">
      <text>
        <r>
          <rPr>
            <b/>
            <sz val="9"/>
            <color indexed="81"/>
            <rFont val="Tahoma"/>
            <family val="2"/>
          </rPr>
          <t xml:space="preserve">Fortanks:
se quiser mudar valor insira aqui
</t>
        </r>
        <r>
          <rPr>
            <sz val="9"/>
            <color indexed="81"/>
            <rFont val="Tahoma"/>
            <family val="2"/>
          </rPr>
          <t xml:space="preserve">
</t>
        </r>
      </text>
    </comment>
    <comment ref="O703" authorId="0" shapeId="0" xr:uid="{00000000-0006-0000-0000-00000F000000}">
      <text>
        <r>
          <rPr>
            <b/>
            <sz val="9"/>
            <color indexed="81"/>
            <rFont val="Tahoma"/>
            <family val="2"/>
          </rPr>
          <t xml:space="preserve">Fortanks:
se quiser mudar valor insira aqui
</t>
        </r>
        <r>
          <rPr>
            <sz val="9"/>
            <color indexed="81"/>
            <rFont val="Tahoma"/>
            <family val="2"/>
          </rPr>
          <t xml:space="preserve">
</t>
        </r>
      </text>
    </comment>
    <comment ref="O706" authorId="0" shapeId="0" xr:uid="{00000000-0006-0000-0000-000010000000}">
      <text>
        <r>
          <rPr>
            <b/>
            <sz val="9"/>
            <color indexed="81"/>
            <rFont val="Tahoma"/>
            <family val="2"/>
          </rPr>
          <t xml:space="preserve">Fortanks:
se quiser mudar valor insira aqui
</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Fortes Engenharia</author>
  </authors>
  <commentList>
    <comment ref="D72" authorId="0" shapeId="0" xr:uid="{653C50B7-898B-4C17-A9B4-722CF62A873F}">
      <text>
        <r>
          <rPr>
            <b/>
            <sz val="9"/>
            <color indexed="81"/>
            <rFont val="Segoe UI"/>
            <family val="2"/>
          </rPr>
          <t>Fortanks:</t>
        </r>
        <r>
          <rPr>
            <sz val="9"/>
            <color indexed="81"/>
            <rFont val="Segoe UI"/>
            <family val="2"/>
          </rPr>
          <t xml:space="preserve">
Após copiar e colar APAGAR ESTE "X"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Fortes Engenharia</author>
  </authors>
  <commentList>
    <comment ref="J40" authorId="0" shapeId="0" xr:uid="{BDCD8166-52BD-4BB7-BF37-7E18E3C986D6}">
      <text>
        <r>
          <rPr>
            <b/>
            <sz val="9"/>
            <color indexed="81"/>
            <rFont val="Segoe UI"/>
            <family val="2"/>
          </rPr>
          <t>Fortanks:
para alterar a quantidade digite aqui ou digite X para cancelar a quantidade</t>
        </r>
      </text>
    </comment>
    <comment ref="J56" authorId="0" shapeId="0" xr:uid="{4C04F327-1218-4BF2-B8AD-E8C84CACAA59}">
      <text>
        <r>
          <rPr>
            <b/>
            <sz val="9"/>
            <color indexed="81"/>
            <rFont val="Segoe UI"/>
            <family val="2"/>
          </rPr>
          <t>Fortanks:
para alterar a quantidade digite aqui ou digite X para cancelar a quantidade</t>
        </r>
      </text>
    </comment>
    <comment ref="J58" authorId="0" shapeId="0" xr:uid="{00000000-0006-0000-0400-000001000000}">
      <text>
        <r>
          <rPr>
            <b/>
            <sz val="9"/>
            <color indexed="81"/>
            <rFont val="Segoe UI"/>
            <family val="2"/>
          </rPr>
          <t>Fortanks:
para alterar a quantidade digite aqui ou digite X para cancelar a quantidade</t>
        </r>
      </text>
    </comment>
    <comment ref="J59" authorId="0" shapeId="0" xr:uid="{00000000-0006-0000-0400-000002000000}">
      <text>
        <r>
          <rPr>
            <b/>
            <sz val="9"/>
            <color indexed="81"/>
            <rFont val="Segoe UI"/>
            <family val="2"/>
          </rPr>
          <t>Fortanks:
para alterar a quantidade digite aqui ou digite X para cancelar a quantidade</t>
        </r>
      </text>
    </comment>
    <comment ref="J60" authorId="0" shapeId="0" xr:uid="{00000000-0006-0000-0400-000003000000}">
      <text>
        <r>
          <rPr>
            <b/>
            <sz val="9"/>
            <color indexed="81"/>
            <rFont val="Segoe UI"/>
            <family val="2"/>
          </rPr>
          <t>Fortanks:
para alterar a quantidade digite aqui ou digite X para cancelar a quantidade</t>
        </r>
      </text>
    </comment>
    <comment ref="J61" authorId="0" shapeId="0" xr:uid="{00000000-0006-0000-0400-000004000000}">
      <text>
        <r>
          <rPr>
            <b/>
            <sz val="9"/>
            <color indexed="81"/>
            <rFont val="Segoe UI"/>
            <family val="2"/>
          </rPr>
          <t>Fortanks:
para alterar a quantidade digite aqui ou digite X para cancelar a quantidade</t>
        </r>
      </text>
    </comment>
    <comment ref="J62" authorId="0" shapeId="0" xr:uid="{00000000-0006-0000-0400-000005000000}">
      <text>
        <r>
          <rPr>
            <b/>
            <sz val="9"/>
            <color indexed="81"/>
            <rFont val="Segoe UI"/>
            <family val="2"/>
          </rPr>
          <t>Fortanks:
para alterar a quantidade digite aqui ou digite X para cancelar a quantidade</t>
        </r>
      </text>
    </comment>
    <comment ref="J63" authorId="0" shapeId="0" xr:uid="{00000000-0006-0000-0400-000006000000}">
      <text>
        <r>
          <rPr>
            <b/>
            <sz val="9"/>
            <color indexed="81"/>
            <rFont val="Segoe UI"/>
            <family val="2"/>
          </rPr>
          <t>Fortanks:
para alterar a quantidade digite aqui ou digite X para cancelar a quantidade</t>
        </r>
      </text>
    </comment>
    <comment ref="J67" authorId="0" shapeId="0" xr:uid="{00000000-0006-0000-0400-000007000000}">
      <text>
        <r>
          <rPr>
            <b/>
            <sz val="9"/>
            <color indexed="81"/>
            <rFont val="Segoe UI"/>
            <family val="2"/>
          </rPr>
          <t>Fortanks:
para alterar a quantidade digite aqui ou digite X para cancelar a quantidade</t>
        </r>
      </text>
    </comment>
    <comment ref="J69" authorId="0" shapeId="0" xr:uid="{00000000-0006-0000-0400-000008000000}">
      <text>
        <r>
          <rPr>
            <b/>
            <sz val="9"/>
            <color indexed="81"/>
            <rFont val="Segoe UI"/>
            <family val="2"/>
          </rPr>
          <t>Fortanks:
para alterar a quantidade digite aqui ou digite X para cancelar a quantidade</t>
        </r>
      </text>
    </comment>
    <comment ref="J71" authorId="0" shapeId="0" xr:uid="{00000000-0006-0000-0400-000009000000}">
      <text>
        <r>
          <rPr>
            <b/>
            <sz val="9"/>
            <color indexed="81"/>
            <rFont val="Segoe UI"/>
            <family val="2"/>
          </rPr>
          <t>Fortanks:
para alterar a quantidade digite aqui ou digite X para cancelar a quantidade</t>
        </r>
      </text>
    </comment>
    <comment ref="J73" authorId="0" shapeId="0" xr:uid="{00000000-0006-0000-0400-00000A000000}">
      <text>
        <r>
          <rPr>
            <b/>
            <sz val="9"/>
            <color indexed="81"/>
            <rFont val="Segoe UI"/>
            <family val="2"/>
          </rPr>
          <t>Fortanks:
para alterar a quantidade digite aqui ou digite X para cancelar a quantidade</t>
        </r>
      </text>
    </comment>
    <comment ref="V82" authorId="0" shapeId="0" xr:uid="{5E630254-CB45-4271-A408-35ECFE9D74A0}">
      <text>
        <r>
          <rPr>
            <b/>
            <sz val="9"/>
            <color indexed="81"/>
            <rFont val="Segoe UI"/>
            <family val="2"/>
          </rPr>
          <t>Fortanks:
para alterar a quantidade digite aqui ou digite X para cancelar a quantidade</t>
        </r>
      </text>
    </comment>
    <comment ref="V86" authorId="0" shapeId="0" xr:uid="{03805E9A-F725-44F5-B731-FB7938CEB79E}">
      <text>
        <r>
          <rPr>
            <b/>
            <sz val="9"/>
            <color indexed="81"/>
            <rFont val="Segoe UI"/>
            <family val="2"/>
          </rPr>
          <t>Fortanks:
para alterar a quantidade digite aqui ou digite X para cancelar a quantidade</t>
        </r>
      </text>
    </comment>
    <comment ref="J124" authorId="0" shapeId="0" xr:uid="{A805313C-7BF1-4645-8102-0BC6D5D6BE86}">
      <text>
        <r>
          <rPr>
            <b/>
            <sz val="9"/>
            <color indexed="81"/>
            <rFont val="Segoe UI"/>
            <family val="2"/>
          </rPr>
          <t>Fortanks:
para alterar a quantidade digite aqui ou digite X para cancelar a quantidade</t>
        </r>
      </text>
    </comment>
    <comment ref="J126" authorId="0" shapeId="0" xr:uid="{8AB31F62-A20A-4FB3-B82D-72FD3331AC49}">
      <text>
        <r>
          <rPr>
            <b/>
            <sz val="9"/>
            <color indexed="81"/>
            <rFont val="Segoe UI"/>
            <family val="2"/>
          </rPr>
          <t>Fortanks:
para alterar a quantidade digite aqui ou digite X para cancelar a quantidade</t>
        </r>
      </text>
    </comment>
    <comment ref="J134" authorId="0" shapeId="0" xr:uid="{5F5CD678-0012-4365-A0EB-D6BC26393631}">
      <text>
        <r>
          <rPr>
            <b/>
            <sz val="9"/>
            <color indexed="81"/>
            <rFont val="Segoe UI"/>
            <family val="2"/>
          </rPr>
          <t>Fortanks:
para alterar a quantidade digite aqui ou digite X para cancelar a quantidade</t>
        </r>
      </text>
    </comment>
    <comment ref="J251" authorId="0" shapeId="0" xr:uid="{D4D382C6-5939-406A-AB95-6484635F9BC5}">
      <text>
        <r>
          <rPr>
            <b/>
            <sz val="9"/>
            <color indexed="81"/>
            <rFont val="Segoe UI"/>
            <family val="2"/>
          </rPr>
          <t>Fortanks:
para alterar a quantidade digite aqui ou digite X para cancelar a quantidade</t>
        </r>
      </text>
    </comment>
    <comment ref="J252" authorId="0" shapeId="0" xr:uid="{963738FE-9514-4C00-8830-C356D14EAA5F}">
      <text>
        <r>
          <rPr>
            <b/>
            <sz val="9"/>
            <color indexed="81"/>
            <rFont val="Segoe UI"/>
            <family val="2"/>
          </rPr>
          <t>Fortanks:
para alterar a quantidade digite aqui ou digite X para cancelar a quantidade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fortes</author>
  </authors>
  <commentList>
    <comment ref="D41" authorId="0" shapeId="0" xr:uid="{86001A2E-CD92-4812-9CA4-5D8FDF44DEBA}">
      <text>
        <r>
          <rPr>
            <b/>
            <sz val="9"/>
            <color indexed="81"/>
            <rFont val="Segoe UI"/>
            <family val="2"/>
          </rPr>
          <t>fortanks: este valor está lançado na montagem</t>
        </r>
        <r>
          <rPr>
            <sz val="9"/>
            <color indexed="81"/>
            <rFont val="Segoe UI"/>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Fortes Engenharia</author>
  </authors>
  <commentList>
    <comment ref="A12" authorId="0" shapeId="0" xr:uid="{00000000-0006-0000-0700-000001000000}">
      <text>
        <r>
          <rPr>
            <b/>
            <sz val="8"/>
            <color indexed="81"/>
            <rFont val="Segoe UI"/>
            <family val="2"/>
          </rPr>
          <t>Fortanks :</t>
        </r>
        <r>
          <rPr>
            <sz val="8"/>
            <color indexed="81"/>
            <rFont val="Segoe UI"/>
            <family val="2"/>
          </rPr>
          <t xml:space="preserve">
clique no filtro e "OK" para atualizar.
</t>
        </r>
      </text>
    </comment>
    <comment ref="F30" authorId="0" shapeId="0" xr:uid="{00000000-0006-0000-0700-000002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32" authorId="0" shapeId="0" xr:uid="{00000000-0006-0000-0700-000003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34" authorId="0" shapeId="0" xr:uid="{00000000-0006-0000-0700-000004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36" authorId="0" shapeId="0" xr:uid="{00000000-0006-0000-0700-000005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38" authorId="0" shapeId="0" xr:uid="{00000000-0006-0000-0700-000006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114" authorId="0" shapeId="0" xr:uid="{00000000-0006-0000-0700-000007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116" authorId="0" shapeId="0" xr:uid="{00000000-0006-0000-0700-000008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118" authorId="0" shapeId="0" xr:uid="{00000000-0006-0000-0700-000009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120" authorId="0" shapeId="0" xr:uid="{00000000-0006-0000-0700-00000A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122" authorId="0" shapeId="0" xr:uid="{00000000-0006-0000-0700-00000B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198" authorId="0" shapeId="0" xr:uid="{00000000-0006-0000-0700-00000D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200" authorId="0" shapeId="0" xr:uid="{00000000-0006-0000-0700-00000E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202" authorId="0" shapeId="0" xr:uid="{00000000-0006-0000-0700-00000F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204" authorId="0" shapeId="0" xr:uid="{00000000-0006-0000-0700-000010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206" authorId="0" shapeId="0" xr:uid="{00000000-0006-0000-0700-000011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282" authorId="0" shapeId="0" xr:uid="{00000000-0006-0000-0700-000013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284" authorId="0" shapeId="0" xr:uid="{00000000-0006-0000-0700-000014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286" authorId="0" shapeId="0" xr:uid="{00000000-0006-0000-0700-000015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288" authorId="0" shapeId="0" xr:uid="{00000000-0006-0000-0700-000016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 ref="F290" authorId="0" shapeId="0" xr:uid="{00000000-0006-0000-0700-000017000000}">
      <text>
        <r>
          <rPr>
            <b/>
            <sz val="9"/>
            <color indexed="81"/>
            <rFont val="Segoe UI"/>
            <family val="2"/>
          </rPr>
          <t xml:space="preserve">Fortanks: 
se quiser, digite aqui um novo início desta montagem ( número do dia corrido )
</t>
        </r>
        <r>
          <rPr>
            <sz val="9"/>
            <color indexed="81"/>
            <rFont val="Segoe UI"/>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Fortes Engenharia</author>
  </authors>
  <commentList>
    <comment ref="G41" authorId="0" shapeId="0" xr:uid="{00000000-0006-0000-0600-000001000000}">
      <text>
        <r>
          <rPr>
            <b/>
            <sz val="9"/>
            <color indexed="81"/>
            <rFont val="Segoe UI"/>
            <family val="2"/>
          </rPr>
          <t>Fortanks:</t>
        </r>
        <r>
          <rPr>
            <sz val="9"/>
            <color indexed="81"/>
            <rFont val="Segoe UI"/>
            <family val="2"/>
          </rPr>
          <t xml:space="preserve">
use o filtro à esquerda para atualizar os dados da cobertura.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Fortes Engenharia</author>
  </authors>
  <commentList>
    <comment ref="O223" authorId="0" shapeId="0" xr:uid="{00000000-0006-0000-0800-000001000000}">
      <text>
        <r>
          <rPr>
            <b/>
            <sz val="9"/>
            <color indexed="81"/>
            <rFont val="Tahoma"/>
            <family val="2"/>
          </rPr>
          <t xml:space="preserve">Fortanks:
se quiser mudar valor insira aqui
</t>
        </r>
        <r>
          <rPr>
            <sz val="9"/>
            <color indexed="81"/>
            <rFont val="Tahoma"/>
            <family val="2"/>
          </rPr>
          <t xml:space="preserve">
</t>
        </r>
      </text>
    </comment>
    <comment ref="O225" authorId="0" shapeId="0" xr:uid="{00000000-0006-0000-0800-000002000000}">
      <text>
        <r>
          <rPr>
            <b/>
            <sz val="9"/>
            <color indexed="81"/>
            <rFont val="Tahoma"/>
            <family val="2"/>
          </rPr>
          <t xml:space="preserve">Fortanks:
se quiser mudar valor insira aqui
</t>
        </r>
        <r>
          <rPr>
            <sz val="9"/>
            <color indexed="81"/>
            <rFont val="Tahoma"/>
            <family val="2"/>
          </rPr>
          <t xml:space="preserve">
</t>
        </r>
      </text>
    </comment>
    <comment ref="O303" authorId="0" shapeId="0" xr:uid="{00000000-0006-0000-0800-000003000000}">
      <text>
        <r>
          <rPr>
            <b/>
            <sz val="9"/>
            <color indexed="81"/>
            <rFont val="Tahoma"/>
            <family val="2"/>
          </rPr>
          <t xml:space="preserve">Fortanks:
se quiser mudar valor insira aqui
</t>
        </r>
        <r>
          <rPr>
            <sz val="9"/>
            <color indexed="81"/>
            <rFont val="Tahoma"/>
            <family val="2"/>
          </rPr>
          <t xml:space="preserve">
</t>
        </r>
      </text>
    </comment>
    <comment ref="O305" authorId="0" shapeId="0" xr:uid="{00000000-0006-0000-0800-000004000000}">
      <text>
        <r>
          <rPr>
            <b/>
            <sz val="9"/>
            <color indexed="81"/>
            <rFont val="Tahoma"/>
            <family val="2"/>
          </rPr>
          <t xml:space="preserve">Fortanks:
se quiser mudar valor insira aqui
</t>
        </r>
        <r>
          <rPr>
            <sz val="9"/>
            <color indexed="81"/>
            <rFont val="Tahoma"/>
            <family val="2"/>
          </rPr>
          <t xml:space="preserve">
</t>
        </r>
      </text>
    </comment>
    <comment ref="O307" authorId="0" shapeId="0" xr:uid="{00000000-0006-0000-0800-000005000000}">
      <text>
        <r>
          <rPr>
            <b/>
            <sz val="9"/>
            <color indexed="81"/>
            <rFont val="Tahoma"/>
            <family val="2"/>
          </rPr>
          <t xml:space="preserve">Fortanks:
se quiser mudar valor insira aqui
</t>
        </r>
        <r>
          <rPr>
            <sz val="9"/>
            <color indexed="81"/>
            <rFont val="Tahoma"/>
            <family val="2"/>
          </rPr>
          <t xml:space="preserve">
</t>
        </r>
      </text>
    </comment>
    <comment ref="O309" authorId="0" shapeId="0" xr:uid="{00000000-0006-0000-0800-000006000000}">
      <text>
        <r>
          <rPr>
            <b/>
            <sz val="9"/>
            <color indexed="81"/>
            <rFont val="Tahoma"/>
            <family val="2"/>
          </rPr>
          <t xml:space="preserve">Fortanks:
se quiser mudar valor insira aqui
</t>
        </r>
        <r>
          <rPr>
            <sz val="9"/>
            <color indexed="81"/>
            <rFont val="Tahoma"/>
            <family val="2"/>
          </rPr>
          <t xml:space="preserve">
</t>
        </r>
      </text>
    </comment>
    <comment ref="O311" authorId="0" shapeId="0" xr:uid="{00000000-0006-0000-0800-000007000000}">
      <text>
        <r>
          <rPr>
            <b/>
            <sz val="9"/>
            <color indexed="81"/>
            <rFont val="Tahoma"/>
            <family val="2"/>
          </rPr>
          <t xml:space="preserve">Fortanks:
se quiser mudar valor insira aqui
</t>
        </r>
        <r>
          <rPr>
            <sz val="9"/>
            <color indexed="81"/>
            <rFont val="Tahoma"/>
            <family val="2"/>
          </rPr>
          <t xml:space="preserve">
</t>
        </r>
      </text>
    </comment>
    <comment ref="M325" authorId="0" shapeId="0" xr:uid="{00000000-0006-0000-0800-000008000000}">
      <text>
        <r>
          <rPr>
            <b/>
            <sz val="9"/>
            <color indexed="81"/>
            <rFont val="Tahoma"/>
            <family val="2"/>
          </rPr>
          <t xml:space="preserve">Fortanks:
se quiser mudar o diâmetro da cordoalha  insira valor aqui
</t>
        </r>
        <r>
          <rPr>
            <sz val="9"/>
            <color indexed="81"/>
            <rFont val="Tahoma"/>
            <family val="2"/>
          </rPr>
          <t xml:space="preserve">
</t>
        </r>
      </text>
    </comment>
    <comment ref="O325" authorId="0" shapeId="0" xr:uid="{00000000-0006-0000-0800-000009000000}">
      <text>
        <r>
          <rPr>
            <b/>
            <sz val="9"/>
            <color indexed="81"/>
            <rFont val="Tahoma"/>
            <family val="2"/>
          </rPr>
          <t xml:space="preserve">Fortanks:
se quiser mudar valor do peso por metro insira aqui
</t>
        </r>
        <r>
          <rPr>
            <sz val="9"/>
            <color indexed="81"/>
            <rFont val="Tahoma"/>
            <family val="2"/>
          </rPr>
          <t xml:space="preserve">
</t>
        </r>
      </text>
    </comment>
    <comment ref="O327" authorId="0" shapeId="0" xr:uid="{00000000-0006-0000-0800-00000A000000}">
      <text>
        <r>
          <rPr>
            <b/>
            <sz val="9"/>
            <color indexed="81"/>
            <rFont val="Tahoma"/>
            <family val="2"/>
          </rPr>
          <t xml:space="preserve">Fortanks:
se quiser mudar valor insira aqui
</t>
        </r>
        <r>
          <rPr>
            <sz val="9"/>
            <color indexed="81"/>
            <rFont val="Tahoma"/>
            <family val="2"/>
          </rPr>
          <t xml:space="preserve">
</t>
        </r>
      </text>
    </comment>
    <comment ref="O330" authorId="0" shapeId="0" xr:uid="{00000000-0006-0000-0800-00000B000000}">
      <text>
        <r>
          <rPr>
            <b/>
            <sz val="9"/>
            <color indexed="81"/>
            <rFont val="Tahoma"/>
            <family val="2"/>
          </rPr>
          <t xml:space="preserve">Fortanks:
se quiser mudar valor insira aqui
</t>
        </r>
        <r>
          <rPr>
            <sz val="9"/>
            <color indexed="81"/>
            <rFont val="Tahoma"/>
            <family val="2"/>
          </rPr>
          <t xml:space="preserve">
</t>
        </r>
      </text>
    </comment>
    <comment ref="O332" authorId="0" shapeId="0" xr:uid="{00000000-0006-0000-0800-00000C000000}">
      <text>
        <r>
          <rPr>
            <b/>
            <sz val="9"/>
            <color indexed="81"/>
            <rFont val="Tahoma"/>
            <family val="2"/>
          </rPr>
          <t xml:space="preserve">Fortanks:
se quiser mudar valor insira aqui
</t>
        </r>
        <r>
          <rPr>
            <sz val="9"/>
            <color indexed="81"/>
            <rFont val="Tahoma"/>
            <family val="2"/>
          </rPr>
          <t xml:space="preserve">
</t>
        </r>
      </text>
    </comment>
    <comment ref="M382" authorId="0" shapeId="0" xr:uid="{00000000-0006-0000-0800-00000D000000}">
      <text>
        <r>
          <rPr>
            <b/>
            <sz val="9"/>
            <color indexed="81"/>
            <rFont val="Tahoma"/>
            <family val="2"/>
          </rPr>
          <t xml:space="preserve">Fortanks:
se quiser mudar valor insira aqui
</t>
        </r>
        <r>
          <rPr>
            <sz val="9"/>
            <color indexed="81"/>
            <rFont val="Tahoma"/>
            <family val="2"/>
          </rPr>
          <t xml:space="preserve">
</t>
        </r>
      </text>
    </comment>
    <comment ref="O388" authorId="0" shapeId="0" xr:uid="{00000000-0006-0000-0800-00000E000000}">
      <text>
        <r>
          <rPr>
            <b/>
            <sz val="9"/>
            <color indexed="81"/>
            <rFont val="Tahoma"/>
            <family val="2"/>
          </rPr>
          <t xml:space="preserve">Fortanks:
se quiser mudar valor insira aqui
</t>
        </r>
        <r>
          <rPr>
            <sz val="9"/>
            <color indexed="81"/>
            <rFont val="Tahoma"/>
            <family val="2"/>
          </rPr>
          <t xml:space="preserve">
</t>
        </r>
      </text>
    </comment>
    <comment ref="O391" authorId="0" shapeId="0" xr:uid="{00000000-0006-0000-0800-00000F000000}">
      <text>
        <r>
          <rPr>
            <b/>
            <sz val="9"/>
            <color indexed="81"/>
            <rFont val="Tahoma"/>
            <family val="2"/>
          </rPr>
          <t xml:space="preserve">Fortanks:
se quiser mudar valor insira aqui
</t>
        </r>
        <r>
          <rPr>
            <sz val="9"/>
            <color indexed="81"/>
            <rFont val="Tahoma"/>
            <family val="2"/>
          </rPr>
          <t xml:space="preserve">
</t>
        </r>
      </text>
    </comment>
    <comment ref="O394" authorId="0" shapeId="0" xr:uid="{00000000-0006-0000-0800-000010000000}">
      <text>
        <r>
          <rPr>
            <b/>
            <sz val="9"/>
            <color indexed="81"/>
            <rFont val="Tahoma"/>
            <family val="2"/>
          </rPr>
          <t xml:space="preserve">Fortanks:
se quiser mudar valor insira aqui
</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Fortes Engenharia</author>
  </authors>
  <commentList>
    <comment ref="BV71" authorId="0" shapeId="0" xr:uid="{00000000-0006-0000-0900-000001000000}">
      <text>
        <r>
          <rPr>
            <b/>
            <sz val="9"/>
            <color indexed="81"/>
            <rFont val="Segoe UI"/>
            <family val="2"/>
          </rPr>
          <t>Fortes Engenharia:</t>
        </r>
        <r>
          <rPr>
            <sz val="9"/>
            <color indexed="81"/>
            <rFont val="Segoe UI"/>
            <family val="2"/>
          </rPr>
          <t xml:space="preserve">
laje externa (medida reta)</t>
        </r>
      </text>
    </comment>
    <comment ref="BW71" authorId="0" shapeId="0" xr:uid="{00000000-0006-0000-0900-000002000000}">
      <text>
        <r>
          <rPr>
            <b/>
            <sz val="9"/>
            <color indexed="81"/>
            <rFont val="Segoe UI"/>
            <family val="2"/>
          </rPr>
          <t>Fortes Engenharia:</t>
        </r>
        <r>
          <rPr>
            <sz val="9"/>
            <color indexed="81"/>
            <rFont val="Segoe UI"/>
            <family val="2"/>
          </rPr>
          <t xml:space="preserve">
laje externa (medida curva)
</t>
        </r>
      </text>
    </comment>
  </commentList>
</comments>
</file>

<file path=xl/sharedStrings.xml><?xml version="1.0" encoding="utf-8"?>
<sst xmlns="http://schemas.openxmlformats.org/spreadsheetml/2006/main" count="6943" uniqueCount="2776">
  <si>
    <t>SISTEMA SC-6 , SC-10 e SC-14  ORÇAMENTO
DADOS DE ENTRADA E CÁLCULOS</t>
  </si>
  <si>
    <t>DATA:</t>
  </si>
  <si>
    <t>J</t>
  </si>
  <si>
    <t>REVISÃO:</t>
  </si>
  <si>
    <t>S</t>
  </si>
  <si>
    <t>CLIENTE:</t>
  </si>
  <si>
    <t>Passarelli</t>
  </si>
  <si>
    <t>OBRA:</t>
  </si>
  <si>
    <t>12 tqs Nereda</t>
  </si>
  <si>
    <t>DADOS DE ENTRADA GERAL</t>
  </si>
  <si>
    <t>X</t>
  </si>
  <si>
    <t>LOCALIZAÇÃO DA OBRA:</t>
  </si>
  <si>
    <t>ESTADO:</t>
  </si>
  <si>
    <t>MUNICÍPIO:</t>
  </si>
  <si>
    <t>DISTÂNCIA RODOVIÁRIA</t>
  </si>
  <si>
    <t>São Paulo</t>
  </si>
  <si>
    <t>São Paulo - Tatuapé</t>
  </si>
  <si>
    <t>km</t>
  </si>
  <si>
    <t>Y</t>
  </si>
  <si>
    <t>ALTURA DO TANQUE (Ht)</t>
  </si>
  <si>
    <t>m</t>
  </si>
  <si>
    <t xml:space="preserve">     ALTURA DE USO  (Hu)</t>
  </si>
  <si>
    <t>m (de projeto)</t>
  </si>
  <si>
    <t>MUDAR DIMENSÃO (Hu)</t>
  </si>
  <si>
    <t>m (caso queira alterar o Hu somente nos cálculos)</t>
  </si>
  <si>
    <t xml:space="preserve">             ALTURA DE ANCORAGEM NA BASE ( h1)</t>
  </si>
  <si>
    <t>m ( para alterar )</t>
  </si>
  <si>
    <t/>
  </si>
  <si>
    <t>QUANTIDADE DE TANQUES=</t>
  </si>
  <si>
    <r>
      <t xml:space="preserve">DIÂMETRO INTERNO DO TANQUE  </t>
    </r>
    <r>
      <rPr>
        <b/>
        <sz val="10"/>
        <rFont val="Arial"/>
        <family val="2"/>
      </rPr>
      <t>( PROJETO )</t>
    </r>
    <r>
      <rPr>
        <sz val="10"/>
        <rFont val="Arial"/>
        <family val="2"/>
      </rPr>
      <t>:</t>
    </r>
  </si>
  <si>
    <t xml:space="preserve">          VOLUME ÚTIL DE PROJETO=</t>
  </si>
  <si>
    <t>m³</t>
  </si>
  <si>
    <t xml:space="preserve">          VOLUME ÚTIL ADEQUADO=</t>
  </si>
  <si>
    <t>DIÂMETRO INTERNO DO TANQUE NO SISTEMA ( marcar "X" ):</t>
  </si>
  <si>
    <t>as quantidade são para apenas 1 tanque</t>
  </si>
  <si>
    <t>x</t>
  </si>
  <si>
    <t>observações ( caso necessário ):</t>
  </si>
  <si>
    <t>TIPO DE SISTEMA ( analisado apenas 1 tanque )</t>
  </si>
  <si>
    <t>TIPO DE SISTEMA ( marcar "X")</t>
  </si>
  <si>
    <t>(REGRA AUTOMÁTICA  EM FUNÇÃO DA ALTURA h2):</t>
  </si>
  <si>
    <t>(MUDANÇA MANUAL SE NECESSÁRIO):</t>
  </si>
  <si>
    <t>SC-10</t>
  </si>
  <si>
    <t>SC-14</t>
  </si>
  <si>
    <t>SC-6</t>
  </si>
  <si>
    <t>PAINEL FECHO ( marcar "X"): apenas para 1 tanque</t>
  </si>
  <si>
    <t>JÁ HÁ PROJETO. -------- QUANTIDADE=</t>
  </si>
  <si>
    <t>unid.</t>
  </si>
  <si>
    <t>NÃO HÁ PROJETO.------ QUANTIDADE=</t>
  </si>
  <si>
    <t>PAINÉIS NORNAIS ( para 1 tanque) --  QUANTIDADE=</t>
  </si>
  <si>
    <t>Alerta: Canaletas com dimensões internas maior que 100x100 cm devem ser analisadas!</t>
  </si>
  <si>
    <t>CANALETA  -  interligada ao painel  ( marcar "X" ):</t>
  </si>
  <si>
    <t>DIMENSÕES DA CANALETA:</t>
  </si>
  <si>
    <t>SIM</t>
  </si>
  <si>
    <t>NÃO</t>
  </si>
  <si>
    <t>A (m)=</t>
  </si>
  <si>
    <t>B (m)=</t>
  </si>
  <si>
    <t>L (m)=</t>
  </si>
  <si>
    <t>M (m)=</t>
  </si>
  <si>
    <t>BEIRAL DE APOIO - interligado ao painel ( marcar "X" ):</t>
  </si>
  <si>
    <t>DIMENSÕES DO BEIRAL :</t>
  </si>
  <si>
    <t>R (m)=</t>
  </si>
  <si>
    <t>S (m)=</t>
  </si>
  <si>
    <t>T (m)=</t>
  </si>
  <si>
    <t>PESO DA CANALETA POR UNID.:</t>
  </si>
  <si>
    <t>kg</t>
  </si>
  <si>
    <t>PESO DO BEIRAL POR UNID.:</t>
  </si>
  <si>
    <t>EXECUÇÃO DA BASE INCLUÍDA (marcar "X":</t>
  </si>
  <si>
    <t>SC10</t>
  </si>
  <si>
    <t>SC14</t>
  </si>
  <si>
    <t>RESULTADOS 1</t>
  </si>
  <si>
    <t>quant=</t>
  </si>
  <si>
    <t>RAIO NA JUNTA ENTRE PAINÉIS (Rj)=</t>
  </si>
  <si>
    <t>raio na junta</t>
  </si>
  <si>
    <t>RAIO NO CENTRO DO PAINEL (Rc)=</t>
  </si>
  <si>
    <t>raio no centro</t>
  </si>
  <si>
    <t>DISTÂNCIA INT.  ENTRE PAINÉIS (d)=</t>
  </si>
  <si>
    <t>d</t>
  </si>
  <si>
    <t>ÁREA DE PISO INTERNO =</t>
  </si>
  <si>
    <t>m²</t>
  </si>
  <si>
    <t>área piso</t>
  </si>
  <si>
    <t>VOLUME TOTAL DO TANQUE=</t>
  </si>
  <si>
    <t>vol total</t>
  </si>
  <si>
    <t>VOLUME ÚTIL ( USO) DO TANQUE=</t>
  </si>
  <si>
    <t>vol útil</t>
  </si>
  <si>
    <t>ÁREA DE PAINEL FABRICADO=</t>
  </si>
  <si>
    <t xml:space="preserve">área de painel </t>
  </si>
  <si>
    <t xml:space="preserve">somente </t>
  </si>
  <si>
    <t>incluindo</t>
  </si>
  <si>
    <t>INSUMOS de  M.O. ( PRODUTIVA ) MONTAGEM COMPLETA</t>
  </si>
  <si>
    <t>H normais</t>
  </si>
  <si>
    <t>H a mais</t>
  </si>
  <si>
    <t>ENCARREGADO</t>
  </si>
  <si>
    <t>h</t>
  </si>
  <si>
    <t>TECNICO DE EDIFICAÇÕES</t>
  </si>
  <si>
    <t>TÉCNICO DE SEGURANÇA</t>
  </si>
  <si>
    <t>OFICIAL POLIVALENTE</t>
  </si>
  <si>
    <t>AUXILIAR DE OBRAS</t>
  </si>
  <si>
    <t>ÍNDICE de M.O. ( PRODUTIVA) MONTAGEM COMPLETA ( horas / m² de painel)</t>
  </si>
  <si>
    <t>h/m² de painel</t>
  </si>
  <si>
    <t>SOMA=</t>
  </si>
  <si>
    <t>INSUMOS DE M.O. ( MONTAGEM - TOTAL COM MOBILIZAÇÃO - PARA CUSTO )</t>
  </si>
  <si>
    <t>dias</t>
  </si>
  <si>
    <t>corridos</t>
  </si>
  <si>
    <t>dias corridos</t>
  </si>
  <si>
    <t xml:space="preserve">MONTAGEM COMPLETA - MATERIAIS E EQUIPAMENTOS DE SEGURANÇA </t>
  </si>
  <si>
    <t>CALÇA UNIFORME</t>
  </si>
  <si>
    <t>CAMISA UNIFORME</t>
  </si>
  <si>
    <t>BOTA DE BORRACHA</t>
  </si>
  <si>
    <t>BOTA DE COURO</t>
  </si>
  <si>
    <t>CAPACETE</t>
  </si>
  <si>
    <t>PROTETOR AURICULA</t>
  </si>
  <si>
    <t>ÓCULOS DE SEGURANÇA</t>
  </si>
  <si>
    <t>LUVA DE PIGMENTO</t>
  </si>
  <si>
    <t>LUVA DE RASPA</t>
  </si>
  <si>
    <t>LUVA DE PVC</t>
  </si>
  <si>
    <t>AVENTAL DE SEGURANÇA</t>
  </si>
  <si>
    <t>MASCARA PARA PÓ</t>
  </si>
  <si>
    <t>PROTETOR FACIAL</t>
  </si>
  <si>
    <t>CINTO DE SEGURANÇA</t>
  </si>
  <si>
    <t>TRAVA QUEDA</t>
  </si>
  <si>
    <t>CERQUITE H=1,20m</t>
  </si>
  <si>
    <r>
      <t>CONFECÇÃO DOS PAINÉIS</t>
    </r>
    <r>
      <rPr>
        <sz val="12"/>
        <rFont val="Arial"/>
        <family val="2"/>
      </rPr>
      <t xml:space="preserve"> - conforme quantidade total de tanques</t>
    </r>
  </si>
  <si>
    <t>VOLUME de CONCRETO por METRO de PAINEL NORMAL --------</t>
  </si>
  <si>
    <t>m³/m de painel</t>
  </si>
  <si>
    <t>VOLUME de CONCRETO por METRO de PAINEL FECHO --------</t>
  </si>
  <si>
    <t>VOLUME de CONCRETO por CANALETA por PAINEL</t>
  </si>
  <si>
    <t>m³/ canaleta / painel</t>
  </si>
  <si>
    <t>VOLUME de CONCRETO por BEIRAL por PAINEL</t>
  </si>
  <si>
    <t>m³/ beiral / painel</t>
  </si>
  <si>
    <t>PERDA DE CONCRETO</t>
  </si>
  <si>
    <t>%</t>
  </si>
  <si>
    <t>TAXA de AÇO  CA-50  PARA SC-10</t>
  </si>
  <si>
    <t>kg/m³</t>
  </si>
  <si>
    <t>TAXA de AÇO  CA-50  PARA SC-14</t>
  </si>
  <si>
    <t>para barra de içamento:</t>
  </si>
  <si>
    <t>( X )</t>
  </si>
  <si>
    <t>TAXA DE AÇO PARA CANALETAS E BEIRAL</t>
  </si>
  <si>
    <t>dividir peso por 2</t>
  </si>
  <si>
    <t>TAXA de AÇO PRÉ-ESFORÇO PARA SC-10</t>
  </si>
  <si>
    <t>TAXA de AÇO PRÉ-ESFORÇO PARA SC-14</t>
  </si>
  <si>
    <t>ESPAÇADORES PLÁSTICOS</t>
  </si>
  <si>
    <t>unid./m²</t>
  </si>
  <si>
    <t>deixar peso total por barra</t>
  </si>
  <si>
    <t>CÁLCULO ANTIGO</t>
  </si>
  <si>
    <t xml:space="preserve"> CONFECÇÃO DE PAINÉIS - ( MATERIAIS )</t>
  </si>
  <si>
    <t>PESO (ton)</t>
  </si>
  <si>
    <t>barra de içamento</t>
  </si>
  <si>
    <t>PINO PARA MONTAGEM ( no topo do painel ) -----------</t>
  </si>
  <si>
    <t>painel normal</t>
  </si>
  <si>
    <t>PINO PARA MONTAGEM ( no topo do painel ) ---</t>
  </si>
  <si>
    <t>painel fecho</t>
  </si>
  <si>
    <t>PINO PARA MOVIMENTAÇÃO ( na face do painel ) ---</t>
  </si>
  <si>
    <t>pino de içamento</t>
  </si>
  <si>
    <t>LUVA METAL M24 x 200</t>
  </si>
  <si>
    <t>LUVA METAL M12 x 70</t>
  </si>
  <si>
    <t>LUVA METAL M16 x 140</t>
  </si>
  <si>
    <t xml:space="preserve">CURVA 90° GALVANIZADA 1 1/4" </t>
  </si>
  <si>
    <t xml:space="preserve">TUBO 2,50 m para BAINHA 3 CABOS </t>
  </si>
  <si>
    <t>TUBO 2,50 m para BAINHA 1 CABO</t>
  </si>
  <si>
    <t>PINOS DE SAQUE</t>
  </si>
  <si>
    <t>CONE PARA TUBO 3 CABOS</t>
  </si>
  <si>
    <t>PESO TOTAL</t>
  </si>
  <si>
    <t>PESO NO PINO MÍN.</t>
  </si>
  <si>
    <t>PESO NO PINO MAX.</t>
  </si>
  <si>
    <t>PINO PADRÃO</t>
  </si>
  <si>
    <t>Nº DE PONTOS</t>
  </si>
  <si>
    <t>CONE PARA TUBO 1 CABO</t>
  </si>
  <si>
    <t>CONCRETO FCK 40 MPa  em  24 horas  AUTOADENSÁVEL</t>
  </si>
  <si>
    <t>TELA SOLDADA</t>
  </si>
  <si>
    <t>AÇO CA-50</t>
  </si>
  <si>
    <t>CORDOALHA 7 fios Arcellor Mittal  CP 190 RB 12,70 mm</t>
  </si>
  <si>
    <t>ESPAÇADORES PLÁSTICOS COPLAS CG50</t>
  </si>
  <si>
    <t>RECOBRIM.=</t>
  </si>
  <si>
    <t>cm</t>
  </si>
  <si>
    <t>ARAME RECOZIDO</t>
  </si>
  <si>
    <t>ISOPOR 3 cm ( folha 50x100 cm)</t>
  </si>
  <si>
    <t xml:space="preserve">DESMOLDANTE DENVER SM ECO </t>
  </si>
  <si>
    <t>litros</t>
  </si>
  <si>
    <t>AGENTE DE CURA ( CURING )</t>
  </si>
  <si>
    <t>INSERTOS METÁLICOS AÇO CARBONO</t>
  </si>
  <si>
    <t>INSERTOS METÁLICOS INOX</t>
  </si>
  <si>
    <t>PINO  DE MONTAGEM</t>
  </si>
  <si>
    <t>CONJUNTO DE BOCA DE VISITA  INOX</t>
  </si>
  <si>
    <t>PESO NO LIFT MÍN.</t>
  </si>
  <si>
    <t>PESO NO LIFT MAX.</t>
  </si>
  <si>
    <t>LIFT PADRÃO</t>
  </si>
  <si>
    <t>CONCRETO para CONFECÇÃO ( PRAZO p/ ATINGIR a RESISTÊNCIA de fck 30 Mpa - necessária p/ desprotenção ):</t>
  </si>
  <si>
    <t>horas</t>
  </si>
  <si>
    <t>p/ alterar</t>
  </si>
  <si>
    <t>pino de montagem</t>
  </si>
  <si>
    <t>FABRICAÇÃO FORA DO ESTADO E.S. ?</t>
  </si>
  <si>
    <t>DEVIDO À CARACTERÍSTICA DA OBRA COMO UM TODO ADOTAR O PRAZO DE DIAS POR REPETIÇÃO PARA:</t>
  </si>
  <si>
    <t>utilizar este campo somente em obras de grande porte !</t>
  </si>
  <si>
    <t>P. NORMAL</t>
  </si>
  <si>
    <t>dias por repetição</t>
  </si>
  <si>
    <t>P. FECHO</t>
  </si>
  <si>
    <t>CASO AS DUAS LINHAS PRODUZINDO TANQUES AO MESMO TEMPO: (FAZER ANÁLISE EM CRONOGRAMA GERAL)</t>
  </si>
  <si>
    <t>CONSIDERAR OTIMIZAÇÃO NA EQUIPE ADMINISTRATIVA / GALPÃO E SEM ALTERAÇÃO NO CRONOGRAMA DE FABRICAÇÃO:</t>
  </si>
  <si>
    <t>LANÇAR PERCENTUAL DE: (0 A 50%)</t>
  </si>
  <si>
    <t>EQUIPE DE FABRICAÇÃO:</t>
  </si>
  <si>
    <t>SE QUISER ALTERAR :</t>
  </si>
  <si>
    <t>COMPOSIÇÃO POR EQUIPE:</t>
  </si>
  <si>
    <t>COMPOSIÇÃO DA EQUIPE:</t>
  </si>
  <si>
    <t>se quiser zerar um componete de equipe marque "X"</t>
  </si>
  <si>
    <t>AUXILIAR</t>
  </si>
  <si>
    <t>TÉC. DE  EDIFICAÇÕES</t>
  </si>
  <si>
    <t>TÉC. DE SEGURANÇA</t>
  </si>
  <si>
    <t>ARMADOR ( polivalente)</t>
  </si>
  <si>
    <t>GESTOR DE FÁBRICA</t>
  </si>
  <si>
    <t>ADM</t>
  </si>
  <si>
    <t>QUANTIDADE DE HE TRABALHADAS NA SEMANA=</t>
  </si>
  <si>
    <t>PERCENTUAL DO VALOR DA HE (SINDICATO)=</t>
  </si>
  <si>
    <t>QUANTIDADE DE HE TRABALHADAS NO SÁBADO=</t>
  </si>
  <si>
    <t>PERCENTUAL DE AUMENTO EM HORAS (TRANSFORMADO DEPOIS EM EXTRAS)=</t>
  </si>
  <si>
    <t>para mudar:</t>
  </si>
  <si>
    <t>"X" ( p/ zerar )</t>
  </si>
  <si>
    <t>PERCENTUAL DE VALOR DA HORA EXTRA  SOBRE HORA NORMAL (SINDICATO)=</t>
  </si>
  <si>
    <t>ou outro número</t>
  </si>
  <si>
    <t>ETAPAS DA CONFECÇÃO</t>
  </si>
  <si>
    <t>quant. de</t>
  </si>
  <si>
    <t>quant.</t>
  </si>
  <si>
    <t>horas trab.</t>
  </si>
  <si>
    <t>horas por</t>
  </si>
  <si>
    <t>HORAS</t>
  </si>
  <si>
    <t>fator p/</t>
  </si>
  <si>
    <t>OFICIAIS</t>
  </si>
  <si>
    <t>de dia</t>
  </si>
  <si>
    <t>por dia</t>
  </si>
  <si>
    <t>repetição</t>
  </si>
  <si>
    <t>NORMAIS</t>
  </si>
  <si>
    <t>A MAIS</t>
  </si>
  <si>
    <t>prazo</t>
  </si>
  <si>
    <t>AFINAMENTO DO ÂNGULO /  FORMAS</t>
  </si>
  <si>
    <t>ARMAÇÃO - CORTE E DOBRA</t>
  </si>
  <si>
    <t>ARMAÇÃO - PRÉ-MONTAGEM</t>
  </si>
  <si>
    <t>CABEAMENTO E TENSIONAMENTO</t>
  </si>
  <si>
    <t>ARMAÇÃO - NA LINHA</t>
  </si>
  <si>
    <t>CONCRETAGEM</t>
  </si>
  <si>
    <t>INSERTOS, ADAPTAÇÕES E APOIO</t>
  </si>
  <si>
    <t xml:space="preserve">DESFORMA / CORTE CABOS / SAQUE / LIMP. </t>
  </si>
  <si>
    <t>TOTAL=</t>
  </si>
  <si>
    <t>COMPRIMENTO DA LINHA PAINEL NORMAL-----------------------------------------------------------------------------------</t>
  </si>
  <si>
    <t>quant de repetições CALC=</t>
  </si>
  <si>
    <t>rep</t>
  </si>
  <si>
    <t>DISTÂNCIA MÁXIMA ENTRE PAINÉIS NORMAIS-------------------------------------------------------------------</t>
  </si>
  <si>
    <t>m ----a distância mínima é =</t>
  </si>
  <si>
    <t>quant de repetições CORRIG=</t>
  </si>
  <si>
    <t>quant. Max de paineis=</t>
  </si>
  <si>
    <t>pain</t>
  </si>
  <si>
    <t>QUANTIDADE DE REPETIÇÕES PAINÉIS NORMAIS-------------------------------------------------------------------------------------</t>
  </si>
  <si>
    <t>distância real entre paineis</t>
  </si>
  <si>
    <t>quant painéis ultima repet</t>
  </si>
  <si>
    <t>QUANTIDADE DE REPETIÇÕES PAINÉIS FECHO-------------------------------------------------------------------------------------</t>
  </si>
  <si>
    <t>QUANT. DE PAINEÍS NORMAIS POR REPETIÇÃO ----------</t>
  </si>
  <si>
    <t>espaço na linha ultima repet</t>
  </si>
  <si>
    <t>QUANT. DE PAINEÍS FECHOS POR REPETIÇÃO ----------</t>
  </si>
  <si>
    <t>caso a estratégia calculada não ficar boa, mudar nesta tabela</t>
  </si>
  <si>
    <t>REPETIÇÃO</t>
  </si>
  <si>
    <t>PAINÉIS</t>
  </si>
  <si>
    <t>TIPO: (N)normal   (F)fecho</t>
  </si>
  <si>
    <t xml:space="preserve"> -----------EM MÉDIA=</t>
  </si>
  <si>
    <t>por repetição</t>
  </si>
  <si>
    <t>FATOR PARA ALTERAR PRAZO =</t>
  </si>
  <si>
    <t>PRAZO TOTAL EM DIAS CORRIDOS-----------------------------------</t>
  </si>
  <si>
    <t>DIAS</t>
  </si>
  <si>
    <t>quant. Max de paineis/ linha=</t>
  </si>
  <si>
    <t>quant pain repet final</t>
  </si>
  <si>
    <t>repet comuns</t>
  </si>
  <si>
    <t>repet fnal</t>
  </si>
  <si>
    <t>INSUMOS de  MÃO-DE-OBRA PARA TODA FABRICAÇÃO ( horas )</t>
  </si>
  <si>
    <t>SOLDADOR</t>
  </si>
  <si>
    <t>ÍNDICE DE MÃO-DE-OBRA PARA CONFECÇÃO ( horas / m² de painel)</t>
  </si>
  <si>
    <t>ÍNDICE DE MÃO-DE-OBRA PARA CONFECÇÃO ( horas / repetição na linha)</t>
  </si>
  <si>
    <t>h/repetição na linha</t>
  </si>
  <si>
    <t>INSUMOS DE M.O. ( TOTAL CONFECÇÃO - PARA CUSTO  )</t>
  </si>
  <si>
    <t>QUANT.</t>
  </si>
  <si>
    <t>TÉCNICO EM EDIFICAÇÕES</t>
  </si>
  <si>
    <r>
      <t>MONTAGEM DE PAINÉIS</t>
    </r>
    <r>
      <rPr>
        <sz val="12"/>
        <rFont val="Arial"/>
        <family val="2"/>
      </rPr>
      <t xml:space="preserve"> - conforme quantidade total de tanques</t>
    </r>
  </si>
  <si>
    <t>dias de mobilização devido ap intervalo</t>
  </si>
  <si>
    <t>dias de intervalo</t>
  </si>
  <si>
    <t>viagem de pessoal devido ao intervalo</t>
  </si>
  <si>
    <t>tabela 1</t>
  </si>
  <si>
    <t>MONTAGEM de PAINÉIS por EQUIPE</t>
  </si>
  <si>
    <t>caso queira mudar</t>
  </si>
  <si>
    <t>SELEÇÃO</t>
  </si>
  <si>
    <t xml:space="preserve">ALTURA dos </t>
  </si>
  <si>
    <t>Nº de PAINÉIS</t>
  </si>
  <si>
    <t xml:space="preserve"> Nº  de painéis</t>
  </si>
  <si>
    <t>automática</t>
  </si>
  <si>
    <t>montados por dia (unid.)</t>
  </si>
  <si>
    <t>digite aqui abaixo:</t>
  </si>
  <si>
    <t>até 3,00 m</t>
  </si>
  <si>
    <t>de 3,01 m à 6,00 m</t>
  </si>
  <si>
    <t>de 6,01 m à 10,00 m</t>
  </si>
  <si>
    <t>de 10,01 m à 14,20 m</t>
  </si>
  <si>
    <t>de 14,01 m e 18,00 m</t>
  </si>
  <si>
    <t>QUANTIDADE de PAINÉIS MONTADOS POR DIA POR EQUIPE</t>
  </si>
  <si>
    <t>unid / dia / equipe</t>
  </si>
  <si>
    <t>tabela 2</t>
  </si>
  <si>
    <t>ESCORAS</t>
  </si>
  <si>
    <t>QUANT. de ESCORAS</t>
  </si>
  <si>
    <t xml:space="preserve">TAMANHO </t>
  </si>
  <si>
    <t>por PAINEL (unid.)</t>
  </si>
  <si>
    <t>da ESCORA (m)</t>
  </si>
  <si>
    <t>até 4,00 m</t>
  </si>
  <si>
    <t>de 4,01 m à 6,00 m</t>
  </si>
  <si>
    <t>de 10,01 m à 14,00 m</t>
  </si>
  <si>
    <t>tabela 3</t>
  </si>
  <si>
    <t>GUINDASTES</t>
  </si>
  <si>
    <t>GUINDASTE 1</t>
  </si>
  <si>
    <t>GUINDASTE 2</t>
  </si>
  <si>
    <t>capacidade (ton)</t>
  </si>
  <si>
    <t>de 6,01 m à 8,00 m</t>
  </si>
  <si>
    <t>de 8,01 m à 10,00 m</t>
  </si>
  <si>
    <t>de 10,01 m à 12,00 m</t>
  </si>
  <si>
    <t>de 12,01 m à 14,00 m</t>
  </si>
  <si>
    <t>de 14,01 m à 16,00 m</t>
  </si>
  <si>
    <t>.......................................................................................................................................................................................................</t>
  </si>
  <si>
    <t>UTILIZAÇÃO DE PLATAFORMA ELEVATÓRIA ?</t>
  </si>
  <si>
    <t>lembrete: para tanques com altura &lt;= 6,00m, pode-se utilizar escada ou andaime. Analisar o rigor da segurança local.</t>
  </si>
  <si>
    <t>DISTÂNCIA para FRETE=</t>
  </si>
  <si>
    <t>se quiser alterar</t>
  </si>
  <si>
    <t>TABELA GERAL DE CADASTRO PARA  FRETES</t>
  </si>
  <si>
    <t>TIPO</t>
  </si>
  <si>
    <t>DESCRIÇÃO</t>
  </si>
  <si>
    <t>Capaci-
dade</t>
  </si>
  <si>
    <t>compri-
mento da carreta</t>
  </si>
  <si>
    <t>TABELA BÁSICA GERAL PARA ANÁLISE</t>
  </si>
  <si>
    <t>ton</t>
  </si>
  <si>
    <t xml:space="preserve">    ESTA TABELA SERVE PARA CADASTRO </t>
  </si>
  <si>
    <t>CAP.</t>
  </si>
  <si>
    <t>Unid.</t>
  </si>
  <si>
    <t xml:space="preserve">PAINÉIS </t>
  </si>
  <si>
    <t xml:space="preserve">frete </t>
  </si>
  <si>
    <t xml:space="preserve">CARRETA ABERTA </t>
  </si>
  <si>
    <t xml:space="preserve">      DE TIPOS TRANSPORTES:</t>
  </si>
  <si>
    <t>FRETES</t>
  </si>
  <si>
    <t>P/ FRETE</t>
  </si>
  <si>
    <t>atende?</t>
  </si>
  <si>
    <t>CARRETA LS</t>
  </si>
  <si>
    <t>CALCULOS PARA GUINDASTE</t>
  </si>
  <si>
    <t>CALCULOS PARA TRANSPORTE</t>
  </si>
  <si>
    <t xml:space="preserve">fecho real + </t>
  </si>
  <si>
    <t>resumo</t>
  </si>
  <si>
    <t>CARRETA VANDERLEIA</t>
  </si>
  <si>
    <t xml:space="preserve">     -- PARA PAINÉIS DE PAREDES</t>
  </si>
  <si>
    <t xml:space="preserve">carga </t>
  </si>
  <si>
    <t>complemento</t>
  </si>
  <si>
    <t>complemento normal</t>
  </si>
  <si>
    <t xml:space="preserve"> geral</t>
  </si>
  <si>
    <t xml:space="preserve">     -- PARA PRÉ-MOLDADOS DA COBERTURA</t>
  </si>
  <si>
    <t>PERCENT. A MAIS=</t>
  </si>
  <si>
    <t>normal</t>
  </si>
  <si>
    <t>fecho</t>
  </si>
  <si>
    <t>escolha (X)</t>
  </si>
  <si>
    <t>tipo</t>
  </si>
  <si>
    <t>carga tab</t>
  </si>
  <si>
    <t>lotação/frete</t>
  </si>
  <si>
    <t>fecho calculado</t>
  </si>
  <si>
    <t xml:space="preserve">fecho real </t>
  </si>
  <si>
    <t xml:space="preserve"> com normal</t>
  </si>
  <si>
    <t xml:space="preserve"> fretes</t>
  </si>
  <si>
    <t>Vol/m=</t>
  </si>
  <si>
    <t>peso/m=</t>
  </si>
  <si>
    <t>P canal un</t>
  </si>
  <si>
    <t>P beiral</t>
  </si>
  <si>
    <t>peso total=</t>
  </si>
  <si>
    <t>sem can e beiral</t>
  </si>
  <si>
    <t>P +% a mais=</t>
  </si>
  <si>
    <t>c/ canal e beiral</t>
  </si>
  <si>
    <t>peso P</t>
  </si>
  <si>
    <t>h painel</t>
  </si>
  <si>
    <t>guind1</t>
  </si>
  <si>
    <t>guind2</t>
  </si>
  <si>
    <t xml:space="preserve">guindaste1 </t>
  </si>
  <si>
    <t>guindaste2</t>
  </si>
  <si>
    <t>sc10</t>
  </si>
  <si>
    <t>sem can beiral</t>
  </si>
  <si>
    <t>com fator redutor =</t>
  </si>
  <si>
    <t>as cargas serão reduzidas e terão mais frete</t>
  </si>
  <si>
    <t>com can beiral</t>
  </si>
  <si>
    <t>P - % a menos=</t>
  </si>
  <si>
    <t>PERCENTUAL DE TOLERÂNCIA DNIT ?</t>
  </si>
  <si>
    <t>TRANPORTE DE PAINÉIS DE PAREDE</t>
  </si>
  <si>
    <t>sc14</t>
  </si>
  <si>
    <t xml:space="preserve">QUANTIDADE de PAINÉIS LOCADOS POR DIA de TOPOGRAFIA: </t>
  </si>
  <si>
    <t xml:space="preserve">          LOCAÇÕES INICIAIS ( marcação do centro, angulações e distâncias radiais )</t>
  </si>
  <si>
    <t>unid. / dia</t>
  </si>
  <si>
    <t>-------------------</t>
  </si>
  <si>
    <t xml:space="preserve">QUANTIDADE de CHAPAS DE NIVELAMENTO ASSENTADAS POR DIA </t>
  </si>
  <si>
    <t>unid / dia</t>
  </si>
  <si>
    <t>CONSIDERAÇÃO de QUANTIDADE de DIAS para RELOCAMENTO de PAINÉIS</t>
  </si>
  <si>
    <t xml:space="preserve">    no LOCAL DE MONTAGEM ( caso haja necessidade )</t>
  </si>
  <si>
    <t>MONTAGEM DOS PAINÉIS - MATERIAIS, FERRAM., EQUIPAM. e LOCAÇÕES</t>
  </si>
  <si>
    <t>CIMENTO PORTLAND ( SACO 50 kg )</t>
  </si>
  <si>
    <t>sacos</t>
  </si>
  <si>
    <t>AREIA MÉDIA</t>
  </si>
  <si>
    <t>PARABOLT 5/8" x 145 mm</t>
  </si>
  <si>
    <t>para fixar escora na base</t>
  </si>
  <si>
    <t>PARABOLT 5/8" x 110 mm</t>
  </si>
  <si>
    <t xml:space="preserve">para fixar escora </t>
  </si>
  <si>
    <t xml:space="preserve">PARAFUSO SEXTAVADO M16 x 45 mm </t>
  </si>
  <si>
    <t>para fixar escora no painel</t>
  </si>
  <si>
    <t>PARAFUSO SEXTAVADO M24 x 70 mm</t>
  </si>
  <si>
    <t>para nivelamento do painel</t>
  </si>
  <si>
    <t>PARAFUSO SEXTAVADO M12 x 45 mm</t>
  </si>
  <si>
    <t>para fixar flutuadores</t>
  </si>
  <si>
    <t>ARRUELA 16 mm</t>
  </si>
  <si>
    <t>MASTERSEAL  CR 195  ( embalagem: bisnaga 700g )</t>
  </si>
  <si>
    <t>SIKAPRIMER BR  PRIMÁRIO PARA SELANTE ( embalagem: caixa com 4 latas 275 ml )</t>
  </si>
  <si>
    <t>caixa</t>
  </si>
  <si>
    <t>CORDA DE POLIAMIDA 1/2"</t>
  </si>
  <si>
    <t>em azul pertence ao KIT</t>
  </si>
  <si>
    <t>BROCA SDS Plus  DIÂMETRO 16 mm x 250 mm</t>
  </si>
  <si>
    <t>BROCA MISTURADORA PARA PRODUTOS BICOMPONENTES</t>
  </si>
  <si>
    <t>JOGO DE CHAVE COMBINADA 1/4" à 2"</t>
  </si>
  <si>
    <t>CHAVE DE BOCA INGLESA 2 1/2"</t>
  </si>
  <si>
    <t>ALAVANCA DE FERRO 1" x 2 m</t>
  </si>
  <si>
    <t>TRENA METÁLICA DE 30 m</t>
  </si>
  <si>
    <t>TRENA METÁLICA DE 5 m</t>
  </si>
  <si>
    <t>CHAVE DE GRIFO 2 1/2"</t>
  </si>
  <si>
    <t>ALICATE DE PRESSÃO 2"</t>
  </si>
  <si>
    <t>ROLDANA DE 150mm</t>
  </si>
  <si>
    <t>ALICATE COMUM</t>
  </si>
  <si>
    <t>JOGO DE CHAVE DE FENDA ( com 10 unid.)</t>
  </si>
  <si>
    <t>JOGO DE CHAVE CACHIMBO 1/4" à 1"</t>
  </si>
  <si>
    <t>ESCADA EXTENSIVA DE ALUMÍNIO 10m</t>
  </si>
  <si>
    <t>ESCADA ABRIR DE ALUMÍNIO 2m</t>
  </si>
  <si>
    <t>MALÃO METÁLICO 2 x 1,2 x 1m</t>
  </si>
  <si>
    <t>ESTROPO DE AÇO 1/2"</t>
  </si>
  <si>
    <t>CINTA DE 5 ton</t>
  </si>
  <si>
    <t>MANILHA 1"</t>
  </si>
  <si>
    <t>MANILHA 5/8"</t>
  </si>
  <si>
    <t>MARTELO ELÉTRICO 5 kg</t>
  </si>
  <si>
    <t>FURADEIRA SDS PLUS</t>
  </si>
  <si>
    <t>PISTOLA DE CALAFETAGEM MAKITA Modelo - DCG180ZB completa com tubo 600 ml</t>
  </si>
  <si>
    <t>KIT COM 2 BATERIAS E CARREGADOR ( 18V BI 1830 + DC18rc) MAKITA 220V</t>
  </si>
  <si>
    <t>TALHA ALAVANCA 3 ton</t>
  </si>
  <si>
    <t>CARRINHO TIPO GIRICO</t>
  </si>
  <si>
    <t>CARRINHO 4 RODAS</t>
  </si>
  <si>
    <t>ESCORA METÁLICA   comprimento =</t>
  </si>
  <si>
    <t>KIT MONTAGEM</t>
  </si>
  <si>
    <t>MOBILIZAÇÃO DE PLATAFORMA  ELEVATÓRIA</t>
  </si>
  <si>
    <t>TRABALHANDO -------------</t>
  </si>
  <si>
    <t>GUINDASTE 1 SOBRE RODAS CAP.= ------------------</t>
  </si>
  <si>
    <t>toneladas</t>
  </si>
  <si>
    <t>MOBILIZAÇÃO DE GUINDASTE 1</t>
  </si>
  <si>
    <t>À DISPOSIÇÃO -------------</t>
  </si>
  <si>
    <t>CRONOGRAMA PARA MONTAGEM DOS PAINÉIS</t>
  </si>
  <si>
    <t xml:space="preserve">LOCAÇÕES TOPOGRÁFICAS INICIAIS  </t>
  </si>
  <si>
    <t>ASSENTAMENTO DE CHAPAS DE NIVELAMENTO</t>
  </si>
  <si>
    <t>DESCARREGAMENTOS DE PAINÉIS TRANSPORTADOS</t>
  </si>
  <si>
    <t>RELOCAMENTO DE PAINÉIS NO LOCAL DE MONTAGEM</t>
  </si>
  <si>
    <t>MONTAGEM dos PAINÉIS</t>
  </si>
  <si>
    <t xml:space="preserve"> CABEAMENTOS E TENSIONAMENTOS</t>
  </si>
  <si>
    <t xml:space="preserve">SISTEMA DE PROTENSÃO COM CABOS ADERENTES NA FÁBRICA SERÁ : </t>
  </si>
  <si>
    <t>NA LINHA NORMAL E NO PAINEL FECHO</t>
  </si>
  <si>
    <t>NA LINHA NORMAL (  painel fecho será com cabos revestidos )</t>
  </si>
  <si>
    <r>
      <t>PESO ESPECÍFICO do LÍQUIDO DESTINADO ao TANQUE (</t>
    </r>
    <r>
      <rPr>
        <sz val="14"/>
        <rFont val="Calibri"/>
        <family val="2"/>
      </rPr>
      <t>ɣ</t>
    </r>
    <r>
      <rPr>
        <sz val="10"/>
        <rFont val="Calibri"/>
        <family val="2"/>
      </rPr>
      <t>)=</t>
    </r>
  </si>
  <si>
    <t xml:space="preserve">kN/m³ </t>
  </si>
  <si>
    <t>--------------------------------------------------------</t>
  </si>
  <si>
    <t>AUMENTO NA PRESSÃO DO LÍQUIDO p/ SEGURANÇA ( A )=</t>
  </si>
  <si>
    <t>--------------------------------------</t>
  </si>
  <si>
    <t>PERCENTUAL de UTILIZAÇÃO do CABO p/ SEGURANÇA ( U )=</t>
  </si>
  <si>
    <t>-------------------------------------</t>
  </si>
  <si>
    <t>RESISTÊNCIA NOMINAL do CABO ( Rc )=</t>
  </si>
  <si>
    <t>kN</t>
  </si>
  <si>
    <t>PERDAS de CABOS (Pc)=</t>
  </si>
  <si>
    <t>-------------------------------------------------------</t>
  </si>
  <si>
    <t>QUANTIDADE de NÍVEIS de CABOS TOTAL, TEÓRICO  ( QT )=</t>
  </si>
  <si>
    <t>unid.   QT</t>
  </si>
  <si>
    <r>
      <t xml:space="preserve">= ɣ </t>
    </r>
    <r>
      <rPr>
        <sz val="10"/>
        <rFont val="Calibri"/>
        <family val="2"/>
      </rPr>
      <t>*</t>
    </r>
    <r>
      <rPr>
        <sz val="10"/>
        <rFont val="Arial"/>
        <family val="2"/>
      </rPr>
      <t xml:space="preserve"> Rc </t>
    </r>
    <r>
      <rPr>
        <sz val="10"/>
        <rFont val="Calibri"/>
        <family val="2"/>
      </rPr>
      <t>* h3 * h3 ÷ 2 * A ÷ Rc * U</t>
    </r>
  </si>
  <si>
    <t>NÍVEIS de CABOS a MAIS, PERDA ( QP ) = QT * Pc</t>
  </si>
  <si>
    <t>condição para bainhas de 3 cabos=</t>
  </si>
  <si>
    <t>QUANTIDADE de NÍVEIS de CABOS por BAINHA ( Qcb )=</t>
  </si>
  <si>
    <r>
      <t xml:space="preserve"> Qcb= h2 </t>
    </r>
    <r>
      <rPr>
        <sz val="10"/>
        <rFont val="Calibri"/>
        <family val="2"/>
      </rPr>
      <t>÷ ( QT + QP ) &lt; 0,35</t>
    </r>
  </si>
  <si>
    <t>condição para bainhas de 1 cabo=</t>
  </si>
  <si>
    <r>
      <t xml:space="preserve">QUANTIDADE de BAINHAS   ( QB ) =  (QT + QP) </t>
    </r>
    <r>
      <rPr>
        <sz val="10"/>
        <rFont val="Calibri"/>
        <family val="2"/>
      </rPr>
      <t>÷ Qcb</t>
    </r>
  </si>
  <si>
    <r>
      <t xml:space="preserve"> Qcb= h2 </t>
    </r>
    <r>
      <rPr>
        <sz val="10"/>
        <rFont val="Calibri"/>
        <family val="2"/>
      </rPr>
      <t>÷ ( QT + QP ) ≥ 0,35</t>
    </r>
  </si>
  <si>
    <t>QUANTIDADE de NÍVEIS de CABOS TOTAL ( QcT ) = QT + QP</t>
  </si>
  <si>
    <t>CASO QUEIRA CONSIDERAR BAINHA DE 3 CABOS INDEPENDENTE DO CÁLCULO  ("X")</t>
  </si>
  <si>
    <t xml:space="preserve">CORDOALHA REVESTIDA DIÂMETRO </t>
  </si>
  <si>
    <t>m    PESO POR METRO =</t>
  </si>
  <si>
    <t>-----------------</t>
  </si>
  <si>
    <t>PERDA DA CORDOALHA=</t>
  </si>
  <si>
    <t>-----------------------------------------------------------------------------------------------------</t>
  </si>
  <si>
    <t xml:space="preserve">QUANTIDADE de PAINÉIS para PASSAR  CABOS E  EXECUTAR  1º TENSIONAMENTO </t>
  </si>
  <si>
    <t>POR DIA POR EQUIPE=</t>
  </si>
  <si>
    <t>---------</t>
  </si>
  <si>
    <t>QUANTIDADE de ESCORAS RETIRADAS POR DIA  POR EQUIPE</t>
  </si>
  <si>
    <t>NO TANQUE APÓS TÉRMINO DE FECHAMENTO DAS PAREDES HÁ PASSAGENS PARA PESSOAS ?</t>
  </si>
  <si>
    <t>bobina  no mercado:</t>
  </si>
  <si>
    <t>700 a 3000 kg</t>
  </si>
  <si>
    <t>CABEAMENTOS E TENSIONAMENTOS - MATERIAIS, FERRAM., EQUIPAM. e LOCAÇÕES</t>
  </si>
  <si>
    <t xml:space="preserve">  para o tanque:</t>
  </si>
  <si>
    <t>CORDOALHA 7 Fios Revestida e Engraxada ArcelorMittal  CP190 RB --</t>
  </si>
  <si>
    <r>
      <t xml:space="preserve">kg </t>
    </r>
    <r>
      <rPr>
        <sz val="10"/>
        <color indexed="10"/>
        <rFont val="Arial"/>
        <family val="2"/>
      </rPr>
      <t>=====&gt;&gt;</t>
    </r>
  </si>
  <si>
    <t>real=</t>
  </si>
  <si>
    <t>TAMPA PLÁSTICA PARA ANCORAGEM TRIPLA</t>
  </si>
  <si>
    <t>TAMPA PLÁSTICA PARA ANCORAGEM SIMPLES</t>
  </si>
  <si>
    <t>SABONETE LÍQUIDO GEL  PH NEUTRO</t>
  </si>
  <si>
    <t>TRAPOS</t>
  </si>
  <si>
    <t>GRAXA</t>
  </si>
  <si>
    <t>DISCO DE CORTE PARA LIXADEIRA 7"</t>
  </si>
  <si>
    <t>Total real geral =</t>
  </si>
  <si>
    <t>LÂMINA DE SERRA</t>
  </si>
  <si>
    <t>CUNHAS DE MADEIRA 8 X 8 X 30 cm para estabilidade painéis junto à base</t>
  </si>
  <si>
    <t>ANDAIME METÁLICO 2,50 X 1,00 X H=</t>
  </si>
  <si>
    <t>TALHA ELÉTRICA de 150 a 300 kg  600W 220V</t>
  </si>
  <si>
    <t>KIT</t>
  </si>
  <si>
    <t>MÁQUINA DE EMPURRAR CABOS</t>
  </si>
  <si>
    <t>MACACO HIDRÁULICO 700 bar</t>
  </si>
  <si>
    <t>ADAPTADOR PARA TENSIONAMENTO JUNTO AO MACACO</t>
  </si>
  <si>
    <t>LIXADEIRA 7"</t>
  </si>
  <si>
    <t>DECAPADOR DE CABO À QUENTE</t>
  </si>
  <si>
    <t>CRONOGRAMA CABEAMENTOS E TENSIONAMENTOS</t>
  </si>
  <si>
    <t>CABEAMENTO E  1º TENSIONAMENTO</t>
  </si>
  <si>
    <t xml:space="preserve">2º TENSIONAMENTO </t>
  </si>
  <si>
    <t>RETIRADA DE ESCORAS</t>
  </si>
  <si>
    <t>SOLIDARIZAÇÃO DOS PAINÉIS COM A BASE</t>
  </si>
  <si>
    <t>SOLIDARIZAÇÃO - MATERIAIS, FERRAM., EQUIPAM. e LOCAÇÕES</t>
  </si>
  <si>
    <t>FORMA de MADEIRA e MADEIRITE h=</t>
  </si>
  <si>
    <r>
      <t xml:space="preserve">CONCRETO fck 40 Mpa  - slump ( 12 </t>
    </r>
    <r>
      <rPr>
        <sz val="10"/>
        <rFont val="Calibri"/>
        <family val="2"/>
      </rPr>
      <t>± 2 cm ) --- somente material</t>
    </r>
  </si>
  <si>
    <t>BOMBEAMENTO DE CONCRETO</t>
  </si>
  <si>
    <t>SIKASWELL-S2 SELANTE HIDROEXPANSÍVEL ( embalagem 600 ml )</t>
  </si>
  <si>
    <t>SIKALATEX RESINA  DE ADERÊNCIA (embalagm de 5 litros )</t>
  </si>
  <si>
    <t>COLHER DE PEDREIRO</t>
  </si>
  <si>
    <t>DESEMPENADEIRA DE AÇO</t>
  </si>
  <si>
    <t>RÉGUA DE ALUMÍNIO 5 cm  comprimento= 2,00 m</t>
  </si>
  <si>
    <t>ESPONJA ( CAMURÇA) 15x20 cm</t>
  </si>
  <si>
    <t>MOTOR VIBRADOR À GASOLINA</t>
  </si>
  <si>
    <t>MANGOTE VIBRADOR 40 mm</t>
  </si>
  <si>
    <t>CRONOGRAMA DA SOLIDADRIZAÇÃO</t>
  </si>
  <si>
    <t>SOLIDARIZAÇÃO ( forma + concreto ) =</t>
  </si>
  <si>
    <t>INJEÇÃO E ACABAMENTOS:</t>
  </si>
  <si>
    <t xml:space="preserve">CONSIDERAÇÃO de QUANTIDADE de DIAS para INJEÇÃO </t>
  </si>
  <si>
    <t xml:space="preserve">            por PAINEL FECHO por EQUIPE</t>
  </si>
  <si>
    <t>dia / painel fecho / equipe ---</t>
  </si>
  <si>
    <t xml:space="preserve">QUANTIDADE de PAINÉIS por  DIA por EQUIPE PARA ACABAMENTOS </t>
  </si>
  <si>
    <t xml:space="preserve">              ANTES DO 2º TENSIONAMENTO</t>
  </si>
  <si>
    <t>painéis / dia / equipe ----------</t>
  </si>
  <si>
    <t xml:space="preserve">QUANTIDADE de DIAS por  PAINEL FECHO por EQUIPE PARA ACABAMENTOS </t>
  </si>
  <si>
    <t xml:space="preserve">              APÓS 2º TENSIONAMENTO</t>
  </si>
  <si>
    <t>INJEÇÃO E ACABAMENTOS - MATERIAIS, FERRAM., EQUIPAM. e LOCAÇÕES</t>
  </si>
  <si>
    <t>MÁQUINA DE INJEÇÃO COM TUBULAÇÃO</t>
  </si>
  <si>
    <t>FLUTUADORES  -------------</t>
  </si>
  <si>
    <t>VALVULA ESFERA GALVANIZADA 1 1/4"</t>
  </si>
  <si>
    <t>NIPLE DULO GALVANIZADO 1 1/4"</t>
  </si>
  <si>
    <t>TAMPÃO ( CAP ) GALVANIZADO 1 1/4"</t>
  </si>
  <si>
    <t>FITA TEFLON</t>
  </si>
  <si>
    <t>ARGAMASSA DE INJEÇÃO ( saco 25 kg )</t>
  </si>
  <si>
    <t>SIKATOP SEAL 107   embalagem: caixa 18 kg  ( A + B )</t>
  </si>
  <si>
    <t>caixa de 18kg</t>
  </si>
  <si>
    <t xml:space="preserve">TRICHA </t>
  </si>
  <si>
    <t>PINCEL 2 1/2"</t>
  </si>
  <si>
    <t>BALDE PLÁSTICO</t>
  </si>
  <si>
    <t>CRONOGRAMA ( INJEÇÃO E ACABAMENTOS )</t>
  </si>
  <si>
    <t>INJEÇÃO</t>
  </si>
  <si>
    <t>ACABAMENTOS ANTES DO 2º TENSIONAMENTO</t>
  </si>
  <si>
    <t>ACABAMENTOS APÓS 2º TENSIONAMENTO</t>
  </si>
  <si>
    <t>MONTAGEM GERAL ( MÃO-DE-OBRA / TRANPORTE PESSOAL / ALIMENTAÇÃO )</t>
  </si>
  <si>
    <t>ESTE TANQUE PERTENCE A UMA OBRA COM VÁRIOS OUTROS TANQUES SEQUENCIAIS?</t>
  </si>
  <si>
    <t>QUANTIDADE DE EQUIPES DE MONTAGEM:</t>
  </si>
  <si>
    <t>( SE PRECISAR DE 2 EQUIPES SÓ COMPENSA EM TANQUES COM 3 OU MAIS PAINÉIS FECHO )</t>
  </si>
  <si>
    <t>GESTOR DE MONTAGEM</t>
  </si>
  <si>
    <t>TEC. EDIFICAÇÕES</t>
  </si>
  <si>
    <t>TEC. SEGURANÇA</t>
  </si>
  <si>
    <t>UTILIZAR AUXILIAR LOCAL ( quantid.)=</t>
  </si>
  <si>
    <t>SALÁRIO DATA BASE :</t>
  </si>
  <si>
    <t>SALÁRIO AUXILIAR</t>
  </si>
  <si>
    <t>reais</t>
  </si>
  <si>
    <t>para aterar salário</t>
  </si>
  <si>
    <t>SALÁRIO OFICIAL POLIVALENTE</t>
  </si>
  <si>
    <t>SALÁRIO SOLDADOR</t>
  </si>
  <si>
    <t>SALÁRIO ENCARREGADO</t>
  </si>
  <si>
    <t>SALÁRIO TÉCNICO SEGURANÇA</t>
  </si>
  <si>
    <t>SALÁRIO TÉCNICO EDIFICAÇÕES</t>
  </si>
  <si>
    <t>SALÁRIO ENGENHEIRO</t>
  </si>
  <si>
    <t>SALÁRIO ADM</t>
  </si>
  <si>
    <t>LOCAL FORA DO ESTADO E.S. ?</t>
  </si>
  <si>
    <t>TEMPO p/ TREINAMENTOS, INTEGRAÇÃO,  EXAMES e OUTROS ESPECÍFICOS do LOCAL =</t>
  </si>
  <si>
    <t>ADICIONAL DE SEGURANÇA  NO PRAZO (caso queira para ter uma folga no prazo)</t>
  </si>
  <si>
    <t>TIPO DA VIAGEM DA EQUIPE:</t>
  </si>
  <si>
    <t>casa x alojamento</t>
  </si>
  <si>
    <t>alojamento x obra</t>
  </si>
  <si>
    <t>CARRO</t>
  </si>
  <si>
    <t>lugares</t>
  </si>
  <si>
    <t>VAN</t>
  </si>
  <si>
    <t>ÔNIBUS</t>
  </si>
  <si>
    <t>AVIÃO</t>
  </si>
  <si>
    <t>FOLGA em CASA ( dias útéis + dias do final de semana)-----------</t>
  </si>
  <si>
    <t>Percurso MÁX. a rodar por dia  e descansar ( CARRO E VAN )---</t>
  </si>
  <si>
    <t>km rodados</t>
  </si>
  <si>
    <t>VIAGEM DE CASA X ALOJAMENTO ( IDA E VOLTA )</t>
  </si>
  <si>
    <t>MARCAR "X"</t>
  </si>
  <si>
    <t>VIAGEM DE ALOJAMENTO X OBRA X ALOJAMENTO ( IDA E VOLTA )</t>
  </si>
  <si>
    <t>dias de locação</t>
  </si>
  <si>
    <t>locação</t>
  </si>
  <si>
    <t xml:space="preserve">RESPONSABILIDADE DO SERVIÇO DE CONCRETAGEM DE SOLIDARIZAÇÃO: </t>
  </si>
  <si>
    <t>CLIENTE</t>
  </si>
  <si>
    <t>FORTANKS</t>
  </si>
  <si>
    <t>CONSIDERAR OS PRAZOS DAS ETAPAS DE SERVIÇOS COM ARRENDONDAMENTO PARA CIMA ?</t>
  </si>
  <si>
    <t>NO CRONOGRAMA FINAL ADOTAR 
FOLGA INICIAL E FOLGA FINAL DE:</t>
  </si>
  <si>
    <t>5 dias</t>
  </si>
  <si>
    <t>10 dias</t>
  </si>
  <si>
    <t>15 dias</t>
  </si>
  <si>
    <t>ESTAS FOLGAS SÃO PARA AJUSTES NO CRONOGRAMA FINAL, NÃO INCIDEM NO PRAZO DE PRODUÇÃO NEM NO CUSTO.</t>
  </si>
  <si>
    <t>MONTAGEM COMPLETA  ( TRANSPORTE PESSOAL  / REFEIÇÕES / ALOJAMENTOS   )</t>
  </si>
  <si>
    <t>REFEIÇÕES NA OBRA</t>
  </si>
  <si>
    <t>REFEIÇÕES NO ALOJAMENTO</t>
  </si>
  <si>
    <t>REFEIÇÕES NA VIAGEM</t>
  </si>
  <si>
    <t>CAFÉ DA MANHÃ NA OBRA</t>
  </si>
  <si>
    <t>CAFÉ DA MANHÃ NO ALOJAMENTO</t>
  </si>
  <si>
    <t xml:space="preserve">ALOJAMENTO PARA </t>
  </si>
  <si>
    <t>PESSOAS</t>
  </si>
  <si>
    <t>ESTADIA NA VIAGEM</t>
  </si>
  <si>
    <t>QUANT. DE DIAS NA MOBILIZAÇÃO---------------------------------------------------------------------------</t>
  </si>
  <si>
    <t>TEMPO EM VIAGEM PARA FOLGA ( não conta as folgas )--------------------------------------------------------</t>
  </si>
  <si>
    <t>QUANT. DE FINAL SEMANA TOTAL------------------------------------------------------------------------------------</t>
  </si>
  <si>
    <t>finais de semana</t>
  </si>
  <si>
    <t>QUANT. DE FINAL DE SEMANA ALOJADO (EFETIVAMENTE)--------------------------------------------------------------</t>
  </si>
  <si>
    <t>QUANT. DE FINAL DE SEMANA em VIAGEM-----------------------------------------------------------------</t>
  </si>
  <si>
    <t>PERÍODO NÃO PRODUTIVO ( SEM MOBILIZAÇÃO ) -------------------------------------------------------------</t>
  </si>
  <si>
    <t>PERÍODO NÃO PRODUTIVO ( COM MOBILIZAÇÃO )-------------------------------------------------------------</t>
  </si>
  <si>
    <t>PERÍODO TOTAL PARA TODO TANQUE ( somente produção)</t>
  </si>
  <si>
    <t>PERÍODO TOTAL SEM MOBILIZAÇÃO ( PRAZO PARA CLIENTE ) SEM INTERVALOS</t>
  </si>
  <si>
    <t>PERÍODO TOTAL SEM MOBILIZAÇÃO ( PRAZO PARA CLIENTE ) COM INTERVALOS</t>
  </si>
  <si>
    <t>PERÍODO TOTAL  COM MOBILIZAÇÃO ( PARA CUSTO )</t>
  </si>
  <si>
    <t xml:space="preserve">CONFECÇÃO - MATERIAIS E EQUIPAMENTOS DE SEGURANÇA </t>
  </si>
  <si>
    <t>CONFECÇÃO - REFEIÇÕES E TRANSPORTES</t>
  </si>
  <si>
    <t>CAFÉ DA MANHÂ</t>
  </si>
  <si>
    <t>ALMOÇO</t>
  </si>
  <si>
    <t>VALE TRANSPORTE</t>
  </si>
  <si>
    <t>COBERTURA DO TANQUE</t>
  </si>
  <si>
    <t>CONSIDERAR COBERTURA NO TANQUE?</t>
  </si>
  <si>
    <t>DADOS DE ENTRADA DA COBERTURA</t>
  </si>
  <si>
    <t>INCLINAÇÃO DO PISO:  verificar em qual situação de inclinação o piso do tanque se enquadra e marcar "X" ( caso seja nivelado não marcar )</t>
  </si>
  <si>
    <t>INCLINAÇÃO P/ PISO SUBINDO NO CENTRO------</t>
  </si>
  <si>
    <t>INCLINAÇÃO P/ PISO DESCENDO NO CENTRO---</t>
  </si>
  <si>
    <t>INCLINAÇÃO DA COBERTURA=</t>
  </si>
  <si>
    <t>DISTÂNCIA entre EIXOS de PILARES=</t>
  </si>
  <si>
    <t>m  --------</t>
  </si>
  <si>
    <t>digite valor se quiser mudar</t>
  </si>
  <si>
    <t xml:space="preserve">COMPRIMENTO MÁXIMO DA LAJE = </t>
  </si>
  <si>
    <t xml:space="preserve">m ( o comprimento máximo da laje </t>
  </si>
  <si>
    <t>adotado neste sistema é de 11,00m )</t>
  </si>
  <si>
    <t xml:space="preserve">digite valor se </t>
  </si>
  <si>
    <t>quiser mudar</t>
  </si>
  <si>
    <t>para menos</t>
  </si>
  <si>
    <t>PILAR</t>
  </si>
  <si>
    <t>obs:</t>
  </si>
  <si>
    <t>secção do pilar:</t>
  </si>
  <si>
    <t xml:space="preserve">lajes c/ </t>
  </si>
  <si>
    <t>a=</t>
  </si>
  <si>
    <t>se quiser alterar digite no espaço amarelo</t>
  </si>
  <si>
    <t>comprimento</t>
  </si>
  <si>
    <t>b=</t>
  </si>
  <si>
    <t xml:space="preserve">acima de 8m </t>
  </si>
  <si>
    <t>tx de aço=</t>
  </si>
  <si>
    <t>terão pós-tensão</t>
  </si>
  <si>
    <t>consoles:</t>
  </si>
  <si>
    <t xml:space="preserve">com cabos </t>
  </si>
  <si>
    <t>x=</t>
  </si>
  <si>
    <t xml:space="preserve">engraxados de </t>
  </si>
  <si>
    <t>y=</t>
  </si>
  <si>
    <t>12,7 mm</t>
  </si>
  <si>
    <t>z=</t>
  </si>
  <si>
    <t>altura do grout sob pilar=</t>
  </si>
  <si>
    <t>quantidade de formas a utilizar na fabricação</t>
  </si>
  <si>
    <t>quantidade de dias de confecção por jogo de pilar</t>
  </si>
  <si>
    <t>dias/jogo</t>
  </si>
  <si>
    <t>produção de montagem da equipe</t>
  </si>
  <si>
    <t>unid/dia</t>
  </si>
  <si>
    <t>VIGA DE APOIO</t>
  </si>
  <si>
    <t>R=</t>
  </si>
  <si>
    <t>hv=</t>
  </si>
  <si>
    <t>quantidade de dias de confecção por jogo de viga</t>
  </si>
  <si>
    <t>LAJES</t>
  </si>
  <si>
    <t>folga lateral entre lajes para montagem:</t>
  </si>
  <si>
    <t>folga nas cabeceiras entre lajes para montagem:</t>
  </si>
  <si>
    <t>diâmetro da laje L-bolacha</t>
  </si>
  <si>
    <t>QUANTIDADES DE PRÉ-MOLDADOS:</t>
  </si>
  <si>
    <t>PILAR=</t>
  </si>
  <si>
    <t>peso de 1 pilar=</t>
  </si>
  <si>
    <t>VIGAS=</t>
  </si>
  <si>
    <t>peso de 1 viga=</t>
  </si>
  <si>
    <t>LAJES=</t>
  </si>
  <si>
    <t>peso de 1 laje=</t>
  </si>
  <si>
    <t>CONSIDERAR PINOS DE IÇAMENTO TIPO TREJOR ? ( caso não considerar serão utilizados sobras de cordoalhas )</t>
  </si>
  <si>
    <t>CONFECÇÃO DA COBERTURA</t>
  </si>
  <si>
    <t>EQUIPE DE CONFECÇÃO:</t>
  </si>
  <si>
    <t>COMPARTILHAMENTO COM PAINÉIS:</t>
  </si>
  <si>
    <t>COMPARTILHAR PRAZO DA CONFECÇÃO DE COBERTURA COM O PRAZO DE PAINÉIS?</t>
  </si>
  <si>
    <t>QUAL PERCENTUAL?</t>
  </si>
  <si>
    <t xml:space="preserve">PARA COMPARTILHAR M.O DA CONFECÇÃO DA COBERTURA COM A DOS PANÉIS ( marque "X") </t>
  </si>
  <si>
    <t>COMPARTILHAR ENCARREGADO</t>
  </si>
  <si>
    <t>COMPARTILHAR TÉC. de EDIFIC.</t>
  </si>
  <si>
    <t>COMPARTILHAR TÉC. de SEGUR.</t>
  </si>
  <si>
    <t>COMPARTILHAR SOLDADOR</t>
  </si>
  <si>
    <t>COMPARTILHAR ENGENHEIRO</t>
  </si>
  <si>
    <t>COMPARTILHAR ADM</t>
  </si>
  <si>
    <t xml:space="preserve">O TRANSPORTE DAS LAJES JUNTO DA MESMA CARRETA DAS PAREDES ( onde houver espaço ) ESTÁ </t>
  </si>
  <si>
    <t>ACOMPANHANDO O COMPARTILHAMENTO, OU SEJA,</t>
  </si>
  <si>
    <t>% DAS LAJES ESTÃO SENDO</t>
  </si>
  <si>
    <t xml:space="preserve">TRANSPORTADAS SEPARADAMENTE DAS PAREDES. DEPOIS DE ANALISAR O CRONOGRAMA </t>
  </si>
  <si>
    <t xml:space="preserve">      E QUISER ALTERAR O PERCENTUAL  PARA OUTRO VALOR, DIGITE AQUI:</t>
  </si>
  <si>
    <t>PERCENTUAL DE CORTE E DOBRA COBERTURA ( EXECUÇÃO SUB-CONTRATADA - M.O )</t>
  </si>
  <si>
    <t>MONTAGEM DA COBERTURA</t>
  </si>
  <si>
    <t xml:space="preserve">CONDIÇÕES PARA MONTAGEM : </t>
  </si>
  <si>
    <t xml:space="preserve">FRETE PARA LAJES E PILARES </t>
  </si>
  <si>
    <t>PARA FRETES DAS LAJES UTILIZAR A SOBRA DE ESPAÇOS DAS CARRETAS DAS PAREDES ?</t>
  </si>
  <si>
    <t>ESCOLHA a CONFIGURAÇÃO ABAIXO para TRANSPORTE: (marcar X)</t>
  </si>
  <si>
    <t>FRETE PARA VIGAS</t>
  </si>
  <si>
    <t>EQUIPE DE MONTAGEM:</t>
  </si>
  <si>
    <t>GESTOR DE CONTRATOS</t>
  </si>
  <si>
    <t>TEC. EDIFICAÇÃOES</t>
  </si>
  <si>
    <t>CONDIÇÕES ESPECÍFICAS DO TANQUE</t>
  </si>
  <si>
    <t>QUANDO HÁ NECESSIDADE DE JUNTAR TANQUES IGUAIS PARA FACILITAR OS CÁLCULOS:</t>
  </si>
  <si>
    <t xml:space="preserve">AJUSTE NA QUANTIDADE DE CORDOALHA ENGRAXADA 15,2 mm (juntantado mais de um tanque): </t>
  </si>
  <si>
    <t>mais usual quando se tem 2 ou mais tanques iguais, para otimizar o custo na fabricação,</t>
  </si>
  <si>
    <t>usar o procedimento abaixo:</t>
  </si>
  <si>
    <t>1- considerar um outro tanque com diâmetro maior com mesmas quantidades de painéis normais</t>
  </si>
  <si>
    <t>e fecho de todos os tanques repetidos;</t>
  </si>
  <si>
    <t xml:space="preserve">2- fazer uma planilha com 1 tanque do diâmetro original, pegar a quantidade de cordoalha engraxada </t>
  </si>
  <si>
    <t>e multiplicar pela quantidade de tanques repetidos. Lançar o resultado no quadro abaixo:</t>
  </si>
  <si>
    <t>quantidade=</t>
  </si>
  <si>
    <t xml:space="preserve">kg </t>
  </si>
  <si>
    <t>QUANDO NO PROJETO SURGIR SITUAÇÕES DIFERENTES DO SISTEMA PADRÃO UTILIZADO NORMALMENTE:</t>
  </si>
  <si>
    <t xml:space="preserve">QUANTIDADE DE CORDOALHA ADERENTEde 12,7 mm NA FABRICAÇÃO FORA DO PADRÃO: </t>
  </si>
  <si>
    <t xml:space="preserve">unidades </t>
  </si>
  <si>
    <t>QUANTIDADE DE NÍVEIS DE BAINHAS TRIPLAS FORA DO PADRÃO:</t>
  </si>
  <si>
    <t>MUDANÇA NA ESPESSURA DO PAINEL:</t>
  </si>
  <si>
    <t>área da secção do painel=</t>
  </si>
  <si>
    <t>o pecentual de aumento será de :</t>
  </si>
  <si>
    <t>para mudar este percentual digite aqui:</t>
  </si>
  <si>
    <t>SERVIÇOS ADICIONAIS A INSERIR NO CRONOGRAMA ( NÃO INFLUENCIA NO CUSTO ):</t>
  </si>
  <si>
    <t>para posição: se os serviços relacionados forem executados juntos (ao mesmo tempo) digite "J", se forem em sequência digite "S"</t>
  </si>
  <si>
    <t>ÍTEM</t>
  </si>
  <si>
    <t>SERVIÇO</t>
  </si>
  <si>
    <t>PRAZO ( dias )</t>
  </si>
  <si>
    <t>Marque com "X" em qual tanque 
será executado o serviço respectivo</t>
  </si>
  <si>
    <t>posição</t>
  </si>
  <si>
    <t>"J" ou "S"</t>
  </si>
  <si>
    <t>j</t>
  </si>
  <si>
    <t>ad1</t>
  </si>
  <si>
    <t>ad2</t>
  </si>
  <si>
    <t>ad3</t>
  </si>
  <si>
    <t>PARA ALTERAR OS TIPOS DE PARAFUSOS DE NIVELAMENTO: M39-36-30 PASSA PARA M36-M30-25</t>
  </si>
  <si>
    <t>MARCAR "x"</t>
  </si>
  <si>
    <t>PARA ALTERAR A QUANTIDADE DE  DIAS AGUARDANDO RESISTÊNCIA DA ARGAMASSA:</t>
  </si>
  <si>
    <t>DIAS (no cálculo padrão está adotado 9 dias)</t>
  </si>
  <si>
    <t>Acre</t>
  </si>
  <si>
    <t>AC</t>
  </si>
  <si>
    <t>Alagoas</t>
  </si>
  <si>
    <t>AL</t>
  </si>
  <si>
    <t>Amapá</t>
  </si>
  <si>
    <t>AP</t>
  </si>
  <si>
    <t>Amazonas</t>
  </si>
  <si>
    <t>AM</t>
  </si>
  <si>
    <t>Bahia</t>
  </si>
  <si>
    <t>BA</t>
  </si>
  <si>
    <t>Ceará</t>
  </si>
  <si>
    <t>CE</t>
  </si>
  <si>
    <t>Distrito Federal</t>
  </si>
  <si>
    <t>DF</t>
  </si>
  <si>
    <t>Espírito Santo</t>
  </si>
  <si>
    <t>ES</t>
  </si>
  <si>
    <t>Goiás</t>
  </si>
  <si>
    <t>GO</t>
  </si>
  <si>
    <t>Maranhão</t>
  </si>
  <si>
    <t>MA</t>
  </si>
  <si>
    <t>Mato Grosso</t>
  </si>
  <si>
    <t>MT</t>
  </si>
  <si>
    <t>Mato Grosso do Sul</t>
  </si>
  <si>
    <t>MS</t>
  </si>
  <si>
    <t>Minas Gerais</t>
  </si>
  <si>
    <t>MG</t>
  </si>
  <si>
    <t>Pará</t>
  </si>
  <si>
    <t>PA</t>
  </si>
  <si>
    <t>Paraíba</t>
  </si>
  <si>
    <t>PB</t>
  </si>
  <si>
    <t>Paraná</t>
  </si>
  <si>
    <t>PR</t>
  </si>
  <si>
    <t>Pernambuco</t>
  </si>
  <si>
    <t>PE</t>
  </si>
  <si>
    <t>Piauí</t>
  </si>
  <si>
    <t>PI</t>
  </si>
  <si>
    <t>Rio de Janeiro</t>
  </si>
  <si>
    <t>RJ</t>
  </si>
  <si>
    <t>Rio Grande do Norte</t>
  </si>
  <si>
    <t>RN</t>
  </si>
  <si>
    <t>Rio Grande do Sul</t>
  </si>
  <si>
    <t>RS</t>
  </si>
  <si>
    <t>Rondônia</t>
  </si>
  <si>
    <t>RO</t>
  </si>
  <si>
    <t>Roraima</t>
  </si>
  <si>
    <t>RR</t>
  </si>
  <si>
    <t>Santa Catarina</t>
  </si>
  <si>
    <t>SC</t>
  </si>
  <si>
    <t>SP</t>
  </si>
  <si>
    <t>Sergipe</t>
  </si>
  <si>
    <t>SE</t>
  </si>
  <si>
    <t>Tocantins</t>
  </si>
  <si>
    <t>TO</t>
  </si>
  <si>
    <t>SISTEMA</t>
  </si>
  <si>
    <t>diâmentro 
de projeto</t>
  </si>
  <si>
    <t>quant. 
painéis real</t>
  </si>
  <si>
    <t>quant.
painéis para baixo</t>
  </si>
  <si>
    <t>quant.
painéis para cima</t>
  </si>
  <si>
    <t>quant.
painéis extra</t>
  </si>
  <si>
    <t>diâmentro  para baixo</t>
  </si>
  <si>
    <t>diâmentro  para cima</t>
  </si>
  <si>
    <t>diâmentro  extra</t>
  </si>
  <si>
    <t>maior diâmetro possível</t>
  </si>
  <si>
    <t>ANTES ERA =ENTRADAS!G59</t>
  </si>
  <si>
    <t>Diâm. Interno 
no meio do painel</t>
  </si>
  <si>
    <t>Ângulo teta p/ confecção</t>
  </si>
  <si>
    <t>área à 90°</t>
  </si>
  <si>
    <t>altura h
 à 90°</t>
  </si>
  <si>
    <t>c=</t>
  </si>
  <si>
    <t>distância superior entre formas</t>
  </si>
  <si>
    <t>desconto dos triangulos</t>
  </si>
  <si>
    <t>desconto da parte superior</t>
  </si>
  <si>
    <t>área desconto lateral(2X)</t>
  </si>
  <si>
    <t>área do miolo inferior</t>
  </si>
  <si>
    <t>área Real final da secção SEM miolo inferior</t>
  </si>
  <si>
    <t>% redução</t>
  </si>
  <si>
    <t>Nº PAINÉIS</t>
  </si>
  <si>
    <t>SC6</t>
  </si>
  <si>
    <t>altura max</t>
  </si>
  <si>
    <t>diâm min</t>
  </si>
  <si>
    <t>diâm max</t>
  </si>
  <si>
    <t>Como a capacidade de carga de carretas é definida pelo semi-reboque acoplado ao cavalo mecânico, os tipos diferentes são:</t>
  </si>
  <si>
    <t>nº painéis</t>
  </si>
  <si>
    <t>diâmetro</t>
  </si>
  <si>
    <t>lógica</t>
  </si>
  <si>
    <t>tipo sistema</t>
  </si>
  <si>
    <t>Carreta 2 eixos: semi reboque com 2 eixos. Comprimento máximo de 18,15 metros. Capacidade de carga: 23 toneladas. Peso bruto máximo de 33 toneladas. Peso máximo permitido por eixo: 6 no eixo dianteiro, 10 no eixo central, 17 no eixo traseiro.</t>
  </si>
  <si>
    <t>Carreta 3 eixos: semi reboque com 3 eixos. Comprimento máximo: 18,15 metros. Capacidade de carga: até 25 toneladas. Peso bruto máximo: 41,5 toneladas. Peso máximo permitido por eixo: 6 toneladas no eixo dianteiro, 10 no eixo central, 25,5 no eixo traseiro.</t>
  </si>
  <si>
    <t>Carreta cavalo trucado: um cavalo mecânico trucado e semi reboque com 3 eixos. Comprimento máximo: 18,15 metros. Capacidade de carga: até 30,50 toneladas. Peso bruto máximo: 45 a 46 toneladas. Peso máximo permitido por eixo: 6 toneladas no eixo dianteiro, 10 no primeiro eixo, 10 no segundo eixo, 17 no eixo traseiro.</t>
  </si>
  <si>
    <t>soma=</t>
  </si>
  <si>
    <t>antigo</t>
  </si>
  <si>
    <t>tabelado</t>
  </si>
  <si>
    <t>LOCAL</t>
  </si>
  <si>
    <t>LOCAL:</t>
  </si>
  <si>
    <t xml:space="preserve">ANÁLISE DE TEMPO MÍNIMO DE GUINDASTE NA OBRA: ( verificar se o locador estipula mínimo de 30 dias para locação ) </t>
  </si>
  <si>
    <t>GUINDASTE MENOR QUE 90 ton,  considerar mínimo 30 dias ?</t>
  </si>
  <si>
    <t>sim</t>
  </si>
  <si>
    <t>não</t>
  </si>
  <si>
    <t>GUINDASTE MAIOR ou IGUAL à 90 ton,  considerar mínimo 30 dias ?</t>
  </si>
  <si>
    <t>MONTAGEM DA PAREDE:</t>
  </si>
  <si>
    <t>UTILIZAR GIRADOR DE PLACAS ?</t>
  </si>
  <si>
    <t>GUINDASTE 1 (calculado) capacidade=</t>
  </si>
  <si>
    <t>GUINDASTE 2 (calculado) capacidade=</t>
  </si>
  <si>
    <t>CASO NÃO QUEIRA UTILIZAR OS GUINDASTES CALCULADOS, INSIRA ABAIXO OS NOVOS GUINDASTES:</t>
  </si>
  <si>
    <t xml:space="preserve">          GUINDASTE 1 =</t>
  </si>
  <si>
    <t xml:space="preserve">          GUINDASTE 2 =</t>
  </si>
  <si>
    <t>MOBILIZAÇÃO do GUINDASTE 1 ( calculado )=</t>
  </si>
  <si>
    <t>-------------</t>
  </si>
  <si>
    <t>MUDAR QUANT.=</t>
  </si>
  <si>
    <t>mobilizações de guindaste</t>
  </si>
  <si>
    <t>MOBILIZAÇÃO do GUINDASTE 2 ( calculado )=</t>
  </si>
  <si>
    <t>PRAZO DE GUINDASTE À DISPOSIÇÃO:</t>
  </si>
  <si>
    <t>DURANTE CABEAMENTO / INJEÇÃO / ACABAMENTOS / FOLGAS DE CAMPO =</t>
  </si>
  <si>
    <t>DURANTE INTERVALO ENTRE TANQUES =</t>
  </si>
  <si>
    <t>PARA DESCONSIDERAR GUINDASTE À DISPOSIÇÃO ( marcar "X" )</t>
  </si>
  <si>
    <t>MOBILIZAÇÃO do GUINDASTE ( calculado )=</t>
  </si>
  <si>
    <t>COMPARANDO ESTE GUINDASTE COM O GUINDASTE 1 DA MONTAGEM DAS PAREDES USAR O MAIOR NAS DUAS MONTAGENS ?</t>
  </si>
  <si>
    <t>ANÁLISE DE MOBILIZAÇÃO / DESMOBILIZAÇÃO:</t>
  </si>
  <si>
    <t>CASO SOMENTE PAREDES</t>
  </si>
  <si>
    <t>NÃO DESMOB.</t>
  </si>
  <si>
    <t>SIM DESMOB.</t>
  </si>
  <si>
    <t>a disposição</t>
  </si>
  <si>
    <t>GUINDASTE G1 TRABALHANDO=</t>
  </si>
  <si>
    <t>dias (seg a sab )</t>
  </si>
  <si>
    <t>trabalhando</t>
  </si>
  <si>
    <t>mob /desmob</t>
  </si>
  <si>
    <t>mobilização / desmobiliz.</t>
  </si>
  <si>
    <t>percetual parede=</t>
  </si>
  <si>
    <t>percentual cobertura=</t>
  </si>
  <si>
    <t>CASOS</t>
  </si>
  <si>
    <t>CUSTO</t>
  </si>
  <si>
    <t>G1 
trabalhando</t>
  </si>
  <si>
    <t>G1 à disposição</t>
  </si>
  <si>
    <t>G1 mob. / desmob.</t>
  </si>
  <si>
    <t>TOTAL G1</t>
  </si>
  <si>
    <t>A</t>
  </si>
  <si>
    <t>ANALISE: 
CRONOGRAMA, DESMOBILIZAÇÃO, MÍNIMO de 30 dias e ESCOLHA A MELHOR OPÇÃO:</t>
  </si>
  <si>
    <t>marcar "X" e anotar valores. Depois comparar os dois e decidir qual opção é melhor.</t>
  </si>
  <si>
    <t>COMPOSIÇÃO DE PREÇO DE CONCRETO FABRICAÇÃO NA FORTANKS</t>
  </si>
  <si>
    <t>INSUMOS:</t>
  </si>
  <si>
    <t>UNID.</t>
  </si>
  <si>
    <t>PREÇO 
MATERIAL</t>
  </si>
  <si>
    <t xml:space="preserve">FRETE </t>
  </si>
  <si>
    <t>CIMENTO CP3</t>
  </si>
  <si>
    <t>tonelada</t>
  </si>
  <si>
    <t>-</t>
  </si>
  <si>
    <t>CIMENTO CP5</t>
  </si>
  <si>
    <t>BRITA 0</t>
  </si>
  <si>
    <t>SÍLICA ATIVA</t>
  </si>
  <si>
    <t>ADITIVO SUPER</t>
  </si>
  <si>
    <t>DIESEL</t>
  </si>
  <si>
    <t>Litro</t>
  </si>
  <si>
    <t>SERVIÇO VILAMIX</t>
  </si>
  <si>
    <t>TRAÇO À UTILIZAR:</t>
  </si>
  <si>
    <t>Insumo</t>
  </si>
  <si>
    <t>consumo
/m³</t>
  </si>
  <si>
    <t>preço unit.</t>
  </si>
  <si>
    <t>valor
/m³</t>
  </si>
  <si>
    <t>frete/ t</t>
  </si>
  <si>
    <t>material/ t</t>
  </si>
  <si>
    <t>% ICMS</t>
  </si>
  <si>
    <t>cimento CP3</t>
  </si>
  <si>
    <t>t</t>
  </si>
  <si>
    <t>CP3</t>
  </si>
  <si>
    <t>cimento CP5</t>
  </si>
  <si>
    <t>brita zero</t>
  </si>
  <si>
    <t>BRITA ZERO</t>
  </si>
  <si>
    <t>frete/ m3</t>
  </si>
  <si>
    <t>material/m3</t>
  </si>
  <si>
    <t>peso espec. (t/m³)</t>
  </si>
  <si>
    <t>areia média (umidade 6,4%)</t>
  </si>
  <si>
    <t>AREIA</t>
  </si>
  <si>
    <t>sílica</t>
  </si>
  <si>
    <t>água</t>
  </si>
  <si>
    <t>litro</t>
  </si>
  <si>
    <t>frete/ kg</t>
  </si>
  <si>
    <t>material/kg</t>
  </si>
  <si>
    <t>aditivo super</t>
  </si>
  <si>
    <t>SUPER</t>
  </si>
  <si>
    <t>aditivo poli</t>
  </si>
  <si>
    <t>diesel</t>
  </si>
  <si>
    <t>serviço Vilamix</t>
  </si>
  <si>
    <t>TOTAL INSUMOS 1=</t>
  </si>
  <si>
    <t>/m³</t>
  </si>
  <si>
    <t>média pond.</t>
  </si>
  <si>
    <t>para o 30 MPa</t>
  </si>
  <si>
    <t>DEFINIÇÃO DA USINA DE CONCRETO:</t>
  </si>
  <si>
    <t>PARA DEFINIR VALOR m³</t>
  </si>
  <si>
    <t>produção média de concreto por mês=</t>
  </si>
  <si>
    <t>m³/mês</t>
  </si>
  <si>
    <t>copiar valor abaixo e colar "só valores" em A.</t>
  </si>
  <si>
    <t>índice (proporcional ao volume real)=</t>
  </si>
  <si>
    <t xml:space="preserve">depois marcar "X" antes de B, </t>
  </si>
  <si>
    <t>copiar valor abaixo e colar "só valores" em B.</t>
  </si>
  <si>
    <t>Valor unit.</t>
  </si>
  <si>
    <t>índ/m³</t>
  </si>
  <si>
    <t>a diferença será o custo total da equipe da central</t>
  </si>
  <si>
    <t xml:space="preserve">RETRO ESCAVADEIRA </t>
  </si>
  <si>
    <t>DIÁRIA</t>
  </si>
  <si>
    <t>de concreto.</t>
  </si>
  <si>
    <t>CAMINHÃO BETONEIRA</t>
  </si>
  <si>
    <t>OPERADOR DE CENTRAL</t>
  </si>
  <si>
    <t>MÊS</t>
  </si>
  <si>
    <t>TRANFORMADO EM SOLDADOR=</t>
  </si>
  <si>
    <t>MOTORISTA BETONEIRA</t>
  </si>
  <si>
    <t>com equipe da usina=</t>
  </si>
  <si>
    <t>B</t>
  </si>
  <si>
    <t>sem equipe da usina=</t>
  </si>
  <si>
    <t>diferença=</t>
  </si>
  <si>
    <t xml:space="preserve">valor da eq. Usina + </t>
  </si>
  <si>
    <t>vale transp +refeições</t>
  </si>
  <si>
    <t>volume de concreto total do tanque=</t>
  </si>
  <si>
    <t>capacidade de produção no prazo do tanque=</t>
  </si>
  <si>
    <t>valor da equipe por /m³ =</t>
  </si>
  <si>
    <t>R$/m³</t>
  </si>
  <si>
    <t>VALOR DOS INSUMOS 1=</t>
  </si>
  <si>
    <t>VALOR RETROESCAVADEIRA=</t>
  </si>
  <si>
    <t>VALOR DOS CAMINHÕES BETONEIRA=</t>
  </si>
  <si>
    <t>VALOR DA MÃO-OBRA NA USINA=</t>
  </si>
  <si>
    <t>VALOR FINAL  DO CONCRETO =</t>
  </si>
  <si>
    <t>SISTEMA SC-10 e SC-14  ORÇAMENTO
INSUMOS E PREÇOS DE CUSTO</t>
  </si>
  <si>
    <t>COTAÇÃO DO  EURO=</t>
  </si>
  <si>
    <t xml:space="preserve">ANTES DE FINALIZAR FAÇA UMA CONFERÊNCIA NOS ITENS ABAIXO, INDO NESTES ITENS E VERIFICANDO SE FOI LANÇADO OS PREÇOS </t>
  </si>
  <si>
    <t>UNITÁRIOS OU ALTERAÇÃO DE QUANTIDADE ( CASO ALGUM INSUMO REALMENTE NÃO PRECISAR DE PREÇO MARCAR "X" NO ÍTEM ) :</t>
  </si>
  <si>
    <t>coluna/ÍTEM</t>
  </si>
  <si>
    <t>CONFERIDO ?</t>
  </si>
  <si>
    <t>col./ÍTEM</t>
  </si>
  <si>
    <t>Q15</t>
  </si>
  <si>
    <t>Q67</t>
  </si>
  <si>
    <t>Q16</t>
  </si>
  <si>
    <t>Q69</t>
  </si>
  <si>
    <t>Q17</t>
  </si>
  <si>
    <t>Q71</t>
  </si>
  <si>
    <t>Q18</t>
  </si>
  <si>
    <t>Q72</t>
  </si>
  <si>
    <t>Q19</t>
  </si>
  <si>
    <t>Q73</t>
  </si>
  <si>
    <t>Q20</t>
  </si>
  <si>
    <t>Q74</t>
  </si>
  <si>
    <t>Q21</t>
  </si>
  <si>
    <t>Q75</t>
  </si>
  <si>
    <t>Q22</t>
  </si>
  <si>
    <t>Q143</t>
  </si>
  <si>
    <t>Q23</t>
  </si>
  <si>
    <t>Q144</t>
  </si>
  <si>
    <t>Q24</t>
  </si>
  <si>
    <t>Q145</t>
  </si>
  <si>
    <t>X25</t>
  </si>
  <si>
    <t>Q146</t>
  </si>
  <si>
    <t>X26</t>
  </si>
  <si>
    <t>Q156 a Q157</t>
  </si>
  <si>
    <t>X27</t>
  </si>
  <si>
    <t>Q158 a Q170</t>
  </si>
  <si>
    <t>X28</t>
  </si>
  <si>
    <t>EURO</t>
  </si>
  <si>
    <t>verificar "AQUI" célula G12</t>
  </si>
  <si>
    <t>X29</t>
  </si>
  <si>
    <t>LUCRO</t>
  </si>
  <si>
    <t>verificar na aba "FECHAMENTO" célula G17</t>
  </si>
  <si>
    <t>Q65</t>
  </si>
  <si>
    <t>INVESTIMENTO</t>
  </si>
  <si>
    <t>verificar na aba "FECHAMENTO" célula U34</t>
  </si>
  <si>
    <t>Q66</t>
  </si>
  <si>
    <t>FATURAMENTO</t>
  </si>
  <si>
    <t>verificar na aba "FECHAMENTO" célula H106 e l106</t>
  </si>
  <si>
    <t>ICMS / ISS</t>
  </si>
  <si>
    <t>verificar na aba "FECHAMENTO" célula D62 e I62</t>
  </si>
  <si>
    <t>% vendedor</t>
  </si>
  <si>
    <t>verificar na aba "FECHAMENTO" célula I87</t>
  </si>
  <si>
    <t>ítem</t>
  </si>
  <si>
    <t>MONTAGEM  -  MATERIAIS, FERRAM., EQUIPAM. e LOCAÇÕES</t>
  </si>
  <si>
    <t>Preço unit.</t>
  </si>
  <si>
    <t>Preço Total</t>
  </si>
  <si>
    <t>PARAFUSO Escora</t>
  </si>
  <si>
    <t>Q1</t>
  </si>
  <si>
    <t>percentual redução:</t>
  </si>
  <si>
    <t>M16 x 1 1/2"</t>
  </si>
  <si>
    <t>cimento</t>
  </si>
  <si>
    <t>Q2</t>
  </si>
  <si>
    <t>M16 x 1 3/4"</t>
  </si>
  <si>
    <t>areia</t>
  </si>
  <si>
    <t>Q3</t>
  </si>
  <si>
    <t>parabolt</t>
  </si>
  <si>
    <t>Q4</t>
  </si>
  <si>
    <t>Q5</t>
  </si>
  <si>
    <t>PARAFUSO Nivelam.(ton)</t>
  </si>
  <si>
    <t>parafuso</t>
  </si>
  <si>
    <t>Q6</t>
  </si>
  <si>
    <t>Q7</t>
  </si>
  <si>
    <t>Q8</t>
  </si>
  <si>
    <t>Q9</t>
  </si>
  <si>
    <t>arruela</t>
  </si>
  <si>
    <t>Q10</t>
  </si>
  <si>
    <t>Q10a</t>
  </si>
  <si>
    <t>Q10A</t>
  </si>
  <si>
    <t>Q10b</t>
  </si>
  <si>
    <t>F</t>
  </si>
  <si>
    <t>masterseal</t>
  </si>
  <si>
    <t>Q11</t>
  </si>
  <si>
    <t>M</t>
  </si>
  <si>
    <t>sikaprimer</t>
  </si>
  <si>
    <t>Q12</t>
  </si>
  <si>
    <t>coluna cobertura</t>
  </si>
  <si>
    <t>coluna parede</t>
  </si>
  <si>
    <t>Q13</t>
  </si>
  <si>
    <t>GUINDASTE (ton)</t>
  </si>
  <si>
    <t>preço trabalhando/ DIA</t>
  </si>
  <si>
    <t>preço / MOB. e DESMOB.</t>
  </si>
  <si>
    <t>preço à disposição/ DIA</t>
  </si>
  <si>
    <t>Q14</t>
  </si>
  <si>
    <t>conjuntos</t>
  </si>
  <si>
    <t>plataforma elevatória</t>
  </si>
  <si>
    <t>guindaste</t>
  </si>
  <si>
    <t>dias trabalhados</t>
  </si>
  <si>
    <t>Q22a</t>
  </si>
  <si>
    <t>TIPO DE FRETE</t>
  </si>
  <si>
    <t>VALOR / FRETE</t>
  </si>
  <si>
    <t>FRETE P/ RETORNAR C/ MATERIAIS E EQUIP. AO FINAL DA OBRA</t>
  </si>
  <si>
    <t>frete</t>
  </si>
  <si>
    <t>CARRETA CARGA SECA 24 toneladas</t>
  </si>
  <si>
    <t>fretes</t>
  </si>
  <si>
    <t>P/ LAJES e PILARES</t>
  </si>
  <si>
    <t>Q30</t>
  </si>
  <si>
    <t>X30</t>
  </si>
  <si>
    <t>P/ VIGAS</t>
  </si>
  <si>
    <t>Q31</t>
  </si>
  <si>
    <t>Q32</t>
  </si>
  <si>
    <t>P/ PAINÉIS</t>
  </si>
  <si>
    <t>Q33</t>
  </si>
  <si>
    <t>Q34</t>
  </si>
  <si>
    <t>TRANSPORTE ESPECÍFICO ( ESCREVER NA LINHA ACIMA)</t>
  </si>
  <si>
    <t>Q35</t>
  </si>
  <si>
    <t>SUB-TOTAL - A</t>
  </si>
  <si>
    <t>cordoalha revestida</t>
  </si>
  <si>
    <t>Q36</t>
  </si>
  <si>
    <t>fator de redução na cordoalha por experiência=</t>
  </si>
  <si>
    <t>Q36A</t>
  </si>
  <si>
    <t>Q36a</t>
  </si>
  <si>
    <t>Q37</t>
  </si>
  <si>
    <t>Q38</t>
  </si>
  <si>
    <t>placa de ancoragem</t>
  </si>
  <si>
    <t>Q39</t>
  </si>
  <si>
    <t>fator de redução para ancoragens por experiência=</t>
  </si>
  <si>
    <t>Q40</t>
  </si>
  <si>
    <t>cunha de ancoragem</t>
  </si>
  <si>
    <t>Q41</t>
  </si>
  <si>
    <t>porta cunha aberta</t>
  </si>
  <si>
    <t>Q42</t>
  </si>
  <si>
    <t>tampa plástica para</t>
  </si>
  <si>
    <t>Q43</t>
  </si>
  <si>
    <t>Q44</t>
  </si>
  <si>
    <t>sabonete líquido gel</t>
  </si>
  <si>
    <t>Q45</t>
  </si>
  <si>
    <t>trapo</t>
  </si>
  <si>
    <t>Q46</t>
  </si>
  <si>
    <t>graxa</t>
  </si>
  <si>
    <t>Q47</t>
  </si>
  <si>
    <t>disco de corte</t>
  </si>
  <si>
    <t>Q48</t>
  </si>
  <si>
    <t>lâmina de serra</t>
  </si>
  <si>
    <t>Q49</t>
  </si>
  <si>
    <t>cunhas de madeira</t>
  </si>
  <si>
    <t>Q50</t>
  </si>
  <si>
    <t>andaime metálico 2,50 x</t>
  </si>
  <si>
    <t>Q51</t>
  </si>
  <si>
    <t>escada de acesso</t>
  </si>
  <si>
    <t>Q52</t>
  </si>
  <si>
    <t>SUB-TOTAL - B</t>
  </si>
  <si>
    <t>forma de madeira</t>
  </si>
  <si>
    <t>Q53</t>
  </si>
  <si>
    <t>concreto fck 40 mpa</t>
  </si>
  <si>
    <t>Q54</t>
  </si>
  <si>
    <t>bombeamento de concreto</t>
  </si>
  <si>
    <t>Q55</t>
  </si>
  <si>
    <t>sikaswell-s2 selante</t>
  </si>
  <si>
    <t>Q56</t>
  </si>
  <si>
    <t>sikalatex resina  de</t>
  </si>
  <si>
    <t>Q57</t>
  </si>
  <si>
    <t>SUB-TOTAL - C</t>
  </si>
  <si>
    <t>valvula esfera</t>
  </si>
  <si>
    <t>Q58</t>
  </si>
  <si>
    <t>niple dulo</t>
  </si>
  <si>
    <t>Q59</t>
  </si>
  <si>
    <t>tampão ( cap</t>
  </si>
  <si>
    <t>Q60</t>
  </si>
  <si>
    <t>fita</t>
  </si>
  <si>
    <t>Q61</t>
  </si>
  <si>
    <t>argamassa de injeção ( saco</t>
  </si>
  <si>
    <t>Q62</t>
  </si>
  <si>
    <t>Q63</t>
  </si>
  <si>
    <t>sikatop seal</t>
  </si>
  <si>
    <t>Q64</t>
  </si>
  <si>
    <t>Q64a</t>
  </si>
  <si>
    <t>Q64b</t>
  </si>
  <si>
    <t>SUB-TOTAL - D</t>
  </si>
  <si>
    <t>PASSAGEM DE ÔNIBUS NA GRANDE VITÓRIA</t>
  </si>
  <si>
    <t>CARRO DE APOIO À OBRA, na grande Vitória</t>
  </si>
  <si>
    <t>viagem</t>
  </si>
  <si>
    <t>Q68</t>
  </si>
  <si>
    <t>carro onibus van avião</t>
  </si>
  <si>
    <t>Q70</t>
  </si>
  <si>
    <t>refeições</t>
  </si>
  <si>
    <t>café</t>
  </si>
  <si>
    <t>Q75a</t>
  </si>
  <si>
    <t>alojamento</t>
  </si>
  <si>
    <t>Q76</t>
  </si>
  <si>
    <t>estadia</t>
  </si>
  <si>
    <t>Q77</t>
  </si>
  <si>
    <t>Q77A</t>
  </si>
  <si>
    <t>SUB-TOTAL - E</t>
  </si>
  <si>
    <t>CONFECÇÕES - MATERIAIS, FERRAM., EQUIPAM. e LOCAÇÕES</t>
  </si>
  <si>
    <t>PINO MONT. (ton)</t>
  </si>
  <si>
    <t>pino</t>
  </si>
  <si>
    <t>Q78</t>
  </si>
  <si>
    <t>Q79</t>
  </si>
  <si>
    <t>Q80</t>
  </si>
  <si>
    <t>Q81</t>
  </si>
  <si>
    <t>Q82</t>
  </si>
  <si>
    <t>para lajes</t>
  </si>
  <si>
    <t>luva de nivelamento</t>
  </si>
  <si>
    <t>Q83</t>
  </si>
  <si>
    <t>Q84</t>
  </si>
  <si>
    <t>luva para flutuadores</t>
  </si>
  <si>
    <t>Q85</t>
  </si>
  <si>
    <t>PINO SAQUE (ton)</t>
  </si>
  <si>
    <t>luva para escora</t>
  </si>
  <si>
    <t>Q86</t>
  </si>
  <si>
    <t>curva 90°</t>
  </si>
  <si>
    <t>Q87</t>
  </si>
  <si>
    <t xml:space="preserve">tubo </t>
  </si>
  <si>
    <t>Q88</t>
  </si>
  <si>
    <t>Q89</t>
  </si>
  <si>
    <t>cone</t>
  </si>
  <si>
    <t>Q90</t>
  </si>
  <si>
    <t>Q91</t>
  </si>
  <si>
    <t>concreto autoadensável 24 horas</t>
  </si>
  <si>
    <t>Q92</t>
  </si>
  <si>
    <t>RETROESCAVADEIRA / CAMINHÃO BETONEIRA (PARA CONCRETO)</t>
  </si>
  <si>
    <t>Q92a</t>
  </si>
  <si>
    <t>INSUMOS GERAIS PARA CONCRETO fcK&gt;=25 MPa 24h</t>
  </si>
  <si>
    <t>Q93</t>
  </si>
  <si>
    <t xml:space="preserve">CHAPA DE ANCORAGEM - ASTM A 572-GR50 (200 X 120 X 19 mm) </t>
  </si>
  <si>
    <t>Q94</t>
  </si>
  <si>
    <t xml:space="preserve">CHAPA DE ANCORAGEM - ASTM A 572-GR50 (120 X 120 X 16 mm) </t>
  </si>
  <si>
    <t>LUVA Nivelam.(ton)</t>
  </si>
  <si>
    <t>tela soldada</t>
  </si>
  <si>
    <t>Q95</t>
  </si>
  <si>
    <t>M25x70</t>
  </si>
  <si>
    <t>aço ca-50</t>
  </si>
  <si>
    <t>Q96</t>
  </si>
  <si>
    <t>lançar manual=</t>
  </si>
  <si>
    <t>corte e dobra fora ( M.O) valor kg</t>
  </si>
  <si>
    <t>M30x70</t>
  </si>
  <si>
    <t>cordoalha 7 fios</t>
  </si>
  <si>
    <t>Q97</t>
  </si>
  <si>
    <t>M36x70</t>
  </si>
  <si>
    <t>espaçadores</t>
  </si>
  <si>
    <t>Q98</t>
  </si>
  <si>
    <t>M39x70</t>
  </si>
  <si>
    <t>arame</t>
  </si>
  <si>
    <t>Q99</t>
  </si>
  <si>
    <t>LUVA Escora.(ton)</t>
  </si>
  <si>
    <t>isopor</t>
  </si>
  <si>
    <t>Q100</t>
  </si>
  <si>
    <t>M16 x 80</t>
  </si>
  <si>
    <t>desmoldante</t>
  </si>
  <si>
    <t>Q101</t>
  </si>
  <si>
    <t>M16 x 100</t>
  </si>
  <si>
    <t>agente de cura</t>
  </si>
  <si>
    <t>Q102</t>
  </si>
  <si>
    <t>Q102a</t>
  </si>
  <si>
    <t>Q102b</t>
  </si>
  <si>
    <t>Q102c</t>
  </si>
  <si>
    <t>Q102d</t>
  </si>
  <si>
    <t>Q102e</t>
  </si>
  <si>
    <t>inserto metálico</t>
  </si>
  <si>
    <t>inserto inox</t>
  </si>
  <si>
    <t>conjuto de boca de visita</t>
  </si>
  <si>
    <t>SUB-TOTAL - F</t>
  </si>
  <si>
    <t>Q103a</t>
  </si>
  <si>
    <t>encarregado montagem</t>
  </si>
  <si>
    <t>Q103</t>
  </si>
  <si>
    <t>tecnico de edificações montagem</t>
  </si>
  <si>
    <t>Q104</t>
  </si>
  <si>
    <t>técnico de segurança montagem</t>
  </si>
  <si>
    <t>Q105</t>
  </si>
  <si>
    <t>oficial polivalente montagem</t>
  </si>
  <si>
    <t>Q106</t>
  </si>
  <si>
    <t>auxiliar de obras montagem</t>
  </si>
  <si>
    <t>Q107</t>
  </si>
  <si>
    <t>SUB-TOTAL - G</t>
  </si>
  <si>
    <t>encarregado confecção</t>
  </si>
  <si>
    <t>Q108</t>
  </si>
  <si>
    <t>oficial polivalente confecção</t>
  </si>
  <si>
    <t>Q109</t>
  </si>
  <si>
    <t>Q109a</t>
  </si>
  <si>
    <t>auxiliar de obras confecção</t>
  </si>
  <si>
    <t>Q110</t>
  </si>
  <si>
    <t>soldador confecção</t>
  </si>
  <si>
    <t>Q111</t>
  </si>
  <si>
    <t>técnico em edificações confecção</t>
  </si>
  <si>
    <t>Q112</t>
  </si>
  <si>
    <t>técnico de segurança confecção</t>
  </si>
  <si>
    <t>Q113</t>
  </si>
  <si>
    <t>Q113A</t>
  </si>
  <si>
    <t>Q113B</t>
  </si>
  <si>
    <t>SUB-TOTAL - H</t>
  </si>
  <si>
    <t>calça motagem</t>
  </si>
  <si>
    <t>Q114</t>
  </si>
  <si>
    <t>Q115</t>
  </si>
  <si>
    <t>bota montagem</t>
  </si>
  <si>
    <t>Q116</t>
  </si>
  <si>
    <t>Q117</t>
  </si>
  <si>
    <t>capacete montagem</t>
  </si>
  <si>
    <t>Q118</t>
  </si>
  <si>
    <t>protetor auricular montagem</t>
  </si>
  <si>
    <t>Q119</t>
  </si>
  <si>
    <t>óculos montagem</t>
  </si>
  <si>
    <t>Q120</t>
  </si>
  <si>
    <t>luva pigmento montagem</t>
  </si>
  <si>
    <t>Q121</t>
  </si>
  <si>
    <t>luva raspa montagem</t>
  </si>
  <si>
    <t>Q122</t>
  </si>
  <si>
    <t>luva pvc montagem</t>
  </si>
  <si>
    <t>Q123</t>
  </si>
  <si>
    <t>avental segurança montagem</t>
  </si>
  <si>
    <t>Q124</t>
  </si>
  <si>
    <t>mascara pó montagem</t>
  </si>
  <si>
    <t>Q125</t>
  </si>
  <si>
    <t>protetor montagem</t>
  </si>
  <si>
    <t>Q126</t>
  </si>
  <si>
    <t>cinto segurança montagem</t>
  </si>
  <si>
    <t>Q127</t>
  </si>
  <si>
    <t>trava montagem</t>
  </si>
  <si>
    <t>Q128</t>
  </si>
  <si>
    <t>cerquite m montagem</t>
  </si>
  <si>
    <t>Q129</t>
  </si>
  <si>
    <t>SUB-TOTAL - I</t>
  </si>
  <si>
    <t>calça confecção</t>
  </si>
  <si>
    <t>Q130</t>
  </si>
  <si>
    <t>camisa confecção</t>
  </si>
  <si>
    <t>Q131</t>
  </si>
  <si>
    <t>bota confecção</t>
  </si>
  <si>
    <t>Q132</t>
  </si>
  <si>
    <t>Q133</t>
  </si>
  <si>
    <t>capacete confecção</t>
  </si>
  <si>
    <t>Q134</t>
  </si>
  <si>
    <t>protetor auricular confecção</t>
  </si>
  <si>
    <t>Q135</t>
  </si>
  <si>
    <t>óculos confecção</t>
  </si>
  <si>
    <t>Q136</t>
  </si>
  <si>
    <t>luva pigmento confecção</t>
  </si>
  <si>
    <t>Q137</t>
  </si>
  <si>
    <t>luva raspa confecção</t>
  </si>
  <si>
    <t>Q138</t>
  </si>
  <si>
    <t>luva pvc confecção</t>
  </si>
  <si>
    <t>Q139</t>
  </si>
  <si>
    <t>avental confecção</t>
  </si>
  <si>
    <t>Q140</t>
  </si>
  <si>
    <t>mascara confecção</t>
  </si>
  <si>
    <t>Q141</t>
  </si>
  <si>
    <t>protetor afacial confecção</t>
  </si>
  <si>
    <t>Q142</t>
  </si>
  <si>
    <t>SUB-TOTAL - J</t>
  </si>
  <si>
    <t>almoço</t>
  </si>
  <si>
    <t>vale</t>
  </si>
  <si>
    <t>SUB-TOTAL - K</t>
  </si>
  <si>
    <t>CUSTOS MENSAIS DA FABRICAÇÃO</t>
  </si>
  <si>
    <t>galpão G1=</t>
  </si>
  <si>
    <t>preço unit. 
para 2 linhas</t>
  </si>
  <si>
    <t>G2 + escrit.=</t>
  </si>
  <si>
    <t>telefone</t>
  </si>
  <si>
    <t>TELEFONE</t>
  </si>
  <si>
    <t>mês</t>
  </si>
  <si>
    <t>usina=</t>
  </si>
  <si>
    <t>energia elétrica</t>
  </si>
  <si>
    <t>Q147</t>
  </si>
  <si>
    <t>ENERGIA ELÉTRICA</t>
  </si>
  <si>
    <t>área ext. G1=</t>
  </si>
  <si>
    <t>aluguel do galpão</t>
  </si>
  <si>
    <t>Q148</t>
  </si>
  <si>
    <t>ALUGUEL DO GALPÃO</t>
  </si>
  <si>
    <t>nota fiscal1=</t>
  </si>
  <si>
    <t>carro</t>
  </si>
  <si>
    <t>Q149</t>
  </si>
  <si>
    <t xml:space="preserve">CARRO </t>
  </si>
  <si>
    <t>nota fiscal2=</t>
  </si>
  <si>
    <t>SUB-TOTAL - L</t>
  </si>
  <si>
    <t>casa Areinha</t>
  </si>
  <si>
    <t>CUSTOS DAS FORMAS, CONCRETO DA COBERTURA e PÓS-TENSÃO EM LAJES</t>
  </si>
  <si>
    <t>Q150</t>
  </si>
  <si>
    <t>Q151</t>
  </si>
  <si>
    <t>Q152</t>
  </si>
  <si>
    <t>Q153</t>
  </si>
  <si>
    <t>Q153a</t>
  </si>
  <si>
    <t>INSUMOS GERAIS PARA CONCRETO fcK&gt;=10 MPa 24h</t>
  </si>
  <si>
    <t>Q154</t>
  </si>
  <si>
    <t>Q155</t>
  </si>
  <si>
    <t>conjunto</t>
  </si>
  <si>
    <t>SUB-TOTAL - M</t>
  </si>
  <si>
    <t xml:space="preserve">GUINDASTES  RATEADOS PARA EQUALIZAÇÃO EM OBRAS DE MUITOS TANQUES
</t>
  </si>
  <si>
    <t>Marcar "X" no tanque que possui o serviço</t>
  </si>
  <si>
    <t>VALOR DO RATEIO</t>
  </si>
  <si>
    <t>VALOR DESCONTANDO O INSUMO ORIGINAL</t>
  </si>
  <si>
    <t>Q156</t>
  </si>
  <si>
    <t xml:space="preserve">GUINDASTE 1 </t>
  </si>
  <si>
    <t>Q157</t>
  </si>
  <si>
    <r>
      <t xml:space="preserve">SERVIÇOS ADICIONAIS ( no custo serão considerados nas paredes)
</t>
    </r>
    <r>
      <rPr>
        <b/>
        <sz val="10"/>
        <color indexed="10"/>
        <rFont val="Arial"/>
        <family val="2"/>
      </rPr>
      <t>lançar as quantidades somente para 1 tanque</t>
    </r>
  </si>
  <si>
    <t>digite F (fabricação)
ou M (montagem)</t>
  </si>
  <si>
    <r>
      <t xml:space="preserve">QUANT. 
</t>
    </r>
    <r>
      <rPr>
        <sz val="10"/>
        <color indexed="10"/>
        <rFont val="Arial"/>
        <family val="2"/>
      </rPr>
      <t>p</t>
    </r>
    <r>
      <rPr>
        <sz val="10"/>
        <color indexed="10"/>
        <rFont val="Arial"/>
        <family val="2"/>
      </rPr>
      <t>ara 1 TANQUE</t>
    </r>
  </si>
  <si>
    <t xml:space="preserve">para não consi-derar Royalties marcar "X" </t>
  </si>
  <si>
    <t>DESCONTO ROYALTIES</t>
  </si>
  <si>
    <t>FABRICAÇÃO</t>
  </si>
  <si>
    <t>MONTAGEM</t>
  </si>
  <si>
    <t>Q158</t>
  </si>
  <si>
    <t>PASSAMUROS INOX</t>
  </si>
  <si>
    <t>Q159</t>
  </si>
  <si>
    <t>carro para montagem</t>
  </si>
  <si>
    <t>vb</t>
  </si>
  <si>
    <t>Q160</t>
  </si>
  <si>
    <t>EXAMES MÉDICOS</t>
  </si>
  <si>
    <t>VB</t>
  </si>
  <si>
    <t>Q161</t>
  </si>
  <si>
    <t>Q162</t>
  </si>
  <si>
    <t>CONTABILIDADE</t>
  </si>
  <si>
    <t>Q163</t>
  </si>
  <si>
    <t>Q164</t>
  </si>
  <si>
    <t>EPI ESPECIAIS FRIO</t>
  </si>
  <si>
    <t>Q165</t>
  </si>
  <si>
    <t>PLANO DE SAÚDE</t>
  </si>
  <si>
    <t>Q166</t>
  </si>
  <si>
    <t>redução de cordoalha engraxada 15,2 / cab. De ancoragens/ cunhas /tampa plast. / argamassa / bainhas</t>
  </si>
  <si>
    <t>Q167</t>
  </si>
  <si>
    <t>ESCORAS NOVAS</t>
  </si>
  <si>
    <t>Q168</t>
  </si>
  <si>
    <t xml:space="preserve">guindaste de apoio </t>
  </si>
  <si>
    <t>dia</t>
  </si>
  <si>
    <t>Q169</t>
  </si>
  <si>
    <t>caminhão munck apoio</t>
  </si>
  <si>
    <t>Q170</t>
  </si>
  <si>
    <t>PRÉ-MOLDADOS INTERNOS TERCEIROS</t>
  </si>
  <si>
    <t>FABRICAÇÃO=</t>
  </si>
  <si>
    <t>MONTAGEM=</t>
  </si>
  <si>
    <t>DAQUI PARA BAIXO SÃO VALORES DE APOIO PARA CUSTO DE FABRICAÇÃO E AMORTIZAÇÃO</t>
  </si>
  <si>
    <t>KIT - MONTAGEM</t>
  </si>
  <si>
    <t>SUB-TOTAL</t>
  </si>
  <si>
    <t>NA FÁBRICA</t>
  </si>
  <si>
    <t>FORMAS METÁLICAS PARA PAINÉIS NORMAIS</t>
  </si>
  <si>
    <t>Verba</t>
  </si>
  <si>
    <t>FORMAS METÁLICAS PARA PAINEL FECHO</t>
  </si>
  <si>
    <t>ESCORAS 1</t>
  </si>
  <si>
    <t>ESCORAS 2</t>
  </si>
  <si>
    <t>ESCORAS 3</t>
  </si>
  <si>
    <t>ESCORAS 4</t>
  </si>
  <si>
    <t>INVESTIMENTO DA LINHA / TREINAMENTO / VIAGEM ( PORTUGAL )</t>
  </si>
  <si>
    <t>MACACO DE PROTENSÃO NA FÁBRICA</t>
  </si>
  <si>
    <t>MACACO DE  DESPROTENSÃO NA FÁBRICA</t>
  </si>
  <si>
    <t>COMPRESSOR DE AR COMPRIMIDO</t>
  </si>
  <si>
    <t xml:space="preserve">MÁQUINA DE SOLDA </t>
  </si>
  <si>
    <t>MICROONDAS</t>
  </si>
  <si>
    <t>BEBEDOURO</t>
  </si>
  <si>
    <t>IMPRESSORA</t>
  </si>
  <si>
    <t>PÓRTICO ROLANTE + TRILHOS TR 45</t>
  </si>
  <si>
    <t>PRENSA PARA ROMPIMENTO DE CP</t>
  </si>
  <si>
    <t>BALANCIM  7,5 m CAPAC. 20 ton</t>
  </si>
  <si>
    <t>DISPOSITIVO DE PEGA PARA IÇAMENTO IRT GRANDE</t>
  </si>
  <si>
    <t>CONTAINER PARA CANTEIRO</t>
  </si>
  <si>
    <t>INFRAESTRUTURA PARA MONTAGEM DA LINHA ( CIVIL)</t>
  </si>
  <si>
    <t>MONTAGEM DA LINHA</t>
  </si>
  <si>
    <t>CUSTO DA FORMA DE 1 LAJE</t>
  </si>
  <si>
    <t>CUSTO DA FORMA DE 1 PILAR</t>
  </si>
  <si>
    <t>CUSTO DA FORMA DE 1 VIGA</t>
  </si>
  <si>
    <t>LAJE : AMORTIZAÇÃO EM 60:1</t>
  </si>
  <si>
    <t>PILAR : AMORTIZAÇÃO EM 30:1</t>
  </si>
  <si>
    <t>INSUMOS P/ ANÁLISE DE FATURAMENTO DIRETO</t>
  </si>
  <si>
    <t>PAR / COB</t>
  </si>
  <si>
    <t>PILAR /CHIC</t>
  </si>
  <si>
    <t>% A UTILIZAR</t>
  </si>
  <si>
    <t>TOTAL</t>
  </si>
  <si>
    <t>FORNECEDOR</t>
  </si>
  <si>
    <t>PARA ZERAR</t>
  </si>
  <si>
    <t>MONT</t>
  </si>
  <si>
    <t>G-MAQ</t>
  </si>
  <si>
    <t>FRETE</t>
  </si>
  <si>
    <t>FABR</t>
  </si>
  <si>
    <t>AMH SERVIÇOS</t>
  </si>
  <si>
    <t xml:space="preserve">CORDOALHA ENGRAXADA </t>
  </si>
  <si>
    <t>BELGO BEKAERT</t>
  </si>
  <si>
    <t>ARGAMASSA INJEÇÃO</t>
  </si>
  <si>
    <t>TECNOSIL</t>
  </si>
  <si>
    <t>GROUT</t>
  </si>
  <si>
    <t>MATERIAIS BAUCHIMIE</t>
  </si>
  <si>
    <t>BAUCHIMIE</t>
  </si>
  <si>
    <t>MATERIAIS IÇAMENTO TREJOR</t>
  </si>
  <si>
    <t>TREJOR</t>
  </si>
  <si>
    <t>EMENDA TREJOR PISO X PILAR</t>
  </si>
  <si>
    <t>AÇO</t>
  </si>
  <si>
    <t>ARCELOR</t>
  </si>
  <si>
    <t>CORDOALHA NUA 12,7</t>
  </si>
  <si>
    <t>AREIA P/ CONCRETO</t>
  </si>
  <si>
    <t>TOTAL FABRICAÇÃO=</t>
  </si>
  <si>
    <t>TOTAL MONTAGEM=</t>
  </si>
  <si>
    <t>LANÇAMENTO DE PERCENTUAIS DE ICMS PARA INSUMOS DE FABRICAÇÃO</t>
  </si>
  <si>
    <t>TOTAL ICMS =</t>
  </si>
  <si>
    <t>INSUMO</t>
  </si>
  <si>
    <t>ORIGEM</t>
  </si>
  <si>
    <t>VALOR INSUMO</t>
  </si>
  <si>
    <t>ICMS ORIGEM</t>
  </si>
  <si>
    <t>DIV</t>
  </si>
  <si>
    <t>OUTROS DOS SERVIÇOS ADICIONAIS (LANÇAR MANUALMENTE)</t>
  </si>
  <si>
    <t>PASSAMUROS</t>
  </si>
  <si>
    <t>SISTEMA SC-10 e SC-14 
  FECHAMENTO FINAL</t>
  </si>
  <si>
    <t>1- CUSTOS</t>
  </si>
  <si>
    <t>QUANDO ENVIAR ESTA PLANILHA P/ SOPLACAS MARCAR "X"</t>
  </si>
  <si>
    <t>fretes=</t>
  </si>
  <si>
    <t xml:space="preserve"> FABRICAÇÃO </t>
  </si>
  <si>
    <t xml:space="preserve"> MONTAGEM</t>
  </si>
  <si>
    <t>FABRICAÇÃO + MONTAGEM</t>
  </si>
  <si>
    <t>adicionais ñ royalties=</t>
  </si>
  <si>
    <t>PERCENTUAL =</t>
  </si>
  <si>
    <t>DIGITE AQUI A QUANTIDADE DE TANQUES CASO SEJA FOR MAIOR QUE 4.</t>
  </si>
  <si>
    <r>
      <rPr>
        <sz val="10"/>
        <rFont val="Arial"/>
        <family val="2"/>
      </rPr>
      <t>2-</t>
    </r>
    <r>
      <rPr>
        <sz val="10"/>
        <color indexed="10"/>
        <rFont val="Arial"/>
        <family val="2"/>
      </rPr>
      <t xml:space="preserve"> LUCRO ------ PERCENTUAL =</t>
    </r>
  </si>
  <si>
    <t>QUANTIDADE DE TANQUES (QUANDO ACIMA DE 4 TQS)</t>
  </si>
  <si>
    <t>ROYALTIES SOBRE A FABRICAÇÃO + LUCRO:</t>
  </si>
  <si>
    <t>LUCRO =</t>
  </si>
  <si>
    <t>3- SUB-TOTAL ( CUSTO + LUCRO )</t>
  </si>
  <si>
    <t>PERCENTUAL INVESTIMENTO CALCULADO:</t>
  </si>
  <si>
    <t>PERCENTUAL=</t>
  </si>
  <si>
    <t>4- ROYALTIES  ------  PERCENTUAL =</t>
  </si>
  <si>
    <t>CONSIDERAR PERCENTUAL DO VALOR DE INVESTIMENTO EM:</t>
  </si>
  <si>
    <t>TOTAL DE ROYALTIES</t>
  </si>
  <si>
    <t>5- INVESTIMENTOS=</t>
  </si>
  <si>
    <t>/ m³ fabricado</t>
  </si>
  <si>
    <t>VOLUME fabricado ( painel )=</t>
  </si>
  <si>
    <t>total=</t>
  </si>
  <si>
    <t xml:space="preserve">REFERENTE À FABRICAÇÃO </t>
  </si>
  <si>
    <t>REFERENTE À MONTAGEM</t>
  </si>
  <si>
    <t>TOTAL INVESTIMENTOS</t>
  </si>
  <si>
    <t>considerando amortização em 3 anos</t>
  </si>
  <si>
    <t>ver comentário</t>
  </si>
  <si>
    <t>média fabricação por dia=2,15 placas</t>
  </si>
  <si>
    <t>6- TOTAL SEM IMPOSTOS</t>
  </si>
  <si>
    <t>por ano= 240 * 2,15 = 516 placas</t>
  </si>
  <si>
    <t>REFERENTE À FABRICAÇÃO</t>
  </si>
  <si>
    <t xml:space="preserve">REFERENTE À MONTAGEM </t>
  </si>
  <si>
    <t xml:space="preserve">TOTAL SEM IMPOSTOS </t>
  </si>
  <si>
    <t>3 anos= 720 * 2,15 = 1548 placas</t>
  </si>
  <si>
    <t>ICMS ADOTADO(%)=</t>
  </si>
  <si>
    <t>FATURAMENTO DIRETO:</t>
  </si>
  <si>
    <t>volume de uma placa 6,65m=</t>
  </si>
  <si>
    <t>ICMS CHEIO=</t>
  </si>
  <si>
    <t>Valor do faturamento direto na fabricação=</t>
  </si>
  <si>
    <t>volume de 720 placas=</t>
  </si>
  <si>
    <t>ICMS CRÉDITOS=</t>
  </si>
  <si>
    <t>Valor do faturamento direto na montagem=</t>
  </si>
  <si>
    <t>amortiz/m³=</t>
  </si>
  <si>
    <t>INVEST (%)=</t>
  </si>
  <si>
    <t>7- IMPOSTOS</t>
  </si>
  <si>
    <t>FATURAMENTO DIRETO</t>
  </si>
  <si>
    <t>alterar percentual de lucro sobre Faturamento direto só sobre Prebmol</t>
  </si>
  <si>
    <t>marcar x p/ zerar</t>
  </si>
  <si>
    <t>Valor ref. Fabricação</t>
  </si>
  <si>
    <t>Valor ref. Montagem</t>
  </si>
  <si>
    <t>Total créditos (abater)</t>
  </si>
  <si>
    <t>ICMS FINAL</t>
  </si>
  <si>
    <t>ISS</t>
  </si>
  <si>
    <t>faturamento direto</t>
  </si>
  <si>
    <t>*****</t>
  </si>
  <si>
    <t>PIS</t>
  </si>
  <si>
    <t>F ou M</t>
  </si>
  <si>
    <t xml:space="preserve">VALOR </t>
  </si>
  <si>
    <t>REFERENTE À:</t>
  </si>
  <si>
    <t>CRÉDITO ICMS</t>
  </si>
  <si>
    <t>CONFINS</t>
  </si>
  <si>
    <t>IR</t>
  </si>
  <si>
    <t>CSLL</t>
  </si>
  <si>
    <t>GUINDASTE</t>
  </si>
  <si>
    <t>IPI</t>
  </si>
  <si>
    <t>TOTAL  IMPOSTOS NA FABRICAÇÃO =</t>
  </si>
  <si>
    <t>TOTAL  IMPOSTOS NA MONTAGEM =</t>
  </si>
  <si>
    <t xml:space="preserve"> IMPOSTOS ( FABRICAÇÃO + MONTAGEM )</t>
  </si>
  <si>
    <t>%  IMPOSTOS NA FABRICAÇÃO =</t>
  </si>
  <si>
    <t>%  IMPOSTOS NA MONTAGEM =</t>
  </si>
  <si>
    <t>8- VENDA</t>
  </si>
  <si>
    <t xml:space="preserve">MONTAGEM </t>
  </si>
  <si>
    <t xml:space="preserve"> FABRICAÇÃO + MONTAGEM</t>
  </si>
  <si>
    <t>Pré-moldados internos</t>
  </si>
  <si>
    <t>PERCENTUAL PARA REPRESENTANTE DE VENDAS =</t>
  </si>
  <si>
    <t>%  ----------------------</t>
  </si>
  <si>
    <t>----------- VALOR=</t>
  </si>
  <si>
    <t>OK</t>
  </si>
  <si>
    <t>VALOR DE VENDA FINAL =</t>
  </si>
  <si>
    <t>9- PERCENTUAL DE VALORES SOBRE A VENDA</t>
  </si>
  <si>
    <t>CUSTO =</t>
  </si>
  <si>
    <t>ROYALTIES =</t>
  </si>
  <si>
    <t>INVESTIMENTOS =</t>
  </si>
  <si>
    <t>IMPOSTOS =</t>
  </si>
  <si>
    <t>ESTE F serve para tirar o erro #N/D da célula T62</t>
  </si>
  <si>
    <t>9- ÍNDICES</t>
  </si>
  <si>
    <t>somente
paredes</t>
  </si>
  <si>
    <t>somente
cobertura</t>
  </si>
  <si>
    <t>ESTE M serve para tirar o erro #N/D da célula U62</t>
  </si>
  <si>
    <t>por m²</t>
  </si>
  <si>
    <t>por m³</t>
  </si>
  <si>
    <r>
      <rPr>
        <sz val="11"/>
        <rFont val="Arial"/>
        <family val="2"/>
      </rPr>
      <t>2-</t>
    </r>
    <r>
      <rPr>
        <sz val="11"/>
        <color indexed="10"/>
        <rFont val="Arial"/>
        <family val="2"/>
      </rPr>
      <t xml:space="preserve"> LUCRO ------ PERCENTUAL =</t>
    </r>
  </si>
  <si>
    <t>VOLUME FABRICADO ( painel )=</t>
  </si>
  <si>
    <t xml:space="preserve">TOTAL de MATERIAL </t>
  </si>
  <si>
    <t>( FABRICAÇÃO )=</t>
  </si>
  <si>
    <t xml:space="preserve">VALOR p/ BASE de CÁLCULO </t>
  </si>
  <si>
    <t>de ICMS =</t>
  </si>
  <si>
    <t>ICMS</t>
  </si>
  <si>
    <t>DIGITE a DATA de INÍCIO:</t>
  </si>
  <si>
    <t xml:space="preserve">percentual de recuo no início da montagem das parede em relação </t>
  </si>
  <si>
    <t>ao término da fabricaçao de paredes no caso do módulo 2:</t>
  </si>
  <si>
    <t>módulo</t>
  </si>
  <si>
    <t xml:space="preserve">DATA: </t>
  </si>
  <si>
    <t>ETAPAS DE SERVIÇOS</t>
  </si>
  <si>
    <t>DATAS</t>
  </si>
  <si>
    <t>PRAZO em dias
corridos</t>
  </si>
  <si>
    <t>este tanque</t>
  </si>
  <si>
    <t>quant de tanques</t>
  </si>
  <si>
    <t>inicio geral</t>
  </si>
  <si>
    <t>prazo conf paredes</t>
  </si>
  <si>
    <t>início conf parede</t>
  </si>
  <si>
    <t>termino conf parede</t>
  </si>
  <si>
    <t>prazo confecção cobert total</t>
  </si>
  <si>
    <t>prazo conf cobert compart</t>
  </si>
  <si>
    <t xml:space="preserve">início conf cob compart </t>
  </si>
  <si>
    <t>início conf cob compart</t>
  </si>
  <si>
    <t>termino conf cobert compart</t>
  </si>
  <si>
    <t>confec cobert sem X no compartilhamento</t>
  </si>
  <si>
    <t>inicio sem X</t>
  </si>
  <si>
    <t>teérmino sem X</t>
  </si>
  <si>
    <t>prazo conf cobert N compart TQ1</t>
  </si>
  <si>
    <t xml:space="preserve">início conf cob N compart </t>
  </si>
  <si>
    <t>termino conf cobert N compart</t>
  </si>
  <si>
    <t>prazo mont paredes</t>
  </si>
  <si>
    <t>início mont paredes sem inserir data</t>
  </si>
  <si>
    <t>início mont paredes com inserir data</t>
  </si>
  <si>
    <t>termino mont paredes sem inserir data</t>
  </si>
  <si>
    <t>termino mont paredes com inserir data</t>
  </si>
  <si>
    <t>inicio definido mont paredes</t>
  </si>
  <si>
    <t>menor inicio conf cobert</t>
  </si>
  <si>
    <t>termino definido mont paredes</t>
  </si>
  <si>
    <t>prazo mont cobertura</t>
  </si>
  <si>
    <t>início mont cobert sem inserir data</t>
  </si>
  <si>
    <t>início mont cobert com inserir data</t>
  </si>
  <si>
    <t>termino mont cobert sem inserir data</t>
  </si>
  <si>
    <t>termino mont cobert com inserir data</t>
  </si>
  <si>
    <t>inicio definido mont cobert</t>
  </si>
  <si>
    <t>termino definido mont cobert</t>
  </si>
  <si>
    <t>prazo após guindaste Pil/Cob</t>
  </si>
  <si>
    <t>percentual de recuo na montagem das parede em relação à fabricaçao de paredes no caso do módulo 2</t>
  </si>
  <si>
    <t>prazo após guindaste</t>
  </si>
  <si>
    <t>mont parede tq 1</t>
  </si>
  <si>
    <t>para retirar cobet.</t>
  </si>
  <si>
    <t>mont cob tq 1</t>
  </si>
  <si>
    <t>marcar x</t>
  </si>
  <si>
    <t>lacunas entre paredes e paredes</t>
  </si>
  <si>
    <t>lacunas entre cobertura e cobertura</t>
  </si>
  <si>
    <t>lacunas entre cobertura e paredes</t>
  </si>
  <si>
    <t>mont parede tq 2</t>
  </si>
  <si>
    <t>mont cob tq 2</t>
  </si>
  <si>
    <t>mont parede tq 3</t>
  </si>
  <si>
    <t>mont cob tq 3</t>
  </si>
  <si>
    <t>mont parede tq 4</t>
  </si>
  <si>
    <t>mont cob tq 4</t>
  </si>
  <si>
    <t>ANÁLISE DE MONTAGENS:</t>
  </si>
  <si>
    <t>mont parede + cob. ( s/ lacunas )</t>
  </si>
  <si>
    <t>mont parede + cob. ( lacunas )</t>
  </si>
  <si>
    <t>unid</t>
  </si>
  <si>
    <t>mont parede + paredes ( s/ lacunas )</t>
  </si>
  <si>
    <t>mont parede + paredes ( lacunas )</t>
  </si>
  <si>
    <t>mont cob + cob ( s/ lacunas )</t>
  </si>
  <si>
    <t>mont cob + cob ( lacunas )</t>
  </si>
  <si>
    <t>início montagem geral</t>
  </si>
  <si>
    <t>término montagem geral</t>
  </si>
  <si>
    <t>início montagem paredes</t>
  </si>
  <si>
    <t>término montagem paredes</t>
  </si>
  <si>
    <t>início montagem cob</t>
  </si>
  <si>
    <t>término montagem cob</t>
  </si>
  <si>
    <t>CARACTERÍSTICAS DIMENSIONAIS DO TANQUE:</t>
  </si>
  <si>
    <t>1.1</t>
  </si>
  <si>
    <t>DIÂMETRO NOMINAL</t>
  </si>
  <si>
    <t>1.2</t>
  </si>
  <si>
    <t>ALTURA DO TANQUE</t>
  </si>
  <si>
    <t>1.3</t>
  </si>
  <si>
    <t>ALTURA ÚTIL</t>
  </si>
  <si>
    <t>1.4</t>
  </si>
  <si>
    <t>VOLUME ÚTIL ( 1 tanque )</t>
  </si>
  <si>
    <t>1.5</t>
  </si>
  <si>
    <t>ÁREA DE FUNDO REAL ( 1 tanque )</t>
  </si>
  <si>
    <t>1.6</t>
  </si>
  <si>
    <t>ÁREA DE PAREDES INTERNAS REAL TOTAL</t>
  </si>
  <si>
    <t>1.7</t>
  </si>
  <si>
    <t>ÁREA DE PAREDES EXTERNAS REAL TOTAL</t>
  </si>
  <si>
    <t>VOLUMES DE CONCRETO:</t>
  </si>
  <si>
    <t>2.1</t>
  </si>
  <si>
    <t>2.2</t>
  </si>
  <si>
    <t>VOLUME DE CONCRETO DE</t>
  </si>
  <si>
    <t>2.3</t>
  </si>
  <si>
    <t>2.4</t>
  </si>
  <si>
    <t>2.5</t>
  </si>
  <si>
    <t>VOLUME TOTAL DE CONCRETO ( sem perda)</t>
  </si>
  <si>
    <t>PESO DOS PAINÉIS:</t>
  </si>
  <si>
    <t>3.1</t>
  </si>
  <si>
    <t>3.2</t>
  </si>
  <si>
    <t xml:space="preserve">PESO DE </t>
  </si>
  <si>
    <t>3.3</t>
  </si>
  <si>
    <t>3.4</t>
  </si>
  <si>
    <t>3.5</t>
  </si>
  <si>
    <t>PESO TOTAL DOS PAINÉIS</t>
  </si>
  <si>
    <t>CARACTERÍSTICAS DA FORMA NA CONFECÇÃO:</t>
  </si>
  <si>
    <t>4.1</t>
  </si>
  <si>
    <t>TIPO DE SISTEMA</t>
  </si>
  <si>
    <t>4.2</t>
  </si>
  <si>
    <t>ALTURA DO PAINEL</t>
  </si>
  <si>
    <t>4.3</t>
  </si>
  <si>
    <t>ÂNGULO PARA AFINAMENTO DA FORMA</t>
  </si>
  <si>
    <t>4.4</t>
  </si>
  <si>
    <t>DISTÂNCIA FINAL SUPERIOR DA FORMA APÓS AFINAMENTO</t>
  </si>
  <si>
    <t>4.5</t>
  </si>
  <si>
    <t>ESPAÇAMENTO ENTRE PAINÉIS NA PISTA DE FABRICAÇÃO</t>
  </si>
  <si>
    <t>DIMENSÕES PARA MONTAGEM:</t>
  </si>
  <si>
    <t>5.1</t>
  </si>
  <si>
    <t>ÂNGULO PARA DIVISÃO NA MONTAGEM</t>
  </si>
  <si>
    <t>°</t>
  </si>
  <si>
    <t>5.2</t>
  </si>
  <si>
    <t>RAIO ENTRE JUNTAS NA MONTAGEM</t>
  </si>
  <si>
    <t>5.3</t>
  </si>
  <si>
    <t>RAIO NO CENTRO DO PAINEL NA MONTAGEM</t>
  </si>
  <si>
    <t>COBERTURA:</t>
  </si>
  <si>
    <t>6.1</t>
  </si>
  <si>
    <t>ÁREA DE COBERTURA ( projeção total )</t>
  </si>
  <si>
    <t>sss</t>
  </si>
  <si>
    <t>6.1.1</t>
  </si>
  <si>
    <t>ÁREA DE PILAR + SOLIDARIZAÇÃO - exposta</t>
  </si>
  <si>
    <t>6.1.2</t>
  </si>
  <si>
    <t>ÁREA DE VIGA - exposta</t>
  </si>
  <si>
    <t>6.1.3</t>
  </si>
  <si>
    <t>ÁREA DE LAJE - exposta ( parte interna do tanque )</t>
  </si>
  <si>
    <t>6.1.4</t>
  </si>
  <si>
    <t>ÁREA DE LAJE - exposta ( parte externa do tanque - teto e testeira)</t>
  </si>
  <si>
    <t>6.1.5</t>
  </si>
  <si>
    <t>ÁREA DE LAJE - exposta ( parte superior )</t>
  </si>
  <si>
    <t>6.2</t>
  </si>
  <si>
    <t xml:space="preserve">DETALHAMENTO DE PILARES </t>
  </si>
  <si>
    <t>os raios abaixo são p/ locação dos pilares ( sempre em nível com o pé da parede )</t>
  </si>
  <si>
    <t>TIPO DO PILAR
( de fora para dentro )</t>
  </si>
  <si>
    <t>QUANT. PARA
 1 TANQUE
( pç )</t>
  </si>
  <si>
    <t>QUANT. PARA
TODOS OS TANQUE
( pç )</t>
  </si>
  <si>
    <t>RAIO DE CENTRO DO PILAR (em nível c/ o pé da 
parede )
( m )</t>
  </si>
  <si>
    <t>ÂNGULO ENTRE EIXOS DE PILARES
 ( graus )</t>
  </si>
  <si>
    <t>ALTURA DO PILAR 
( m )</t>
  </si>
  <si>
    <t xml:space="preserve">ALTURA PREVISTA DE GROUT SOB O PÉ DO PILAR 
( m )
</t>
  </si>
  <si>
    <t>ELEVAÇÃO DO PÉ DO PILAR EM RELAÇÃO AO PÉ DA PAREDE 
( m )</t>
  </si>
  <si>
    <t>VOLUME POR PILAR
 ( m³ )</t>
  </si>
  <si>
    <t>PESO POR PILAR
( ton )</t>
  </si>
  <si>
    <t>6.3</t>
  </si>
  <si>
    <t>DETALHAMENTO DE VIGAS</t>
  </si>
  <si>
    <t>os raios abaixo levam em consideração a inclinação da cobertura</t>
  </si>
  <si>
    <t>TIPO DA VIGA
( de fora para dentro )</t>
  </si>
  <si>
    <t>RAIO DE CENTRO DA VIGA 
( m )</t>
  </si>
  <si>
    <t>RAIO INTERNO DA VIGA
 ( m )</t>
  </si>
  <si>
    <t>RAIO EXTERNO DA VIGA
 ( m )</t>
  </si>
  <si>
    <t>DIMENSÃO CURVA
INTERNA DA VIGA
 ( m )</t>
  </si>
  <si>
    <t>DIMENSÃO CURVA
EXTERNA DA VIGA
 ( m )</t>
  </si>
  <si>
    <t>VOLUME POR VIGA
 ( m³ )</t>
  </si>
  <si>
    <t>PESO POR VIGA
( ton )</t>
  </si>
  <si>
    <t>SSS</t>
  </si>
  <si>
    <t>6.4</t>
  </si>
  <si>
    <t xml:space="preserve">DETALHAMENTO DE LAJES </t>
  </si>
  <si>
    <t xml:space="preserve">folga entre laterais das lajes= </t>
  </si>
  <si>
    <t>mm</t>
  </si>
  <si>
    <t>folga entre cabeceiras das lajes=</t>
  </si>
  <si>
    <t>TIPO DA LAJE 
( de fora para dentro )</t>
  </si>
  <si>
    <t>DIMENSÃO da PARTE RETA EXTERNA
 ( m )</t>
  </si>
  <si>
    <t>RAIO PARA 
PARTE 
MAIOR 
 ( m )</t>
  </si>
  <si>
    <t>DIMENSÃO CURVA MAIOR  
( m )</t>
  </si>
  <si>
    <t>RAIO PARA PARTE MENOR 
 ( m )</t>
  </si>
  <si>
    <t>DIMENSÃO CURVA MENOR 
 ( m )</t>
  </si>
  <si>
    <t>COMPRI-
MENTO
CENTRAL
 ( m )</t>
  </si>
  <si>
    <t>VOLUME 
 ( m³ )</t>
  </si>
  <si>
    <t>PESO 
( ton )</t>
  </si>
  <si>
    <t>ÂNGULO 
( graus )</t>
  </si>
  <si>
    <t>RESUMO DE TRANSPORTE</t>
  </si>
  <si>
    <t>PAINÉIS DE PAREDES</t>
  </si>
  <si>
    <t>PARA VIGAS---CARRETAS INDEPENDENTES</t>
  </si>
  <si>
    <t>DADOS PARA CRONOGRAMA ( DIAS CORRIDOS COM FINAL DE SEMANA)</t>
  </si>
  <si>
    <t>7.1</t>
  </si>
  <si>
    <t>CONFECÇÃO</t>
  </si>
  <si>
    <t>7.1.1</t>
  </si>
  <si>
    <t>CONFECÇÃO DE PAREDES</t>
  </si>
  <si>
    <t>CONFECÇÃO ( dias trabalhados )</t>
  </si>
  <si>
    <t>DIAS NÃO PRODUTIVOS:</t>
  </si>
  <si>
    <t xml:space="preserve"> ( dias de final de semana )</t>
  </si>
  <si>
    <t>7.1.2</t>
  </si>
  <si>
    <r>
      <t>CONFECÇÃO DA COBERTURA</t>
    </r>
    <r>
      <rPr>
        <sz val="10"/>
        <color indexed="9"/>
        <rFont val="Arial"/>
        <family val="2"/>
      </rPr>
      <t xml:space="preserve"> ( prazo total de fabricação da cobertura)</t>
    </r>
  </si>
  <si>
    <t>CONFECÇÃO DA COBERTURA ( prazo compartilhado com a fabricação das paredes )</t>
  </si>
  <si>
    <t>CONFECÇÃO DA COBERTURA ( prazo descontando o compartilhamento )</t>
  </si>
  <si>
    <t xml:space="preserve"> ( mobilização / treinamentos / folgas / final de semana )</t>
  </si>
  <si>
    <t>7.1.3</t>
  </si>
  <si>
    <t>PRAZO TOTAL DE CONFECÇÃO ( PAREDES + COBERTURA )</t>
  </si>
  <si>
    <t>7.2</t>
  </si>
  <si>
    <t>7.2.1</t>
  </si>
  <si>
    <t>MONTAGEM DOS PAINÉIS ( com mobilização )</t>
  </si>
  <si>
    <t>7.2.2</t>
  </si>
  <si>
    <t>MONTAGEM DA COBERTURA ( com mobilização )</t>
  </si>
  <si>
    <t>MONTAGEM DE PILAR</t>
  </si>
  <si>
    <t>MONTAGEM DE VIGA</t>
  </si>
  <si>
    <t>MONTAGEM DE LAJE</t>
  </si>
  <si>
    <t>SOLIDARIZAÇÕES ENTRE PILAR E VIGA</t>
  </si>
  <si>
    <t>GROUT / JUNTAS / IMPERMEAB. FLEXÍVEL / ACABAMENTOS</t>
  </si>
  <si>
    <t>7.2.3</t>
  </si>
  <si>
    <t>PRAZO TOTAL DE MONTAGEM ( PAREDES + COBERTURA )</t>
  </si>
  <si>
    <t>7.3</t>
  </si>
  <si>
    <t>FOLGA NO PRAZO GERAL ( ADOTAR SE NECESSÁRIO)</t>
  </si>
  <si>
    <t>PRAZO GERAL DE CONFECÇÃO + MONTAGEM + intervalos</t>
  </si>
  <si>
    <t>QUANT. DE NÍVEIS DE BAINHAS ORÇADA-----------------------------------------------</t>
  </si>
  <si>
    <t>níveis</t>
  </si>
  <si>
    <t>QUANT. DE NÍVEIS DE CORDOALHAS ORÇADA-----------------------------------------------</t>
  </si>
  <si>
    <t xml:space="preserve">     CUSTO TOTAL ( CONFECÇÃO + MONTAGEM )=</t>
  </si>
  <si>
    <t>INSUMOS</t>
  </si>
  <si>
    <t>% do custo</t>
  </si>
  <si>
    <t>AÇO / TELA / ARAME</t>
  </si>
  <si>
    <t>verba</t>
  </si>
  <si>
    <t>ADITIVOS / SELANTES / IMPERMEABILIZANTES / GRAXA E OUTROS LÍQUIDOS</t>
  </si>
  <si>
    <t xml:space="preserve">ANDAIMES / ESCADA </t>
  </si>
  <si>
    <t>BAINHAS SIMPLES / TRIPLAS / CONES</t>
  </si>
  <si>
    <t>CHAPA DE APOIO / INSERTOS METÁLICOS / BOCAIS / SERVIÇOS ADICIONAIS</t>
  </si>
  <si>
    <t>CIMENTO / AREIA / GROUT / ARGAMASSA DE INJEÇÃO</t>
  </si>
  <si>
    <t>CONCRETO 40 MPa BOMBEADO</t>
  </si>
  <si>
    <t>CONCRETO AUTO-ADENSÁVEL 10 MPa 20 h</t>
  </si>
  <si>
    <t>CONCRETO AUTO-ADENSÁVEL 30 MPa 24 h</t>
  </si>
  <si>
    <t>CORDOALHAS ADERENTES E ENGRAXADAS</t>
  </si>
  <si>
    <t>CUNHAS / PORTA CUNHAS / BLOCOS DE ANCORAGEM / CAPAS PLÁSTICAS</t>
  </si>
  <si>
    <t>CUSTOS MENSAIS - FABRICAÇÃO</t>
  </si>
  <si>
    <t xml:space="preserve">DISCOS / LÂMINAS </t>
  </si>
  <si>
    <t>EPI/EPG  ( CONFECÇÃO + MONTAGEM )</t>
  </si>
  <si>
    <t xml:space="preserve">FORMAS MADEIRA / FORMAS METÁLICAS / CUNHA DE MADEIRA </t>
  </si>
  <si>
    <t>M.O  ( CONFECÇÃO + MONTAGEM )</t>
  </si>
  <si>
    <t>NEOPRENE / ISOPOR / BORRACHA DE VEDAÇÃO SOPLACAS</t>
  </si>
  <si>
    <t>PINOS / LUVAS / PARAFUSOS / ANCORAGENS PILAR x PISO</t>
  </si>
  <si>
    <t>PLATAFORMA / GUINDASTES</t>
  </si>
  <si>
    <t>REFEIÇÃO / ALOJAMENTO / TRANSPORTE PESSOAL  ( CONFECÇÃO + MONTAGEM )</t>
  </si>
  <si>
    <t>VÁLVULA ESFERA / NIPLES TAMPÃO / CURVA / FITA TEFLON</t>
  </si>
  <si>
    <t>SISTEMA SC-10 e SC-14  ORÇAMENTO
DADOS DE ENTRADA E CÁLCULOS</t>
  </si>
  <si>
    <t>DADOS DE ENTRADA GERAL:</t>
  </si>
  <si>
    <t>ALTURA DO TANQUE (h2)</t>
  </si>
  <si>
    <t xml:space="preserve">     ALTURA DE USO  (h3)</t>
  </si>
  <si>
    <t>m ( pode ser alterado )</t>
  </si>
  <si>
    <t>unidades</t>
  </si>
  <si>
    <t xml:space="preserve">DIÂMETRO INTERNO DO TANQUE NO SISTEMA ( marcar "X"  -- somente uma das opções, se quiser marcar outra opção e já </t>
  </si>
  <si>
    <t>tiver marcado uma anterior , apague a anterior):</t>
  </si>
  <si>
    <t>PAINEL FECHO ( marcar "X"):</t>
  </si>
  <si>
    <t>PAINÉIS NORNAIS ------------------------  QUANTIDADE=</t>
  </si>
  <si>
    <t>ang (graus)=</t>
  </si>
  <si>
    <t>medida da face frontal da canaleta</t>
  </si>
  <si>
    <t>tg ( ang)=</t>
  </si>
  <si>
    <t>ÁREA externa p/ acabamento=</t>
  </si>
  <si>
    <t>PESO DO PAINEL NORMAL=</t>
  </si>
  <si>
    <t>PESO DO PAINEL FECHO=</t>
  </si>
  <si>
    <t>MONTAGEM DE PAINÉIS</t>
  </si>
  <si>
    <t>GUINDASTES ( modo de cálculo 1)</t>
  </si>
  <si>
    <t>UTILIZAR MODO :</t>
  </si>
  <si>
    <t>1,2 ou 3</t>
  </si>
  <si>
    <t>de 12,01 m à 13,00 m</t>
  </si>
  <si>
    <t>de 13,01 m à 14,00 m</t>
  </si>
  <si>
    <t>GUINDASTES ( modo de cálculo 2)</t>
  </si>
  <si>
    <t>CASO NÃO QUEIRA UTILIZAR OS GUINDASTES ACIMA CALCULADOS, INSIRA ABAIXO OS NOVOS GUINDASTE:</t>
  </si>
  <si>
    <t>NO CASO DE NÃO QUERER UTILIZAR O GUINDASTE 2, MARQUE "X":</t>
  </si>
  <si>
    <t>QUANTIDADE de MOBILIZAÇÃO do GUINDASTE 1 =</t>
  </si>
  <si>
    <t>QUANTIDADE de MOBILIZAÇÃO do GUINDASTE 2 =</t>
  </si>
  <si>
    <t>DURANTE INTERVALO ENTRE TANQUES</t>
  </si>
  <si>
    <t xml:space="preserve">FRETES, CADASTRO DE TRANSPORTES : Os cálculos serão automáticos, considerando sempre o </t>
  </si>
  <si>
    <t>transporte de menor capacidade para o mesmo número de painéis transportados.</t>
  </si>
  <si>
    <t>Mas se quiser adotar outro frete da tabela por coveniência marcar "X" no ítem referente:</t>
  </si>
  <si>
    <t>Se quiser Mudar (X)</t>
  </si>
  <si>
    <t>Capac.</t>
  </si>
  <si>
    <t>SF6</t>
  </si>
  <si>
    <t>z</t>
  </si>
  <si>
    <t>carretas  para paredes</t>
  </si>
  <si>
    <t>nº da carreta</t>
  </si>
  <si>
    <t>valor</t>
  </si>
  <si>
    <t>PESO DA PEÇA P/ G1</t>
  </si>
  <si>
    <t>PESO DA PEÇA P/ G2</t>
  </si>
  <si>
    <t>Rraio</t>
  </si>
  <si>
    <t>GUIND.1</t>
  </si>
  <si>
    <t>CAPAC.</t>
  </si>
  <si>
    <t>DEFINIDO G1</t>
  </si>
  <si>
    <t>RAIO</t>
  </si>
  <si>
    <t>GUIND.2</t>
  </si>
  <si>
    <t>DEFINIDO G2</t>
  </si>
  <si>
    <t>definição</t>
  </si>
  <si>
    <t>utilizando sistema de cáculo do mais barato?</t>
  </si>
  <si>
    <t>G1</t>
  </si>
  <si>
    <t>G2</t>
  </si>
  <si>
    <t>GUIND MODO 3</t>
  </si>
  <si>
    <t>DEFINIÇÃO</t>
  </si>
  <si>
    <t>secção padrão</t>
  </si>
  <si>
    <t>normal sc14</t>
  </si>
  <si>
    <t>fecho sc14</t>
  </si>
  <si>
    <t xml:space="preserve">tolerância DNIT = </t>
  </si>
  <si>
    <t>para baixo</t>
  </si>
  <si>
    <t>para cima</t>
  </si>
  <si>
    <t>kg/pç</t>
  </si>
  <si>
    <t>PARABOLT 5/8" x 6"</t>
  </si>
  <si>
    <t xml:space="preserve">PARABOLT 5/8" x 6" </t>
  </si>
  <si>
    <t>para fixar escora 9 m aproveitadas</t>
  </si>
  <si>
    <t>anterior</t>
  </si>
  <si>
    <t>para referência =</t>
  </si>
  <si>
    <t>% no total=</t>
  </si>
  <si>
    <t>BROCA SDS Plus  DIÂMETRO 16 mm x 210 mm</t>
  </si>
  <si>
    <t>BORRACHA DE VEDAÇÃO VERTICAL SOPLACAS</t>
  </si>
  <si>
    <t xml:space="preserve">SELANTE FLEXÍVEL  PU 40 ( sachê 600 ml ) </t>
  </si>
  <si>
    <t>D11 ( MC-BAUCHIMIE ) - primer para substrados absorventes ( embalagem: galão de 4 litros )</t>
  </si>
  <si>
    <t>galão de 4 litros</t>
  </si>
  <si>
    <t>PARAFUSO NIVELAMENTO</t>
  </si>
  <si>
    <t>CAPACID.</t>
  </si>
  <si>
    <t>LUVA PADRÃO</t>
  </si>
  <si>
    <t>mob guind 1</t>
  </si>
  <si>
    <t>M30 x 85</t>
  </si>
  <si>
    <t>mob guind 2</t>
  </si>
  <si>
    <t>M36 x 85</t>
  </si>
  <si>
    <t>guind. 2 p/ retirada de JLG</t>
  </si>
  <si>
    <t>guindaste g1 está até o final do tanque</t>
  </si>
  <si>
    <t>M39 x 85</t>
  </si>
  <si>
    <t>guind. 2 p/ elevação placas fazendo pé=</t>
  </si>
  <si>
    <t>capacidade do guind. 2 p/ elev placas</t>
  </si>
  <si>
    <t>capacidade do guind. 2 p/ retirada de JLG</t>
  </si>
  <si>
    <t>com arred?</t>
  </si>
  <si>
    <t>sempre arred pra cima</t>
  </si>
  <si>
    <t>RESISTÊNCIA NOMINAL do CABO ( Rn )=</t>
  </si>
  <si>
    <t>experiências de tanques</t>
  </si>
  <si>
    <t>coeficiente de segurança</t>
  </si>
  <si>
    <t>local</t>
  </si>
  <si>
    <t>diâmentro</t>
  </si>
  <si>
    <t>altura</t>
  </si>
  <si>
    <t>níveis de cabos</t>
  </si>
  <si>
    <t>cp210 15,7</t>
  </si>
  <si>
    <t>cp190 15,7</t>
  </si>
  <si>
    <t>cp190 15,2</t>
  </si>
  <si>
    <t>peso real</t>
  </si>
  <si>
    <t>calculado pela planilha</t>
  </si>
  <si>
    <t>fator de redução</t>
  </si>
  <si>
    <t>percentual de redução</t>
  </si>
  <si>
    <t>vale peneiramento</t>
  </si>
  <si>
    <r>
      <t xml:space="preserve">= ɣ </t>
    </r>
    <r>
      <rPr>
        <sz val="10"/>
        <rFont val="Calibri"/>
        <family val="2"/>
      </rPr>
      <t>*</t>
    </r>
    <r>
      <rPr>
        <sz val="10"/>
        <rFont val="Arial"/>
        <family val="2"/>
      </rPr>
      <t xml:space="preserve"> Rc </t>
    </r>
    <r>
      <rPr>
        <sz val="10"/>
        <rFont val="Calibri"/>
        <family val="2"/>
      </rPr>
      <t>* h3 * h3 ÷ 2 * A ÷ Rn * U</t>
    </r>
  </si>
  <si>
    <t>aeração Bracell</t>
  </si>
  <si>
    <t>TAT Bracell</t>
  </si>
  <si>
    <t>nº painéis &gt;20</t>
  </si>
  <si>
    <t>MBBR Bracell</t>
  </si>
  <si>
    <t>nº painéis &lt;=20</t>
  </si>
  <si>
    <t>% redução cordoalhas engaxadas no caso de tanques grandes</t>
  </si>
  <si>
    <t>lançar=</t>
  </si>
  <si>
    <t>definição da bitola de cabo para SC6</t>
  </si>
  <si>
    <t>definição do peso de cabo para SC6</t>
  </si>
  <si>
    <t>CORDOALHA 7 Fios Revestida e Engraxada ArcelorMittal  CP190 RB -- 15,2 mm</t>
  </si>
  <si>
    <t>CORDOALHA 7 Fios Revestida e Engraxada ArcelorMittal  CP190 RB -- 12,7 mm</t>
  </si>
  <si>
    <t xml:space="preserve">CABEÇA de ANCORAGEM TRIPLA - ASTM A 572-GR50 (160X80X50 mm) </t>
  </si>
  <si>
    <t>DISCO DE CORTE PARA AÇO 4 1/2" X 1/8" X 7/8" MARCA STANLEY</t>
  </si>
  <si>
    <t>prazo p/ andaime e escada</t>
  </si>
  <si>
    <t>peso lançado manual=</t>
  </si>
  <si>
    <t>andaime=</t>
  </si>
  <si>
    <t>m³xdia</t>
  </si>
  <si>
    <t>escada=</t>
  </si>
  <si>
    <t>SIKASWELL-S2 SELANTE HIDROEXPANSÍVEL ( embalagem 300 ml )</t>
  </si>
  <si>
    <t>MURAFAN 39 RESINA  DE ADERÊNCIA (embalagm de 18 KG )</t>
  </si>
  <si>
    <t>sempre arrend pra cima</t>
  </si>
  <si>
    <t>consumo por m³</t>
  </si>
  <si>
    <t>SIKATOP ARMATEC 108 (embalagem CAIXA 4 KG A+B)</t>
  </si>
  <si>
    <t>SIKA MONOTOP - 622 ( saco com 25 kg )</t>
  </si>
  <si>
    <t xml:space="preserve">TRINCHA </t>
  </si>
  <si>
    <t>calculos antigos</t>
  </si>
  <si>
    <t>SALÁRIO OFIVIAL POLIVALENTE</t>
  </si>
  <si>
    <t>SALÁRIO GESTOR</t>
  </si>
  <si>
    <t>TRABALHO NA GRANDE VITÓRIA ?( marcar X )</t>
  </si>
  <si>
    <t>p/ prazo</t>
  </si>
  <si>
    <t>p/ custo</t>
  </si>
  <si>
    <t>DEFINIÇÃO SE SOBRAM VAGAS NO CARRO PARA AUXILIARES</t>
  </si>
  <si>
    <t>equipe</t>
  </si>
  <si>
    <t>equp total</t>
  </si>
  <si>
    <t>sobra no carro com equipe pricipal</t>
  </si>
  <si>
    <t>quant de carros equipe principal</t>
  </si>
  <si>
    <t>sobra real no carro</t>
  </si>
  <si>
    <t>com auxiliares locais</t>
  </si>
  <si>
    <t>TÍQUETE REFEIÇÃO</t>
  </si>
  <si>
    <t xml:space="preserve">ESTADIA NA VIAGEM </t>
  </si>
  <si>
    <t>pernoites</t>
  </si>
  <si>
    <t>VALE TRANSPORTE LOCAL ( CONSIDERADO MESMO VALOR DA GRANDE VITÓRIA)</t>
  </si>
  <si>
    <t>dias semana=</t>
  </si>
  <si>
    <t>dias trabalhados na semana=</t>
  </si>
  <si>
    <t>dias a mais alem da semana norma</t>
  </si>
  <si>
    <t>valor do final de semana</t>
  </si>
  <si>
    <t>final de semana</t>
  </si>
  <si>
    <t>quant. De dias trabalhadas na semana em HE ( 1h/dia)</t>
  </si>
  <si>
    <t>dias=horas</t>
  </si>
  <si>
    <t>HE semana=</t>
  </si>
  <si>
    <t xml:space="preserve">quant. De horas trabalhadas no sábado </t>
  </si>
  <si>
    <t>HE sábado=</t>
  </si>
  <si>
    <t>PERÍODO TOTAL SEM MOBILIZAÇÃO ( PRAZO PARA CLIENTE )</t>
  </si>
  <si>
    <t>total de dias produtivos para tanque isolado=</t>
  </si>
  <si>
    <t>mobilização</t>
  </si>
  <si>
    <t>folga de campo</t>
  </si>
  <si>
    <t>viagem em folga de campo</t>
  </si>
  <si>
    <t xml:space="preserve">horas de </t>
  </si>
  <si>
    <t>fator de redução no prazo para obras c/ vários tanques</t>
  </si>
  <si>
    <t>produção</t>
  </si>
  <si>
    <t>total de dias produtivos corrigido + mob + folga=</t>
  </si>
  <si>
    <t>total de dias de sábado=</t>
  </si>
  <si>
    <t>sábados</t>
  </si>
  <si>
    <t>total de dias produtivos +mob + folga reduzido</t>
  </si>
  <si>
    <t>total de domingos=</t>
  </si>
  <si>
    <t>domingos</t>
  </si>
  <si>
    <t>prazo total=</t>
  </si>
  <si>
    <t>total de semanas sem sábado=</t>
  </si>
  <si>
    <t>semanas</t>
  </si>
  <si>
    <t>total de semanas com sábado=</t>
  </si>
  <si>
    <t>horas extras de semana transformadas em dias para custo=</t>
  </si>
  <si>
    <t>horas extras de sábado transformadas em dias=</t>
  </si>
  <si>
    <t>total de dias corridos total=</t>
  </si>
  <si>
    <t xml:space="preserve">dias </t>
  </si>
  <si>
    <t>total de dias produtivos=</t>
  </si>
  <si>
    <t>total de dias não produtivos=</t>
  </si>
  <si>
    <t>total de dias para custo ( total com as horas extras)=</t>
  </si>
  <si>
    <t>novo</t>
  </si>
  <si>
    <t>GESTOR DE CONTRATOS NA MONTAGEM</t>
  </si>
  <si>
    <t>ENCARREGADO NA MONTAGEM</t>
  </si>
  <si>
    <t>TECNICO DE EDIFICAÇÕES NA MONTAGEM</t>
  </si>
  <si>
    <t>TÉCNICO DE SEGURANÇA NA MONTAGEM</t>
  </si>
  <si>
    <t>OFICIAL POLIVALENTE NA MONTAGEM</t>
  </si>
  <si>
    <t>AUXILIAR DE OBRAS NA MONTAGEM</t>
  </si>
  <si>
    <t>CALÇA UNIFORME NA MONTAGEM</t>
  </si>
  <si>
    <t>CAMISA UNIFORME NA MONTAGEM</t>
  </si>
  <si>
    <t>BOTA DE BORRACHA NA MONTAGEM</t>
  </si>
  <si>
    <t>BOTA DE COURO NA MONTAGEM</t>
  </si>
  <si>
    <t>CAPACETE NA MONTAGEM</t>
  </si>
  <si>
    <t>PROTETOR AURICULA NA MONTAGEM</t>
  </si>
  <si>
    <t>ÓCULOS DE SEGURANÇA NA MONTAGEM</t>
  </si>
  <si>
    <t>LUVA DE PIGMENTO NA MONTAGEM</t>
  </si>
  <si>
    <t>LUVA DE RASPA NA MONTAGEM</t>
  </si>
  <si>
    <t>LUVA DE PVC NA MONTAGEM</t>
  </si>
  <si>
    <t>AVENTAL DE SEGURANÇA NA MONTAGEM</t>
  </si>
  <si>
    <t>MASCARA PARA PÓ NA MONTAGEM</t>
  </si>
  <si>
    <t>PROTETOR FACIAL NA MONTAGEM</t>
  </si>
  <si>
    <t>CINTO DE SEGURANÇA NA MONTAGEM</t>
  </si>
  <si>
    <t>TRAVA QUEDA NA MONTAGEM</t>
  </si>
  <si>
    <t>CERQUITE H=1,20m NA MONTAGEM</t>
  </si>
  <si>
    <t>CONFECÇÃO DOS PAINÉIS</t>
  </si>
  <si>
    <t>padrão=</t>
  </si>
  <si>
    <t>A- PINO PARA MONTAGEM ( no topo do painel ) -----------</t>
  </si>
  <si>
    <t>B- PINO PARA MONTAGEM ( no topo do painel ) ---------</t>
  </si>
  <si>
    <t>C- PINO PARA MOVIMENTAÇÃO ( na face do painel ) ---</t>
  </si>
  <si>
    <t>D- PINO PARA MOVIMENTAÇÃO ( na face do painel ) ---</t>
  </si>
  <si>
    <t>LUVA para flutuadores TSB-M12 x 50</t>
  </si>
  <si>
    <t>considerar cálculo de CABOS ADERENTES de 12,7 mm</t>
  </si>
  <si>
    <t>igual à planilha Soplacas</t>
  </si>
  <si>
    <t>caso sim será considerada a taxa de:</t>
  </si>
  <si>
    <t>SC-6=</t>
  </si>
  <si>
    <t xml:space="preserve">5 kg/m² </t>
  </si>
  <si>
    <t>kg/m³+3%</t>
  </si>
  <si>
    <t>pino de içamento ( tipo )</t>
  </si>
  <si>
    <t>SC-10=</t>
  </si>
  <si>
    <t xml:space="preserve">6 kg/m² </t>
  </si>
  <si>
    <t>SC-14=</t>
  </si>
  <si>
    <t xml:space="preserve">8 kg/m² </t>
  </si>
  <si>
    <t>DISTANCIADOR PLÁSTICO COPLAS cadeirinha  SCP-45/30</t>
  </si>
  <si>
    <t>ARAME RECOZIDO TORCIDO</t>
  </si>
  <si>
    <t>AGENTE DE CURA hidrocarbonetos parafínicos ( CURING )</t>
  </si>
  <si>
    <t xml:space="preserve">MAQUINA DE SOLDA MIG EUTECTIC ARC 6200 </t>
  </si>
  <si>
    <t>ARAME PARA SOLDA MIG/MAG 1,2mm</t>
  </si>
  <si>
    <t>GÁS MISTURA (cilindro com 6 m³)</t>
  </si>
  <si>
    <t>cilindro</t>
  </si>
  <si>
    <t>LOCAÇÃO DO CILINDRO de 6 m³ para GÁS MISTURA</t>
  </si>
  <si>
    <t>QUANTIDADE DE EQUIPES DE FABRICAÇÃO:</t>
  </si>
  <si>
    <t>LUVA NIVELAMENTO</t>
  </si>
  <si>
    <t>TÉC. EM  EDIFICAÇÕES</t>
  </si>
  <si>
    <t>M30 x 70</t>
  </si>
  <si>
    <t>M36 x 70</t>
  </si>
  <si>
    <t>horas definido</t>
  </si>
  <si>
    <t>M39 x 70</t>
  </si>
  <si>
    <t xml:space="preserve">resistência concreto (h) </t>
  </si>
  <si>
    <t>redução de horas no prazo</t>
  </si>
  <si>
    <t>PRAZO TOTAL de DIAS PRODUTIVOS</t>
  </si>
  <si>
    <t>redução=</t>
  </si>
  <si>
    <t>painel fecho=</t>
  </si>
  <si>
    <t>somatório de todos os espaços entre placas quando no tatal apenas 1 repetição</t>
  </si>
  <si>
    <t>valor do espaço real máximo entre placas para quando apaenas 1 repetição</t>
  </si>
  <si>
    <t>definido</t>
  </si>
  <si>
    <t>valor real entre placas</t>
  </si>
  <si>
    <t>menor valor possível entre painéis</t>
  </si>
  <si>
    <t>max de placas na pista</t>
  </si>
  <si>
    <t>somatório de todos os espaços entre placas</t>
  </si>
  <si>
    <t>quant. Max  paineis/ linha correto =</t>
  </si>
  <si>
    <t>definição de sobras de cabos no final da linha=</t>
  </si>
  <si>
    <t>lado início (m)</t>
  </si>
  <si>
    <t>lado final(m)</t>
  </si>
  <si>
    <t>após análise marcar "x" para diminuir espaço entre painéis</t>
  </si>
  <si>
    <t>pontas da face  da mesa até viga SC10-14=</t>
  </si>
  <si>
    <t>repetições de PN=</t>
  </si>
  <si>
    <t>pontas da face da mesa até viga SC6=</t>
  </si>
  <si>
    <t>repetições de PF=</t>
  </si>
  <si>
    <t>repetições</t>
  </si>
  <si>
    <t>quant de placas/ repet</t>
  </si>
  <si>
    <t>sobra /repet início</t>
  </si>
  <si>
    <t>definição dos dias por repetição PN=</t>
  </si>
  <si>
    <t>dias/rep</t>
  </si>
  <si>
    <t>definição dos dias por repetição PF=</t>
  </si>
  <si>
    <t>prazo inicial para afinamentos=</t>
  </si>
  <si>
    <t>dias extras por segurança=</t>
  </si>
  <si>
    <t>PN</t>
  </si>
  <si>
    <t>PF</t>
  </si>
  <si>
    <t>pedaços no início/repet</t>
  </si>
  <si>
    <t>tamanho sobra no início em m</t>
  </si>
  <si>
    <t>quanttotal de pedaços no início</t>
  </si>
  <si>
    <t>total sobra em m</t>
  </si>
  <si>
    <t>pedaços no final/repet</t>
  </si>
  <si>
    <t>tamanho sobra no final em m</t>
  </si>
  <si>
    <t>quant total de pedaços no final</t>
  </si>
  <si>
    <t>REPETIÇÕES DO PAINEL FECHO:</t>
  </si>
  <si>
    <t>comprimento da linha=</t>
  </si>
  <si>
    <t>quant de painéis fecho max. na linha</t>
  </si>
  <si>
    <t>painéis</t>
  </si>
  <si>
    <t>quant total de painéis fecho=</t>
  </si>
  <si>
    <t>definição de reaproveitamento de cabos no painel fecho</t>
  </si>
  <si>
    <t>total de dias corridos produtivos=</t>
  </si>
  <si>
    <t>quant de repetições total=</t>
  </si>
  <si>
    <t>quant de cabos a reaproveitar</t>
  </si>
  <si>
    <t>cabos com 21,05 m que podem ser no painel fecho</t>
  </si>
  <si>
    <t>necessidade total de cabos no painel fecho =</t>
  </si>
  <si>
    <t>cabos de 21,05 m</t>
  </si>
  <si>
    <t xml:space="preserve">de </t>
  </si>
  <si>
    <t>painel</t>
  </si>
  <si>
    <t>definiçao de reaproveitamento=</t>
  </si>
  <si>
    <t>cabos a aproveitar no painel painel fecho</t>
  </si>
  <si>
    <t>fator multiplicador para ADMs uso de duas linhas simultâneas</t>
  </si>
  <si>
    <t>quantidades de cabos que sobram ao final=</t>
  </si>
  <si>
    <t>quantidades de cabos arredondados multiplos de 21,05m</t>
  </si>
  <si>
    <t>total de sobras para outro tanque a serem reaproveitados</t>
  </si>
  <si>
    <t>m a descontar deste(s) tanques</t>
  </si>
  <si>
    <t>cabos que sobram maior que 10m e menor 21,05m</t>
  </si>
  <si>
    <t>DISTÂNCIA MÍNIMA ENTRE PAINÉIS NORMAIS-------------------------------------------------------------------</t>
  </si>
  <si>
    <t>QUANTIDADE DE REPETIÇÕES NORMAIS-------------------------------------------------------------------------------------</t>
  </si>
  <si>
    <t>QUANT. DE PAINEÍS fecho POR REPETIÇÃO ----------</t>
  </si>
  <si>
    <t>ARMADOR ( polivalente )</t>
  </si>
  <si>
    <t>fator de redução das HE</t>
  </si>
  <si>
    <t>ENCARREGADO NA FABRICAÇÃO</t>
  </si>
  <si>
    <t>OFICIAL POLIVALENTE NA FABRICAÇÃO</t>
  </si>
  <si>
    <t>AUXILIAR DE OBRAS NA FABRICAÇÃO</t>
  </si>
  <si>
    <t>SOLDADOR NA FABRICAÇÃO</t>
  </si>
  <si>
    <t>TÉCNICO EM EDIFICAÇÕES NA FABRICAÇÃO</t>
  </si>
  <si>
    <t>TÉCNICO DE SEGURANÇA NA FABRICAÇÃO</t>
  </si>
  <si>
    <t>ARMADOR ( polivalente ) NA FABRICAÇÃO</t>
  </si>
  <si>
    <t>GESTOR DE FÁBRICA NA FABRICAÇÃO</t>
  </si>
  <si>
    <t>dias produtivos=</t>
  </si>
  <si>
    <t>ADM NA FABRICAÇÃO</t>
  </si>
  <si>
    <t>CALÇA UNIFORME NA FABRICAÇÃO</t>
  </si>
  <si>
    <t>CAMISA UNIFORME NA FABRICAÇÃO</t>
  </si>
  <si>
    <t>BOTA DE BORRACHA NA FABRICAÇÃO</t>
  </si>
  <si>
    <t>BOTA DE COURO NA FABRICAÇÃO</t>
  </si>
  <si>
    <t>CAPACETE NA FABRICAÇÃO</t>
  </si>
  <si>
    <t>PROTETOR AURICULA NA FABRICAÇÃO</t>
  </si>
  <si>
    <t>ÓCULOS DE SEGURANÇA NA FABRICAÇÃO</t>
  </si>
  <si>
    <t>LUVA DE PIGMENTO NA FABRICAÇÃO</t>
  </si>
  <si>
    <t>LUVA DE RASPA NA FABRICAÇÃO</t>
  </si>
  <si>
    <t>LUVA DE PVC NA FABRICAÇÃO</t>
  </si>
  <si>
    <t>AVENTAL DE SEGURANÇA NA FABRICAÇÃO</t>
  </si>
  <si>
    <t>MASCARA PARA PÓ NA FABRICAÇÃO</t>
  </si>
  <si>
    <t>PROTETOR FACIAL NA FABRICAÇÃO</t>
  </si>
  <si>
    <t>altura do grout na pé do pilar=</t>
  </si>
  <si>
    <t>inclinação no fundo do tanque subindo no centro no centro=</t>
  </si>
  <si>
    <t>sistema=</t>
  </si>
  <si>
    <t>espessura total do painel=</t>
  </si>
  <si>
    <t>altura da laje total=</t>
  </si>
  <si>
    <t>inclinação no fundo do tanque afundando no centro=</t>
  </si>
  <si>
    <t>quantidade de tanques=</t>
  </si>
  <si>
    <t>altura do calço de apoio do pré-moldado na carreta=</t>
  </si>
  <si>
    <t>quantidade de painéis de parede=</t>
  </si>
  <si>
    <t>área de cobertura</t>
  </si>
  <si>
    <t>limite de altura de carga na carreta do chão=</t>
  </si>
  <si>
    <t>diâmetro do tanque=</t>
  </si>
  <si>
    <t>restrições para LMax:</t>
  </si>
  <si>
    <t>estudo de pós-tensão nas lajes</t>
  </si>
  <si>
    <t>DEFINIÇÃO DE VIGAS</t>
  </si>
  <si>
    <t>limite de altura de carga na carreta da carroceria =</t>
  </si>
  <si>
    <t>definição de peça central=</t>
  </si>
  <si>
    <t>altura do tanque=</t>
  </si>
  <si>
    <t>para SC10 ou SC14</t>
  </si>
  <si>
    <t>terá pós-tensão?</t>
  </si>
  <si>
    <t>limite de protensão justado=</t>
  </si>
  <si>
    <t>menor diâmetro de laje sem vigas  adotado=</t>
  </si>
  <si>
    <t xml:space="preserve">valor a mais para sobrepor parede </t>
  </si>
  <si>
    <t>inclin. Laje=</t>
  </si>
  <si>
    <t>para SC6</t>
  </si>
  <si>
    <t>falta fazer fórmula</t>
  </si>
  <si>
    <t>quant. de apoio ( parede + pilares interm. + pilar central)</t>
  </si>
  <si>
    <t>valor do raio central livre=</t>
  </si>
  <si>
    <t>distância máx. entre pilares</t>
  </si>
  <si>
    <t>sobra de cabos a mais p/ cada lado=</t>
  </si>
  <si>
    <t>linhas de vigas</t>
  </si>
  <si>
    <t>nº apoios</t>
  </si>
  <si>
    <t>condicionante</t>
  </si>
  <si>
    <t>raio mais extreno</t>
  </si>
  <si>
    <t>limite de comprimento da laje=</t>
  </si>
  <si>
    <t>quantidade de cabos=</t>
  </si>
  <si>
    <t>unid/laje</t>
  </si>
  <si>
    <t>raio mais externo p/ laje</t>
  </si>
  <si>
    <t>menor raio</t>
  </si>
  <si>
    <t>comprimento de laje</t>
  </si>
  <si>
    <t>quant de lajes</t>
  </si>
  <si>
    <t>comprimento de 1 cabo</t>
  </si>
  <si>
    <t>comprim de cabos</t>
  </si>
  <si>
    <t>ancoragem</t>
  </si>
  <si>
    <t>raio menor de vigas prox. ao pilar central</t>
  </si>
  <si>
    <t>maior larg adotado</t>
  </si>
  <si>
    <t>cabeça do pilar central:</t>
  </si>
  <si>
    <t>raio médio p/ vigas</t>
  </si>
  <si>
    <t>h1=</t>
  </si>
  <si>
    <t>quantidade de pilar=</t>
  </si>
  <si>
    <t>comprimento total da circunferência de vigas</t>
  </si>
  <si>
    <t>maior raio de laje possível=</t>
  </si>
  <si>
    <t>h2=</t>
  </si>
  <si>
    <t>maior quant de linhas de viga possível adotada=</t>
  </si>
  <si>
    <t>L1=</t>
  </si>
  <si>
    <t>L2=</t>
  </si>
  <si>
    <t>quant de lajes linha mais externa=</t>
  </si>
  <si>
    <t>h=</t>
  </si>
  <si>
    <t xml:space="preserve">DEFINIÇÃO DE PILARES </t>
  </si>
  <si>
    <t>folga lateral entre placas=</t>
  </si>
  <si>
    <t>quantidade de pilares</t>
  </si>
  <si>
    <t>folga entre placas no sentido radial=</t>
  </si>
  <si>
    <t>menor raio para laje de miolo</t>
  </si>
  <si>
    <t>m ( este raio é o centro da viga que será executada em conjunto com a laje formando a laje bolacha )</t>
  </si>
  <si>
    <t>calculo de quant de lajes mais externas</t>
  </si>
  <si>
    <t xml:space="preserve">largura maior da laje adotado </t>
  </si>
  <si>
    <t>posição X da viga de fora para dentro</t>
  </si>
  <si>
    <t>quantidade de lajes na viga posição X</t>
  </si>
  <si>
    <t>raio p/ linha de viga ( lado maior )</t>
  </si>
  <si>
    <t>comprimento da curva maior</t>
  </si>
  <si>
    <t>ângulo para viga na posição X em graus</t>
  </si>
  <si>
    <t>ângulo para viga na posição X em radianos</t>
  </si>
  <si>
    <t>raio p/ linha de viga ( lado maior -borda de reforço)</t>
  </si>
  <si>
    <t>comprimento da curva maior no ponto interno da borda de reforço</t>
  </si>
  <si>
    <t>média (comprimento da corda maior e borda de reforço)</t>
  </si>
  <si>
    <t>ângulo para viga na posição X em graus REAL</t>
  </si>
  <si>
    <t>raio p/ linha de viga ( lado maior ) DEFINIÇÃO</t>
  </si>
  <si>
    <t>p/ condição2</t>
  </si>
  <si>
    <t>cabeceira central:</t>
  </si>
  <si>
    <t>para laje</t>
  </si>
  <si>
    <t>parte externa</t>
  </si>
  <si>
    <t>para tanque</t>
  </si>
  <si>
    <t>L=</t>
  </si>
  <si>
    <t>raio mais externo sem inclinação</t>
  </si>
  <si>
    <t>na parede</t>
  </si>
  <si>
    <t>auxiliar1</t>
  </si>
  <si>
    <t>altura da inclinação</t>
  </si>
  <si>
    <t>na posição x da viga de fora para dentro</t>
  </si>
  <si>
    <t>raio mais externo inclinado</t>
  </si>
  <si>
    <t>quantidade de vigas=</t>
  </si>
  <si>
    <t>caso 1 ( 1 pilar central ) quant de painéis =</t>
  </si>
  <si>
    <t>caso 2 ( 4 pilares com L-bolacha ) quant de painéis =</t>
  </si>
  <si>
    <t>oficial polivalente para pós-tensão</t>
  </si>
  <si>
    <t>caso valor do raio limite para 1 pilar central=</t>
  </si>
  <si>
    <t>1 dia para</t>
  </si>
  <si>
    <t>lajes</t>
  </si>
  <si>
    <t>total</t>
  </si>
  <si>
    <t xml:space="preserve">quant de poliv.  em </t>
  </si>
  <si>
    <t>polivalente</t>
  </si>
  <si>
    <t>LAJE</t>
  </si>
  <si>
    <t>quantidade de lajes=</t>
  </si>
  <si>
    <t>valor do menor raio para 1 pilar central=</t>
  </si>
  <si>
    <t>valor do raio da laje bolacha=</t>
  </si>
  <si>
    <t>secção da viga central:</t>
  </si>
  <si>
    <t>valor do menor raio para 4 pilares com L-bolacha=</t>
  </si>
  <si>
    <t>p(maior)=</t>
  </si>
  <si>
    <t>p(menor)=</t>
  </si>
  <si>
    <t>valor suposição de laje mais ao centro com projeção de beiral ( somente para determinar pilar central ou L-bolacha ) raio =</t>
  </si>
  <si>
    <t>h3=</t>
  </si>
  <si>
    <t>definição para 1 pilar central com no mínimo 1 linha de viga=</t>
  </si>
  <si>
    <t>apoio de extremidade:</t>
  </si>
  <si>
    <t>posição de emenda da viga de fora para dentro</t>
  </si>
  <si>
    <t>raio p/ linha de viga ( lado menor)</t>
  </si>
  <si>
    <t>comprimento da curva menor</t>
  </si>
  <si>
    <t>raio p/ linha de viga ( lado menor) DEFINIÇÃO</t>
  </si>
  <si>
    <t>T1=</t>
  </si>
  <si>
    <t>definição de laje L-bolacha sem pilar central</t>
  </si>
  <si>
    <t>T2=</t>
  </si>
  <si>
    <t>pilares na laje L-bolacha</t>
  </si>
  <si>
    <t>pilares para L-bolacha</t>
  </si>
  <si>
    <t>h4=</t>
  </si>
  <si>
    <t>espessura da laje:</t>
  </si>
  <si>
    <t>definição de pilar central sem L-bolacha sem linhas de vigas</t>
  </si>
  <si>
    <t>pilar central</t>
  </si>
  <si>
    <t>e=</t>
  </si>
  <si>
    <t>limite do menor comprimento de laje=</t>
  </si>
  <si>
    <t>(lajes)</t>
  </si>
  <si>
    <t>m  corridos</t>
  </si>
  <si>
    <t xml:space="preserve">m  corridos </t>
  </si>
  <si>
    <t>(laje)</t>
  </si>
  <si>
    <t>(viga central)</t>
  </si>
  <si>
    <t>forma=</t>
  </si>
  <si>
    <t>concreto=</t>
  </si>
  <si>
    <t>armação=</t>
  </si>
  <si>
    <t>sistema de ancoragem pilar x piso=</t>
  </si>
  <si>
    <t>área p/ revestimento interno no teto</t>
  </si>
  <si>
    <t>VIGAS DE APOIO</t>
  </si>
  <si>
    <t>total área do bico  do trIangulo a mais externo</t>
  </si>
  <si>
    <t>LAJES (COM VIGA CENTRAL)</t>
  </si>
  <si>
    <t>resumo de lajes</t>
  </si>
  <si>
    <t>FRETE 1 ( para sobras de lajes referentes ao transporte junto com paredes )</t>
  </si>
  <si>
    <t>FRETE 2 ( para sobras de lajes referentes ao transporte junto com paredes )</t>
  </si>
  <si>
    <t>FRETE 3 ( para sobras de lajes referentes ao transporte junto com paredes )</t>
  </si>
  <si>
    <t>FRETE 4 ( para sobras de lajes referentes ao transporte junto com paredes )</t>
  </si>
  <si>
    <t>FRETE 5 ( para sobras de lajes referentes ao transporte junto com paredes )</t>
  </si>
  <si>
    <t>pilares que podem ir junto das lajes</t>
  </si>
  <si>
    <t>comprimento da laje</t>
  </si>
  <si>
    <t>área de 1 laje</t>
  </si>
  <si>
    <t>área total de laje</t>
  </si>
  <si>
    <t>total de comprimento de viga  central</t>
  </si>
  <si>
    <t>quantidade de comprimento de laje</t>
  </si>
  <si>
    <t>volume de 1 laje</t>
  </si>
  <si>
    <t>total volume de laje</t>
  </si>
  <si>
    <t>peso de 1 laje</t>
  </si>
  <si>
    <t>total peso de laje</t>
  </si>
  <si>
    <t>definição para quant de L-bolacha</t>
  </si>
  <si>
    <t>quant de lajes transportados com paredes</t>
  </si>
  <si>
    <t>quant de lajes por frete ( definição final)</t>
  </si>
  <si>
    <t>quant de lajes por frete ( por capac)</t>
  </si>
  <si>
    <t>quant de lajes por frete ( por comprimento)</t>
  </si>
  <si>
    <t>quant de lajes por frete altura</t>
  </si>
  <si>
    <t>sobra do frete (ton)</t>
  </si>
  <si>
    <t>definição p/ sobra</t>
  </si>
  <si>
    <t>quant de lajes por frete ( por capac) para sobra</t>
  </si>
  <si>
    <t>quant de lajes por frete ( por comprimento) para sobra</t>
  </si>
  <si>
    <t>quant de lajes por frete altura para sobra</t>
  </si>
  <si>
    <t>analise da sobra por comprim  com o anterior</t>
  </si>
  <si>
    <t>analise da sobra por altura  com o anterior</t>
  </si>
  <si>
    <t>sobra do frete ( ton)</t>
  </si>
  <si>
    <t xml:space="preserve">peças a juntar no frete </t>
  </si>
  <si>
    <t>definição do frete com desconto junto com paredes</t>
  </si>
  <si>
    <t>definição do frete sem influência com paredes</t>
  </si>
  <si>
    <t>peças a juntar no frete anterior</t>
  </si>
  <si>
    <t>frete 1</t>
  </si>
  <si>
    <t>frete 2</t>
  </si>
  <si>
    <t>frete 3</t>
  </si>
  <si>
    <t>frete 4</t>
  </si>
  <si>
    <t>frete 5</t>
  </si>
  <si>
    <t>sobra de laje para pilar</t>
  </si>
  <si>
    <t>área p/ revestimento externa ( fundo e testeira )</t>
  </si>
  <si>
    <t>área p/ revestimento SOBRE LAJE</t>
  </si>
  <si>
    <t>SOLIDARIZAÇÃO</t>
  </si>
  <si>
    <t>total comprimento de viga central</t>
  </si>
  <si>
    <t>L-1</t>
  </si>
  <si>
    <t>L-2</t>
  </si>
  <si>
    <t>L-3</t>
  </si>
  <si>
    <t>neoprene 50 X 5 X 0,5 cm=</t>
  </si>
  <si>
    <t>L-4</t>
  </si>
  <si>
    <t>grout para preenchimentos=</t>
  </si>
  <si>
    <t>L-5</t>
  </si>
  <si>
    <t>junta com selante =</t>
  </si>
  <si>
    <t>L-6</t>
  </si>
  <si>
    <t>impermeabilização  semi-flexível larg= 15 cm=</t>
  </si>
  <si>
    <t>L-7</t>
  </si>
  <si>
    <t>L-8</t>
  </si>
  <si>
    <t>L-9</t>
  </si>
  <si>
    <t>com arred p/ cima=</t>
  </si>
  <si>
    <t>L-10</t>
  </si>
  <si>
    <t>L-11</t>
  </si>
  <si>
    <t>quantidade de pilares montados no dia=</t>
  </si>
  <si>
    <t>L-12</t>
  </si>
  <si>
    <t>para 1 tq (dias)</t>
  </si>
  <si>
    <t>para n tanques ( considerado fator de 20%)</t>
  </si>
  <si>
    <t>L-13</t>
  </si>
  <si>
    <t>quntidades de dias para montagem de pilares=</t>
  </si>
  <si>
    <t>L-14</t>
  </si>
  <si>
    <t>L-15</t>
  </si>
  <si>
    <t>MONTAGEM DE VIGAS DE APOIO</t>
  </si>
  <si>
    <t>quantidade de vigas montadas no dia=</t>
  </si>
  <si>
    <t>média para sugestão de comprimento máximo</t>
  </si>
  <si>
    <t>quant. Pilar q pode ir junto da laje</t>
  </si>
  <si>
    <t>quant de lajes p/ tqs</t>
  </si>
  <si>
    <t>quant de lajes acumuladas com próxima e descontadas as que foram para anterior</t>
  </si>
  <si>
    <t>quant desta laje</t>
  </si>
  <si>
    <t xml:space="preserve">quant da próxima laje </t>
  </si>
  <si>
    <t>quant de carretas de paredes usadas</t>
  </si>
  <si>
    <t>quant de lajes vindas da anterior a ser colocada nesta</t>
  </si>
  <si>
    <t>quant de lajes máximas por carreta junto com parede</t>
  </si>
  <si>
    <t>quant  de lajes transport em carretas separadas</t>
  </si>
  <si>
    <t>resumo fretes junto com paredes</t>
  </si>
  <si>
    <t>quant max de lajes por carreta</t>
  </si>
  <si>
    <t>quant de frete descontando os juntos com carreta</t>
  </si>
  <si>
    <t>resumo fretes que sobram quando junto com paredes</t>
  </si>
  <si>
    <t>quant de frete somente lajes</t>
  </si>
  <si>
    <t>resumo somente lajes ( sem influência das paredes )</t>
  </si>
  <si>
    <t>quantid de lajes que vem da próxima</t>
  </si>
  <si>
    <t>TOTAL DE LAJES</t>
  </si>
  <si>
    <t>quant de pilares por frete</t>
  </si>
  <si>
    <t>quant. De fretes sem parede</t>
  </si>
  <si>
    <t>quntidades de dias para montagem de vigas=</t>
  </si>
  <si>
    <t xml:space="preserve">MONTAGEM DE LAJES </t>
  </si>
  <si>
    <t>quantidade de lajes montadas no dia=</t>
  </si>
  <si>
    <t>não está sendo usado na fórmula</t>
  </si>
  <si>
    <t>peso do pilar central</t>
  </si>
  <si>
    <t>para n tanques ( considerado fator de 30%)</t>
  </si>
  <si>
    <t>quntidades de dias para montagem de lajes=</t>
  </si>
  <si>
    <t>quant. Pilar q pode ir junto da laje analisando o central junto</t>
  </si>
  <si>
    <t>marcar x pra poder não usar na fómula=</t>
  </si>
  <si>
    <t xml:space="preserve">SOLIDARIZAÇÕES </t>
  </si>
  <si>
    <t>quantidade de solidarizações executadas no dia=</t>
  </si>
  <si>
    <t>definição final=</t>
  </si>
  <si>
    <t>quantidades de dias para solidarizações=</t>
  </si>
  <si>
    <t>LAJE COM QUEM O PILAR ESTÁ SENDO TRANSPORTADO</t>
  </si>
  <si>
    <t>GROUT / JUNTAS DE SELAGEM / IMPERMEABILIZAÇÃO FLEXÍVEL / ACABAMENTOS</t>
  </si>
  <si>
    <t>quant. de dias  por m² de laje para execução destes serviços=</t>
  </si>
  <si>
    <t>quantidades de dias para serviços=</t>
  </si>
  <si>
    <t>DESCARREGAMENTO DE CARRETAS</t>
  </si>
  <si>
    <t>quantidade de dias por descarregamento de carreta=</t>
  </si>
  <si>
    <t>definição quando junto com paredes</t>
  </si>
  <si>
    <t>definição de pilares quando houver laje miolo</t>
  </si>
  <si>
    <t>quantidades de dias para descarregamentos=</t>
  </si>
  <si>
    <t>PRAZOS PARA MONTAGEM</t>
  </si>
  <si>
    <t>PRAZO TOTAL EM DIAS TRABALHADOS</t>
  </si>
  <si>
    <t>PRAZO TOTAL EM DIAS CORRIDOS</t>
  </si>
  <si>
    <t>total de dias produtivos corrigido=</t>
  </si>
  <si>
    <t>total de dias produtivos reduzido</t>
  </si>
  <si>
    <t>pilar</t>
  </si>
  <si>
    <t>viga</t>
  </si>
  <si>
    <t>laje</t>
  </si>
  <si>
    <t>mais pesada</t>
  </si>
  <si>
    <t>peso unit.</t>
  </si>
  <si>
    <t>peso total</t>
  </si>
  <si>
    <t>comprim.</t>
  </si>
  <si>
    <t>DEFINIÇÃO FINAL DO TRANSPORTE DAS LAJES</t>
  </si>
  <si>
    <t>DEFINIÇÃO FINAL PILAR</t>
  </si>
  <si>
    <t>COM PAREDES</t>
  </si>
  <si>
    <t>SEM PAREDES</t>
  </si>
  <si>
    <t>COM PAREDE</t>
  </si>
  <si>
    <t>SEM  PAREDE</t>
  </si>
  <si>
    <r>
      <rPr>
        <sz val="10"/>
        <color indexed="10"/>
        <rFont val="Arial"/>
        <family val="2"/>
      </rPr>
      <t>ANTIGO</t>
    </r>
    <r>
      <rPr>
        <sz val="10"/>
        <rFont val="Arial"/>
        <family val="2"/>
      </rPr>
      <t>=SE(ENTRADAS!$E$977="X";SE(AE156&gt;0;AB155&amp;" pilares transportadados juntos com carretas das paredes----
sendo: "&amp;V155&amp;" pilar em cada carreta de parede ----"
&amp;" e mais "&amp;AE156&amp;" carretas somente com pilares levando até "&amp;$DM$93&amp;" pilares por carreta";AB155&amp;" pilares transportadados juntos com carretas das paredes----
sendo: "&amp;V155&amp;" pilar em cada carreta de parede ");0)</t>
    </r>
  </si>
  <si>
    <r>
      <rPr>
        <sz val="10"/>
        <color indexed="10"/>
        <rFont val="Arial"/>
        <family val="2"/>
      </rPr>
      <t>ANTIGO</t>
    </r>
    <r>
      <rPr>
        <sz val="10"/>
        <rFont val="Arial"/>
        <family val="2"/>
      </rPr>
      <t>=SE(D12=0;0;SE(D12&lt;PROCV($A$162;C166:L208;10);SE(ENTRADAS!$E$977="X";0;DN93&amp;" carretas somente com pilares, levando "&amp;D12&amp;" pilares por carreta");SE(ENTRADAS!$E$977="X";0;DN93&amp;" carretas somente com pilares, levando até "&amp;$DM$93&amp;" pilares por carreta")))</t>
    </r>
  </si>
  <si>
    <t>"antes era"=SE(Y134=0;0;SE(P134=0;SE(P134=0;O134;P134);SE(O134*S134/$AE$165&lt;Z132;SE(P134=0;O134;P134)+O134;SE(P134=0;O134;P134))))</t>
  </si>
  <si>
    <t>posição da laje</t>
  </si>
  <si>
    <t>quant de laje</t>
  </si>
  <si>
    <t>quant de lajes a somar na anterior</t>
  </si>
  <si>
    <t>quantidade de lajes no total com sobra da próxima</t>
  </si>
  <si>
    <t>quantidade total com soma da próxima menos a que foi para anterior</t>
  </si>
  <si>
    <t>peso das lajes</t>
  </si>
  <si>
    <t>divisão sobra peso na carreta por laje</t>
  </si>
  <si>
    <t>divisão sobra peso na carreta anterior por laje</t>
  </si>
  <si>
    <t>quantidade de laje que pode ir junto na carreta de paredes</t>
  </si>
  <si>
    <t>quantidade de laje que pode ir junto na carreta anterior de paredes</t>
  </si>
  <si>
    <t>carretas à utilizar que atendem</t>
  </si>
  <si>
    <t>definição final</t>
  </si>
  <si>
    <t>sobra de carretas</t>
  </si>
  <si>
    <t>SE(ENTRADAS!$E$977="X";</t>
  </si>
  <si>
    <t>lajes transportadas junto com paredes</t>
  </si>
  <si>
    <t>lajes que sobram</t>
  </si>
  <si>
    <t>frete 1 lajes</t>
  </si>
  <si>
    <t>frete 2 lajes</t>
  </si>
  <si>
    <t>frete 3 lajes</t>
  </si>
  <si>
    <t>frete 4 lajes</t>
  </si>
  <si>
    <t>frete 5 lajes</t>
  </si>
  <si>
    <t>parede</t>
  </si>
  <si>
    <t>CÁLCULO INUTILIZADOS</t>
  </si>
  <si>
    <t>x do console=</t>
  </si>
  <si>
    <t>largura do pilar sentido das vigas=</t>
  </si>
  <si>
    <t>lagura da viga =</t>
  </si>
  <si>
    <t>hv da viga circular=</t>
  </si>
  <si>
    <t xml:space="preserve">Menor guindaste a usar = </t>
  </si>
  <si>
    <t xml:space="preserve">para espaço livre externo de até 50% e  nº de placas &lt;= 20 </t>
  </si>
  <si>
    <t>hv da viga do L-bolacha=</t>
  </si>
  <si>
    <t>para espaço livre externo de 51 até 100% e  nº de placas &lt;= 40</t>
  </si>
  <si>
    <t>resumo das vigas</t>
  </si>
  <si>
    <t>raio do centro da viga</t>
  </si>
  <si>
    <t>definição final raio do centro da viga</t>
  </si>
  <si>
    <t>circunferência total</t>
  </si>
  <si>
    <t>quant. De vigas provisório</t>
  </si>
  <si>
    <t>definição na quant de vigas</t>
  </si>
  <si>
    <t>comprim de centro a centro de pilar</t>
  </si>
  <si>
    <t>comprim da viga no centro</t>
  </si>
  <si>
    <t>raio interno da viga</t>
  </si>
  <si>
    <t>raio externo da viga</t>
  </si>
  <si>
    <t>comprimento interno da viga</t>
  </si>
  <si>
    <t>comprimento externo da viga</t>
  </si>
  <si>
    <t>quant de vigas total</t>
  </si>
  <si>
    <t>volume 1 viga</t>
  </si>
  <si>
    <t>peso 1 viga</t>
  </si>
  <si>
    <t>volume total viga</t>
  </si>
  <si>
    <t>peso total viga</t>
  </si>
  <si>
    <t>para eliminar menor quant</t>
  </si>
  <si>
    <t>para eliminar menor peso</t>
  </si>
  <si>
    <t>forma das vigas</t>
  </si>
  <si>
    <t>concreto das vigas</t>
  </si>
  <si>
    <t>quant de pilar fórmula auxiliar</t>
  </si>
  <si>
    <t>definição de pilares geral</t>
  </si>
  <si>
    <t>definição de pilares fora centro</t>
  </si>
  <si>
    <t>definição de pilar do centro</t>
  </si>
  <si>
    <t>raio de centro do pilar ( medida nivelada com o pé da parede )</t>
  </si>
  <si>
    <t>ângulo de distribuição</t>
  </si>
  <si>
    <t>desnível devido à inclin subindo no centro (da parede p/ dentro) para pilares fora do centro</t>
  </si>
  <si>
    <t>desnível devido à inclin afundando no centro (da parede para dentro) para pilares fora do centro</t>
  </si>
  <si>
    <t>desnível devido à inclin subindo no centro (da parede p/ dentro) para pilar do centro</t>
  </si>
  <si>
    <t>desnível devido à inclin afundando no centro (da parede para dentro) para pilar do centro</t>
  </si>
  <si>
    <t xml:space="preserve">h de queda no raio do pilar fora do centro da cobertura </t>
  </si>
  <si>
    <t>h de queda no raio do pilar do centro da cobertura ( na face interna do capitel)</t>
  </si>
  <si>
    <t>altura grout no pé do pilar</t>
  </si>
  <si>
    <t>altura final do pilares fora do centro</t>
  </si>
  <si>
    <t>altura final do pilar  do centro</t>
  </si>
  <si>
    <t>volume de 1 pilar fora  do centro</t>
  </si>
  <si>
    <t>volume de 1 pilar  do centro</t>
  </si>
  <si>
    <t>volume total  pilares fora do centro</t>
  </si>
  <si>
    <t>peso 1 pilar fora do centro</t>
  </si>
  <si>
    <t>peso 1 pilar do centro</t>
  </si>
  <si>
    <t>total de carretas de parede  a utilizar:</t>
  </si>
  <si>
    <t>guindaste de =</t>
  </si>
  <si>
    <t>para espaço livre externo de até 100% e  nº de placas &gt; 20</t>
  </si>
  <si>
    <t>sobra de carretasde paredes a utilizar</t>
  </si>
  <si>
    <t>quantidde de lajes transportadas junto com paredes=</t>
  </si>
  <si>
    <t>quantidde de lajes NÃO transportadas junto com paredes=</t>
  </si>
  <si>
    <t>GUINDASTE PARA LAJES</t>
  </si>
  <si>
    <t>quant de pilar</t>
  </si>
  <si>
    <t>peso do pilar</t>
  </si>
  <si>
    <t>divisão sobra peso na carreta por pilar</t>
  </si>
  <si>
    <t>quantidade de pilar que pode ir junto na carreta de paredes</t>
  </si>
  <si>
    <t>pilares transportados junto com paredes</t>
  </si>
  <si>
    <t>pilares que sobram</t>
  </si>
  <si>
    <t>frete necessario para sobras de pilares</t>
  </si>
  <si>
    <t>MOBILIZAÇÃO de GUINDASTE p/ LAJES</t>
  </si>
  <si>
    <t xml:space="preserve">para espaço livre externo de até 50% e  nº de placas &gt;20 </t>
  </si>
  <si>
    <t>quando mudado o guindaste ( escolha forçada)</t>
  </si>
  <si>
    <t>quantidde de pilar transportadas junto com paredes=</t>
  </si>
  <si>
    <t>para espaço livre externo de até 100% e  nº de placas &gt; 40</t>
  </si>
  <si>
    <t>quantidde de pilar NÃO transportadas junto com paredes=</t>
  </si>
  <si>
    <t>fretes para laje</t>
  </si>
  <si>
    <t>fretes para pilar</t>
  </si>
  <si>
    <t>À DISPOSIÇÃO ------------- GUINDASTE SOBRE RODAS p/ LAJES CAP. = -------------------</t>
  </si>
  <si>
    <t>lotação pilar/ frete</t>
  </si>
  <si>
    <t>CAPAC</t>
  </si>
  <si>
    <t>y</t>
  </si>
  <si>
    <t>quant de fretes</t>
  </si>
  <si>
    <t>pç/frete</t>
  </si>
  <si>
    <t>quant de pç</t>
  </si>
  <si>
    <t>peso 1 pç</t>
  </si>
  <si>
    <t>cap da carreta</t>
  </si>
  <si>
    <t>sobra de carga da carreta</t>
  </si>
  <si>
    <t>quant. De frete p/ lajes e pilares q sobram</t>
  </si>
  <si>
    <t>PARA LAJES E PILARES</t>
  </si>
  <si>
    <t>viga+pilar</t>
  </si>
  <si>
    <t>só pilar</t>
  </si>
  <si>
    <t>comp</t>
  </si>
  <si>
    <t>paredes</t>
  </si>
  <si>
    <t>média=</t>
  </si>
  <si>
    <t>para tanque de 1 pilar central ou miolo central</t>
  </si>
  <si>
    <t>maior</t>
  </si>
  <si>
    <t>ton/laje</t>
  </si>
  <si>
    <t>total de viga eliminando a menor</t>
  </si>
  <si>
    <t>ton/pilar</t>
  </si>
  <si>
    <t>total de peso eliminando a menor</t>
  </si>
  <si>
    <t>média peso das vigas p/ frete</t>
  </si>
  <si>
    <t xml:space="preserve">para tanque com + de  1 pilar </t>
  </si>
  <si>
    <t>ton total</t>
  </si>
  <si>
    <t>ton+15%</t>
  </si>
  <si>
    <t>peso total pilar laje com +15%=</t>
  </si>
  <si>
    <t>carretas  para pilar e lajes</t>
  </si>
  <si>
    <t>PARA VIGAS</t>
  </si>
  <si>
    <t>carretas  para vigas</t>
  </si>
  <si>
    <t>SISTEMA DE ANCORAGEM PILAR x PISO ( TREJOR )</t>
  </si>
  <si>
    <t>PLATAFORMA ELEVATÓRIA ARTICULADA (PTA) TIPO 450AJ</t>
  </si>
  <si>
    <t>CONCRETO PARA SOLIDARIZAÇÃO FCK 40 MPa</t>
  </si>
  <si>
    <t>lajes ( quando houver vigas)</t>
  </si>
  <si>
    <t>resumo de laje/pilar</t>
  </si>
  <si>
    <t xml:space="preserve">somente quant frete para pilar </t>
  </si>
  <si>
    <t xml:space="preserve">NEOPRENE 50 X 5 X 0,5 cm </t>
  </si>
  <si>
    <t>lajes ( sem vigas )</t>
  </si>
  <si>
    <t>resumo de laje</t>
  </si>
  <si>
    <t>resumo de pilar</t>
  </si>
  <si>
    <t>LAJES/
PILAR</t>
  </si>
  <si>
    <t>quant. de fretes</t>
  </si>
  <si>
    <t>GESTOR DE CONTRATATOS</t>
  </si>
  <si>
    <t>falta alterar SE(G327="X";0;SE(H336="x";"Carro comum ( viagem alojam. x obra x alojam. )"&amp;"   "&amp;ARREDONDAR.PARA.CIMA((SOMA(C304:C308)*C301/D336);0)&amp;" carros";0))</t>
  </si>
  <si>
    <t>falta alterarSE(G327="X";0;"( percorrendo total= "&amp;SE(H336="x";G331*2*ARREDONDAR.PARA.CIMA((SOMA(C304:C308)*C301/D336);0)*ARREDONDAR.PARA.CIMA((L404);0);0)&amp;" km)")</t>
  </si>
  <si>
    <t>falta alterar SE(G327="X";0;ARREDONDAR.PARA.CIMA((SOMA(C304:C308)*C301/D336);0)&amp;" veículos fazem "&amp;ARREDONDAR.PARA.CIMA((L404);0)&amp;" "&amp;"viagens de ida com "&amp;G331&amp;" km   e "&amp;ARREDONDAR.PARA.CIMA((L404);0)&amp;" "&amp;"viagens de volta "&amp;G331&amp;" km ")</t>
  </si>
  <si>
    <t>vigas</t>
  </si>
  <si>
    <t>resumo de vigas</t>
  </si>
  <si>
    <t>VIGAS</t>
  </si>
  <si>
    <t>lotação/
frete</t>
  </si>
  <si>
    <t>quantidade de formas de pilar=</t>
  </si>
  <si>
    <t>quantidade de dias para fabricação= por forma=</t>
  </si>
  <si>
    <t>dias/unid.</t>
  </si>
  <si>
    <t>quantidade de dias na fabricação total=</t>
  </si>
  <si>
    <t>quantidade de formas de viga=</t>
  </si>
  <si>
    <t>quantidade de formas de laje=</t>
  </si>
  <si>
    <t>quantidade de dias para fabricação por forma=</t>
  </si>
  <si>
    <t>QUANTIDADE DE EQUIPES DE CONFECÇÃO:</t>
  </si>
  <si>
    <t>PRAZOS PARA CONFECÇÃO ( SEM COMPARILHAMENTO )</t>
  </si>
  <si>
    <t>dias sem hora extra</t>
  </si>
  <si>
    <t xml:space="preserve">PRAZO TOTAL EM DIAS CORRIDOS </t>
  </si>
  <si>
    <t>PRAZOS PARA CONFECÇÃO ( COM COMPARTILHAMENTO )</t>
  </si>
  <si>
    <t>dias sem compartilhar</t>
  </si>
  <si>
    <t>total dias sem compartilhar adiantado pela hora extra</t>
  </si>
  <si>
    <t>PRAZO TOTAL EM DIAS CORRIDOS SEM HORA EXTRA</t>
  </si>
  <si>
    <t>dias adiantados com hora extra</t>
  </si>
  <si>
    <t>PRAZO TOTAL EM DIAS CORRIDOS COM HORA EXTRA</t>
  </si>
  <si>
    <t>PRAZO CASO COMPARTILHAMENTO &gt; PAINÉIS</t>
  </si>
  <si>
    <t>INSUMOS DE M.O. ( CONFECÇÃO - PARA CUSTO )</t>
  </si>
  <si>
    <t>ajuste da HE para custo</t>
  </si>
  <si>
    <t>sem compart</t>
  </si>
  <si>
    <t>com compart</t>
  </si>
  <si>
    <t>prazo inicial para acerto das formas=</t>
  </si>
  <si>
    <t xml:space="preserve">INSUMOS de  M.O. ( PRODUTIVA ) CONFECÇÃO </t>
  </si>
  <si>
    <t>FORMA PARA LAJE</t>
  </si>
  <si>
    <t>FORMA PARA PILAR</t>
  </si>
  <si>
    <t>FORMA PARA VIGA</t>
  </si>
  <si>
    <t>CONCRETO AUTOADENSÁVEL 10 MPa 20 h</t>
  </si>
  <si>
    <t>PINO DE MOVIMENTAÇÃO  5  tf /125</t>
  </si>
  <si>
    <t>DESMOLDANTE</t>
  </si>
  <si>
    <t>AGENTE DE CURA</t>
  </si>
  <si>
    <t>CORDOALHA 7 Fios Revestida e Engraxada ArcelorMittal  CP190 RB -- 12,7 mm EM LAJES</t>
  </si>
  <si>
    <t>ANCORAGENS PARA PÓS-TENSÃO EM LAJES</t>
  </si>
  <si>
    <t>conj.</t>
  </si>
  <si>
    <t>REVESTIMENTO EM PILAR + solidarização</t>
  </si>
  <si>
    <t xml:space="preserve">REVESTIMENTO EM VIGAS </t>
  </si>
  <si>
    <t>REVESTIMENTO EM LAJES ( parte interna ao tanque )</t>
  </si>
  <si>
    <t>REVESTIMENTO EM LAJES ( parte externa fundo e testeira)</t>
  </si>
  <si>
    <t xml:space="preserve">REVESTIMENTO SOBRE LAJES </t>
  </si>
  <si>
    <t>SISTEMA SC-10 e SC-14  ORÇAMENTO
INSUMOS</t>
  </si>
  <si>
    <t>PAREDES-Quant. de pessoas</t>
  </si>
  <si>
    <t>PAREDES- quant. de dias em horas normais (seg. a sex.) / pessoa</t>
  </si>
  <si>
    <t>COBERT-Quant. de pessoas</t>
  </si>
  <si>
    <t>COBERT.- quant. de dias em horas normais (seg. a sex.) / pessoa</t>
  </si>
  <si>
    <t>PAREDES- quant. dias de semana trabalhados (1h)  / pessoa</t>
  </si>
  <si>
    <t>PAREDES- quant. dias de sábado trabalhados (8h) / pessoa</t>
  </si>
  <si>
    <t>COBERT.- quant. dias de semana trabalhados (1h)  / pessoa</t>
  </si>
  <si>
    <t>COBERT.-  quant. dias de sábado trabalhados (8h) / pessoa</t>
  </si>
  <si>
    <t>ÍNDICE DE PRODUÇÃO - MONTAGEM ( PAREDES )</t>
  </si>
  <si>
    <t>QUANT. DE HORAS</t>
  </si>
  <si>
    <t>ÁREA de PAREDES (m²)</t>
  </si>
  <si>
    <t>ÍNDICE 
( horas / m² )</t>
  </si>
  <si>
    <t>ÍNDICE CONSIDERANDO ENCARREGADO + OFICIAL POLIVALETE + AUXILIAR=</t>
  </si>
  <si>
    <t>ÍNDICE DE PRODUÇÃO - MONTAGEM ( COBERTURA )</t>
  </si>
  <si>
    <t>ÁREA de COBERTURA (m²)</t>
  </si>
  <si>
    <t>ÍNDICE DE PRODUÇÃO - CONFECÇÃO ( PAREDES )</t>
  </si>
  <si>
    <t>ÍNDICE CONSIDERANDO ENCARREGADO + OFICIAL POLIVALETE + SOLDADOR + AUXILIAR=</t>
  </si>
  <si>
    <t>ÍNDICE DE PRODUÇÃO - CONFECÇÃO ( COBERTURA )</t>
  </si>
  <si>
    <t>PLANEJAMENTO PARA CONFECÇÃO</t>
  </si>
  <si>
    <t>HORA início</t>
  </si>
  <si>
    <t>HORA término</t>
  </si>
  <si>
    <t>quant. horas</t>
  </si>
  <si>
    <t>1º dia</t>
  </si>
  <si>
    <t>Limpeza / fixação das divisórias / desmoldante</t>
  </si>
  <si>
    <t>Cabos inferiores</t>
  </si>
  <si>
    <t>Tela inferior / bainhas / cabos superiores</t>
  </si>
  <si>
    <t>Tensionamentos</t>
  </si>
  <si>
    <t xml:space="preserve">Reforços de ferragem / tela superior / pinos </t>
  </si>
  <si>
    <t>concreto ( lançamento )</t>
  </si>
  <si>
    <t>acabamento final</t>
  </si>
  <si>
    <t>prazo resistência p/ desprotensão</t>
  </si>
  <si>
    <t>total 1º dia=</t>
  </si>
  <si>
    <t>****</t>
  </si>
  <si>
    <t>2º dia</t>
  </si>
  <si>
    <t xml:space="preserve">desprotensão / saque </t>
  </si>
  <si>
    <t>total 2º dia=</t>
  </si>
  <si>
    <t>**** No período de 7:00 às 15:00 do 2º dia a equipe executa:</t>
  </si>
  <si>
    <t>limpeza da área,</t>
  </si>
  <si>
    <t>armações junto com armador ( polivalente ),</t>
  </si>
  <si>
    <t>acabamentos nos painéis já sacados.</t>
  </si>
  <si>
    <t>fck</t>
  </si>
  <si>
    <t>umidade</t>
  </si>
  <si>
    <t>CP5</t>
  </si>
  <si>
    <t>brita 0</t>
  </si>
  <si>
    <t>aditivo</t>
  </si>
  <si>
    <t>desel</t>
  </si>
  <si>
    <t>serviço</t>
  </si>
  <si>
    <t>30 MPa 24 h</t>
  </si>
  <si>
    <t>28 MPa 24 h</t>
  </si>
  <si>
    <t>25 MPa 24 h</t>
  </si>
  <si>
    <t>20 MPa 24 h</t>
  </si>
  <si>
    <t>15 MPa 24 h</t>
  </si>
  <si>
    <t>10 MPa 24 h</t>
  </si>
  <si>
    <t>Saque e Montagem</t>
  </si>
  <si>
    <t>insertos</t>
  </si>
  <si>
    <t>PAINEL</t>
  </si>
  <si>
    <t>Largura</t>
  </si>
  <si>
    <t>Altura</t>
  </si>
  <si>
    <t>Espessura</t>
  </si>
  <si>
    <t>Peso/m</t>
  </si>
  <si>
    <t>Canaleta</t>
  </si>
  <si>
    <t>Peso total</t>
  </si>
  <si>
    <t>movimentação</t>
  </si>
  <si>
    <t>ângulo ß</t>
  </si>
  <si>
    <t>Desplacamento</t>
  </si>
  <si>
    <t>Assimetria</t>
  </si>
  <si>
    <t>saque</t>
  </si>
  <si>
    <t>montagem</t>
  </si>
  <si>
    <t>H do inserto</t>
  </si>
  <si>
    <t>pontos</t>
  </si>
  <si>
    <t>carga</t>
  </si>
  <si>
    <t xml:space="preserve"> saque</t>
  </si>
  <si>
    <t>Tipo 1</t>
  </si>
  <si>
    <t>5,0tf / 125</t>
  </si>
  <si>
    <t>5,0tf / 180</t>
  </si>
  <si>
    <t>7,5tf / 300</t>
  </si>
  <si>
    <t>5,0tf cb/125</t>
  </si>
  <si>
    <t>7,5tf cb/125</t>
  </si>
  <si>
    <t>10,0tf / 340</t>
  </si>
  <si>
    <t>Tipo 2</t>
  </si>
  <si>
    <t>Tipo 3</t>
  </si>
  <si>
    <t>10,0tf cb/125</t>
  </si>
  <si>
    <t>Tipo 4</t>
  </si>
  <si>
    <t>Tipo 5</t>
  </si>
  <si>
    <t>10,0tf cb/175</t>
  </si>
  <si>
    <t>Tipo 6</t>
  </si>
  <si>
    <t>7,5tf / 175</t>
  </si>
  <si>
    <t>Tipo 7</t>
  </si>
  <si>
    <t>7,5tf cb/175</t>
  </si>
  <si>
    <t>15,0tf / 400</t>
  </si>
  <si>
    <t>Tipo 8</t>
  </si>
  <si>
    <t>Tipo 9</t>
  </si>
  <si>
    <t>Tipo 10</t>
  </si>
  <si>
    <t>Tipo 11</t>
  </si>
  <si>
    <t>Tipo 12</t>
  </si>
  <si>
    <t>ARMAÇÕES DOS PAINÉIS</t>
  </si>
  <si>
    <t>TODA EM CA-50</t>
  </si>
  <si>
    <t>MISTA ( CA-50 E TELA )</t>
  </si>
  <si>
    <t>AÇO CA-50 C/ TX = SOPLACAS</t>
  </si>
  <si>
    <t>QUANTIDADE DE PAINÉIS NORMAIS=</t>
  </si>
  <si>
    <t>QUANTIDADE DE PAINÉIS FECHO=</t>
  </si>
  <si>
    <t>ALTURA DO PAINEL =</t>
  </si>
  <si>
    <t>ALTURA MENOS RECOBRIMENTO (H)=</t>
  </si>
  <si>
    <t>LARGURA MENOS RECOBRIMENTO (L)=</t>
  </si>
  <si>
    <t>vol. Padrão=</t>
  </si>
  <si>
    <t xml:space="preserve">A - </t>
  </si>
  <si>
    <t>REFORÇOS</t>
  </si>
  <si>
    <t>vol. Alterado em "Entradas"</t>
  </si>
  <si>
    <t>A1-</t>
  </si>
  <si>
    <t>REFORÇOS DOS PINOS</t>
  </si>
  <si>
    <t>percentual de aumento</t>
  </si>
  <si>
    <t>de concreto=</t>
  </si>
  <si>
    <t xml:space="preserve">4 ɸ 16 - </t>
  </si>
  <si>
    <t>vol. Total=</t>
  </si>
  <si>
    <t>A2-</t>
  </si>
  <si>
    <t xml:space="preserve">2 ɸ 20 - </t>
  </si>
  <si>
    <t>A3-</t>
  </si>
  <si>
    <t>REFORÇOS NO TOPO E "PÉ" PINOS</t>
  </si>
  <si>
    <t>2 X 10 ɸ 10 -</t>
  </si>
  <si>
    <t>TOTAL REFORÇOS=</t>
  </si>
  <si>
    <t xml:space="preserve">B - </t>
  </si>
  <si>
    <t>MALHAS ( INFERIOR E SUPERIOR )</t>
  </si>
  <si>
    <t>B1-</t>
  </si>
  <si>
    <t>INFERIOR</t>
  </si>
  <si>
    <t>TELA TIPO D</t>
  </si>
  <si>
    <t>PESO DE UMA TELA =</t>
  </si>
  <si>
    <t>sub-total =</t>
  </si>
  <si>
    <t>ACRÉSCIMO DE AÇO CA-50 ( a partir do "pé" para o topo = 44 % da altura )</t>
  </si>
  <si>
    <r>
      <t xml:space="preserve"> ((H) X 0,44 </t>
    </r>
    <r>
      <rPr>
        <sz val="11"/>
        <color indexed="8"/>
        <rFont val="Calibri"/>
        <family val="2"/>
      </rPr>
      <t xml:space="preserve">÷ 0,15 ) = </t>
    </r>
  </si>
  <si>
    <r>
      <t xml:space="preserve">ferros  </t>
    </r>
    <r>
      <rPr>
        <sz val="11"/>
        <color indexed="8"/>
        <rFont val="Calibri"/>
        <family val="2"/>
      </rPr>
      <t xml:space="preserve">ɸ 10 c/15 cm </t>
    </r>
  </si>
  <si>
    <t>EMENDA DE AÇO CA-50 ( entre as telas )</t>
  </si>
  <si>
    <t>Arredondamento da altura=</t>
  </si>
  <si>
    <t>ɸ 8  c/20</t>
  </si>
  <si>
    <t>B2-</t>
  </si>
  <si>
    <t>SUPERIOR</t>
  </si>
  <si>
    <t>H</t>
  </si>
  <si>
    <t>tela/painel (un)</t>
  </si>
  <si>
    <t>quant emendas</t>
  </si>
  <si>
    <t>tamanho da emenda</t>
  </si>
  <si>
    <t>emenda (m)</t>
  </si>
  <si>
    <t>total emendas (m)</t>
  </si>
  <si>
    <t>TELA TIPO B</t>
  </si>
  <si>
    <t>TOTAL MALHAS=</t>
  </si>
  <si>
    <t xml:space="preserve"> TELAS CA-60 =</t>
  </si>
  <si>
    <t>CA-50 =</t>
  </si>
  <si>
    <t xml:space="preserve">C - </t>
  </si>
  <si>
    <t>LADO A</t>
  </si>
  <si>
    <t>LADO B</t>
  </si>
  <si>
    <r>
      <t xml:space="preserve">ESTRIBO =  </t>
    </r>
    <r>
      <rPr>
        <sz val="11"/>
        <color indexed="8"/>
        <rFont val="Calibri"/>
        <family val="2"/>
      </rPr>
      <t>ɸ 8,0 C/ 30</t>
    </r>
  </si>
  <si>
    <t xml:space="preserve">CORRIDO =  ɸ 12,5 </t>
  </si>
  <si>
    <t>TOTAL DAS VIGAS=</t>
  </si>
  <si>
    <t xml:space="preserve">D - </t>
  </si>
  <si>
    <t>RESUMOS</t>
  </si>
  <si>
    <t>RESUMO PARA 1 PAINEL NORMAL</t>
  </si>
  <si>
    <t>PESO</t>
  </si>
  <si>
    <t>TAXA</t>
  </si>
  <si>
    <t>TELA CA-60 =</t>
  </si>
  <si>
    <t>AÇO CA-50 =</t>
  </si>
  <si>
    <t>TOTAL GERAL =</t>
  </si>
  <si>
    <t>taxa / m³=</t>
  </si>
  <si>
    <t>peso total (kg)</t>
  </si>
  <si>
    <t>TELA (PESO em kg)</t>
  </si>
  <si>
    <t>AÇO CA-50 (PESO em kg)=</t>
  </si>
  <si>
    <t>PESO TOTAL=</t>
  </si>
  <si>
    <t>PREÇO</t>
  </si>
  <si>
    <t>PREÇO / kg</t>
  </si>
  <si>
    <t>PESO 
( kg )</t>
  </si>
  <si>
    <t>PREÇO Total</t>
  </si>
  <si>
    <t>PREÇO DA
 TELA =</t>
  </si>
  <si>
    <t>PREÇO DO AÇO 
CA-50 =</t>
  </si>
  <si>
    <t>PREÇO TOTAL =</t>
  </si>
  <si>
    <t xml:space="preserve">RESUMO DE AÇO PARA TODO O TANQUE COM </t>
  </si>
  <si>
    <t xml:space="preserve">PAINÉIS NORMAIS E </t>
  </si>
  <si>
    <t>QUANTIDADE</t>
  </si>
  <si>
    <t xml:space="preserve">A1 - REFORÇO DOS PINOS DE VERTICALIZAÇÃO ( ɸ 16 mm )= </t>
  </si>
  <si>
    <t>pç</t>
  </si>
  <si>
    <t>A3 - REFORÇO DE TOPO E "PÉ" DOS PAINÉIS NORMAIS ( ɸ 10 mm )=</t>
  </si>
  <si>
    <t>A3 - REFORÇO DE TOPO E "PÉ" DOS PAINÉIS FECHOS ( ɸ 10 mm )=</t>
  </si>
  <si>
    <t>VARIÁVEIS</t>
  </si>
  <si>
    <t>B1 - ACRESCIMO DE AÇO À PARTIR DO "PÉ" NA TELA INFERIOR</t>
  </si>
  <si>
    <t xml:space="preserve"> ( ɸ 10 mm )=</t>
  </si>
  <si>
    <t>B1 - EMENDAS DAS TELAS INFERIOR E SUPERIOR  ( ɸ 8 mm )</t>
  </si>
  <si>
    <t>COMPRIMENTO=</t>
  </si>
  <si>
    <t xml:space="preserve">C - ESTRIBO DA VIGA LADO MACHO = </t>
  </si>
  <si>
    <t xml:space="preserve">C - ESTRIBO DA VIGA LADO FÊMEA = </t>
  </si>
  <si>
    <t>C - AÇO RETO ( ɸ 12,7 mm ) ( NORMAL + FECHO )</t>
  </si>
  <si>
    <t>C - AÇO RETO ( ɸ 16 mm ) ( FECHO )</t>
  </si>
  <si>
    <t>C - AÇO RETO ( ɸ 8 mm ) ( FECHO)</t>
  </si>
  <si>
    <t>C - AÇO RETO ( ɸ 6,3 mm ) ( FECHO)</t>
  </si>
  <si>
    <t>C - AÇO TRANSVERSAL  INFERIOR ( ɸ 10 mm ) ( FECHO)</t>
  </si>
  <si>
    <t xml:space="preserve">COMPRIMENTO= </t>
  </si>
  <si>
    <t>AÇO ESPIRAL   ( ɸ 8 mm ) ( FECHO)</t>
  </si>
  <si>
    <t>AÇO PARA CANALETA + BEIRAL DE APOIO</t>
  </si>
  <si>
    <t>BITOLA DIVERSAS</t>
  </si>
  <si>
    <t>PESO TOTAL =</t>
  </si>
  <si>
    <t xml:space="preserve">RESUMO DE TELA PARA TODO O TANQUE COM </t>
  </si>
  <si>
    <t>B1 - TELA INFERIOR TIPO D</t>
  </si>
  <si>
    <t>B1 - TELA SUPERIOR TIPO B</t>
  </si>
  <si>
    <t>ajuste final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</si>
</sst>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4" formatCode="_-&quot;R$&quot;\ * #,##0.00_-;\-&quot;R$&quot;\ * #,##0.00_-;_-&quot;R$&quot;\ * &quot;-&quot;??_-;_-@_-"/>
    <numFmt numFmtId="43" formatCode="_-* #,##0.00_-;\-* #,##0.00_-;_-* &quot;-&quot;??_-;_-@_-"/>
    <numFmt numFmtId="164" formatCode="_-* #,##0.00\ &quot;pta&quot;_-;\-* #,##0.00\ &quot;pta&quot;_-;_-* &quot;-&quot;??\ &quot;pta&quot;_-;_-@_-"/>
    <numFmt numFmtId="165" formatCode="_-* #,##0.00\ _p_t_a_-;\-* #,##0.00\ _p_t_a_-;_-* &quot;-&quot;??\ _p_t_a_-;_-@_-"/>
    <numFmt numFmtId="166" formatCode="0.0"/>
    <numFmt numFmtId="167" formatCode="_-* #,##0.00\ [$€-1]_-;\-* #,##0.00\ [$€-1]_-;_-* &quot;-&quot;??\ [$€-1]_-"/>
    <numFmt numFmtId="168" formatCode="0.0000"/>
    <numFmt numFmtId="169" formatCode="0.000"/>
    <numFmt numFmtId="170" formatCode="0.0000000"/>
    <numFmt numFmtId="171" formatCode="dd/mm/yy;@"/>
    <numFmt numFmtId="172" formatCode="_-* #,##0.000\ _p_t_a_-;\-* #,##0.000\ _p_t_a_-;_-* &quot;-&quot;??\ _p_t_a_-;_-@_-"/>
    <numFmt numFmtId="173" formatCode="&quot;R$&quot;\ #,##0.00"/>
    <numFmt numFmtId="174" formatCode="_-[$R$-416]* #,##0.00_-;\-[$R$-416]* #,##0.00_-;_-[$R$-416]* &quot;-&quot;??_-;_-@_-"/>
    <numFmt numFmtId="175" formatCode="_-* #,##0_-;\-* #,##0_-;_-* &quot;-&quot;??_-;_-@_-"/>
    <numFmt numFmtId="176" formatCode="_(* #,##0_);_(* \(#,##0\);_(* &quot;-&quot;??_);_(@_)"/>
    <numFmt numFmtId="177" formatCode="mmmm\,\ yyyy;@"/>
    <numFmt numFmtId="178" formatCode="[$-416]d\-mmm;@"/>
    <numFmt numFmtId="179" formatCode="d/m/yy;@"/>
    <numFmt numFmtId="180" formatCode="[$-416]d\-mmm\-yy;@"/>
    <numFmt numFmtId="181" formatCode="[$-F400]h:mm:ss\ AM/PM"/>
    <numFmt numFmtId="182" formatCode="#,##0.00_ ;\-#,##0.00\ "/>
    <numFmt numFmtId="183" formatCode="0;\ \-0;\ \-;\ @\ "/>
    <numFmt numFmtId="184" formatCode="0.000;\ \-0.000;\ \-;\ @\ "/>
    <numFmt numFmtId="185" formatCode="#,##0.000"/>
    <numFmt numFmtId="186" formatCode="0.0000;\ \-0.0000;\ \-;\ @\ "/>
    <numFmt numFmtId="187" formatCode="0.00;\ \-0.00;\ \-;\ @\ "/>
    <numFmt numFmtId="188" formatCode="h:mm;@"/>
    <numFmt numFmtId="189" formatCode="_-* #,##0.000_-;\-* #,##0.000_-;_-* &quot;-&quot;???_-;_-@_-"/>
    <numFmt numFmtId="190" formatCode="0.00000000"/>
    <numFmt numFmtId="191" formatCode="0.00000"/>
    <numFmt numFmtId="192" formatCode="_-[$R$-416]\ * #,##0.00_-;\-[$R$-416]\ * #,##0.00_-;_-[$R$-416]\ * &quot;-&quot;??_-;_-@_-"/>
  </numFmts>
  <fonts count="90"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color indexed="10"/>
      <name val="Arial"/>
      <family val="2"/>
    </font>
    <font>
      <sz val="9"/>
      <color indexed="81"/>
      <name val="Tahoma"/>
      <family val="2"/>
    </font>
    <font>
      <b/>
      <sz val="9"/>
      <color indexed="81"/>
      <name val="Tahoma"/>
      <family val="2"/>
    </font>
    <font>
      <sz val="8"/>
      <name val="Arial"/>
      <family val="2"/>
    </font>
    <font>
      <sz val="9"/>
      <name val="Arial"/>
      <family val="2"/>
    </font>
    <font>
      <b/>
      <sz val="12"/>
      <name val="Arial"/>
      <family val="2"/>
    </font>
    <font>
      <sz val="10"/>
      <name val="Calibri"/>
      <family val="2"/>
    </font>
    <font>
      <sz val="14"/>
      <name val="Calibri"/>
      <family val="2"/>
    </font>
    <font>
      <sz val="11"/>
      <name val="Arial"/>
      <family val="2"/>
    </font>
    <font>
      <sz val="12"/>
      <name val="Arial"/>
      <family val="2"/>
    </font>
    <font>
      <sz val="11"/>
      <color indexed="8"/>
      <name val="Calibri"/>
      <family val="2"/>
    </font>
    <font>
      <sz val="10"/>
      <name val="Arial"/>
      <family val="2"/>
    </font>
    <font>
      <sz val="11"/>
      <color indexed="10"/>
      <name val="Arial"/>
      <family val="2"/>
    </font>
    <font>
      <b/>
      <sz val="9"/>
      <name val="Arial"/>
      <family val="2"/>
    </font>
    <font>
      <b/>
      <sz val="11"/>
      <name val="Arial"/>
      <family val="2"/>
    </font>
    <font>
      <i/>
      <sz val="10"/>
      <name val="Arial"/>
      <family val="2"/>
    </font>
    <font>
      <b/>
      <sz val="9"/>
      <color indexed="81"/>
      <name val="Segoe UI"/>
      <family val="2"/>
    </font>
    <font>
      <sz val="6"/>
      <name val="Arial"/>
      <family val="2"/>
    </font>
    <font>
      <sz val="6.5"/>
      <name val="Arial"/>
      <family val="2"/>
    </font>
    <font>
      <sz val="8.5"/>
      <name val="Arial"/>
      <family val="2"/>
    </font>
    <font>
      <sz val="7"/>
      <name val="Arial"/>
      <family val="2"/>
    </font>
    <font>
      <sz val="9"/>
      <color indexed="81"/>
      <name val="Segoe UI"/>
      <family val="2"/>
    </font>
    <font>
      <sz val="4"/>
      <name val="Arial"/>
      <family val="2"/>
    </font>
    <font>
      <b/>
      <sz val="7"/>
      <name val="Arial"/>
      <family val="2"/>
    </font>
    <font>
      <b/>
      <sz val="8"/>
      <color indexed="81"/>
      <name val="Segoe UI"/>
      <family val="2"/>
    </font>
    <font>
      <sz val="8"/>
      <color indexed="81"/>
      <name val="Segoe UI"/>
      <family val="2"/>
    </font>
    <font>
      <b/>
      <sz val="10"/>
      <color indexed="10"/>
      <name val="Arial"/>
      <family val="2"/>
    </font>
    <font>
      <sz val="10"/>
      <color indexed="9"/>
      <name val="Arial"/>
      <family val="2"/>
    </font>
    <font>
      <b/>
      <sz val="8"/>
      <name val="Arial"/>
      <family val="2"/>
    </font>
    <font>
      <i/>
      <sz val="12"/>
      <name val="Arial"/>
      <family val="2"/>
    </font>
    <font>
      <sz val="9.5"/>
      <name val="Arial"/>
      <family val="2"/>
    </font>
    <font>
      <b/>
      <sz val="11"/>
      <color theme="1"/>
      <name val="Calibri"/>
      <family val="2"/>
      <scheme val="minor"/>
    </font>
    <font>
      <b/>
      <sz val="10"/>
      <color rgb="FFFF0000"/>
      <name val="Arial"/>
      <family val="2"/>
    </font>
    <font>
      <sz val="11"/>
      <color rgb="FF333333"/>
      <name val="Arial"/>
      <family val="2"/>
    </font>
    <font>
      <sz val="10"/>
      <color rgb="FFFF0000"/>
      <name val="Arial"/>
      <family val="2"/>
    </font>
    <font>
      <b/>
      <sz val="10"/>
      <color theme="1"/>
      <name val="Arial"/>
      <family val="2"/>
    </font>
    <font>
      <b/>
      <sz val="14"/>
      <color theme="1"/>
      <name val="Calibri"/>
      <family val="2"/>
      <scheme val="minor"/>
    </font>
    <font>
      <b/>
      <sz val="12"/>
      <color theme="1"/>
      <name val="Calibri"/>
      <family val="2"/>
      <scheme val="minor"/>
    </font>
    <font>
      <sz val="10"/>
      <color theme="1"/>
      <name val="Calibri"/>
      <family val="2"/>
      <scheme val="minor"/>
    </font>
    <font>
      <b/>
      <sz val="14"/>
      <color rgb="FF008C9B"/>
      <name val="Tahoma"/>
      <family val="2"/>
    </font>
    <font>
      <sz val="9"/>
      <color rgb="FF9C9E9F"/>
      <name val="Tahoma"/>
      <family val="2"/>
    </font>
    <font>
      <sz val="10"/>
      <color theme="0"/>
      <name val="Arial"/>
      <family val="2"/>
    </font>
    <font>
      <sz val="10"/>
      <color rgb="FF0070C0"/>
      <name val="Arial"/>
      <family val="2"/>
    </font>
    <font>
      <sz val="10"/>
      <color rgb="FF00B0F0"/>
      <name val="Arial"/>
      <family val="2"/>
    </font>
    <font>
      <sz val="9"/>
      <color rgb="FF00B0F0"/>
      <name val="Arial"/>
      <family val="2"/>
    </font>
    <font>
      <b/>
      <sz val="12.5"/>
      <color theme="1"/>
      <name val="Calibri"/>
      <family val="2"/>
      <scheme val="minor"/>
    </font>
    <font>
      <sz val="13"/>
      <color theme="1"/>
      <name val="Calibri"/>
      <family val="2"/>
      <scheme val="minor"/>
    </font>
    <font>
      <sz val="12"/>
      <color theme="1"/>
      <name val="Calibri"/>
      <family val="2"/>
      <scheme val="minor"/>
    </font>
    <font>
      <b/>
      <sz val="10"/>
      <color rgb="FF0070C0"/>
      <name val="Arial"/>
      <family val="2"/>
    </font>
    <font>
      <sz val="10"/>
      <color theme="4"/>
      <name val="Arial"/>
      <family val="2"/>
    </font>
    <font>
      <sz val="8"/>
      <color rgb="FFFFC000"/>
      <name val="Arial"/>
      <family val="2"/>
    </font>
    <font>
      <sz val="9"/>
      <color theme="0"/>
      <name val="Arial"/>
      <family val="2"/>
    </font>
    <font>
      <sz val="10"/>
      <color rgb="FF7030A0"/>
      <name val="Arial"/>
      <family val="2"/>
    </font>
    <font>
      <sz val="10"/>
      <color rgb="FFFFFF00"/>
      <name val="Arial"/>
      <family val="2"/>
    </font>
    <font>
      <sz val="8"/>
      <color theme="0"/>
      <name val="Arial"/>
      <family val="2"/>
    </font>
    <font>
      <b/>
      <sz val="8"/>
      <color rgb="FFFF0000"/>
      <name val="Arial"/>
      <family val="2"/>
    </font>
    <font>
      <b/>
      <sz val="9"/>
      <color theme="1"/>
      <name val="Arial"/>
      <family val="2"/>
    </font>
    <font>
      <sz val="10"/>
      <color theme="9" tint="-0.499984740745262"/>
      <name val="Arial"/>
      <family val="2"/>
    </font>
    <font>
      <sz val="11"/>
      <color rgb="FFFF0000"/>
      <name val="Arial"/>
      <family val="2"/>
    </font>
    <font>
      <sz val="8"/>
      <color rgb="FFFF0000"/>
      <name val="Arial"/>
      <family val="2"/>
    </font>
    <font>
      <sz val="6"/>
      <color rgb="FF00B050"/>
      <name val="Arial"/>
      <family val="2"/>
    </font>
    <font>
      <sz val="6"/>
      <color rgb="FFFFC000"/>
      <name val="Arial"/>
      <family val="2"/>
    </font>
    <font>
      <sz val="6"/>
      <color rgb="FF00B0F0"/>
      <name val="Arial"/>
      <family val="2"/>
    </font>
    <font>
      <sz val="6"/>
      <color theme="3" tint="0.79998168889431442"/>
      <name val="Arial"/>
      <family val="2"/>
    </font>
    <font>
      <sz val="6"/>
      <color theme="2" tint="-0.749992370372631"/>
      <name val="Arial"/>
      <family val="2"/>
    </font>
    <font>
      <sz val="6"/>
      <color theme="5" tint="-0.249977111117893"/>
      <name val="Arial"/>
      <family val="2"/>
    </font>
    <font>
      <sz val="7"/>
      <color theme="0"/>
      <name val="Arial"/>
      <family val="2"/>
    </font>
    <font>
      <b/>
      <sz val="12"/>
      <color rgb="FF7030A0"/>
      <name val="Arial"/>
      <family val="2"/>
    </font>
    <font>
      <b/>
      <sz val="12"/>
      <color theme="9" tint="-0.499984740745262"/>
      <name val="Arial"/>
      <family val="2"/>
    </font>
    <font>
      <b/>
      <sz val="22"/>
      <color rgb="FFFF0000"/>
      <name val="Arial"/>
      <family val="2"/>
    </font>
    <font>
      <b/>
      <sz val="10"/>
      <color theme="1"/>
      <name val="Calibri"/>
      <family val="2"/>
      <scheme val="minor"/>
    </font>
    <font>
      <sz val="5"/>
      <color rgb="FFFF0000"/>
      <name val="Arial"/>
      <family val="2"/>
    </font>
    <font>
      <sz val="5"/>
      <color theme="0"/>
      <name val="Arial"/>
      <family val="2"/>
    </font>
    <font>
      <sz val="9"/>
      <color rgb="FFFF0000"/>
      <name val="Arial"/>
      <family val="2"/>
    </font>
    <font>
      <b/>
      <sz val="11"/>
      <color rgb="FFFF0000"/>
      <name val="Arial"/>
      <family val="2"/>
    </font>
    <font>
      <sz val="10"/>
      <color theme="1"/>
      <name val="Arial"/>
      <family val="2"/>
    </font>
    <font>
      <b/>
      <sz val="10"/>
      <color theme="0"/>
      <name val="Arial"/>
      <family val="2"/>
    </font>
    <font>
      <b/>
      <sz val="16"/>
      <name val="Arial"/>
      <family val="2"/>
    </font>
    <font>
      <sz val="14"/>
      <name val="Arial"/>
      <family val="2"/>
    </font>
    <font>
      <sz val="11"/>
      <color rgb="FFFF0000"/>
      <name val="Calibri"/>
      <family val="2"/>
      <scheme val="minor"/>
    </font>
    <font>
      <sz val="11"/>
      <color theme="0"/>
      <name val="Calibri"/>
      <family val="2"/>
      <scheme val="minor"/>
    </font>
    <font>
      <sz val="10"/>
      <color theme="0"/>
      <name val="Calibri"/>
      <family val="2"/>
      <scheme val="minor"/>
    </font>
    <font>
      <b/>
      <sz val="12"/>
      <color rgb="FFFF0000"/>
      <name val="Calibri"/>
      <family val="2"/>
      <scheme val="minor"/>
    </font>
    <font>
      <sz val="10"/>
      <color rgb="FFFFC000"/>
      <name val="Arial"/>
      <family val="2"/>
    </font>
  </fonts>
  <fills count="28">
    <fill>
      <patternFill patternType="none"/>
    </fill>
    <fill>
      <patternFill patternType="gray125"/>
    </fill>
    <fill>
      <patternFill patternType="solid">
        <fgColor theme="9" tint="0.79998168889431442"/>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theme="1"/>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theme="2"/>
        <bgColor indexed="64"/>
      </patternFill>
    </fill>
    <fill>
      <patternFill patternType="solid">
        <fgColor theme="9"/>
        <bgColor indexed="64"/>
      </patternFill>
    </fill>
    <fill>
      <patternFill patternType="solid">
        <fgColor theme="6" tint="-0.249977111117893"/>
        <bgColor indexed="64"/>
      </patternFill>
    </fill>
    <fill>
      <patternFill patternType="solid">
        <fgColor rgb="FFFF0000"/>
        <bgColor indexed="64"/>
      </patternFill>
    </fill>
    <fill>
      <patternFill patternType="solid">
        <fgColor rgb="FFFFFFFF"/>
        <bgColor indexed="64"/>
      </patternFill>
    </fill>
    <fill>
      <patternFill patternType="solid">
        <fgColor rgb="FFF9F9F9"/>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5" tint="0.79998168889431442"/>
        <bgColor indexed="64"/>
      </patternFill>
    </fill>
  </fills>
  <borders count="12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medium">
        <color indexed="64"/>
      </bottom>
      <diagonal/>
    </border>
    <border>
      <left style="thin">
        <color indexed="64"/>
      </left>
      <right style="thin">
        <color indexed="64"/>
      </right>
      <top/>
      <bottom/>
      <diagonal/>
    </border>
    <border>
      <left/>
      <right style="thin">
        <color indexed="64"/>
      </right>
      <top style="dashed">
        <color indexed="64"/>
      </top>
      <bottom style="thin">
        <color indexed="64"/>
      </bottom>
      <diagonal/>
    </border>
    <border>
      <left style="thin">
        <color indexed="64"/>
      </left>
      <right style="thin">
        <color indexed="64"/>
      </right>
      <top style="dashed">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right/>
      <top/>
      <bottom style="dashed">
        <color indexed="64"/>
      </bottom>
      <diagonal/>
    </border>
    <border>
      <left/>
      <right/>
      <top style="dotted">
        <color indexed="64"/>
      </top>
      <bottom style="dashed">
        <color indexed="64"/>
      </bottom>
      <diagonal/>
    </border>
    <border>
      <left/>
      <right/>
      <top style="dashed">
        <color indexed="64"/>
      </top>
      <bottom style="dashed">
        <color indexed="64"/>
      </bottom>
      <diagonal/>
    </border>
    <border>
      <left style="dotted">
        <color indexed="64"/>
      </left>
      <right style="thin">
        <color indexed="64"/>
      </right>
      <top style="thin">
        <color indexed="64"/>
      </top>
      <bottom style="dotted">
        <color indexed="64"/>
      </bottom>
      <diagonal/>
    </border>
    <border>
      <left/>
      <right style="thin">
        <color indexed="64"/>
      </right>
      <top style="dotted">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hair">
        <color indexed="64"/>
      </left>
      <right style="hair">
        <color indexed="64"/>
      </right>
      <top/>
      <bottom style="hair">
        <color indexed="64"/>
      </bottom>
      <diagonal/>
    </border>
    <border>
      <left/>
      <right style="hair">
        <color indexed="64"/>
      </right>
      <top style="hair">
        <color indexed="64"/>
      </top>
      <bottom style="hair">
        <color indexed="64"/>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bottom/>
      <diagonal/>
    </border>
    <border>
      <left/>
      <right style="dotted">
        <color indexed="64"/>
      </right>
      <top style="dotted">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dashed">
        <color indexed="64"/>
      </bottom>
      <diagonal/>
    </border>
    <border>
      <left/>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top style="thin">
        <color indexed="64"/>
      </top>
      <bottom style="medium">
        <color indexed="64"/>
      </bottom>
      <diagonal/>
    </border>
    <border>
      <left style="thin">
        <color indexed="64"/>
      </left>
      <right/>
      <top style="medium">
        <color indexed="64"/>
      </top>
      <bottom/>
      <diagonal/>
    </border>
    <border>
      <left style="thin">
        <color indexed="64"/>
      </left>
      <right/>
      <top style="dotted">
        <color indexed="64"/>
      </top>
      <bottom style="dotted">
        <color indexed="64"/>
      </bottom>
      <diagonal/>
    </border>
    <border>
      <left/>
      <right style="dotted">
        <color indexed="64"/>
      </right>
      <top style="dotted">
        <color indexed="64"/>
      </top>
      <bottom style="dotted">
        <color indexed="64"/>
      </bottom>
      <diagonal/>
    </border>
    <border>
      <left/>
      <right style="dotted">
        <color indexed="64"/>
      </right>
      <top style="thin">
        <color indexed="64"/>
      </top>
      <bottom/>
      <diagonal/>
    </border>
    <border>
      <left/>
      <right style="dotted">
        <color indexed="64"/>
      </right>
      <top/>
      <bottom/>
      <diagonal/>
    </border>
    <border>
      <left style="dotted">
        <color indexed="64"/>
      </left>
      <right style="dotted">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dotted">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bottom style="thin">
        <color indexed="64"/>
      </bottom>
      <diagonal/>
    </border>
    <border>
      <left style="hair">
        <color indexed="64"/>
      </left>
      <right style="thin">
        <color indexed="64"/>
      </right>
      <top style="thin">
        <color indexed="64"/>
      </top>
      <bottom/>
      <diagonal/>
    </border>
    <border>
      <left style="hair">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ck">
        <color rgb="FF0070C0"/>
      </left>
      <right/>
      <top style="thick">
        <color rgb="FF0070C0"/>
      </top>
      <bottom style="thick">
        <color rgb="FF0070C0"/>
      </bottom>
      <diagonal/>
    </border>
    <border>
      <left/>
      <right style="thick">
        <color rgb="FF0070C0"/>
      </right>
      <top style="thick">
        <color rgb="FF0070C0"/>
      </top>
      <bottom style="thick">
        <color rgb="FF0070C0"/>
      </bottom>
      <diagonal/>
    </border>
    <border>
      <left/>
      <right/>
      <top style="thick">
        <color rgb="FF0070C0"/>
      </top>
      <bottom style="thin">
        <color indexed="64"/>
      </bottom>
      <diagonal/>
    </border>
    <border>
      <left/>
      <right/>
      <top style="thick">
        <color rgb="FF0070C0"/>
      </top>
      <bottom style="thick">
        <color rgb="FF0070C0"/>
      </bottom>
      <diagonal/>
    </border>
    <border>
      <left style="medium">
        <color indexed="64"/>
      </left>
      <right style="medium">
        <color indexed="64"/>
      </right>
      <top style="medium">
        <color indexed="64"/>
      </top>
      <bottom style="thin">
        <color indexed="64"/>
      </bottom>
      <diagonal/>
    </border>
  </borders>
  <cellStyleXfs count="9">
    <xf numFmtId="0" fontId="0" fillId="0" borderId="0"/>
    <xf numFmtId="167" fontId="3" fillId="0" borderId="0" applyFont="0" applyFill="0" applyBorder="0" applyAlignment="0" applyProtection="0"/>
    <xf numFmtId="164" fontId="3" fillId="0" borderId="0" applyFont="0" applyFill="0" applyBorder="0" applyAlignment="0" applyProtection="0"/>
    <xf numFmtId="0" fontId="5" fillId="0" borderId="0"/>
    <xf numFmtId="9" fontId="3" fillId="0" borderId="0" applyFont="0" applyFill="0" applyBorder="0" applyAlignment="0" applyProtection="0"/>
    <xf numFmtId="165" fontId="3" fillId="0" borderId="0" applyFont="0" applyFill="0" applyBorder="0" applyProtection="0"/>
    <xf numFmtId="0" fontId="2" fillId="0" borderId="0"/>
    <xf numFmtId="0" fontId="3" fillId="0" borderId="0"/>
    <xf numFmtId="0" fontId="3" fillId="0" borderId="0"/>
  </cellStyleXfs>
  <cellXfs count="2256">
    <xf numFmtId="0" fontId="0" fillId="0" borderId="0" xfId="0"/>
    <xf numFmtId="0" fontId="0" fillId="0" borderId="0" xfId="0" applyAlignment="1">
      <alignment horizontal="center"/>
    </xf>
    <xf numFmtId="0" fontId="0" fillId="0" borderId="1" xfId="0" applyBorder="1" applyAlignment="1">
      <alignment horizontal="center"/>
    </xf>
    <xf numFmtId="0" fontId="0" fillId="0" borderId="2" xfId="0" applyBorder="1"/>
    <xf numFmtId="2" fontId="0" fillId="0" borderId="0" xfId="0" applyNumberFormat="1"/>
    <xf numFmtId="0" fontId="9" fillId="0" borderId="0" xfId="0" applyFont="1"/>
    <xf numFmtId="0" fontId="0" fillId="0" borderId="4" xfId="0" applyBorder="1"/>
    <xf numFmtId="2" fontId="0" fillId="0" borderId="1" xfId="0" applyNumberFormat="1" applyBorder="1"/>
    <xf numFmtId="0" fontId="0" fillId="0" borderId="0" xfId="0" applyAlignment="1">
      <alignment wrapText="1"/>
    </xf>
    <xf numFmtId="0" fontId="0" fillId="0" borderId="3" xfId="0" applyBorder="1"/>
    <xf numFmtId="0" fontId="0" fillId="0" borderId="5" xfId="0" applyBorder="1"/>
    <xf numFmtId="0" fontId="0" fillId="0" borderId="0" xfId="0" applyAlignment="1">
      <alignment horizontal="center" wrapText="1"/>
    </xf>
    <xf numFmtId="0" fontId="38" fillId="0" borderId="0" xfId="0" applyFont="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10" fillId="0" borderId="0" xfId="0" applyFont="1"/>
    <xf numFmtId="0" fontId="0" fillId="0" borderId="13" xfId="0" applyBorder="1"/>
    <xf numFmtId="0" fontId="0" fillId="0" borderId="14" xfId="0" applyBorder="1"/>
    <xf numFmtId="0" fontId="0" fillId="0" borderId="15" xfId="0" applyBorder="1"/>
    <xf numFmtId="0" fontId="0" fillId="0" borderId="16" xfId="0" applyBorder="1"/>
    <xf numFmtId="0" fontId="11" fillId="0" borderId="14" xfId="0" applyFont="1" applyBorder="1"/>
    <xf numFmtId="0" fontId="0" fillId="0" borderId="0" xfId="0" applyAlignment="1">
      <alignment vertical="center"/>
    </xf>
    <xf numFmtId="0" fontId="0" fillId="0" borderId="109" xfId="0" applyBorder="1"/>
    <xf numFmtId="0" fontId="0" fillId="0" borderId="110" xfId="0" applyBorder="1"/>
    <xf numFmtId="0" fontId="0" fillId="0" borderId="111" xfId="0" applyBorder="1"/>
    <xf numFmtId="0" fontId="39" fillId="0" borderId="0" xfId="0" applyFont="1" applyAlignment="1">
      <alignment horizontal="left" vertical="center" indent="2"/>
    </xf>
    <xf numFmtId="0" fontId="39" fillId="0" borderId="0" xfId="0" applyFont="1" applyAlignment="1">
      <alignment horizontal="left" vertical="center"/>
    </xf>
    <xf numFmtId="2" fontId="0" fillId="0" borderId="1" xfId="0" applyNumberFormat="1" applyBorder="1" applyProtection="1">
      <protection hidden="1"/>
    </xf>
    <xf numFmtId="0" fontId="0" fillId="0" borderId="1" xfId="0" applyBorder="1"/>
    <xf numFmtId="2" fontId="0" fillId="0" borderId="2" xfId="0" applyNumberFormat="1" applyBorder="1"/>
    <xf numFmtId="0" fontId="0" fillId="0" borderId="0" xfId="0" applyAlignment="1">
      <alignment horizontal="right"/>
    </xf>
    <xf numFmtId="0" fontId="0" fillId="0" borderId="5" xfId="0" applyBorder="1" applyAlignment="1">
      <alignment vertical="center"/>
    </xf>
    <xf numFmtId="2" fontId="4" fillId="0" borderId="5" xfId="0" applyNumberFormat="1" applyFont="1" applyBorder="1"/>
    <xf numFmtId="169" fontId="0" fillId="0" borderId="0" xfId="0" applyNumberFormat="1"/>
    <xf numFmtId="0" fontId="0" fillId="0" borderId="7" xfId="0" applyBorder="1" applyAlignment="1">
      <alignment horizontal="center" vertical="center"/>
    </xf>
    <xf numFmtId="0" fontId="0" fillId="0" borderId="12" xfId="0" applyBorder="1" applyAlignment="1">
      <alignment horizontal="center" vertical="center"/>
    </xf>
    <xf numFmtId="0" fontId="0" fillId="0" borderId="7" xfId="0" applyBorder="1" applyAlignment="1">
      <alignment horizontal="right"/>
    </xf>
    <xf numFmtId="0" fontId="0" fillId="0" borderId="1" xfId="0" applyBorder="1" applyAlignment="1">
      <alignment horizontal="center" vertical="center"/>
    </xf>
    <xf numFmtId="0" fontId="0" fillId="0" borderId="3" xfId="0" applyBorder="1" applyAlignment="1">
      <alignment horizontal="left" vertical="center"/>
    </xf>
    <xf numFmtId="2" fontId="0" fillId="0" borderId="1" xfId="0" applyNumberFormat="1" applyBorder="1" applyAlignment="1">
      <alignment vertical="center"/>
    </xf>
    <xf numFmtId="0" fontId="0" fillId="0" borderId="3" xfId="0" applyBorder="1" applyAlignment="1">
      <alignment vertical="center"/>
    </xf>
    <xf numFmtId="2" fontId="0" fillId="0" borderId="4" xfId="0" applyNumberFormat="1" applyBorder="1" applyAlignment="1">
      <alignment vertical="center"/>
    </xf>
    <xf numFmtId="0" fontId="0" fillId="0" borderId="8" xfId="0" applyBorder="1" applyAlignment="1">
      <alignment vertical="center"/>
    </xf>
    <xf numFmtId="0" fontId="0" fillId="0" borderId="18" xfId="0" applyBorder="1" applyAlignment="1">
      <alignment vertical="center"/>
    </xf>
    <xf numFmtId="0" fontId="0" fillId="0" borderId="12" xfId="0" applyBorder="1" applyAlignment="1">
      <alignment vertical="center"/>
    </xf>
    <xf numFmtId="2" fontId="0" fillId="0" borderId="11" xfId="0" applyNumberFormat="1" applyBorder="1" applyAlignment="1">
      <alignment vertical="center"/>
    </xf>
    <xf numFmtId="0" fontId="0" fillId="0" borderId="2" xfId="0" applyBorder="1" applyAlignment="1">
      <alignment vertical="center"/>
    </xf>
    <xf numFmtId="2" fontId="0" fillId="0" borderId="2" xfId="0" applyNumberFormat="1" applyBorder="1" applyAlignment="1">
      <alignment horizontal="center" vertical="center"/>
    </xf>
    <xf numFmtId="0" fontId="0" fillId="0" borderId="4" xfId="0" applyBorder="1" applyAlignment="1">
      <alignment vertical="center"/>
    </xf>
    <xf numFmtId="168" fontId="0" fillId="0" borderId="5" xfId="0" applyNumberFormat="1" applyBorder="1" applyAlignment="1">
      <alignment horizontal="left" vertical="center"/>
    </xf>
    <xf numFmtId="0" fontId="0" fillId="0" borderId="5" xfId="0" applyBorder="1" applyAlignment="1">
      <alignment horizontal="right" vertical="center"/>
    </xf>
    <xf numFmtId="0" fontId="40" fillId="0" borderId="0" xfId="0" applyFont="1" applyAlignment="1">
      <alignment vertical="center"/>
    </xf>
    <xf numFmtId="2" fontId="0" fillId="0" borderId="0" xfId="0" applyNumberFormat="1" applyAlignment="1">
      <alignment horizontal="center" vertical="center"/>
    </xf>
    <xf numFmtId="0" fontId="0" fillId="3" borderId="5" xfId="0" applyFill="1" applyBorder="1" applyAlignment="1">
      <alignment vertical="center"/>
    </xf>
    <xf numFmtId="2" fontId="0" fillId="3" borderId="1" xfId="0" applyNumberFormat="1" applyFill="1" applyBorder="1" applyAlignment="1">
      <alignment vertical="center"/>
    </xf>
    <xf numFmtId="0" fontId="0" fillId="3" borderId="3" xfId="0" applyFill="1" applyBorder="1" applyAlignment="1">
      <alignment vertical="center"/>
    </xf>
    <xf numFmtId="2" fontId="0" fillId="3" borderId="4" xfId="0" applyNumberFormat="1" applyFill="1" applyBorder="1" applyAlignment="1">
      <alignment vertical="center"/>
    </xf>
    <xf numFmtId="0" fontId="0" fillId="3" borderId="4" xfId="0" applyFill="1" applyBorder="1" applyAlignment="1">
      <alignment vertical="center"/>
    </xf>
    <xf numFmtId="0" fontId="14" fillId="0" borderId="0" xfId="0" applyFont="1" applyAlignment="1">
      <alignment horizontal="right" vertical="center"/>
    </xf>
    <xf numFmtId="165" fontId="0" fillId="0" borderId="0" xfId="5" applyFont="1"/>
    <xf numFmtId="2" fontId="0" fillId="3" borderId="5" xfId="0" applyNumberFormat="1" applyFill="1" applyBorder="1" applyAlignment="1">
      <alignment horizontal="right" vertical="center"/>
    </xf>
    <xf numFmtId="0" fontId="0" fillId="0" borderId="5" xfId="0" applyBorder="1" applyAlignment="1">
      <alignment horizontal="center"/>
    </xf>
    <xf numFmtId="14" fontId="0" fillId="0" borderId="4" xfId="0" applyNumberFormat="1" applyBorder="1" applyAlignment="1">
      <alignment horizontal="left" vertical="center"/>
    </xf>
    <xf numFmtId="0" fontId="0" fillId="3" borderId="4" xfId="0" applyFill="1" applyBorder="1" applyAlignment="1">
      <alignment horizontal="left" vertical="center"/>
    </xf>
    <xf numFmtId="0" fontId="0" fillId="4" borderId="5" xfId="0" applyFill="1" applyBorder="1" applyAlignment="1">
      <alignment vertical="center"/>
    </xf>
    <xf numFmtId="2" fontId="0" fillId="4" borderId="1" xfId="0" applyNumberFormat="1" applyFill="1" applyBorder="1" applyAlignment="1">
      <alignment vertical="center"/>
    </xf>
    <xf numFmtId="0" fontId="0" fillId="4" borderId="3" xfId="0" applyFill="1" applyBorder="1" applyAlignment="1">
      <alignment vertical="center"/>
    </xf>
    <xf numFmtId="2" fontId="0" fillId="4" borderId="4" xfId="0" applyNumberFormat="1" applyFill="1" applyBorder="1" applyAlignment="1">
      <alignment vertical="center"/>
    </xf>
    <xf numFmtId="2" fontId="0" fillId="4" borderId="5" xfId="0" applyNumberFormat="1" applyFill="1" applyBorder="1" applyAlignment="1">
      <alignment horizontal="right" vertical="center"/>
    </xf>
    <xf numFmtId="0" fontId="0" fillId="4" borderId="0" xfId="0" applyFill="1"/>
    <xf numFmtId="0" fontId="0" fillId="4" borderId="4" xfId="0" applyFill="1" applyBorder="1" applyAlignment="1">
      <alignment vertical="center"/>
    </xf>
    <xf numFmtId="0" fontId="0" fillId="4" borderId="18" xfId="0" applyFill="1" applyBorder="1" applyAlignment="1">
      <alignment vertical="center"/>
    </xf>
    <xf numFmtId="165" fontId="0" fillId="0" borderId="0" xfId="5" applyFont="1" applyAlignment="1">
      <alignment vertical="center"/>
    </xf>
    <xf numFmtId="165" fontId="14" fillId="0" borderId="0" xfId="5" applyFont="1" applyAlignment="1">
      <alignment vertical="center"/>
    </xf>
    <xf numFmtId="165" fontId="0" fillId="0" borderId="1" xfId="5" applyFont="1" applyBorder="1" applyAlignment="1">
      <alignment horizontal="center" vertical="center"/>
    </xf>
    <xf numFmtId="165" fontId="0" fillId="0" borderId="0" xfId="5" applyFont="1" applyAlignment="1">
      <alignment horizontal="center" vertical="center"/>
    </xf>
    <xf numFmtId="0" fontId="15" fillId="0" borderId="0" xfId="0" applyFont="1"/>
    <xf numFmtId="0" fontId="0" fillId="5" borderId="1" xfId="0" applyFill="1" applyBorder="1"/>
    <xf numFmtId="0" fontId="0" fillId="0" borderId="0" xfId="0" applyAlignment="1">
      <alignment horizontal="left"/>
    </xf>
    <xf numFmtId="0" fontId="14" fillId="0" borderId="5" xfId="0" applyFont="1" applyBorder="1"/>
    <xf numFmtId="0" fontId="14" fillId="0" borderId="4" xfId="0" applyFont="1" applyBorder="1"/>
    <xf numFmtId="0" fontId="14" fillId="0" borderId="5" xfId="0" applyFont="1" applyBorder="1" applyAlignment="1">
      <alignment horizontal="right"/>
    </xf>
    <xf numFmtId="0" fontId="14" fillId="0" borderId="5" xfId="0" quotePrefix="1" applyFont="1" applyBorder="1"/>
    <xf numFmtId="174" fontId="14" fillId="0" borderId="5" xfId="2" applyNumberFormat="1" applyFont="1" applyBorder="1"/>
    <xf numFmtId="2" fontId="14" fillId="0" borderId="5" xfId="0" applyNumberFormat="1" applyFont="1" applyBorder="1"/>
    <xf numFmtId="174" fontId="14" fillId="0" borderId="12" xfId="0" applyNumberFormat="1" applyFont="1" applyBorder="1"/>
    <xf numFmtId="174" fontId="14" fillId="0" borderId="2" xfId="0" applyNumberFormat="1" applyFont="1" applyBorder="1"/>
    <xf numFmtId="0" fontId="14" fillId="0" borderId="8" xfId="0" applyFont="1" applyBorder="1" applyAlignment="1">
      <alignment horizontal="right"/>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10" fontId="0" fillId="0" borderId="1" xfId="0" applyNumberFormat="1" applyBorder="1"/>
    <xf numFmtId="173" fontId="0" fillId="0" borderId="1" xfId="0" applyNumberFormat="1" applyBorder="1"/>
    <xf numFmtId="10" fontId="0" fillId="0" borderId="4" xfId="0" applyNumberFormat="1" applyBorder="1"/>
    <xf numFmtId="173" fontId="14" fillId="0" borderId="2" xfId="0" applyNumberFormat="1" applyFont="1" applyBorder="1" applyAlignment="1">
      <alignment horizontal="right"/>
    </xf>
    <xf numFmtId="173" fontId="0" fillId="0" borderId="12" xfId="0" applyNumberFormat="1" applyBorder="1" applyAlignment="1">
      <alignment horizontal="right"/>
    </xf>
    <xf numFmtId="173" fontId="0" fillId="0" borderId="2" xfId="0" applyNumberFormat="1" applyBorder="1" applyAlignment="1">
      <alignment horizontal="right"/>
    </xf>
    <xf numFmtId="173" fontId="0" fillId="0" borderId="1" xfId="0" applyNumberFormat="1" applyBorder="1" applyAlignment="1">
      <alignment horizontal="right"/>
    </xf>
    <xf numFmtId="173" fontId="14" fillId="0" borderId="11" xfId="0" applyNumberFormat="1" applyFont="1" applyBorder="1"/>
    <xf numFmtId="0" fontId="0" fillId="0" borderId="19" xfId="0" applyBorder="1"/>
    <xf numFmtId="0" fontId="0" fillId="0" borderId="20" xfId="0" applyBorder="1"/>
    <xf numFmtId="0" fontId="0" fillId="0" borderId="22" xfId="0" applyBorder="1"/>
    <xf numFmtId="0" fontId="0" fillId="0" borderId="21" xfId="0" applyBorder="1"/>
    <xf numFmtId="0" fontId="0" fillId="0" borderId="23" xfId="0" applyBorder="1"/>
    <xf numFmtId="0" fontId="0" fillId="0" borderId="21" xfId="0" applyBorder="1" applyAlignment="1">
      <alignment vertical="center"/>
    </xf>
    <xf numFmtId="0" fontId="14" fillId="0" borderId="0" xfId="0" applyFont="1"/>
    <xf numFmtId="0" fontId="0" fillId="0" borderId="24" xfId="0" applyBorder="1"/>
    <xf numFmtId="0" fontId="14" fillId="0" borderId="25" xfId="0" applyFont="1" applyBorder="1" applyAlignment="1">
      <alignment horizontal="center" vertical="center"/>
    </xf>
    <xf numFmtId="173" fontId="14" fillId="0" borderId="25" xfId="2" applyNumberFormat="1" applyFont="1" applyBorder="1" applyAlignment="1">
      <alignment horizontal="right" vertical="center"/>
    </xf>
    <xf numFmtId="0" fontId="14" fillId="0" borderId="25" xfId="0" applyFont="1" applyBorder="1"/>
    <xf numFmtId="173" fontId="14" fillId="0" borderId="25" xfId="0" applyNumberFormat="1" applyFont="1" applyBorder="1" applyAlignment="1">
      <alignment horizontal="right" vertical="center"/>
    </xf>
    <xf numFmtId="0" fontId="0" fillId="0" borderId="25" xfId="0" applyBorder="1"/>
    <xf numFmtId="0" fontId="0" fillId="0" borderId="26" xfId="0" applyBorder="1"/>
    <xf numFmtId="174" fontId="14" fillId="0" borderId="25" xfId="0" applyNumberFormat="1" applyFont="1" applyBorder="1"/>
    <xf numFmtId="173" fontId="14" fillId="0" borderId="25" xfId="0" applyNumberFormat="1" applyFont="1" applyBorder="1" applyAlignment="1">
      <alignment horizontal="right"/>
    </xf>
    <xf numFmtId="173" fontId="14" fillId="0" borderId="25" xfId="0" applyNumberFormat="1" applyFont="1" applyBorder="1" applyAlignment="1">
      <alignment horizontal="center"/>
    </xf>
    <xf numFmtId="173" fontId="14" fillId="0" borderId="25" xfId="2" applyNumberFormat="1" applyFont="1" applyBorder="1" applyAlignment="1">
      <alignment horizontal="center"/>
    </xf>
    <xf numFmtId="173" fontId="0" fillId="0" borderId="0" xfId="0" applyNumberFormat="1" applyAlignment="1">
      <alignment horizontal="right"/>
    </xf>
    <xf numFmtId="173" fontId="0" fillId="0" borderId="25" xfId="0" applyNumberFormat="1" applyBorder="1" applyAlignment="1">
      <alignment horizontal="right"/>
    </xf>
    <xf numFmtId="0" fontId="14" fillId="0" borderId="20" xfId="0" applyFont="1" applyBorder="1"/>
    <xf numFmtId="174" fontId="14" fillId="0" borderId="20" xfId="0" applyNumberFormat="1" applyFont="1" applyBorder="1"/>
    <xf numFmtId="173" fontId="0" fillId="0" borderId="0" xfId="0" applyNumberFormat="1"/>
    <xf numFmtId="173" fontId="14" fillId="0" borderId="25" xfId="0" applyNumberFormat="1" applyFont="1" applyBorder="1"/>
    <xf numFmtId="0" fontId="14" fillId="0" borderId="3" xfId="0" applyFont="1" applyBorder="1" applyAlignment="1">
      <alignment horizontal="left"/>
    </xf>
    <xf numFmtId="0" fontId="14" fillId="0" borderId="5" xfId="0" applyFont="1" applyBorder="1" applyAlignment="1">
      <alignment horizontal="left"/>
    </xf>
    <xf numFmtId="10" fontId="0" fillId="0" borderId="0" xfId="0" applyNumberFormat="1"/>
    <xf numFmtId="173" fontId="0" fillId="0" borderId="20" xfId="0" applyNumberFormat="1" applyBorder="1" applyAlignment="1">
      <alignment horizontal="right"/>
    </xf>
    <xf numFmtId="0" fontId="0" fillId="0" borderId="0" xfId="0" applyAlignment="1">
      <alignment horizontal="center" vertical="center"/>
    </xf>
    <xf numFmtId="0" fontId="14" fillId="0" borderId="0" xfId="0" applyFont="1" applyAlignment="1">
      <alignment horizontal="left" vertical="center"/>
    </xf>
    <xf numFmtId="0" fontId="14" fillId="0" borderId="12" xfId="0" applyFont="1" applyBorder="1" applyAlignment="1">
      <alignment vertical="center"/>
    </xf>
    <xf numFmtId="0" fontId="14" fillId="0" borderId="2" xfId="0" applyFont="1" applyBorder="1" applyAlignment="1">
      <alignment vertical="center"/>
    </xf>
    <xf numFmtId="173" fontId="14" fillId="0" borderId="11" xfId="2" applyNumberFormat="1" applyFont="1" applyBorder="1" applyAlignment="1">
      <alignment vertical="center"/>
    </xf>
    <xf numFmtId="0" fontId="14" fillId="0" borderId="0" xfId="0" applyFont="1" applyAlignment="1">
      <alignment vertical="center"/>
    </xf>
    <xf numFmtId="0" fontId="0" fillId="0" borderId="20" xfId="0" applyBorder="1" applyAlignment="1">
      <alignment horizontal="center" vertical="center"/>
    </xf>
    <xf numFmtId="10" fontId="14" fillId="0" borderId="1" xfId="4" applyNumberFormat="1" applyFont="1" applyBorder="1" applyAlignment="1">
      <alignment horizontal="center" vertical="center"/>
    </xf>
    <xf numFmtId="9" fontId="14" fillId="0" borderId="11" xfId="4" applyFont="1" applyBorder="1" applyAlignment="1">
      <alignment vertical="center"/>
    </xf>
    <xf numFmtId="10" fontId="14" fillId="0" borderId="25" xfId="4" applyNumberFormat="1" applyFont="1" applyBorder="1" applyAlignment="1">
      <alignment horizontal="center" vertical="center"/>
    </xf>
    <xf numFmtId="0" fontId="14" fillId="0" borderId="13" xfId="0" applyFont="1" applyBorder="1" applyAlignment="1">
      <alignment vertical="center"/>
    </xf>
    <xf numFmtId="9" fontId="14" fillId="0" borderId="25" xfId="4" applyFont="1" applyBorder="1" applyAlignment="1">
      <alignment vertical="center"/>
    </xf>
    <xf numFmtId="0" fontId="41" fillId="10" borderId="6" xfId="0" applyFont="1" applyFill="1" applyBorder="1" applyAlignment="1">
      <alignment horizontal="center"/>
    </xf>
    <xf numFmtId="0" fontId="41" fillId="10" borderId="28" xfId="0" applyFont="1" applyFill="1" applyBorder="1"/>
    <xf numFmtId="2" fontId="41" fillId="10" borderId="28" xfId="0" applyNumberFormat="1" applyFont="1" applyFill="1" applyBorder="1"/>
    <xf numFmtId="0" fontId="41" fillId="10" borderId="1" xfId="0" applyFont="1" applyFill="1" applyBorder="1"/>
    <xf numFmtId="0" fontId="41" fillId="10" borderId="28" xfId="0" applyFont="1" applyFill="1" applyBorder="1" applyAlignment="1">
      <alignment horizontal="center"/>
    </xf>
    <xf numFmtId="4" fontId="5" fillId="0" borderId="1" xfId="3" applyNumberFormat="1" applyBorder="1" applyAlignment="1">
      <alignment horizontal="center" vertical="center"/>
    </xf>
    <xf numFmtId="175" fontId="4" fillId="5" borderId="1" xfId="0" applyNumberFormat="1" applyFont="1" applyFill="1" applyBorder="1"/>
    <xf numFmtId="175" fontId="4" fillId="11" borderId="1" xfId="0" applyNumberFormat="1" applyFont="1" applyFill="1" applyBorder="1"/>
    <xf numFmtId="175" fontId="4" fillId="9" borderId="1" xfId="0" applyNumberFormat="1" applyFont="1" applyFill="1" applyBorder="1"/>
    <xf numFmtId="4" fontId="0" fillId="0" borderId="1" xfId="0" applyNumberFormat="1" applyBorder="1"/>
    <xf numFmtId="175" fontId="0" fillId="0" borderId="1" xfId="0" applyNumberFormat="1" applyBorder="1"/>
    <xf numFmtId="43" fontId="0" fillId="0" borderId="1" xfId="0" applyNumberFormat="1" applyBorder="1"/>
    <xf numFmtId="3" fontId="0" fillId="0" borderId="1" xfId="0" applyNumberFormat="1" applyBorder="1" applyAlignment="1">
      <alignment horizontal="center"/>
    </xf>
    <xf numFmtId="2" fontId="0" fillId="0" borderId="14" xfId="0" applyNumberFormat="1" applyBorder="1"/>
    <xf numFmtId="2" fontId="42" fillId="0" borderId="5" xfId="0" applyNumberFormat="1" applyFont="1" applyBorder="1"/>
    <xf numFmtId="0" fontId="42" fillId="0" borderId="4" xfId="0" applyFont="1" applyBorder="1"/>
    <xf numFmtId="2" fontId="43" fillId="0" borderId="0" xfId="0" applyNumberFormat="1" applyFont="1"/>
    <xf numFmtId="2" fontId="43" fillId="0" borderId="5" xfId="0" applyNumberFormat="1" applyFont="1" applyBorder="1"/>
    <xf numFmtId="0" fontId="43" fillId="0" borderId="4" xfId="0" applyFont="1" applyBorder="1"/>
    <xf numFmtId="0" fontId="43" fillId="0" borderId="0" xfId="0" applyFont="1" applyAlignment="1">
      <alignment horizontal="center"/>
    </xf>
    <xf numFmtId="0" fontId="43" fillId="0" borderId="0" xfId="0" applyFont="1"/>
    <xf numFmtId="0" fontId="44" fillId="0" borderId="12" xfId="0" applyFont="1" applyBorder="1"/>
    <xf numFmtId="0" fontId="44" fillId="0" borderId="2" xfId="0" applyFont="1" applyBorder="1"/>
    <xf numFmtId="2" fontId="44" fillId="0" borderId="2" xfId="0" applyNumberFormat="1" applyFont="1" applyBorder="1"/>
    <xf numFmtId="0" fontId="44" fillId="0" borderId="11" xfId="0" applyFont="1" applyBorder="1"/>
    <xf numFmtId="0" fontId="44" fillId="0" borderId="3" xfId="0" applyFont="1" applyBorder="1"/>
    <xf numFmtId="0" fontId="44" fillId="0" borderId="5" xfId="0" applyFont="1" applyBorder="1"/>
    <xf numFmtId="2" fontId="44" fillId="0" borderId="5" xfId="0" applyNumberFormat="1" applyFont="1" applyBorder="1"/>
    <xf numFmtId="0" fontId="44" fillId="0" borderId="4" xfId="0" applyFont="1" applyBorder="1"/>
    <xf numFmtId="0" fontId="10" fillId="0" borderId="30" xfId="0" applyFont="1" applyBorder="1" applyAlignment="1">
      <alignment horizontal="center" vertical="center"/>
    </xf>
    <xf numFmtId="2" fontId="10" fillId="0" borderId="32" xfId="5" applyNumberFormat="1" applyFont="1" applyBorder="1" applyAlignment="1">
      <alignment horizontal="right" vertical="center"/>
    </xf>
    <xf numFmtId="2" fontId="10" fillId="0" borderId="30" xfId="0" applyNumberFormat="1" applyFont="1" applyBorder="1" applyAlignment="1">
      <alignment horizontal="center" vertical="center"/>
    </xf>
    <xf numFmtId="174" fontId="14" fillId="0" borderId="0" xfId="0" applyNumberFormat="1" applyFont="1"/>
    <xf numFmtId="173" fontId="14" fillId="0" borderId="0" xfId="0" applyNumberFormat="1" applyFont="1" applyAlignment="1">
      <alignment horizontal="right"/>
    </xf>
    <xf numFmtId="0" fontId="14" fillId="0" borderId="3" xfId="0" applyFont="1" applyBorder="1" applyAlignment="1">
      <alignment vertical="center"/>
    </xf>
    <xf numFmtId="0" fontId="0" fillId="12" borderId="0" xfId="0" applyFill="1"/>
    <xf numFmtId="4" fontId="0" fillId="12" borderId="0" xfId="0" applyNumberFormat="1" applyFill="1"/>
    <xf numFmtId="2" fontId="0" fillId="12" borderId="0" xfId="0" applyNumberFormat="1" applyFill="1"/>
    <xf numFmtId="2" fontId="0" fillId="13" borderId="1" xfId="0" applyNumberFormat="1" applyFill="1" applyBorder="1" applyAlignment="1">
      <alignment horizontal="center" vertical="center"/>
    </xf>
    <xf numFmtId="0" fontId="17" fillId="0" borderId="0" xfId="0" applyFont="1"/>
    <xf numFmtId="0" fontId="40" fillId="0" borderId="0" xfId="0" applyFont="1"/>
    <xf numFmtId="2" fontId="40" fillId="0" borderId="0" xfId="0" applyNumberFormat="1" applyFont="1" applyAlignment="1" applyProtection="1">
      <alignment horizontal="right"/>
      <protection hidden="1"/>
    </xf>
    <xf numFmtId="0" fontId="40" fillId="0" borderId="10" xfId="0" applyFont="1" applyBorder="1"/>
    <xf numFmtId="0" fontId="45" fillId="0" borderId="0" xfId="0" applyFont="1" applyAlignment="1">
      <alignment horizontal="left" vertical="center" indent="2"/>
    </xf>
    <xf numFmtId="0" fontId="46" fillId="0" borderId="0" xfId="0" applyFont="1" applyAlignment="1">
      <alignment horizontal="left" vertical="center" indent="2"/>
    </xf>
    <xf numFmtId="0" fontId="40" fillId="0" borderId="0" xfId="0" applyFont="1" applyProtection="1">
      <protection hidden="1"/>
    </xf>
    <xf numFmtId="2" fontId="40" fillId="0" borderId="0" xfId="0" applyNumberFormat="1" applyFont="1" applyProtection="1">
      <protection hidden="1"/>
    </xf>
    <xf numFmtId="0" fontId="40" fillId="0" borderId="0" xfId="0" quotePrefix="1" applyFont="1" applyProtection="1">
      <protection hidden="1"/>
    </xf>
    <xf numFmtId="0" fontId="40" fillId="0" borderId="0" xfId="0" applyFont="1" applyAlignment="1" applyProtection="1">
      <alignment horizontal="left"/>
      <protection hidden="1"/>
    </xf>
    <xf numFmtId="0" fontId="47" fillId="0" borderId="0" xfId="0" applyFont="1" applyProtection="1">
      <protection hidden="1"/>
    </xf>
    <xf numFmtId="166" fontId="40" fillId="0" borderId="0" xfId="0" applyNumberFormat="1" applyFont="1" applyProtection="1">
      <protection hidden="1"/>
    </xf>
    <xf numFmtId="2" fontId="40" fillId="0" borderId="0" xfId="0" applyNumberFormat="1" applyFont="1"/>
    <xf numFmtId="0" fontId="47" fillId="0" borderId="0" xfId="0" applyFont="1"/>
    <xf numFmtId="0" fontId="47" fillId="0" borderId="0" xfId="0" applyFont="1" applyAlignment="1" applyProtection="1">
      <alignment horizontal="center"/>
      <protection hidden="1"/>
    </xf>
    <xf numFmtId="2" fontId="47" fillId="0" borderId="0" xfId="0" applyNumberFormat="1" applyFont="1" applyProtection="1">
      <protection hidden="1"/>
    </xf>
    <xf numFmtId="0" fontId="47" fillId="0" borderId="2" xfId="0" applyFont="1" applyBorder="1"/>
    <xf numFmtId="0" fontId="47" fillId="0" borderId="8" xfId="0" applyFont="1" applyBorder="1"/>
    <xf numFmtId="0" fontId="47" fillId="0" borderId="13" xfId="0" applyFont="1" applyBorder="1"/>
    <xf numFmtId="0" fontId="47" fillId="0" borderId="12" xfId="0" applyFont="1" applyBorder="1"/>
    <xf numFmtId="0" fontId="38" fillId="0" borderId="8" xfId="0" applyFont="1" applyBorder="1"/>
    <xf numFmtId="2" fontId="48" fillId="0" borderId="1" xfId="0" applyNumberFormat="1" applyFont="1" applyBorder="1" applyProtection="1">
      <protection hidden="1"/>
    </xf>
    <xf numFmtId="0" fontId="48" fillId="0" borderId="0" xfId="0" applyFont="1"/>
    <xf numFmtId="0" fontId="47" fillId="0" borderId="10" xfId="0" applyFont="1" applyBorder="1"/>
    <xf numFmtId="2" fontId="40" fillId="14" borderId="1" xfId="0" applyNumberFormat="1" applyFont="1" applyFill="1" applyBorder="1"/>
    <xf numFmtId="4" fontId="40" fillId="14" borderId="1" xfId="0" applyNumberFormat="1" applyFont="1" applyFill="1" applyBorder="1"/>
    <xf numFmtId="0" fontId="40" fillId="14" borderId="3" xfId="0" applyFont="1" applyFill="1" applyBorder="1" applyAlignment="1">
      <alignment horizontal="center"/>
    </xf>
    <xf numFmtId="0" fontId="40" fillId="14" borderId="4" xfId="0" applyFont="1" applyFill="1" applyBorder="1" applyAlignment="1">
      <alignment horizontal="center"/>
    </xf>
    <xf numFmtId="2" fontId="48" fillId="14" borderId="1" xfId="0" applyNumberFormat="1" applyFont="1" applyFill="1" applyBorder="1"/>
    <xf numFmtId="4" fontId="48" fillId="14" borderId="1" xfId="0" applyNumberFormat="1" applyFont="1" applyFill="1" applyBorder="1"/>
    <xf numFmtId="2" fontId="40" fillId="11" borderId="1" xfId="0" applyNumberFormat="1" applyFont="1" applyFill="1" applyBorder="1"/>
    <xf numFmtId="4" fontId="40" fillId="11" borderId="1" xfId="0" applyNumberFormat="1" applyFont="1" applyFill="1" applyBorder="1"/>
    <xf numFmtId="2" fontId="48" fillId="11" borderId="1" xfId="0" applyNumberFormat="1" applyFont="1" applyFill="1" applyBorder="1"/>
    <xf numFmtId="4" fontId="48" fillId="11" borderId="1" xfId="0" applyNumberFormat="1" applyFont="1" applyFill="1" applyBorder="1"/>
    <xf numFmtId="4" fontId="40" fillId="14" borderId="1" xfId="0" applyNumberFormat="1" applyFont="1" applyFill="1" applyBorder="1" applyAlignment="1">
      <alignment horizontal="right"/>
    </xf>
    <xf numFmtId="4" fontId="48" fillId="14" borderId="1" xfId="0" applyNumberFormat="1" applyFont="1" applyFill="1" applyBorder="1" applyAlignment="1">
      <alignment horizontal="right"/>
    </xf>
    <xf numFmtId="4" fontId="40" fillId="11" borderId="1" xfId="0" applyNumberFormat="1" applyFont="1" applyFill="1" applyBorder="1" applyAlignment="1">
      <alignment horizontal="right"/>
    </xf>
    <xf numFmtId="4" fontId="48" fillId="11" borderId="1" xfId="0" applyNumberFormat="1" applyFont="1" applyFill="1" applyBorder="1" applyAlignment="1">
      <alignment horizontal="right"/>
    </xf>
    <xf numFmtId="2" fontId="47" fillId="0" borderId="8" xfId="0" applyNumberFormat="1" applyFont="1" applyBorder="1" applyAlignment="1" applyProtection="1">
      <alignment horizontal="left"/>
      <protection hidden="1"/>
    </xf>
    <xf numFmtId="2" fontId="47" fillId="0" borderId="0" xfId="0" applyNumberFormat="1" applyFont="1" applyAlignment="1">
      <alignment horizontal="center"/>
    </xf>
    <xf numFmtId="0" fontId="40" fillId="0" borderId="0" xfId="0" applyFont="1" applyAlignment="1">
      <alignment horizontal="left"/>
    </xf>
    <xf numFmtId="0" fontId="40" fillId="0" borderId="3" xfId="0" applyFont="1" applyBorder="1" applyAlignment="1">
      <alignment vertical="center"/>
    </xf>
    <xf numFmtId="0" fontId="40" fillId="0" borderId="5" xfId="0" applyFont="1" applyBorder="1" applyAlignment="1">
      <alignment vertical="center"/>
    </xf>
    <xf numFmtId="2" fontId="40" fillId="0" borderId="4" xfId="0" applyNumberFormat="1" applyFont="1" applyBorder="1" applyAlignment="1">
      <alignment vertical="center"/>
    </xf>
    <xf numFmtId="165" fontId="40" fillId="0" borderId="1" xfId="5" applyFont="1" applyBorder="1" applyAlignment="1">
      <alignment horizontal="center" vertical="center"/>
    </xf>
    <xf numFmtId="0" fontId="40" fillId="0" borderId="7" xfId="0" applyFont="1" applyBorder="1" applyAlignment="1">
      <alignment vertical="center"/>
    </xf>
    <xf numFmtId="0" fontId="40" fillId="0" borderId="8" xfId="0" applyFont="1" applyBorder="1" applyAlignment="1">
      <alignment vertical="center"/>
    </xf>
    <xf numFmtId="2" fontId="40" fillId="0" borderId="9" xfId="0" applyNumberFormat="1" applyFont="1" applyBorder="1" applyAlignment="1">
      <alignment vertical="center"/>
    </xf>
    <xf numFmtId="0" fontId="40" fillId="0" borderId="4" xfId="0" applyFont="1" applyBorder="1" applyAlignment="1">
      <alignment vertical="center"/>
    </xf>
    <xf numFmtId="0" fontId="40" fillId="0" borderId="13" xfId="0" applyFont="1" applyBorder="1" applyAlignment="1">
      <alignment vertical="center"/>
    </xf>
    <xf numFmtId="0" fontId="40" fillId="0" borderId="0" xfId="0" quotePrefix="1" applyFont="1" applyAlignment="1">
      <alignment vertical="center"/>
    </xf>
    <xf numFmtId="0" fontId="40" fillId="0" borderId="12" xfId="0" applyFont="1" applyBorder="1" applyAlignment="1">
      <alignment vertical="center"/>
    </xf>
    <xf numFmtId="0" fontId="40" fillId="0" borderId="2" xfId="0" applyFont="1" applyBorder="1" applyAlignment="1">
      <alignment vertical="center"/>
    </xf>
    <xf numFmtId="0" fontId="40" fillId="0" borderId="2" xfId="0" quotePrefix="1" applyFont="1" applyBorder="1" applyAlignment="1">
      <alignment vertical="center"/>
    </xf>
    <xf numFmtId="2" fontId="40" fillId="0" borderId="5" xfId="0" applyNumberFormat="1" applyFont="1" applyBorder="1" applyAlignment="1">
      <alignment horizontal="center" vertical="center"/>
    </xf>
    <xf numFmtId="0" fontId="40" fillId="4" borderId="3" xfId="0" applyFont="1" applyFill="1" applyBorder="1" applyAlignment="1">
      <alignment vertical="center"/>
    </xf>
    <xf numFmtId="0" fontId="40" fillId="4" borderId="5" xfId="0" applyFont="1" applyFill="1" applyBorder="1" applyAlignment="1">
      <alignment vertical="center"/>
    </xf>
    <xf numFmtId="165" fontId="40" fillId="4" borderId="1" xfId="5" applyFont="1" applyFill="1" applyBorder="1" applyAlignment="1">
      <alignment vertical="center"/>
    </xf>
    <xf numFmtId="166" fontId="49" fillId="0" borderId="0" xfId="0" applyNumberFormat="1" applyFont="1" applyProtection="1">
      <protection hidden="1"/>
    </xf>
    <xf numFmtId="0" fontId="49" fillId="0" borderId="0" xfId="0" applyFont="1" applyProtection="1">
      <protection hidden="1"/>
    </xf>
    <xf numFmtId="0" fontId="49" fillId="0" borderId="0" xfId="0" applyFont="1" applyAlignment="1" applyProtection="1">
      <alignment horizontal="left"/>
      <protection hidden="1"/>
    </xf>
    <xf numFmtId="2" fontId="49" fillId="0" borderId="0" xfId="0" applyNumberFormat="1" applyFont="1" applyProtection="1">
      <protection hidden="1"/>
    </xf>
    <xf numFmtId="0" fontId="49" fillId="0" borderId="0" xfId="0" quotePrefix="1" applyFont="1" applyProtection="1">
      <protection hidden="1"/>
    </xf>
    <xf numFmtId="0" fontId="49" fillId="0" borderId="2" xfId="0" applyFont="1" applyBorder="1"/>
    <xf numFmtId="166" fontId="50" fillId="0" borderId="2" xfId="0" applyNumberFormat="1" applyFont="1" applyBorder="1"/>
    <xf numFmtId="2" fontId="49" fillId="0" borderId="2" xfId="0" applyNumberFormat="1" applyFont="1" applyBorder="1"/>
    <xf numFmtId="0" fontId="40" fillId="0" borderId="5" xfId="0" applyFont="1" applyBorder="1"/>
    <xf numFmtId="0" fontId="40" fillId="0" borderId="4" xfId="0" applyFont="1" applyBorder="1"/>
    <xf numFmtId="2" fontId="0" fillId="0" borderId="1" xfId="0" applyNumberFormat="1" applyBorder="1" applyAlignment="1">
      <alignment horizontal="right"/>
    </xf>
    <xf numFmtId="4" fontId="0" fillId="0" borderId="1" xfId="5" applyNumberFormat="1" applyFont="1" applyBorder="1" applyAlignment="1">
      <alignment horizontal="center" vertical="center"/>
    </xf>
    <xf numFmtId="0" fontId="0" fillId="0" borderId="13" xfId="0" applyBorder="1" applyAlignment="1">
      <alignment horizontal="center"/>
    </xf>
    <xf numFmtId="0" fontId="43" fillId="0" borderId="13" xfId="0" applyFont="1" applyBorder="1" applyAlignment="1">
      <alignment horizontal="right"/>
    </xf>
    <xf numFmtId="0" fontId="43" fillId="0" borderId="0" xfId="0" applyFont="1" applyAlignment="1">
      <alignment horizontal="right"/>
    </xf>
    <xf numFmtId="0" fontId="0" fillId="0" borderId="4" xfId="0" applyBorder="1" applyAlignment="1">
      <alignment horizontal="left" vertical="center"/>
    </xf>
    <xf numFmtId="2" fontId="37" fillId="0" borderId="0" xfId="0" applyNumberFormat="1" applyFont="1"/>
    <xf numFmtId="0" fontId="37" fillId="0" borderId="10" xfId="0" applyFont="1" applyBorder="1"/>
    <xf numFmtId="2" fontId="37" fillId="0" borderId="2" xfId="0" applyNumberFormat="1" applyFont="1" applyBorder="1"/>
    <xf numFmtId="0" fontId="37" fillId="0" borderId="11" xfId="0" applyFont="1" applyBorder="1"/>
    <xf numFmtId="2" fontId="51" fillId="0" borderId="5" xfId="0" applyNumberFormat="1" applyFont="1" applyBorder="1"/>
    <xf numFmtId="0" fontId="51" fillId="0" borderId="4" xfId="0" applyFont="1" applyBorder="1"/>
    <xf numFmtId="2" fontId="0" fillId="0" borderId="0" xfId="0" applyNumberFormat="1" applyAlignment="1">
      <alignment vertical="center"/>
    </xf>
    <xf numFmtId="2" fontId="52" fillId="0" borderId="0" xfId="0" applyNumberFormat="1" applyFont="1"/>
    <xf numFmtId="0" fontId="52" fillId="0" borderId="0" xfId="0" applyFont="1"/>
    <xf numFmtId="0" fontId="0" fillId="0" borderId="13" xfId="0" applyBorder="1" applyAlignment="1">
      <alignment horizontal="right"/>
    </xf>
    <xf numFmtId="0" fontId="42" fillId="0" borderId="0" xfId="0" applyFont="1"/>
    <xf numFmtId="0" fontId="53" fillId="0" borderId="10" xfId="0" applyFont="1" applyBorder="1"/>
    <xf numFmtId="0" fontId="53" fillId="0" borderId="13" xfId="0" applyFont="1" applyBorder="1"/>
    <xf numFmtId="0" fontId="0" fillId="0" borderId="13" xfId="0" applyBorder="1" applyAlignment="1">
      <alignment horizontal="left"/>
    </xf>
    <xf numFmtId="0" fontId="0" fillId="0" borderId="0" xfId="0" quotePrefix="1"/>
    <xf numFmtId="2" fontId="0" fillId="0" borderId="20" xfId="0" applyNumberFormat="1" applyBorder="1"/>
    <xf numFmtId="0" fontId="0" fillId="0" borderId="0" xfId="0" applyAlignment="1">
      <alignment horizontal="left" vertical="center"/>
    </xf>
    <xf numFmtId="1" fontId="0" fillId="0" borderId="8" xfId="0" applyNumberFormat="1" applyBorder="1"/>
    <xf numFmtId="1" fontId="0" fillId="0" borderId="2" xfId="0" applyNumberFormat="1" applyBorder="1"/>
    <xf numFmtId="2" fontId="0" fillId="0" borderId="3" xfId="0" applyNumberFormat="1" applyBorder="1"/>
    <xf numFmtId="4" fontId="0" fillId="0" borderId="3" xfId="0" applyNumberFormat="1" applyBorder="1"/>
    <xf numFmtId="4" fontId="0" fillId="0" borderId="0" xfId="0" applyNumberFormat="1"/>
    <xf numFmtId="0" fontId="4" fillId="0" borderId="11" xfId="0" applyFont="1" applyBorder="1"/>
    <xf numFmtId="2" fontId="0" fillId="0" borderId="0" xfId="0" applyNumberFormat="1" applyAlignment="1">
      <alignment horizontal="right" vertical="center"/>
    </xf>
    <xf numFmtId="4" fontId="0" fillId="0" borderId="0" xfId="0" applyNumberFormat="1" applyAlignment="1">
      <alignment horizontal="right" vertical="center"/>
    </xf>
    <xf numFmtId="2" fontId="0" fillId="0" borderId="5" xfId="0" applyNumberFormat="1" applyBorder="1" applyAlignment="1">
      <alignment vertical="center"/>
    </xf>
    <xf numFmtId="2" fontId="0" fillId="0" borderId="5" xfId="5" applyNumberFormat="1" applyFont="1" applyBorder="1"/>
    <xf numFmtId="169" fontId="0" fillId="0" borderId="5" xfId="0" applyNumberFormat="1" applyBorder="1" applyAlignment="1">
      <alignment vertical="center"/>
    </xf>
    <xf numFmtId="0" fontId="41" fillId="10" borderId="1" xfId="0" applyFont="1" applyFill="1" applyBorder="1" applyAlignment="1">
      <alignment horizontal="center"/>
    </xf>
    <xf numFmtId="175" fontId="54" fillId="5" borderId="1" xfId="0" applyNumberFormat="1" applyFont="1" applyFill="1" applyBorder="1"/>
    <xf numFmtId="175" fontId="4" fillId="15" borderId="1" xfId="0" applyNumberFormat="1" applyFont="1" applyFill="1" applyBorder="1"/>
    <xf numFmtId="175" fontId="54" fillId="11" borderId="1" xfId="0" applyNumberFormat="1" applyFont="1" applyFill="1" applyBorder="1"/>
    <xf numFmtId="175" fontId="4" fillId="16" borderId="1" xfId="0" applyNumberFormat="1" applyFont="1" applyFill="1" applyBorder="1"/>
    <xf numFmtId="176" fontId="4" fillId="16" borderId="1" xfId="5" applyNumberFormat="1" applyFont="1" applyFill="1" applyBorder="1"/>
    <xf numFmtId="0" fontId="0" fillId="4" borderId="1" xfId="0" applyFill="1" applyBorder="1"/>
    <xf numFmtId="0" fontId="0" fillId="10" borderId="7" xfId="0" applyFill="1" applyBorder="1"/>
    <xf numFmtId="0" fontId="0" fillId="10" borderId="8" xfId="0" applyFill="1" applyBorder="1"/>
    <xf numFmtId="0" fontId="0" fillId="17" borderId="5" xfId="0" applyFill="1" applyBorder="1"/>
    <xf numFmtId="0" fontId="0" fillId="0" borderId="1" xfId="0" applyBorder="1" applyAlignment="1">
      <alignment horizontal="center" vertical="center" wrapText="1"/>
    </xf>
    <xf numFmtId="165" fontId="40" fillId="0" borderId="7" xfId="5" applyFont="1" applyBorder="1" applyAlignment="1">
      <alignment vertical="center"/>
    </xf>
    <xf numFmtId="165" fontId="40" fillId="0" borderId="8" xfId="5" applyFont="1" applyBorder="1" applyAlignment="1">
      <alignment vertical="center"/>
    </xf>
    <xf numFmtId="0" fontId="47" fillId="0" borderId="42" xfId="0" applyFont="1" applyBorder="1"/>
    <xf numFmtId="0" fontId="55" fillId="0" borderId="0" xfId="0" applyFont="1"/>
    <xf numFmtId="43" fontId="0" fillId="0" borderId="0" xfId="0" applyNumberFormat="1"/>
    <xf numFmtId="0" fontId="14" fillId="0" borderId="3" xfId="0" applyFont="1" applyBorder="1" applyAlignment="1">
      <alignment horizontal="center" vertical="center"/>
    </xf>
    <xf numFmtId="0" fontId="20" fillId="0" borderId="5" xfId="0" applyFont="1" applyBorder="1" applyAlignment="1">
      <alignment vertical="center"/>
    </xf>
    <xf numFmtId="0" fontId="21" fillId="5" borderId="3" xfId="0" applyFont="1" applyFill="1" applyBorder="1" applyAlignment="1">
      <alignment horizontal="center" vertical="center"/>
    </xf>
    <xf numFmtId="0" fontId="21" fillId="5" borderId="5" xfId="0" applyFont="1" applyFill="1" applyBorder="1" applyAlignment="1">
      <alignment vertical="center"/>
    </xf>
    <xf numFmtId="0" fontId="21" fillId="5" borderId="4" xfId="0" applyFont="1" applyFill="1" applyBorder="1" applyAlignment="1">
      <alignment vertical="center"/>
    </xf>
    <xf numFmtId="0" fontId="14" fillId="17" borderId="0" xfId="0" applyFont="1" applyFill="1" applyAlignment="1">
      <alignment horizontal="center" vertical="center"/>
    </xf>
    <xf numFmtId="0" fontId="14" fillId="17" borderId="0" xfId="0" applyFont="1" applyFill="1" applyAlignment="1">
      <alignment vertical="center"/>
    </xf>
    <xf numFmtId="0" fontId="0" fillId="17" borderId="0" xfId="0" applyFill="1" applyAlignment="1">
      <alignment vertical="center"/>
    </xf>
    <xf numFmtId="0" fontId="21" fillId="10" borderId="3" xfId="0" applyFont="1" applyFill="1" applyBorder="1" applyAlignment="1">
      <alignment horizontal="center" vertical="center"/>
    </xf>
    <xf numFmtId="0" fontId="21" fillId="10" borderId="5" xfId="0" applyFont="1" applyFill="1" applyBorder="1" applyAlignment="1">
      <alignment vertical="center"/>
    </xf>
    <xf numFmtId="0" fontId="21" fillId="10" borderId="4" xfId="0" applyFont="1" applyFill="1" applyBorder="1" applyAlignment="1">
      <alignment vertical="center"/>
    </xf>
    <xf numFmtId="172" fontId="40" fillId="0" borderId="1" xfId="5" applyNumberFormat="1" applyFont="1" applyBorder="1" applyAlignment="1">
      <alignment horizontal="center" vertical="center"/>
    </xf>
    <xf numFmtId="4" fontId="0" fillId="0" borderId="4" xfId="5" applyNumberFormat="1" applyFont="1" applyBorder="1" applyAlignment="1">
      <alignment vertical="center"/>
    </xf>
    <xf numFmtId="4" fontId="0" fillId="0" borderId="5" xfId="0" applyNumberFormat="1" applyBorder="1" applyAlignment="1">
      <alignment vertical="center"/>
    </xf>
    <xf numFmtId="2" fontId="10" fillId="0" borderId="0" xfId="0" applyNumberFormat="1" applyFont="1"/>
    <xf numFmtId="0" fontId="0" fillId="0" borderId="44" xfId="0" applyBorder="1"/>
    <xf numFmtId="0" fontId="10" fillId="0" borderId="44" xfId="0" applyFont="1" applyBorder="1"/>
    <xf numFmtId="2" fontId="10" fillId="0" borderId="44" xfId="0" applyNumberFormat="1" applyFont="1" applyBorder="1"/>
    <xf numFmtId="0" fontId="0" fillId="0" borderId="45" xfId="0" applyBorder="1"/>
    <xf numFmtId="0" fontId="10" fillId="0" borderId="45" xfId="0" applyFont="1" applyBorder="1"/>
    <xf numFmtId="2" fontId="10" fillId="0" borderId="45" xfId="0" applyNumberFormat="1" applyFont="1" applyBorder="1"/>
    <xf numFmtId="0" fontId="0" fillId="0" borderId="46" xfId="0" applyBorder="1"/>
    <xf numFmtId="0" fontId="10" fillId="0" borderId="46" xfId="0" applyFont="1" applyBorder="1"/>
    <xf numFmtId="2" fontId="10" fillId="0" borderId="46" xfId="0" applyNumberFormat="1" applyFont="1" applyBorder="1"/>
    <xf numFmtId="0" fontId="10" fillId="0" borderId="44" xfId="0" applyFont="1" applyBorder="1" applyAlignment="1">
      <alignment horizontal="left"/>
    </xf>
    <xf numFmtId="0" fontId="0" fillId="0" borderId="39" xfId="0" applyBorder="1"/>
    <xf numFmtId="0" fontId="10" fillId="0" borderId="39" xfId="0" applyFont="1" applyBorder="1" applyAlignment="1">
      <alignment horizontal="left"/>
    </xf>
    <xf numFmtId="2" fontId="10" fillId="0" borderId="39" xfId="0" applyNumberFormat="1" applyFont="1" applyBorder="1"/>
    <xf numFmtId="0" fontId="10" fillId="0" borderId="39" xfId="0" applyFont="1" applyBorder="1"/>
    <xf numFmtId="0" fontId="9" fillId="0" borderId="44" xfId="0" applyFont="1" applyBorder="1"/>
    <xf numFmtId="2" fontId="0" fillId="0" borderId="0" xfId="5" applyNumberFormat="1" applyFont="1"/>
    <xf numFmtId="2" fontId="10" fillId="0" borderId="42" xfId="0" applyNumberFormat="1" applyFont="1" applyBorder="1"/>
    <xf numFmtId="0" fontId="10" fillId="0" borderId="42" xfId="0" applyFont="1" applyBorder="1" applyAlignment="1">
      <alignment vertical="center"/>
    </xf>
    <xf numFmtId="0" fontId="0" fillId="0" borderId="42" xfId="0" applyBorder="1"/>
    <xf numFmtId="0" fontId="10" fillId="0" borderId="42" xfId="0" applyFont="1" applyBorder="1"/>
    <xf numFmtId="0" fontId="10" fillId="0" borderId="46" xfId="0" applyFont="1" applyBorder="1" applyAlignment="1">
      <alignment vertical="center"/>
    </xf>
    <xf numFmtId="0" fontId="47" fillId="0" borderId="0" xfId="0" applyFont="1" applyAlignment="1">
      <alignment vertical="center"/>
    </xf>
    <xf numFmtId="0" fontId="4" fillId="0" borderId="8" xfId="0" applyFont="1" applyBorder="1"/>
    <xf numFmtId="165" fontId="40" fillId="0" borderId="47" xfId="5" applyFont="1" applyBorder="1" applyAlignment="1">
      <alignment horizontal="center" vertical="center"/>
    </xf>
    <xf numFmtId="0" fontId="40" fillId="0" borderId="48" xfId="0" applyFont="1" applyBorder="1" applyAlignment="1">
      <alignment horizontal="center" vertical="center"/>
    </xf>
    <xf numFmtId="0" fontId="40" fillId="0" borderId="7" xfId="0" applyFont="1" applyBorder="1"/>
    <xf numFmtId="0" fontId="56" fillId="0" borderId="0" xfId="0" applyFont="1" applyAlignment="1">
      <alignment horizontal="right" vertical="center"/>
    </xf>
    <xf numFmtId="0" fontId="9" fillId="0" borderId="1" xfId="0" applyFont="1" applyBorder="1"/>
    <xf numFmtId="0" fontId="24" fillId="0" borderId="6" xfId="0" applyFont="1" applyBorder="1" applyAlignment="1">
      <alignment horizontal="center" vertical="center" textRotation="90"/>
    </xf>
    <xf numFmtId="2" fontId="21" fillId="5" borderId="5" xfId="0" applyNumberFormat="1" applyFont="1" applyFill="1" applyBorder="1" applyAlignment="1">
      <alignment vertical="center"/>
    </xf>
    <xf numFmtId="0" fontId="57" fillId="0" borderId="3" xfId="0" applyFont="1" applyBorder="1" applyAlignment="1">
      <alignment vertical="center"/>
    </xf>
    <xf numFmtId="0" fontId="57" fillId="0" borderId="6" xfId="0" applyFont="1" applyBorder="1" applyAlignment="1">
      <alignment vertical="center"/>
    </xf>
    <xf numFmtId="0" fontId="24" fillId="0" borderId="7" xfId="0" applyFont="1" applyBorder="1" applyAlignment="1">
      <alignment horizontal="center" vertical="center" textRotation="90"/>
    </xf>
    <xf numFmtId="0" fontId="0" fillId="0" borderId="49" xfId="0" applyBorder="1"/>
    <xf numFmtId="0" fontId="38" fillId="4" borderId="0" xfId="0" applyFont="1" applyFill="1" applyAlignment="1">
      <alignment horizontal="left"/>
    </xf>
    <xf numFmtId="0" fontId="28" fillId="0" borderId="6" xfId="0" applyFont="1" applyBorder="1" applyAlignment="1">
      <alignment horizontal="center" vertical="center" textRotation="90"/>
    </xf>
    <xf numFmtId="0" fontId="28" fillId="0" borderId="7" xfId="0" applyFont="1" applyBorder="1" applyAlignment="1">
      <alignment horizontal="center" vertical="center" textRotation="90"/>
    </xf>
    <xf numFmtId="43" fontId="40" fillId="0" borderId="5" xfId="0" applyNumberFormat="1" applyFont="1" applyBorder="1" applyAlignment="1">
      <alignment vertical="center"/>
    </xf>
    <xf numFmtId="165" fontId="0" fillId="0" borderId="1" xfId="0" applyNumberFormat="1" applyBorder="1"/>
    <xf numFmtId="0" fontId="0" fillId="0" borderId="33" xfId="0" applyBorder="1"/>
    <xf numFmtId="165" fontId="0" fillId="0" borderId="0" xfId="0" applyNumberFormat="1"/>
    <xf numFmtId="10" fontId="58" fillId="0" borderId="1" xfId="4" applyNumberFormat="1" applyFont="1" applyBorder="1" applyAlignment="1">
      <alignment horizontal="left"/>
    </xf>
    <xf numFmtId="0" fontId="38" fillId="0" borderId="5" xfId="0" applyFont="1" applyBorder="1"/>
    <xf numFmtId="2" fontId="26" fillId="0" borderId="7" xfId="0" applyNumberFormat="1" applyFont="1" applyBorder="1" applyAlignment="1">
      <alignment vertical="center"/>
    </xf>
    <xf numFmtId="171" fontId="26" fillId="0" borderId="9" xfId="0" applyNumberFormat="1" applyFont="1" applyBorder="1" applyAlignment="1">
      <alignment horizontal="center" vertical="center"/>
    </xf>
    <xf numFmtId="2" fontId="26" fillId="0" borderId="12" xfId="0" applyNumberFormat="1" applyFont="1" applyBorder="1" applyAlignment="1">
      <alignment vertical="center"/>
    </xf>
    <xf numFmtId="171" fontId="26" fillId="0" borderId="11" xfId="0" applyNumberFormat="1" applyFont="1" applyBorder="1" applyAlignment="1">
      <alignment horizontal="center" vertical="center"/>
    </xf>
    <xf numFmtId="179" fontId="26" fillId="0" borderId="5" xfId="0" applyNumberFormat="1" applyFont="1" applyBorder="1"/>
    <xf numFmtId="179" fontId="26" fillId="0" borderId="4" xfId="0" applyNumberFormat="1" applyFont="1" applyBorder="1"/>
    <xf numFmtId="0" fontId="0" fillId="0" borderId="24" xfId="0" applyBorder="1" applyAlignment="1">
      <alignment horizontal="center"/>
    </xf>
    <xf numFmtId="0" fontId="11" fillId="0" borderId="0" xfId="0" applyFont="1"/>
    <xf numFmtId="0" fontId="59" fillId="0" borderId="0" xfId="0" applyFont="1"/>
    <xf numFmtId="0" fontId="0" fillId="0" borderId="0" xfId="0" applyProtection="1">
      <protection hidden="1"/>
    </xf>
    <xf numFmtId="2" fontId="0" fillId="0" borderId="0" xfId="0" applyNumberFormat="1" applyProtection="1">
      <protection hidden="1"/>
    </xf>
    <xf numFmtId="0" fontId="0" fillId="0" borderId="3" xfId="0" applyBorder="1" applyProtection="1">
      <protection hidden="1"/>
    </xf>
    <xf numFmtId="0" fontId="0" fillId="0" borderId="5" xfId="0" applyBorder="1" applyProtection="1">
      <protection hidden="1"/>
    </xf>
    <xf numFmtId="2" fontId="0" fillId="0" borderId="5" xfId="0" applyNumberFormat="1" applyBorder="1" applyProtection="1">
      <protection hidden="1"/>
    </xf>
    <xf numFmtId="0" fontId="0" fillId="0" borderId="4" xfId="0" applyBorder="1" applyAlignment="1" applyProtection="1">
      <alignment horizontal="left"/>
      <protection hidden="1"/>
    </xf>
    <xf numFmtId="0" fontId="0" fillId="0" borderId="10" xfId="0" applyBorder="1" applyAlignment="1">
      <alignment horizontal="left"/>
    </xf>
    <xf numFmtId="0" fontId="0" fillId="0" borderId="4" xfId="0" applyBorder="1" applyProtection="1">
      <protection hidden="1"/>
    </xf>
    <xf numFmtId="0" fontId="0" fillId="0" borderId="2" xfId="0" applyBorder="1" applyAlignment="1">
      <alignment horizontal="center"/>
    </xf>
    <xf numFmtId="2" fontId="0" fillId="0" borderId="1" xfId="0" applyNumberFormat="1" applyBorder="1" applyAlignment="1" applyProtection="1">
      <alignment vertical="center"/>
      <protection hidden="1"/>
    </xf>
    <xf numFmtId="165" fontId="0" fillId="0" borderId="5" xfId="5" applyFont="1" applyBorder="1" applyProtection="1">
      <protection hidden="1"/>
    </xf>
    <xf numFmtId="0" fontId="4" fillId="0" borderId="5" xfId="0" applyFont="1" applyBorder="1" applyAlignment="1">
      <alignment horizontal="center"/>
    </xf>
    <xf numFmtId="0" fontId="0" fillId="0" borderId="6" xfId="0" applyBorder="1" applyAlignment="1">
      <alignment horizontal="center"/>
    </xf>
    <xf numFmtId="0" fontId="0" fillId="0" borderId="28" xfId="0" applyBorder="1" applyAlignment="1">
      <alignment horizontal="center"/>
    </xf>
    <xf numFmtId="0" fontId="0" fillId="0" borderId="11" xfId="0" applyBorder="1" applyAlignment="1">
      <alignment horizontal="center"/>
    </xf>
    <xf numFmtId="0" fontId="0" fillId="0" borderId="11" xfId="0" applyBorder="1" applyAlignment="1">
      <alignment vertical="center"/>
    </xf>
    <xf numFmtId="0" fontId="4" fillId="0" borderId="1" xfId="0" applyFont="1" applyBorder="1" applyAlignment="1">
      <alignment horizontal="center"/>
    </xf>
    <xf numFmtId="0" fontId="0" fillId="0" borderId="34" xfId="0" applyBorder="1" applyAlignment="1">
      <alignment horizontal="center"/>
    </xf>
    <xf numFmtId="1" fontId="0" fillId="0" borderId="1" xfId="0" applyNumberFormat="1" applyBorder="1"/>
    <xf numFmtId="0" fontId="0" fillId="0" borderId="28" xfId="0" applyBorder="1"/>
    <xf numFmtId="169" fontId="0" fillId="0" borderId="1" xfId="0" applyNumberFormat="1" applyBorder="1"/>
    <xf numFmtId="0" fontId="0" fillId="0" borderId="0" xfId="0" applyAlignment="1">
      <alignment horizontal="right" vertical="center"/>
    </xf>
    <xf numFmtId="1" fontId="0" fillId="0" borderId="1" xfId="0" applyNumberFormat="1" applyBorder="1" applyAlignment="1">
      <alignment horizontal="center"/>
    </xf>
    <xf numFmtId="1" fontId="0" fillId="0" borderId="1" xfId="0" applyNumberFormat="1" applyBorder="1" applyAlignment="1">
      <alignment horizontal="center" vertical="center"/>
    </xf>
    <xf numFmtId="2" fontId="0" fillId="0" borderId="5" xfId="0" applyNumberFormat="1" applyBorder="1" applyAlignment="1">
      <alignment horizontal="right"/>
    </xf>
    <xf numFmtId="2" fontId="40" fillId="0" borderId="1" xfId="0" applyNumberFormat="1" applyFont="1" applyBorder="1"/>
    <xf numFmtId="4" fontId="40" fillId="0" borderId="1" xfId="0" applyNumberFormat="1" applyFont="1" applyBorder="1"/>
    <xf numFmtId="4" fontId="40" fillId="0" borderId="1" xfId="0" applyNumberFormat="1" applyFont="1" applyBorder="1" applyAlignment="1">
      <alignment horizontal="right"/>
    </xf>
    <xf numFmtId="2" fontId="0" fillId="0" borderId="6" xfId="0" applyNumberFormat="1" applyBorder="1" applyProtection="1">
      <protection hidden="1"/>
    </xf>
    <xf numFmtId="2" fontId="48" fillId="0" borderId="1" xfId="0" applyNumberFormat="1" applyFont="1" applyBorder="1"/>
    <xf numFmtId="4" fontId="48" fillId="0" borderId="1" xfId="0" applyNumberFormat="1" applyFont="1" applyBorder="1"/>
    <xf numFmtId="4" fontId="48" fillId="0" borderId="1" xfId="0" applyNumberFormat="1" applyFont="1" applyBorder="1" applyAlignment="1">
      <alignment horizontal="right"/>
    </xf>
    <xf numFmtId="0" fontId="0" fillId="0" borderId="18" xfId="0" applyBorder="1"/>
    <xf numFmtId="2" fontId="0" fillId="0" borderId="18" xfId="0" applyNumberFormat="1" applyBorder="1" applyProtection="1">
      <protection hidden="1"/>
    </xf>
    <xf numFmtId="2" fontId="0" fillId="0" borderId="36" xfId="0" applyNumberFormat="1" applyBorder="1"/>
    <xf numFmtId="0" fontId="0" fillId="0" borderId="113" xfId="0" applyBorder="1"/>
    <xf numFmtId="0" fontId="0" fillId="0" borderId="114" xfId="0" applyBorder="1"/>
    <xf numFmtId="0" fontId="0" fillId="0" borderId="116" xfId="0" applyBorder="1"/>
    <xf numFmtId="0" fontId="0" fillId="0" borderId="115" xfId="0" applyBorder="1"/>
    <xf numFmtId="0" fontId="0" fillId="0" borderId="115" xfId="0" applyBorder="1" applyAlignment="1">
      <alignment horizontal="right"/>
    </xf>
    <xf numFmtId="0" fontId="4" fillId="0" borderId="116" xfId="0" applyFont="1" applyBorder="1"/>
    <xf numFmtId="168" fontId="0" fillId="0" borderId="5" xfId="0" applyNumberFormat="1" applyBorder="1" applyAlignment="1">
      <alignment horizontal="left"/>
    </xf>
    <xf numFmtId="2" fontId="0" fillId="0" borderId="5" xfId="0" applyNumberFormat="1" applyBorder="1"/>
    <xf numFmtId="0" fontId="4" fillId="0" borderId="3" xfId="0" applyFont="1" applyBorder="1"/>
    <xf numFmtId="0" fontId="4" fillId="0" borderId="5" xfId="0" applyFont="1" applyBorder="1"/>
    <xf numFmtId="0" fontId="4" fillId="0" borderId="4" xfId="0" applyFont="1" applyBorder="1"/>
    <xf numFmtId="2" fontId="0" fillId="0" borderId="5" xfId="0" applyNumberFormat="1" applyBorder="1" applyAlignment="1">
      <alignment horizontal="center"/>
    </xf>
    <xf numFmtId="1" fontId="0" fillId="0" borderId="3" xfId="0" applyNumberFormat="1" applyBorder="1"/>
    <xf numFmtId="2" fontId="0" fillId="0" borderId="8" xfId="0" applyNumberFormat="1" applyBorder="1" applyProtection="1">
      <protection hidden="1"/>
    </xf>
    <xf numFmtId="2" fontId="0" fillId="0" borderId="2" xfId="0" applyNumberFormat="1" applyBorder="1" applyProtection="1">
      <protection hidden="1"/>
    </xf>
    <xf numFmtId="2" fontId="0" fillId="0" borderId="5" xfId="0" applyNumberFormat="1" applyBorder="1" applyAlignment="1" applyProtection="1">
      <alignment vertical="center"/>
      <protection hidden="1"/>
    </xf>
    <xf numFmtId="2" fontId="0" fillId="0" borderId="0" xfId="0" applyNumberFormat="1" applyAlignment="1">
      <alignment horizontal="center"/>
    </xf>
    <xf numFmtId="2" fontId="0" fillId="0" borderId="0" xfId="0" applyNumberFormat="1" applyAlignment="1">
      <alignment horizontal="left"/>
    </xf>
    <xf numFmtId="0" fontId="4" fillId="0" borderId="0" xfId="0" applyFont="1"/>
    <xf numFmtId="2" fontId="4" fillId="0" borderId="0" xfId="0" applyNumberFormat="1" applyFont="1"/>
    <xf numFmtId="166" fontId="0" fillId="0" borderId="0" xfId="0" applyNumberFormat="1"/>
    <xf numFmtId="2" fontId="0" fillId="0" borderId="3" xfId="0" applyNumberFormat="1" applyBorder="1" applyProtection="1">
      <protection hidden="1"/>
    </xf>
    <xf numFmtId="2" fontId="0" fillId="0" borderId="17" xfId="0" applyNumberFormat="1" applyBorder="1" applyProtection="1">
      <protection hidden="1"/>
    </xf>
    <xf numFmtId="2" fontId="0" fillId="0" borderId="3" xfId="0" applyNumberFormat="1" applyBorder="1" applyAlignment="1" applyProtection="1">
      <alignment horizontal="center"/>
      <protection hidden="1"/>
    </xf>
    <xf numFmtId="2" fontId="0" fillId="0" borderId="1" xfId="0" applyNumberFormat="1" applyBorder="1" applyAlignment="1">
      <alignment horizontal="center" vertical="center"/>
    </xf>
    <xf numFmtId="0" fontId="0" fillId="0" borderId="1" xfId="0" applyBorder="1" applyAlignment="1">
      <alignment horizontal="right"/>
    </xf>
    <xf numFmtId="2" fontId="0" fillId="0" borderId="17" xfId="0" applyNumberFormat="1" applyBorder="1" applyAlignment="1" applyProtection="1">
      <alignment horizontal="center"/>
      <protection hidden="1"/>
    </xf>
    <xf numFmtId="3" fontId="0" fillId="0" borderId="1" xfId="0" applyNumberFormat="1" applyBorder="1" applyAlignment="1">
      <alignment horizontal="center" vertical="center"/>
    </xf>
    <xf numFmtId="0" fontId="40" fillId="0" borderId="3" xfId="0" applyFont="1" applyBorder="1" applyAlignment="1">
      <alignment horizontal="center"/>
    </xf>
    <xf numFmtId="0" fontId="40" fillId="0" borderId="4" xfId="0" applyFont="1" applyBorder="1" applyAlignment="1">
      <alignment horizontal="center"/>
    </xf>
    <xf numFmtId="0" fontId="0" fillId="0" borderId="6" xfId="0" applyBorder="1" applyAlignment="1">
      <alignment horizontal="center" vertical="center"/>
    </xf>
    <xf numFmtId="0" fontId="0" fillId="0" borderId="6" xfId="0" applyBorder="1"/>
    <xf numFmtId="0" fontId="0" fillId="0" borderId="28" xfId="0" applyBorder="1" applyAlignment="1">
      <alignment horizontal="center" vertical="center"/>
    </xf>
    <xf numFmtId="0" fontId="0" fillId="0" borderId="12" xfId="0" applyBorder="1" applyAlignment="1">
      <alignment horizontal="right"/>
    </xf>
    <xf numFmtId="2" fontId="0" fillId="0" borderId="1" xfId="0" applyNumberFormat="1" applyBorder="1" applyAlignment="1">
      <alignment horizontal="center"/>
    </xf>
    <xf numFmtId="2" fontId="0" fillId="0" borderId="3" xfId="0" applyNumberFormat="1" applyBorder="1" applyAlignment="1">
      <alignment horizontal="center"/>
    </xf>
    <xf numFmtId="2" fontId="40" fillId="0" borderId="8" xfId="0" applyNumberFormat="1" applyFont="1" applyBorder="1" applyAlignment="1">
      <alignment horizontal="center"/>
    </xf>
    <xf numFmtId="2" fontId="0" fillId="0" borderId="8" xfId="0" applyNumberFormat="1" applyBorder="1" applyAlignment="1">
      <alignment horizontal="center"/>
    </xf>
    <xf numFmtId="2" fontId="0" fillId="0" borderId="15" xfId="0" applyNumberFormat="1" applyBorder="1" applyAlignment="1">
      <alignment horizontal="center"/>
    </xf>
    <xf numFmtId="2" fontId="0" fillId="0" borderId="28" xfId="0" applyNumberFormat="1" applyBorder="1" applyAlignment="1">
      <alignment horizontal="center"/>
    </xf>
    <xf numFmtId="0" fontId="0" fillId="0" borderId="16" xfId="0" applyBorder="1" applyAlignment="1">
      <alignment horizontal="left"/>
    </xf>
    <xf numFmtId="0" fontId="0" fillId="0" borderId="14" xfId="0" applyBorder="1" applyAlignment="1">
      <alignment horizontal="center"/>
    </xf>
    <xf numFmtId="2" fontId="0" fillId="0" borderId="14" xfId="0" applyNumberFormat="1" applyBorder="1" applyAlignment="1">
      <alignment horizontal="center"/>
    </xf>
    <xf numFmtId="2" fontId="0" fillId="0" borderId="19" xfId="0" applyNumberFormat="1" applyBorder="1" applyAlignment="1">
      <alignment horizontal="right"/>
    </xf>
    <xf numFmtId="0" fontId="47" fillId="0" borderId="0" xfId="0" applyFont="1" applyAlignment="1">
      <alignment horizontal="right"/>
    </xf>
    <xf numFmtId="2" fontId="0" fillId="0" borderId="8" xfId="0" applyNumberFormat="1" applyBorder="1"/>
    <xf numFmtId="0" fontId="0" fillId="0" borderId="3" xfId="0" applyBorder="1" applyAlignment="1">
      <alignment horizontal="left"/>
    </xf>
    <xf numFmtId="4" fontId="0" fillId="0" borderId="1" xfId="5" applyNumberFormat="1" applyFont="1" applyBorder="1"/>
    <xf numFmtId="1" fontId="0" fillId="0" borderId="0" xfId="0" applyNumberFormat="1"/>
    <xf numFmtId="0" fontId="60" fillId="0" borderId="0" xfId="0" applyFont="1"/>
    <xf numFmtId="2" fontId="23" fillId="0" borderId="28" xfId="0" applyNumberFormat="1" applyFont="1" applyBorder="1" applyAlignment="1">
      <alignment vertical="center" wrapText="1"/>
    </xf>
    <xf numFmtId="2" fontId="24" fillId="0" borderId="6" xfId="0" applyNumberFormat="1" applyFont="1" applyBorder="1" applyAlignment="1">
      <alignment vertical="center" wrapText="1"/>
    </xf>
    <xf numFmtId="1" fontId="23" fillId="0" borderId="50" xfId="0" applyNumberFormat="1" applyFont="1" applyBorder="1"/>
    <xf numFmtId="2" fontId="23" fillId="0" borderId="51" xfId="0" applyNumberFormat="1" applyFont="1" applyBorder="1"/>
    <xf numFmtId="181" fontId="26" fillId="0" borderId="3" xfId="0" applyNumberFormat="1" applyFont="1" applyBorder="1" applyAlignment="1">
      <alignment vertical="center"/>
    </xf>
    <xf numFmtId="181" fontId="26" fillId="0" borderId="5" xfId="0" applyNumberFormat="1" applyFont="1" applyBorder="1" applyAlignment="1">
      <alignment vertical="center"/>
    </xf>
    <xf numFmtId="171" fontId="26" fillId="0" borderId="5" xfId="0" applyNumberFormat="1" applyFont="1" applyBorder="1" applyAlignment="1">
      <alignment vertical="center"/>
    </xf>
    <xf numFmtId="0" fontId="26" fillId="0" borderId="5" xfId="0" applyFont="1" applyBorder="1" applyAlignment="1">
      <alignment vertical="center"/>
    </xf>
    <xf numFmtId="0" fontId="26" fillId="0" borderId="4" xfId="0" applyFont="1" applyBorder="1" applyAlignment="1">
      <alignment vertical="center"/>
    </xf>
    <xf numFmtId="0" fontId="26" fillId="0" borderId="3" xfId="0" applyFont="1" applyBorder="1" applyAlignment="1">
      <alignment horizontal="center"/>
    </xf>
    <xf numFmtId="0" fontId="26" fillId="0" borderId="5" xfId="0" applyFont="1" applyBorder="1" applyAlignment="1">
      <alignment horizontal="right"/>
    </xf>
    <xf numFmtId="0" fontId="47" fillId="4" borderId="0" xfId="0" applyFont="1" applyFill="1"/>
    <xf numFmtId="0" fontId="38" fillId="0" borderId="1" xfId="0" applyFont="1" applyBorder="1"/>
    <xf numFmtId="2" fontId="47" fillId="0" borderId="8" xfId="5" applyNumberFormat="1" applyFont="1" applyBorder="1"/>
    <xf numFmtId="0" fontId="47" fillId="0" borderId="9" xfId="0" applyFont="1" applyBorder="1" applyAlignment="1">
      <alignment vertical="center"/>
    </xf>
    <xf numFmtId="171" fontId="26" fillId="0" borderId="1" xfId="0" applyNumberFormat="1" applyFont="1" applyBorder="1" applyAlignment="1">
      <alignment horizontal="center" vertical="center"/>
    </xf>
    <xf numFmtId="0" fontId="23" fillId="0" borderId="1" xfId="0" applyFont="1" applyBorder="1"/>
    <xf numFmtId="0" fontId="23" fillId="0" borderId="28" xfId="0" applyFont="1" applyBorder="1"/>
    <xf numFmtId="2" fontId="0" fillId="5" borderId="1" xfId="0" applyNumberFormat="1" applyFill="1" applyBorder="1"/>
    <xf numFmtId="171" fontId="26" fillId="8" borderId="1" xfId="0" applyNumberFormat="1" applyFont="1" applyFill="1" applyBorder="1" applyAlignment="1">
      <alignment horizontal="center" vertical="center"/>
    </xf>
    <xf numFmtId="0" fontId="0" fillId="5" borderId="28" xfId="0" applyFill="1" applyBorder="1"/>
    <xf numFmtId="171" fontId="26" fillId="5" borderId="1" xfId="0" applyNumberFormat="1" applyFont="1" applyFill="1" applyBorder="1" applyAlignment="1">
      <alignment horizontal="center" vertical="center"/>
    </xf>
    <xf numFmtId="171" fontId="26" fillId="0" borderId="0" xfId="0" applyNumberFormat="1" applyFont="1" applyAlignment="1">
      <alignment horizontal="center" vertical="center"/>
    </xf>
    <xf numFmtId="171" fontId="26" fillId="5" borderId="28" xfId="0" applyNumberFormat="1" applyFont="1" applyFill="1" applyBorder="1" applyAlignment="1">
      <alignment horizontal="center" vertical="center"/>
    </xf>
    <xf numFmtId="171" fontId="26" fillId="18" borderId="1" xfId="0" applyNumberFormat="1" applyFont="1" applyFill="1" applyBorder="1" applyAlignment="1">
      <alignment horizontal="center" vertical="center"/>
    </xf>
    <xf numFmtId="0" fontId="0" fillId="18" borderId="1" xfId="0" applyFill="1" applyBorder="1"/>
    <xf numFmtId="0" fontId="26" fillId="5" borderId="1" xfId="0" applyFont="1" applyFill="1" applyBorder="1" applyAlignment="1">
      <alignment horizontal="center" vertical="center"/>
    </xf>
    <xf numFmtId="0" fontId="0" fillId="0" borderId="52" xfId="0" applyBorder="1"/>
    <xf numFmtId="0" fontId="40" fillId="0" borderId="1" xfId="0" applyFont="1" applyBorder="1"/>
    <xf numFmtId="0" fontId="0" fillId="0" borderId="53" xfId="0" applyBorder="1"/>
    <xf numFmtId="171" fontId="26" fillId="8" borderId="4" xfId="0" applyNumberFormat="1" applyFont="1" applyFill="1" applyBorder="1" applyAlignment="1">
      <alignment horizontal="center" vertical="center"/>
    </xf>
    <xf numFmtId="0" fontId="23" fillId="5" borderId="1" xfId="0" applyFont="1" applyFill="1" applyBorder="1"/>
    <xf numFmtId="0" fontId="0" fillId="3" borderId="1" xfId="0" applyFill="1" applyBorder="1"/>
    <xf numFmtId="0" fontId="41" fillId="0" borderId="2" xfId="0" applyFont="1" applyBorder="1"/>
    <xf numFmtId="2" fontId="38" fillId="0" borderId="1" xfId="0" applyNumberFormat="1" applyFont="1" applyBorder="1"/>
    <xf numFmtId="1" fontId="21" fillId="5" borderId="5" xfId="5" applyNumberFormat="1" applyFont="1" applyFill="1" applyBorder="1"/>
    <xf numFmtId="0" fontId="61" fillId="4" borderId="0" xfId="0" applyFont="1" applyFill="1" applyAlignment="1">
      <alignment horizontal="left"/>
    </xf>
    <xf numFmtId="0" fontId="0" fillId="0" borderId="2" xfId="0" applyBorder="1" applyAlignment="1">
      <alignment horizontal="left"/>
    </xf>
    <xf numFmtId="0" fontId="62" fillId="0" borderId="7" xfId="0" applyFont="1" applyBorder="1"/>
    <xf numFmtId="0" fontId="41" fillId="0" borderId="8" xfId="0" applyFont="1" applyBorder="1"/>
    <xf numFmtId="0" fontId="62" fillId="0" borderId="12" xfId="0" applyFont="1" applyBorder="1"/>
    <xf numFmtId="0" fontId="38" fillId="0" borderId="2" xfId="0" applyFont="1" applyBorder="1"/>
    <xf numFmtId="173" fontId="9" fillId="0" borderId="54" xfId="0" applyNumberFormat="1" applyFont="1" applyBorder="1"/>
    <xf numFmtId="0" fontId="40" fillId="0" borderId="8" xfId="0" applyFont="1" applyBorder="1"/>
    <xf numFmtId="0" fontId="40" fillId="0" borderId="2" xfId="0" applyFont="1" applyBorder="1"/>
    <xf numFmtId="0" fontId="40" fillId="0" borderId="9" xfId="0" applyFont="1" applyBorder="1"/>
    <xf numFmtId="0" fontId="0" fillId="0" borderId="13" xfId="0" applyBorder="1" applyAlignment="1">
      <alignment horizontal="center" vertical="center"/>
    </xf>
    <xf numFmtId="0" fontId="49" fillId="0" borderId="1" xfId="0" applyFont="1" applyBorder="1" applyAlignment="1">
      <alignment horizontal="center" vertical="center"/>
    </xf>
    <xf numFmtId="0" fontId="49" fillId="0" borderId="0" xfId="0" applyFont="1"/>
    <xf numFmtId="166" fontId="9" fillId="0" borderId="0" xfId="0" applyNumberFormat="1" applyFont="1" applyProtection="1">
      <protection hidden="1"/>
    </xf>
    <xf numFmtId="2" fontId="9" fillId="0" borderId="0" xfId="0" applyNumberFormat="1" applyFont="1"/>
    <xf numFmtId="169" fontId="9" fillId="0" borderId="0" xfId="0" applyNumberFormat="1" applyFont="1" applyProtection="1">
      <protection hidden="1"/>
    </xf>
    <xf numFmtId="2" fontId="9" fillId="0" borderId="0" xfId="0" applyNumberFormat="1" applyFont="1" applyProtection="1">
      <protection hidden="1"/>
    </xf>
    <xf numFmtId="1" fontId="0" fillId="0" borderId="0" xfId="0" applyNumberFormat="1" applyAlignment="1">
      <alignment horizontal="center"/>
    </xf>
    <xf numFmtId="1" fontId="0" fillId="0" borderId="0" xfId="0" applyNumberFormat="1" applyAlignment="1">
      <alignment horizontal="center" vertical="center"/>
    </xf>
    <xf numFmtId="169" fontId="0" fillId="0" borderId="2" xfId="0" applyNumberFormat="1" applyBorder="1"/>
    <xf numFmtId="0" fontId="0" fillId="19" borderId="0" xfId="0" applyFill="1"/>
    <xf numFmtId="0" fontId="0" fillId="19" borderId="1" xfId="0" applyFill="1" applyBorder="1"/>
    <xf numFmtId="171" fontId="0" fillId="19" borderId="1" xfId="0" applyNumberFormat="1" applyFill="1" applyBorder="1"/>
    <xf numFmtId="0" fontId="0" fillId="5" borderId="0" xfId="0" applyFill="1"/>
    <xf numFmtId="0" fontId="0" fillId="0" borderId="34" xfId="0" applyBorder="1"/>
    <xf numFmtId="2" fontId="0" fillId="0" borderId="6" xfId="0" applyNumberFormat="1" applyBorder="1"/>
    <xf numFmtId="2" fontId="0" fillId="20" borderId="58" xfId="0" applyNumberFormat="1" applyFill="1" applyBorder="1" applyAlignment="1">
      <alignment horizontal="right"/>
    </xf>
    <xf numFmtId="0" fontId="0" fillId="20" borderId="59" xfId="0" applyFill="1" applyBorder="1" applyAlignment="1">
      <alignment horizontal="center"/>
    </xf>
    <xf numFmtId="0" fontId="0" fillId="20" borderId="60" xfId="0" applyFill="1" applyBorder="1" applyAlignment="1">
      <alignment horizontal="center"/>
    </xf>
    <xf numFmtId="2" fontId="0" fillId="5" borderId="0" xfId="0" applyNumberFormat="1" applyFill="1"/>
    <xf numFmtId="0" fontId="0" fillId="0" borderId="37" xfId="0" applyBorder="1"/>
    <xf numFmtId="0" fontId="0" fillId="0" borderId="61" xfId="0" applyBorder="1"/>
    <xf numFmtId="1" fontId="0" fillId="5" borderId="1" xfId="0" applyNumberFormat="1" applyFill="1" applyBorder="1" applyAlignment="1">
      <alignment horizontal="center"/>
    </xf>
    <xf numFmtId="0" fontId="47" fillId="0" borderId="0" xfId="0" quotePrefix="1" applyFont="1" applyAlignment="1">
      <alignment vertical="center"/>
    </xf>
    <xf numFmtId="2" fontId="0" fillId="3" borderId="0" xfId="0" applyNumberFormat="1" applyFill="1"/>
    <xf numFmtId="0" fontId="0" fillId="3" borderId="0" xfId="0" applyFill="1"/>
    <xf numFmtId="0" fontId="0" fillId="4" borderId="0" xfId="0" applyFill="1" applyAlignment="1">
      <alignment vertical="center"/>
    </xf>
    <xf numFmtId="2" fontId="0" fillId="4" borderId="8" xfId="0" applyNumberFormat="1" applyFill="1" applyBorder="1" applyAlignment="1">
      <alignment vertical="center"/>
    </xf>
    <xf numFmtId="2" fontId="0" fillId="4" borderId="4" xfId="0" applyNumberFormat="1" applyFill="1" applyBorder="1" applyAlignment="1">
      <alignment horizontal="center" vertical="center"/>
    </xf>
    <xf numFmtId="2" fontId="0" fillId="5" borderId="4" xfId="0" applyNumberFormat="1" applyFill="1" applyBorder="1" applyAlignment="1">
      <alignment horizontal="center" vertical="center"/>
    </xf>
    <xf numFmtId="0" fontId="58" fillId="2" borderId="1" xfId="0" applyFont="1" applyFill="1" applyBorder="1" applyAlignment="1">
      <alignment horizontal="center" vertical="center"/>
    </xf>
    <xf numFmtId="0" fontId="58" fillId="2" borderId="1" xfId="0" applyFont="1" applyFill="1" applyBorder="1" applyAlignment="1">
      <alignment horizontal="center" vertical="center" wrapText="1"/>
    </xf>
    <xf numFmtId="0" fontId="63" fillId="2" borderId="1" xfId="0" applyFont="1" applyFill="1" applyBorder="1" applyAlignment="1">
      <alignment horizontal="center" vertical="center" wrapText="1"/>
    </xf>
    <xf numFmtId="170" fontId="0" fillId="0" borderId="1" xfId="0" applyNumberFormat="1" applyBorder="1"/>
    <xf numFmtId="0" fontId="9" fillId="0" borderId="1" xfId="0" applyFont="1" applyBorder="1" applyAlignment="1">
      <alignment horizontal="center" vertical="center" wrapText="1"/>
    </xf>
    <xf numFmtId="168" fontId="0" fillId="0" borderId="1" xfId="0" applyNumberFormat="1" applyBorder="1"/>
    <xf numFmtId="183" fontId="0" fillId="0" borderId="0" xfId="0" applyNumberFormat="1" applyAlignment="1">
      <alignment horizontal="center" vertical="center"/>
    </xf>
    <xf numFmtId="184" fontId="0" fillId="0" borderId="1" xfId="0" applyNumberFormat="1" applyBorder="1" applyAlignment="1">
      <alignment horizontal="center" vertical="center"/>
    </xf>
    <xf numFmtId="184" fontId="10" fillId="0" borderId="1" xfId="0" applyNumberFormat="1" applyFont="1" applyBorder="1" applyAlignment="1">
      <alignment horizontal="center" vertical="center"/>
    </xf>
    <xf numFmtId="1" fontId="0" fillId="0" borderId="5" xfId="5" applyNumberFormat="1" applyFont="1" applyBorder="1"/>
    <xf numFmtId="0" fontId="0" fillId="0" borderId="62" xfId="0" applyBorder="1"/>
    <xf numFmtId="0" fontId="0" fillId="10" borderId="4" xfId="0" applyFill="1" applyBorder="1"/>
    <xf numFmtId="0" fontId="0" fillId="4" borderId="4" xfId="0" applyFill="1" applyBorder="1"/>
    <xf numFmtId="0" fontId="0" fillId="0" borderId="63" xfId="0" applyBorder="1"/>
    <xf numFmtId="0" fontId="0" fillId="0" borderId="64" xfId="0" applyBorder="1"/>
    <xf numFmtId="2" fontId="0" fillId="0" borderId="65" xfId="0" applyNumberFormat="1" applyBorder="1"/>
    <xf numFmtId="0" fontId="0" fillId="4" borderId="13" xfId="0" applyFill="1" applyBorder="1"/>
    <xf numFmtId="0" fontId="0" fillId="4" borderId="10" xfId="0" applyFill="1" applyBorder="1"/>
    <xf numFmtId="0" fontId="0" fillId="0" borderId="4" xfId="0" applyBorder="1" applyAlignment="1">
      <alignment horizontal="center" vertical="center"/>
    </xf>
    <xf numFmtId="0" fontId="35" fillId="5" borderId="3" xfId="0" applyFont="1" applyFill="1" applyBorder="1" applyAlignment="1">
      <alignment horizontal="center" vertical="center"/>
    </xf>
    <xf numFmtId="0" fontId="35" fillId="5" borderId="5" xfId="0" applyFont="1" applyFill="1" applyBorder="1" applyAlignment="1">
      <alignment vertical="center"/>
    </xf>
    <xf numFmtId="1" fontId="35" fillId="5" borderId="5" xfId="5" applyNumberFormat="1" applyFont="1" applyFill="1" applyBorder="1"/>
    <xf numFmtId="166" fontId="36" fillId="0" borderId="8" xfId="0" applyNumberFormat="1" applyFont="1" applyBorder="1"/>
    <xf numFmtId="2" fontId="0" fillId="0" borderId="3" xfId="0" applyNumberFormat="1" applyBorder="1" applyAlignment="1">
      <alignment horizontal="right" vertical="center"/>
    </xf>
    <xf numFmtId="0" fontId="10" fillId="0" borderId="8" xfId="0" applyFont="1" applyBorder="1"/>
    <xf numFmtId="2" fontId="0" fillId="0" borderId="31" xfId="0" applyNumberFormat="1" applyBorder="1"/>
    <xf numFmtId="0" fontId="0" fillId="5" borderId="66" xfId="0" applyFill="1" applyBorder="1"/>
    <xf numFmtId="0" fontId="0" fillId="0" borderId="66" xfId="0" applyBorder="1"/>
    <xf numFmtId="2" fontId="0" fillId="0" borderId="67" xfId="0" applyNumberFormat="1" applyBorder="1"/>
    <xf numFmtId="2" fontId="0" fillId="0" borderId="61" xfId="0" applyNumberFormat="1" applyBorder="1"/>
    <xf numFmtId="0" fontId="0" fillId="0" borderId="57" xfId="0" applyBorder="1"/>
    <xf numFmtId="0" fontId="0" fillId="0" borderId="6" xfId="0" applyBorder="1" applyAlignment="1">
      <alignment horizontal="center" vertical="center" wrapText="1"/>
    </xf>
    <xf numFmtId="0" fontId="0" fillId="0" borderId="34" xfId="0" applyBorder="1" applyAlignment="1">
      <alignment horizontal="center" vertical="center" wrapText="1"/>
    </xf>
    <xf numFmtId="0" fontId="0" fillId="0" borderId="28" xfId="0" applyBorder="1" applyAlignment="1">
      <alignment horizontal="center" vertical="center" wrapText="1"/>
    </xf>
    <xf numFmtId="0" fontId="0" fillId="5" borderId="3" xfId="0" applyFill="1" applyBorder="1" applyAlignment="1">
      <alignment horizontal="center"/>
    </xf>
    <xf numFmtId="0" fontId="0" fillId="5" borderId="4" xfId="0" applyFill="1" applyBorder="1" applyAlignment="1">
      <alignment horizontal="center"/>
    </xf>
    <xf numFmtId="0" fontId="0" fillId="0" borderId="1" xfId="0" applyBorder="1" applyAlignment="1">
      <alignment wrapText="1"/>
    </xf>
    <xf numFmtId="0" fontId="0" fillId="0" borderId="13" xfId="0" applyBorder="1" applyAlignment="1">
      <alignment wrapText="1"/>
    </xf>
    <xf numFmtId="0" fontId="0" fillId="5" borderId="7" xfId="0" applyFill="1" applyBorder="1"/>
    <xf numFmtId="0" fontId="0" fillId="5" borderId="8" xfId="0" applyFill="1" applyBorder="1"/>
    <xf numFmtId="0" fontId="0" fillId="5" borderId="9" xfId="0" applyFill="1" applyBorder="1"/>
    <xf numFmtId="2" fontId="0" fillId="0" borderId="1" xfId="0" applyNumberFormat="1" applyBorder="1" applyAlignment="1">
      <alignment wrapText="1"/>
    </xf>
    <xf numFmtId="2" fontId="0" fillId="0" borderId="68" xfId="0" applyNumberFormat="1" applyBorder="1"/>
    <xf numFmtId="2" fontId="0" fillId="0" borderId="69" xfId="0" applyNumberFormat="1" applyBorder="1"/>
    <xf numFmtId="2" fontId="0" fillId="0" borderId="70" xfId="0" applyNumberFormat="1" applyBorder="1"/>
    <xf numFmtId="0" fontId="26" fillId="0" borderId="1" xfId="0" applyFont="1" applyBorder="1" applyAlignment="1">
      <alignment wrapText="1"/>
    </xf>
    <xf numFmtId="0" fontId="9" fillId="0" borderId="5" xfId="0" applyFont="1" applyBorder="1" applyAlignment="1">
      <alignment vertical="center"/>
    </xf>
    <xf numFmtId="0" fontId="9" fillId="0" borderId="1" xfId="0" applyFont="1" applyBorder="1" applyAlignment="1">
      <alignment horizontal="center"/>
    </xf>
    <xf numFmtId="169" fontId="0" fillId="0" borderId="6" xfId="0" applyNumberFormat="1" applyBorder="1"/>
    <xf numFmtId="2" fontId="10" fillId="0" borderId="71" xfId="5" applyNumberFormat="1" applyFont="1" applyBorder="1" applyAlignment="1">
      <alignment horizontal="right" vertical="center"/>
    </xf>
    <xf numFmtId="0" fontId="39" fillId="21" borderId="1" xfId="0" applyFont="1" applyFill="1" applyBorder="1" applyAlignment="1">
      <alignment vertical="top" wrapText="1"/>
    </xf>
    <xf numFmtId="0" fontId="39" fillId="22" borderId="1" xfId="0" applyFont="1" applyFill="1" applyBorder="1" applyAlignment="1">
      <alignment vertical="top" wrapText="1"/>
    </xf>
    <xf numFmtId="0" fontId="0" fillId="0" borderId="0" xfId="0" applyAlignment="1">
      <alignment vertical="center" wrapText="1"/>
    </xf>
    <xf numFmtId="0" fontId="47" fillId="0" borderId="0" xfId="0" applyFont="1" applyAlignment="1">
      <alignment horizontal="center" vertical="center"/>
    </xf>
    <xf numFmtId="0" fontId="0" fillId="0" borderId="69" xfId="0" applyBorder="1"/>
    <xf numFmtId="185" fontId="0" fillId="0" borderId="5" xfId="0" applyNumberFormat="1" applyBorder="1" applyAlignment="1">
      <alignment vertical="center"/>
    </xf>
    <xf numFmtId="169" fontId="4" fillId="0" borderId="3" xfId="0" applyNumberFormat="1" applyFont="1" applyBorder="1"/>
    <xf numFmtId="0" fontId="0" fillId="0" borderId="72" xfId="0" applyBorder="1"/>
    <xf numFmtId="169" fontId="0" fillId="5" borderId="1" xfId="0" applyNumberFormat="1" applyFill="1" applyBorder="1"/>
    <xf numFmtId="169" fontId="0" fillId="0" borderId="73" xfId="0" applyNumberFormat="1" applyBorder="1"/>
    <xf numFmtId="2" fontId="0" fillId="0" borderId="4" xfId="0" applyNumberFormat="1" applyBorder="1"/>
    <xf numFmtId="2" fontId="0" fillId="0" borderId="74" xfId="0" applyNumberFormat="1" applyBorder="1"/>
    <xf numFmtId="169" fontId="0" fillId="0" borderId="4" xfId="0" applyNumberFormat="1" applyBorder="1"/>
    <xf numFmtId="0" fontId="47" fillId="0" borderId="3" xfId="0" applyFont="1" applyBorder="1"/>
    <xf numFmtId="0" fontId="47" fillId="0" borderId="7" xfId="0" applyFont="1" applyBorder="1"/>
    <xf numFmtId="0" fontId="47" fillId="0" borderId="3" xfId="0" applyFont="1" applyBorder="1" applyAlignment="1">
      <alignment horizontal="center" vertical="center"/>
    </xf>
    <xf numFmtId="0" fontId="47" fillId="0" borderId="10" xfId="0" applyFont="1" applyBorder="1" applyAlignment="1">
      <alignment vertical="center"/>
    </xf>
    <xf numFmtId="2" fontId="0" fillId="0" borderId="28" xfId="0" applyNumberFormat="1" applyBorder="1"/>
    <xf numFmtId="2" fontId="0" fillId="0" borderId="5" xfId="0" applyNumberFormat="1" applyBorder="1" applyAlignment="1">
      <alignment horizontal="right" vertical="center"/>
    </xf>
    <xf numFmtId="0" fontId="10" fillId="0" borderId="1" xfId="0" applyFont="1" applyBorder="1" applyAlignment="1">
      <alignment horizontal="center" vertical="center"/>
    </xf>
    <xf numFmtId="20" fontId="0" fillId="0" borderId="1" xfId="0" applyNumberFormat="1" applyBorder="1"/>
    <xf numFmtId="46" fontId="0" fillId="0" borderId="1" xfId="0" applyNumberFormat="1" applyBorder="1"/>
    <xf numFmtId="14" fontId="0" fillId="0" borderId="0" xfId="0" applyNumberFormat="1"/>
    <xf numFmtId="20" fontId="0" fillId="0" borderId="0" xfId="0" applyNumberFormat="1"/>
    <xf numFmtId="188" fontId="0" fillId="0" borderId="10" xfId="0" applyNumberFormat="1" applyBorder="1"/>
    <xf numFmtId="0" fontId="50" fillId="0" borderId="1" xfId="0" applyFont="1" applyBorder="1" applyAlignment="1">
      <alignment horizontal="center" vertical="center"/>
    </xf>
    <xf numFmtId="0" fontId="48" fillId="14" borderId="3" xfId="0" applyFont="1" applyFill="1" applyBorder="1" applyAlignment="1">
      <alignment horizontal="center"/>
    </xf>
    <xf numFmtId="0" fontId="48" fillId="14" borderId="4" xfId="0" applyFont="1" applyFill="1" applyBorder="1" applyAlignment="1">
      <alignment horizontal="center"/>
    </xf>
    <xf numFmtId="0" fontId="40" fillId="0" borderId="4" xfId="0" quotePrefix="1" applyFont="1" applyBorder="1" applyAlignment="1">
      <alignment vertical="center"/>
    </xf>
    <xf numFmtId="0" fontId="40" fillId="0" borderId="18" xfId="0" applyFont="1" applyBorder="1" applyAlignment="1">
      <alignment vertical="center"/>
    </xf>
    <xf numFmtId="2" fontId="40" fillId="0" borderId="18" xfId="0" quotePrefix="1" applyNumberFormat="1" applyFont="1" applyBorder="1" applyAlignment="1">
      <alignment vertical="center"/>
    </xf>
    <xf numFmtId="2" fontId="0" fillId="13" borderId="1" xfId="0" applyNumberFormat="1" applyFill="1" applyBorder="1" applyAlignment="1">
      <alignment horizontal="right" vertical="center"/>
    </xf>
    <xf numFmtId="169" fontId="0" fillId="0" borderId="58" xfId="0" applyNumberFormat="1" applyBorder="1"/>
    <xf numFmtId="1" fontId="0" fillId="0" borderId="59" xfId="0" applyNumberFormat="1" applyBorder="1"/>
    <xf numFmtId="169" fontId="0" fillId="0" borderId="59" xfId="0" applyNumberFormat="1" applyBorder="1"/>
    <xf numFmtId="169" fontId="0" fillId="0" borderId="60" xfId="0" applyNumberFormat="1" applyBorder="1" applyAlignment="1">
      <alignment horizontal="center"/>
    </xf>
    <xf numFmtId="169" fontId="0" fillId="0" borderId="59" xfId="0" applyNumberFormat="1" applyBorder="1" applyAlignment="1">
      <alignment horizontal="center"/>
    </xf>
    <xf numFmtId="169" fontId="0" fillId="0" borderId="0" xfId="0" applyNumberFormat="1" applyAlignment="1">
      <alignment horizontal="center"/>
    </xf>
    <xf numFmtId="2" fontId="0" fillId="0" borderId="72" xfId="0" applyNumberFormat="1" applyBorder="1"/>
    <xf numFmtId="2" fontId="0" fillId="0" borderId="10" xfId="0" applyNumberFormat="1" applyBorder="1"/>
    <xf numFmtId="182" fontId="0" fillId="0" borderId="1" xfId="5" applyNumberFormat="1" applyFont="1" applyBorder="1" applyAlignment="1">
      <alignment horizontal="right"/>
    </xf>
    <xf numFmtId="0" fontId="78" fillId="0" borderId="10" xfId="0" applyFont="1" applyBorder="1"/>
    <xf numFmtId="0" fontId="78" fillId="0" borderId="34" xfId="0" applyFont="1" applyBorder="1" applyAlignment="1">
      <alignment horizontal="left"/>
    </xf>
    <xf numFmtId="0" fontId="78" fillId="0" borderId="34" xfId="0" applyFont="1" applyBorder="1"/>
    <xf numFmtId="0" fontId="47" fillId="0" borderId="13" xfId="0" applyFont="1" applyBorder="1" applyAlignment="1">
      <alignment horizontal="center" vertical="center"/>
    </xf>
    <xf numFmtId="170" fontId="47" fillId="0" borderId="0" xfId="0" applyNumberFormat="1" applyFont="1"/>
    <xf numFmtId="0" fontId="47" fillId="0" borderId="5" xfId="0" applyFont="1" applyBorder="1"/>
    <xf numFmtId="0" fontId="0" fillId="4" borderId="0" xfId="0" applyFill="1" applyAlignment="1">
      <alignment horizontal="left" vertical="center"/>
    </xf>
    <xf numFmtId="0" fontId="3" fillId="0" borderId="1" xfId="0" applyFont="1" applyBorder="1" applyAlignment="1">
      <alignment horizontal="center"/>
    </xf>
    <xf numFmtId="0" fontId="3" fillId="0" borderId="0" xfId="0" applyFont="1"/>
    <xf numFmtId="0" fontId="3" fillId="0" borderId="3" xfId="0" applyFont="1" applyBorder="1" applyAlignment="1">
      <alignment horizontal="right"/>
    </xf>
    <xf numFmtId="0" fontId="3" fillId="0" borderId="4" xfId="0" applyFont="1" applyBorder="1"/>
    <xf numFmtId="0" fontId="3" fillId="0" borderId="1" xfId="0" applyFont="1" applyBorder="1"/>
    <xf numFmtId="1" fontId="3" fillId="0" borderId="1" xfId="0" applyNumberFormat="1" applyFont="1" applyBorder="1"/>
    <xf numFmtId="0" fontId="10" fillId="0" borderId="3" xfId="0" applyFont="1" applyBorder="1" applyAlignment="1">
      <alignment horizontal="right"/>
    </xf>
    <xf numFmtId="0" fontId="3" fillId="0" borderId="3" xfId="0" applyFont="1" applyBorder="1"/>
    <xf numFmtId="0" fontId="3" fillId="0" borderId="0" xfId="0" applyFont="1" applyAlignment="1">
      <alignment horizontal="center"/>
    </xf>
    <xf numFmtId="0" fontId="3" fillId="0" borderId="0" xfId="0" applyFont="1" applyAlignment="1">
      <alignment horizontal="left"/>
    </xf>
    <xf numFmtId="0" fontId="3" fillId="0" borderId="7" xfId="0" applyFont="1" applyBorder="1"/>
    <xf numFmtId="0" fontId="3" fillId="0" borderId="12" xfId="0" applyFont="1" applyBorder="1"/>
    <xf numFmtId="0" fontId="3" fillId="0" borderId="6" xfId="0" applyFont="1" applyBorder="1"/>
    <xf numFmtId="0" fontId="3" fillId="0" borderId="28" xfId="0" applyFont="1" applyBorder="1"/>
    <xf numFmtId="0" fontId="3" fillId="0" borderId="54" xfId="0" applyFont="1" applyBorder="1"/>
    <xf numFmtId="1" fontId="0" fillId="10" borderId="1" xfId="0" applyNumberFormat="1" applyFill="1" applyBorder="1"/>
    <xf numFmtId="2" fontId="0" fillId="10" borderId="1" xfId="0" applyNumberFormat="1" applyFill="1" applyBorder="1"/>
    <xf numFmtId="0" fontId="0" fillId="10" borderId="5" xfId="0" applyFill="1" applyBorder="1"/>
    <xf numFmtId="0" fontId="0" fillId="10" borderId="1" xfId="0" applyFill="1" applyBorder="1"/>
    <xf numFmtId="0" fontId="79" fillId="0" borderId="0" xfId="0" applyFont="1"/>
    <xf numFmtId="0" fontId="3" fillId="0" borderId="5" xfId="0" applyFont="1" applyBorder="1"/>
    <xf numFmtId="0" fontId="3" fillId="0" borderId="0" xfId="0" applyFont="1" applyAlignment="1">
      <alignment horizontal="right"/>
    </xf>
    <xf numFmtId="4" fontId="10" fillId="0" borderId="1" xfId="0" applyNumberFormat="1" applyFont="1" applyBorder="1"/>
    <xf numFmtId="0" fontId="80" fillId="0" borderId="3" xfId="0" applyFont="1" applyBorder="1"/>
    <xf numFmtId="0" fontId="40" fillId="0" borderId="42" xfId="0" applyFont="1" applyBorder="1"/>
    <xf numFmtId="0" fontId="0" fillId="7" borderId="13" xfId="0" applyFill="1" applyBorder="1"/>
    <xf numFmtId="0" fontId="3" fillId="0" borderId="8" xfId="0" applyFont="1" applyBorder="1"/>
    <xf numFmtId="0" fontId="0" fillId="4" borderId="8" xfId="0" applyFill="1" applyBorder="1"/>
    <xf numFmtId="0" fontId="0" fillId="4" borderId="5" xfId="0" applyFill="1" applyBorder="1"/>
    <xf numFmtId="2" fontId="0" fillId="4" borderId="1" xfId="0" applyNumberFormat="1" applyFill="1" applyBorder="1" applyProtection="1">
      <protection hidden="1"/>
    </xf>
    <xf numFmtId="0" fontId="0" fillId="4" borderId="9" xfId="0" applyFill="1" applyBorder="1"/>
    <xf numFmtId="2" fontId="0" fillId="4" borderId="6" xfId="0" applyNumberFormat="1" applyFill="1" applyBorder="1" applyProtection="1">
      <protection hidden="1"/>
    </xf>
    <xf numFmtId="0" fontId="47" fillId="0" borderId="4" xfId="0" applyFont="1" applyBorder="1"/>
    <xf numFmtId="0" fontId="38" fillId="0" borderId="3" xfId="0" applyFont="1" applyBorder="1"/>
    <xf numFmtId="2" fontId="3" fillId="0" borderId="1" xfId="0" applyNumberFormat="1" applyFont="1" applyBorder="1"/>
    <xf numFmtId="2" fontId="3" fillId="0" borderId="1" xfId="0" applyNumberFormat="1" applyFont="1" applyBorder="1" applyAlignment="1">
      <alignment horizontal="right"/>
    </xf>
    <xf numFmtId="4" fontId="3" fillId="4" borderId="1" xfId="5" applyNumberFormat="1" applyFill="1" applyBorder="1" applyAlignment="1">
      <alignment horizontal="center" vertical="center"/>
    </xf>
    <xf numFmtId="2" fontId="3" fillId="4" borderId="1" xfId="5" applyNumberFormat="1" applyFill="1" applyBorder="1" applyAlignment="1">
      <alignment vertical="center"/>
    </xf>
    <xf numFmtId="2" fontId="3" fillId="4" borderId="1" xfId="5" applyNumberFormat="1" applyFill="1" applyBorder="1" applyAlignment="1">
      <alignment horizontal="center" vertical="center"/>
    </xf>
    <xf numFmtId="4" fontId="3" fillId="4" borderId="1" xfId="5" applyNumberFormat="1" applyFill="1" applyBorder="1" applyAlignment="1">
      <alignment vertical="center"/>
    </xf>
    <xf numFmtId="4" fontId="0" fillId="0" borderId="0" xfId="0" applyNumberFormat="1" applyAlignment="1">
      <alignment horizontal="center"/>
    </xf>
    <xf numFmtId="0" fontId="3" fillId="0" borderId="0" xfId="0" applyFont="1" applyAlignment="1">
      <alignment horizontal="left" vertical="center"/>
    </xf>
    <xf numFmtId="2" fontId="0" fillId="0" borderId="0" xfId="0" quotePrefix="1" applyNumberFormat="1"/>
    <xf numFmtId="0" fontId="3" fillId="4" borderId="0" xfId="0" applyFont="1" applyFill="1" applyAlignment="1">
      <alignment textRotation="90" wrapText="1"/>
    </xf>
    <xf numFmtId="0" fontId="0" fillId="4" borderId="1" xfId="0" applyFill="1" applyBorder="1" applyAlignment="1">
      <alignment horizontal="center" vertical="center"/>
    </xf>
    <xf numFmtId="0" fontId="3" fillId="4" borderId="1" xfId="0" applyFont="1" applyFill="1" applyBorder="1" applyAlignment="1">
      <alignment horizontal="center" vertical="center"/>
    </xf>
    <xf numFmtId="0" fontId="38" fillId="0" borderId="12" xfId="0" applyFont="1" applyBorder="1"/>
    <xf numFmtId="0" fontId="3" fillId="0" borderId="28" xfId="0" applyFont="1" applyBorder="1" applyAlignment="1">
      <alignment horizontal="center"/>
    </xf>
    <xf numFmtId="0" fontId="3" fillId="0" borderId="6" xfId="0" applyFont="1" applyBorder="1" applyAlignment="1">
      <alignment horizontal="center"/>
    </xf>
    <xf numFmtId="0" fontId="81" fillId="0" borderId="0" xfId="0" applyFont="1"/>
    <xf numFmtId="0" fontId="26" fillId="0" borderId="12" xfId="0" applyFont="1" applyBorder="1" applyAlignment="1">
      <alignment horizontal="center"/>
    </xf>
    <xf numFmtId="0" fontId="26" fillId="0" borderId="2" xfId="0" applyFont="1" applyBorder="1" applyAlignment="1">
      <alignment horizontal="center"/>
    </xf>
    <xf numFmtId="171" fontId="26" fillId="20" borderId="1" xfId="0" applyNumberFormat="1" applyFont="1" applyFill="1" applyBorder="1" applyAlignment="1">
      <alignment horizontal="center" vertical="center"/>
    </xf>
    <xf numFmtId="0" fontId="0" fillId="20" borderId="1" xfId="0" applyFill="1" applyBorder="1"/>
    <xf numFmtId="171" fontId="0" fillId="0" borderId="0" xfId="0" applyNumberFormat="1"/>
    <xf numFmtId="1" fontId="23" fillId="0" borderId="28" xfId="0" applyNumberFormat="1" applyFont="1" applyBorder="1"/>
    <xf numFmtId="0" fontId="83" fillId="0" borderId="5" xfId="0" applyFont="1" applyBorder="1"/>
    <xf numFmtId="0" fontId="84" fillId="0" borderId="7" xfId="0" applyFont="1" applyBorder="1" applyAlignment="1">
      <alignment horizontal="left" vertical="center"/>
    </xf>
    <xf numFmtId="0" fontId="3" fillId="0" borderId="0" xfId="0" applyFont="1" applyAlignment="1">
      <alignment horizontal="right" vertical="center"/>
    </xf>
    <xf numFmtId="0" fontId="19" fillId="0" borderId="0" xfId="0" applyFont="1" applyAlignment="1">
      <alignment horizontal="left"/>
    </xf>
    <xf numFmtId="0" fontId="77" fillId="0" borderId="34" xfId="0" applyFont="1" applyBorder="1" applyAlignment="1">
      <alignment horizontal="left"/>
    </xf>
    <xf numFmtId="0" fontId="77" fillId="0" borderId="34" xfId="0" applyFont="1" applyBorder="1"/>
    <xf numFmtId="0" fontId="3" fillId="0" borderId="0" xfId="0" quotePrefix="1" applyFont="1"/>
    <xf numFmtId="2" fontId="0" fillId="0" borderId="121" xfId="0" applyNumberFormat="1" applyBorder="1"/>
    <xf numFmtId="0" fontId="3" fillId="0" borderId="60" xfId="0" applyFont="1" applyBorder="1"/>
    <xf numFmtId="0" fontId="3" fillId="0" borderId="15" xfId="0" applyFont="1" applyBorder="1"/>
    <xf numFmtId="0" fontId="3" fillId="0" borderId="16" xfId="0" applyFont="1" applyBorder="1"/>
    <xf numFmtId="0" fontId="3" fillId="0" borderId="3" xfId="0" applyFont="1" applyBorder="1" applyAlignment="1">
      <alignment horizontal="left" vertical="center"/>
    </xf>
    <xf numFmtId="10" fontId="40" fillId="0" borderId="11" xfId="0" applyNumberFormat="1" applyFont="1" applyBorder="1" applyAlignment="1">
      <alignment horizontal="left"/>
    </xf>
    <xf numFmtId="0" fontId="3" fillId="0" borderId="3" xfId="0" applyFont="1" applyBorder="1" applyAlignment="1">
      <alignment horizontal="center" vertical="center"/>
    </xf>
    <xf numFmtId="169" fontId="0" fillId="0" borderId="28" xfId="0" applyNumberFormat="1" applyBorder="1"/>
    <xf numFmtId="4" fontId="3" fillId="0" borderId="1" xfId="5" applyNumberFormat="1" applyFont="1" applyBorder="1" applyAlignment="1">
      <alignment horizontal="center"/>
    </xf>
    <xf numFmtId="165" fontId="40" fillId="0" borderId="1" xfId="5" applyFont="1" applyBorder="1" applyAlignment="1" applyProtection="1">
      <alignment horizontal="center" vertical="center"/>
    </xf>
    <xf numFmtId="4" fontId="10" fillId="0" borderId="32" xfId="5" applyNumberFormat="1" applyFont="1" applyBorder="1" applyAlignment="1" applyProtection="1">
      <alignment horizontal="right" vertical="center"/>
    </xf>
    <xf numFmtId="2" fontId="3" fillId="4" borderId="1" xfId="5" applyNumberFormat="1" applyFill="1" applyBorder="1" applyAlignment="1" applyProtection="1">
      <alignment horizontal="center" vertical="center"/>
    </xf>
    <xf numFmtId="4" fontId="3" fillId="4" borderId="1" xfId="5" applyNumberFormat="1" applyFill="1" applyBorder="1" applyAlignment="1" applyProtection="1">
      <alignment vertical="center"/>
    </xf>
    <xf numFmtId="2" fontId="40" fillId="0" borderId="7" xfId="0" applyNumberFormat="1" applyFont="1" applyBorder="1" applyAlignment="1">
      <alignment vertical="center"/>
    </xf>
    <xf numFmtId="2" fontId="40" fillId="0" borderId="12" xfId="0" applyNumberFormat="1" applyFont="1" applyBorder="1" applyAlignment="1">
      <alignment vertical="center"/>
    </xf>
    <xf numFmtId="10" fontId="40" fillId="0" borderId="2" xfId="0" applyNumberFormat="1" applyFont="1" applyBorder="1" applyAlignment="1">
      <alignment vertical="center"/>
    </xf>
    <xf numFmtId="0" fontId="3" fillId="0" borderId="34" xfId="0" applyFont="1" applyBorder="1" applyAlignment="1">
      <alignment horizontal="center"/>
    </xf>
    <xf numFmtId="10" fontId="47" fillId="4" borderId="1" xfId="4" applyNumberFormat="1" applyFont="1" applyFill="1" applyBorder="1"/>
    <xf numFmtId="9" fontId="47" fillId="0" borderId="0" xfId="0" applyNumberFormat="1" applyFont="1"/>
    <xf numFmtId="168" fontId="0" fillId="8" borderId="1" xfId="0" applyNumberFormat="1" applyFill="1" applyBorder="1"/>
    <xf numFmtId="168" fontId="0" fillId="6" borderId="1" xfId="0" applyNumberFormat="1" applyFill="1" applyBorder="1"/>
    <xf numFmtId="2" fontId="40" fillId="0" borderId="8" xfId="0" applyNumberFormat="1" applyFont="1" applyBorder="1" applyAlignment="1">
      <alignment horizontal="center" vertical="center"/>
    </xf>
    <xf numFmtId="0" fontId="0" fillId="0" borderId="32" xfId="0" applyBorder="1"/>
    <xf numFmtId="0" fontId="61" fillId="0" borderId="0" xfId="0" applyFont="1"/>
    <xf numFmtId="2" fontId="3" fillId="0" borderId="6" xfId="0" applyNumberFormat="1" applyFont="1" applyBorder="1"/>
    <xf numFmtId="0" fontId="48" fillId="0" borderId="4" xfId="0" applyFont="1" applyBorder="1" applyAlignment="1">
      <alignment horizontal="center"/>
    </xf>
    <xf numFmtId="0" fontId="48" fillId="0" borderId="3" xfId="0" applyFont="1" applyBorder="1" applyAlignment="1">
      <alignment horizontal="center"/>
    </xf>
    <xf numFmtId="189" fontId="0" fillId="0" borderId="0" xfId="0" applyNumberFormat="1"/>
    <xf numFmtId="3" fontId="0" fillId="0" borderId="0" xfId="0" applyNumberFormat="1" applyAlignment="1">
      <alignment horizontal="center" vertical="center"/>
    </xf>
    <xf numFmtId="3" fontId="0" fillId="0" borderId="0" xfId="0" applyNumberFormat="1" applyAlignment="1">
      <alignment horizontal="center"/>
    </xf>
    <xf numFmtId="0" fontId="3" fillId="0" borderId="10" xfId="0" applyFont="1" applyBorder="1"/>
    <xf numFmtId="2" fontId="3" fillId="0" borderId="4" xfId="0" applyNumberFormat="1" applyFont="1" applyBorder="1" applyAlignment="1">
      <alignment horizontal="left"/>
    </xf>
    <xf numFmtId="0" fontId="10" fillId="0" borderId="3" xfId="0" applyFont="1" applyBorder="1" applyAlignment="1">
      <alignment vertical="center"/>
    </xf>
    <xf numFmtId="0" fontId="10" fillId="0" borderId="31" xfId="0" applyFont="1" applyBorder="1" applyAlignment="1">
      <alignment horizontal="center" vertical="center"/>
    </xf>
    <xf numFmtId="0" fontId="10" fillId="0" borderId="37" xfId="0" applyFont="1" applyBorder="1" applyAlignment="1">
      <alignment horizontal="center" vertical="center"/>
    </xf>
    <xf numFmtId="0" fontId="10" fillId="4" borderId="31" xfId="0" applyFont="1" applyFill="1" applyBorder="1" applyAlignment="1">
      <alignment horizontal="center" vertical="center"/>
    </xf>
    <xf numFmtId="0" fontId="10" fillId="4" borderId="37" xfId="0" applyFont="1" applyFill="1" applyBorder="1" applyAlignment="1">
      <alignment horizontal="center" vertical="center"/>
    </xf>
    <xf numFmtId="0" fontId="3" fillId="0" borderId="31" xfId="0" applyFont="1" applyBorder="1" applyAlignment="1">
      <alignment horizontal="center" vertical="center"/>
    </xf>
    <xf numFmtId="0" fontId="3" fillId="0" borderId="3" xfId="0" applyFont="1" applyBorder="1" applyAlignment="1">
      <alignment vertical="center"/>
    </xf>
    <xf numFmtId="0" fontId="0" fillId="5" borderId="72" xfId="0" applyFill="1" applyBorder="1"/>
    <xf numFmtId="0" fontId="3" fillId="0" borderId="1" xfId="0" applyFont="1" applyBorder="1" applyAlignment="1">
      <alignment horizontal="center" vertical="center"/>
    </xf>
    <xf numFmtId="4" fontId="3" fillId="0" borderId="1" xfId="0" applyNumberFormat="1" applyFont="1" applyBorder="1"/>
    <xf numFmtId="190" fontId="0" fillId="0" borderId="1" xfId="0" applyNumberFormat="1" applyBorder="1"/>
    <xf numFmtId="2" fontId="3" fillId="0" borderId="5" xfId="0" applyNumberFormat="1" applyFont="1" applyBorder="1" applyProtection="1">
      <protection hidden="1"/>
    </xf>
    <xf numFmtId="1" fontId="28" fillId="0" borderId="5" xfId="0" applyNumberFormat="1" applyFont="1" applyBorder="1" applyAlignment="1">
      <alignment vertical="center"/>
    </xf>
    <xf numFmtId="0" fontId="3" fillId="0" borderId="0" xfId="0" applyFont="1" applyAlignment="1">
      <alignment horizontal="center" vertical="center"/>
    </xf>
    <xf numFmtId="165" fontId="40" fillId="0" borderId="4" xfId="5" applyFont="1" applyBorder="1" applyAlignment="1" applyProtection="1">
      <alignment horizontal="center" vertical="center"/>
    </xf>
    <xf numFmtId="165" fontId="3" fillId="0" borderId="1" xfId="5" applyFont="1" applyBorder="1" applyAlignment="1" applyProtection="1">
      <alignment horizontal="center" vertical="center"/>
    </xf>
    <xf numFmtId="10" fontId="3" fillId="4" borderId="1" xfId="4" applyNumberFormat="1" applyFont="1" applyFill="1" applyBorder="1" applyProtection="1"/>
    <xf numFmtId="10" fontId="3" fillId="0" borderId="1" xfId="4" applyNumberFormat="1" applyFont="1" applyBorder="1" applyProtection="1"/>
    <xf numFmtId="0" fontId="3" fillId="0" borderId="6" xfId="0" applyFont="1" applyBorder="1" applyAlignment="1">
      <alignment horizontal="center" vertical="center"/>
    </xf>
    <xf numFmtId="0" fontId="3" fillId="0" borderId="17" xfId="0" applyFont="1" applyBorder="1"/>
    <xf numFmtId="0" fontId="3" fillId="0" borderId="12" xfId="0" applyFont="1" applyBorder="1" applyAlignment="1">
      <alignment vertical="center"/>
    </xf>
    <xf numFmtId="0" fontId="47" fillId="3" borderId="0" xfId="0" applyFont="1" applyFill="1" applyAlignment="1">
      <alignment horizontal="center" vertical="center"/>
    </xf>
    <xf numFmtId="0" fontId="49" fillId="3" borderId="0" xfId="0" applyFont="1" applyFill="1" applyAlignment="1">
      <alignment horizontal="center" vertical="center"/>
    </xf>
    <xf numFmtId="4" fontId="10" fillId="0" borderId="71" xfId="5" applyNumberFormat="1" applyFont="1" applyBorder="1" applyAlignment="1" applyProtection="1">
      <alignment horizontal="right" vertical="center"/>
    </xf>
    <xf numFmtId="0" fontId="3" fillId="5" borderId="0" xfId="0" applyFont="1" applyFill="1"/>
    <xf numFmtId="0" fontId="47" fillId="0" borderId="34" xfId="0" applyFont="1" applyBorder="1"/>
    <xf numFmtId="0" fontId="47" fillId="0" borderId="1" xfId="0" applyFont="1" applyBorder="1"/>
    <xf numFmtId="0" fontId="3" fillId="0" borderId="11" xfId="0" applyFont="1" applyBorder="1"/>
    <xf numFmtId="0" fontId="3" fillId="0" borderId="2" xfId="0" applyFont="1" applyBorder="1"/>
    <xf numFmtId="0" fontId="3" fillId="0" borderId="34" xfId="0" applyFont="1" applyBorder="1"/>
    <xf numFmtId="0" fontId="3" fillId="0" borderId="10" xfId="0" applyFont="1" applyBorder="1" applyAlignment="1">
      <alignment horizontal="center"/>
    </xf>
    <xf numFmtId="2" fontId="10" fillId="0" borderId="32" xfId="5" applyNumberFormat="1" applyFont="1" applyBorder="1" applyAlignment="1" applyProtection="1">
      <alignment horizontal="right" vertical="center"/>
    </xf>
    <xf numFmtId="2" fontId="10" fillId="0" borderId="71" xfId="5" applyNumberFormat="1" applyFont="1" applyBorder="1" applyAlignment="1" applyProtection="1">
      <alignment horizontal="right" vertical="center"/>
    </xf>
    <xf numFmtId="165" fontId="0" fillId="13" borderId="1" xfId="5" applyFont="1" applyFill="1" applyBorder="1" applyAlignment="1">
      <alignment vertical="center"/>
    </xf>
    <xf numFmtId="0" fontId="4" fillId="0" borderId="16" xfId="0" applyFont="1" applyBorder="1"/>
    <xf numFmtId="0" fontId="40" fillId="0" borderId="13" xfId="0" applyFont="1" applyBorder="1"/>
    <xf numFmtId="0" fontId="3" fillId="0" borderId="0" xfId="0" applyFont="1" applyAlignment="1">
      <alignment horizontal="left" wrapText="1"/>
    </xf>
    <xf numFmtId="0" fontId="3" fillId="0" borderId="10" xfId="0" applyFont="1" applyBorder="1" applyAlignment="1">
      <alignment horizontal="left" wrapText="1"/>
    </xf>
    <xf numFmtId="0" fontId="9" fillId="0" borderId="0" xfId="0" applyFont="1" applyAlignment="1">
      <alignment horizontal="left"/>
    </xf>
    <xf numFmtId="2" fontId="81" fillId="5" borderId="5" xfId="0" applyNumberFormat="1" applyFont="1" applyFill="1" applyBorder="1" applyAlignment="1">
      <alignment vertical="center"/>
    </xf>
    <xf numFmtId="2" fontId="3" fillId="0" borderId="0" xfId="0" applyNumberFormat="1" applyFont="1"/>
    <xf numFmtId="2" fontId="3" fillId="0" borderId="13" xfId="0" applyNumberFormat="1" applyFont="1" applyBorder="1"/>
    <xf numFmtId="2" fontId="0" fillId="4" borderId="1" xfId="0" applyNumberFormat="1" applyFill="1" applyBorder="1"/>
    <xf numFmtId="2" fontId="3" fillId="4" borderId="1" xfId="0" applyNumberFormat="1" applyFont="1" applyFill="1" applyBorder="1"/>
    <xf numFmtId="2" fontId="0" fillId="5" borderId="0" xfId="0" applyNumberFormat="1" applyFill="1" applyAlignment="1">
      <alignment horizontal="center"/>
    </xf>
    <xf numFmtId="2" fontId="0" fillId="5" borderId="3" xfId="0" applyNumberFormat="1" applyFill="1" applyBorder="1" applyAlignment="1">
      <alignment horizontal="center"/>
    </xf>
    <xf numFmtId="0" fontId="40" fillId="5" borderId="0" xfId="0" applyFont="1" applyFill="1"/>
    <xf numFmtId="2" fontId="40" fillId="5" borderId="0" xfId="0" applyNumberFormat="1" applyFont="1" applyFill="1" applyAlignment="1">
      <alignment horizontal="center"/>
    </xf>
    <xf numFmtId="0" fontId="0" fillId="5" borderId="0" xfId="0" applyFill="1" applyAlignment="1">
      <alignment horizontal="center"/>
    </xf>
    <xf numFmtId="2" fontId="23" fillId="0" borderId="28" xfId="0" applyNumberFormat="1" applyFont="1" applyBorder="1"/>
    <xf numFmtId="4" fontId="81" fillId="5" borderId="5" xfId="5" applyNumberFormat="1" applyFont="1" applyFill="1" applyBorder="1" applyAlignment="1">
      <alignment vertical="center"/>
    </xf>
    <xf numFmtId="0" fontId="3" fillId="5" borderId="3" xfId="0" applyFont="1" applyFill="1" applyBorder="1"/>
    <xf numFmtId="0" fontId="0" fillId="5" borderId="5" xfId="0" applyFill="1" applyBorder="1"/>
    <xf numFmtId="0" fontId="0" fillId="5" borderId="4" xfId="0" applyFill="1" applyBorder="1"/>
    <xf numFmtId="0" fontId="3" fillId="5" borderId="1" xfId="0" applyFont="1" applyFill="1" applyBorder="1"/>
    <xf numFmtId="0" fontId="3" fillId="17" borderId="3" xfId="0" applyFont="1" applyFill="1" applyBorder="1"/>
    <xf numFmtId="0" fontId="0" fillId="17" borderId="4" xfId="0" applyFill="1" applyBorder="1"/>
    <xf numFmtId="2" fontId="0" fillId="17" borderId="1" xfId="0" applyNumberFormat="1" applyFill="1" applyBorder="1"/>
    <xf numFmtId="0" fontId="3" fillId="17" borderId="1" xfId="0" applyFont="1" applyFill="1" applyBorder="1"/>
    <xf numFmtId="0" fontId="3" fillId="23" borderId="3" xfId="0" applyFont="1" applyFill="1" applyBorder="1"/>
    <xf numFmtId="0" fontId="0" fillId="23" borderId="5" xfId="0" applyFill="1" applyBorder="1"/>
    <xf numFmtId="0" fontId="0" fillId="23" borderId="4" xfId="0" applyFill="1" applyBorder="1"/>
    <xf numFmtId="2" fontId="0" fillId="23" borderId="1" xfId="0" applyNumberFormat="1" applyFill="1" applyBorder="1"/>
    <xf numFmtId="0" fontId="3" fillId="23" borderId="1" xfId="0" applyFont="1" applyFill="1" applyBorder="1"/>
    <xf numFmtId="0" fontId="3" fillId="24" borderId="3" xfId="0" applyFont="1" applyFill="1" applyBorder="1"/>
    <xf numFmtId="0" fontId="0" fillId="24" borderId="5" xfId="0" applyFill="1" applyBorder="1"/>
    <xf numFmtId="0" fontId="0" fillId="24" borderId="4" xfId="0" applyFill="1" applyBorder="1"/>
    <xf numFmtId="2" fontId="0" fillId="24" borderId="1" xfId="0" applyNumberFormat="1" applyFill="1" applyBorder="1"/>
    <xf numFmtId="0" fontId="3" fillId="24" borderId="1" xfId="0" applyFont="1" applyFill="1" applyBorder="1"/>
    <xf numFmtId="0" fontId="3" fillId="5" borderId="4" xfId="0" applyFont="1" applyFill="1" applyBorder="1" applyAlignment="1">
      <alignment horizontal="center" vertical="center"/>
    </xf>
    <xf numFmtId="44" fontId="0" fillId="0" borderId="4" xfId="0" applyNumberFormat="1" applyBorder="1"/>
    <xf numFmtId="166" fontId="40" fillId="0" borderId="5" xfId="0" applyNumberFormat="1" applyFont="1" applyBorder="1"/>
    <xf numFmtId="0" fontId="3" fillId="0" borderId="0" xfId="0" applyFont="1" applyAlignment="1">
      <alignment wrapText="1"/>
    </xf>
    <xf numFmtId="0" fontId="14" fillId="0" borderId="0" xfId="0" applyFont="1" applyAlignment="1">
      <alignment horizontal="center" vertical="center" wrapText="1"/>
    </xf>
    <xf numFmtId="2" fontId="0" fillId="4" borderId="0" xfId="0" applyNumberFormat="1" applyFill="1" applyAlignment="1">
      <alignment vertical="center"/>
    </xf>
    <xf numFmtId="188" fontId="0" fillId="0" borderId="0" xfId="0" applyNumberFormat="1"/>
    <xf numFmtId="0" fontId="63" fillId="2" borderId="6" xfId="0" applyFont="1" applyFill="1" applyBorder="1" applyAlignment="1">
      <alignment horizontal="center" vertical="center"/>
    </xf>
    <xf numFmtId="9" fontId="0" fillId="25" borderId="1" xfId="4" applyFont="1" applyFill="1" applyBorder="1" applyAlignment="1">
      <alignment horizontal="center" vertical="center"/>
    </xf>
    <xf numFmtId="0" fontId="10" fillId="25" borderId="1" xfId="0" applyFont="1" applyFill="1" applyBorder="1" applyAlignment="1">
      <alignment horizontal="left" vertical="center" wrapText="1"/>
    </xf>
    <xf numFmtId="9" fontId="0" fillId="26" borderId="1" xfId="4" applyFont="1" applyFill="1" applyBorder="1" applyAlignment="1">
      <alignment horizontal="center" vertical="center"/>
    </xf>
    <xf numFmtId="0" fontId="10" fillId="26" borderId="1" xfId="0" applyFont="1" applyFill="1" applyBorder="1" applyAlignment="1">
      <alignment horizontal="left" vertical="center" wrapText="1"/>
    </xf>
    <xf numFmtId="9" fontId="10" fillId="26" borderId="1" xfId="4" applyFont="1" applyFill="1" applyBorder="1" applyAlignment="1">
      <alignment horizontal="center" vertical="center"/>
    </xf>
    <xf numFmtId="2" fontId="3" fillId="4" borderId="1" xfId="0" applyNumberFormat="1" applyFont="1" applyFill="1" applyBorder="1" applyAlignment="1">
      <alignment vertical="center"/>
    </xf>
    <xf numFmtId="2" fontId="10" fillId="0" borderId="1" xfId="5" applyNumberFormat="1" applyFont="1" applyBorder="1" applyAlignment="1" applyProtection="1">
      <alignment horizontal="right" vertical="center"/>
    </xf>
    <xf numFmtId="2" fontId="10" fillId="0" borderId="61" xfId="5" applyNumberFormat="1" applyFont="1" applyBorder="1" applyAlignment="1" applyProtection="1">
      <alignment horizontal="right" vertical="center"/>
    </xf>
    <xf numFmtId="165" fontId="3" fillId="0" borderId="1" xfId="5" applyFont="1" applyFill="1" applyBorder="1" applyAlignment="1" applyProtection="1">
      <alignment horizontal="center" vertical="center"/>
    </xf>
    <xf numFmtId="165" fontId="40" fillId="0" borderId="3" xfId="5" applyFont="1" applyBorder="1" applyAlignment="1" applyProtection="1">
      <alignment horizontal="center" vertical="center"/>
    </xf>
    <xf numFmtId="165" fontId="3" fillId="4" borderId="1" xfId="5" applyFont="1" applyFill="1" applyBorder="1" applyAlignment="1" applyProtection="1">
      <alignment vertical="center"/>
    </xf>
    <xf numFmtId="0" fontId="3" fillId="6" borderId="3" xfId="0" applyFont="1" applyFill="1" applyBorder="1"/>
    <xf numFmtId="0" fontId="0" fillId="6" borderId="5" xfId="0" applyFill="1" applyBorder="1"/>
    <xf numFmtId="0" fontId="0" fillId="6" borderId="4" xfId="0" applyFill="1" applyBorder="1"/>
    <xf numFmtId="2" fontId="0" fillId="6" borderId="1" xfId="0" applyNumberFormat="1" applyFill="1" applyBorder="1"/>
    <xf numFmtId="0" fontId="0" fillId="6" borderId="1" xfId="0" applyFill="1" applyBorder="1"/>
    <xf numFmtId="0" fontId="10" fillId="4" borderId="0" xfId="0" applyFont="1" applyFill="1" applyAlignment="1">
      <alignment horizontal="center" vertical="center"/>
    </xf>
    <xf numFmtId="2" fontId="10" fillId="0" borderId="0" xfId="5" applyNumberFormat="1" applyFont="1" applyBorder="1" applyAlignment="1" applyProtection="1">
      <alignment horizontal="right" vertical="center"/>
    </xf>
    <xf numFmtId="0" fontId="84" fillId="0" borderId="0" xfId="0" applyFont="1" applyAlignment="1">
      <alignment vertical="center"/>
    </xf>
    <xf numFmtId="0" fontId="3" fillId="0" borderId="13" xfId="0" applyFont="1" applyBorder="1" applyAlignment="1">
      <alignment vertical="center" wrapText="1"/>
    </xf>
    <xf numFmtId="0" fontId="3" fillId="0" borderId="0" xfId="0" applyFont="1" applyAlignment="1">
      <alignment vertical="center" wrapText="1"/>
    </xf>
    <xf numFmtId="0" fontId="3" fillId="0" borderId="10" xfId="0" applyFont="1" applyBorder="1" applyAlignment="1">
      <alignment vertical="center" wrapText="1"/>
    </xf>
    <xf numFmtId="10" fontId="3" fillId="0" borderId="10" xfId="4" applyNumberFormat="1" applyFont="1" applyBorder="1" applyAlignment="1">
      <alignment horizontal="left" vertical="center" wrapText="1"/>
    </xf>
    <xf numFmtId="0" fontId="3" fillId="0" borderId="12" xfId="0" applyFont="1" applyBorder="1" applyAlignment="1">
      <alignment vertical="center" wrapText="1"/>
    </xf>
    <xf numFmtId="0" fontId="3" fillId="0" borderId="2" xfId="0" applyFont="1" applyBorder="1" applyAlignment="1">
      <alignment vertical="center" wrapText="1"/>
    </xf>
    <xf numFmtId="0" fontId="3" fillId="0" borderId="11" xfId="0" applyFont="1" applyBorder="1" applyAlignment="1">
      <alignment vertical="center" wrapText="1"/>
    </xf>
    <xf numFmtId="0" fontId="2" fillId="0" borderId="19" xfId="6" applyBorder="1"/>
    <xf numFmtId="0" fontId="2" fillId="0" borderId="20" xfId="6" applyBorder="1"/>
    <xf numFmtId="0" fontId="2" fillId="0" borderId="22" xfId="6" applyBorder="1"/>
    <xf numFmtId="0" fontId="2" fillId="0" borderId="0" xfId="6"/>
    <xf numFmtId="0" fontId="2" fillId="0" borderId="21" xfId="6" applyBorder="1"/>
    <xf numFmtId="0" fontId="2" fillId="0" borderId="23" xfId="6" applyBorder="1"/>
    <xf numFmtId="0" fontId="44" fillId="0" borderId="1" xfId="6" applyFont="1" applyBorder="1" applyAlignment="1">
      <alignment horizontal="center" vertical="center"/>
    </xf>
    <xf numFmtId="0" fontId="44" fillId="0" borderId="1" xfId="6" applyFont="1" applyBorder="1" applyAlignment="1">
      <alignment horizontal="center" vertical="center" wrapText="1"/>
    </xf>
    <xf numFmtId="0" fontId="44" fillId="0" borderId="0" xfId="6" applyFont="1"/>
    <xf numFmtId="0" fontId="44" fillId="0" borderId="23" xfId="6" applyFont="1" applyBorder="1"/>
    <xf numFmtId="0" fontId="44" fillId="0" borderId="1" xfId="6" applyFont="1" applyBorder="1"/>
    <xf numFmtId="2" fontId="44" fillId="0" borderId="1" xfId="6" applyNumberFormat="1" applyFont="1" applyBorder="1"/>
    <xf numFmtId="2" fontId="44" fillId="0" borderId="1" xfId="6" applyNumberFormat="1" applyFont="1" applyBorder="1" applyAlignment="1">
      <alignment horizontal="center"/>
    </xf>
    <xf numFmtId="0" fontId="86" fillId="0" borderId="21" xfId="6" applyFont="1" applyBorder="1"/>
    <xf numFmtId="0" fontId="44" fillId="0" borderId="1" xfId="6" applyFont="1" applyBorder="1" applyAlignment="1">
      <alignment horizontal="center"/>
    </xf>
    <xf numFmtId="0" fontId="87" fillId="0" borderId="0" xfId="6" applyFont="1"/>
    <xf numFmtId="0" fontId="76" fillId="0" borderId="14" xfId="6" applyFont="1" applyBorder="1"/>
    <xf numFmtId="0" fontId="44" fillId="0" borderId="14" xfId="6" applyFont="1" applyBorder="1"/>
    <xf numFmtId="0" fontId="44" fillId="0" borderId="15" xfId="6" applyFont="1" applyBorder="1"/>
    <xf numFmtId="0" fontId="44" fillId="0" borderId="16" xfId="6" applyFont="1" applyBorder="1" applyAlignment="1">
      <alignment horizontal="right"/>
    </xf>
    <xf numFmtId="14" fontId="44" fillId="0" borderId="14" xfId="6" applyNumberFormat="1" applyFont="1" applyBorder="1"/>
    <xf numFmtId="0" fontId="44" fillId="0" borderId="20" xfId="6" applyFont="1" applyBorder="1"/>
    <xf numFmtId="0" fontId="44" fillId="24" borderId="1" xfId="6" applyFont="1" applyFill="1" applyBorder="1" applyAlignment="1">
      <alignment horizontal="center" vertical="center"/>
    </xf>
    <xf numFmtId="169" fontId="44" fillId="10" borderId="1" xfId="6" applyNumberFormat="1" applyFont="1" applyFill="1" applyBorder="1" applyAlignment="1">
      <alignment horizontal="center" vertical="center" wrapText="1"/>
    </xf>
    <xf numFmtId="2" fontId="44" fillId="27" borderId="1" xfId="6" applyNumberFormat="1" applyFont="1" applyFill="1" applyBorder="1" applyAlignment="1">
      <alignment horizontal="center" vertical="center"/>
    </xf>
    <xf numFmtId="2" fontId="44" fillId="8" borderId="1" xfId="6" applyNumberFormat="1" applyFont="1" applyFill="1" applyBorder="1" applyAlignment="1">
      <alignment horizontal="center" vertical="center" wrapText="1"/>
    </xf>
    <xf numFmtId="169" fontId="44" fillId="10" borderId="1" xfId="6" applyNumberFormat="1" applyFont="1" applyFill="1" applyBorder="1"/>
    <xf numFmtId="2" fontId="44" fillId="27" borderId="1" xfId="6" applyNumberFormat="1" applyFont="1" applyFill="1" applyBorder="1" applyAlignment="1">
      <alignment horizontal="right"/>
    </xf>
    <xf numFmtId="2" fontId="44" fillId="8" borderId="1" xfId="6" applyNumberFormat="1" applyFont="1" applyFill="1" applyBorder="1"/>
    <xf numFmtId="44" fontId="44" fillId="8" borderId="1" xfId="6" applyNumberFormat="1" applyFont="1" applyFill="1" applyBorder="1"/>
    <xf numFmtId="0" fontId="44" fillId="0" borderId="0" xfId="6" quotePrefix="1" applyFont="1"/>
    <xf numFmtId="0" fontId="2" fillId="0" borderId="24" xfId="6" applyBorder="1"/>
    <xf numFmtId="0" fontId="44" fillId="0" borderId="25" xfId="6" applyFont="1" applyBorder="1"/>
    <xf numFmtId="0" fontId="44" fillId="0" borderId="26" xfId="6" applyFont="1" applyBorder="1"/>
    <xf numFmtId="0" fontId="86" fillId="0" borderId="0" xfId="6" applyFont="1"/>
    <xf numFmtId="10" fontId="2" fillId="0" borderId="1" xfId="6" applyNumberFormat="1" applyBorder="1" applyAlignment="1">
      <alignment horizontal="center"/>
    </xf>
    <xf numFmtId="0" fontId="2" fillId="0" borderId="1" xfId="6" applyBorder="1" applyAlignment="1">
      <alignment horizontal="center"/>
    </xf>
    <xf numFmtId="0" fontId="85" fillId="0" borderId="1" xfId="6" applyFont="1" applyBorder="1"/>
    <xf numFmtId="10" fontId="2" fillId="0" borderId="1" xfId="6" applyNumberFormat="1" applyBorder="1"/>
    <xf numFmtId="0" fontId="2" fillId="0" borderId="1" xfId="6" applyBorder="1"/>
    <xf numFmtId="169" fontId="2" fillId="0" borderId="1" xfId="6" applyNumberFormat="1" applyBorder="1"/>
    <xf numFmtId="2" fontId="2" fillId="0" borderId="1" xfId="6" applyNumberFormat="1" applyBorder="1"/>
    <xf numFmtId="2" fontId="44" fillId="0" borderId="1" xfId="5" applyNumberFormat="1" applyFont="1" applyBorder="1"/>
    <xf numFmtId="0" fontId="44" fillId="0" borderId="3" xfId="6" applyFont="1" applyBorder="1"/>
    <xf numFmtId="0" fontId="44" fillId="0" borderId="4" xfId="6" applyFont="1" applyBorder="1"/>
    <xf numFmtId="0" fontId="44" fillId="0" borderId="5" xfId="6" applyFont="1" applyBorder="1"/>
    <xf numFmtId="0" fontId="44" fillId="0" borderId="7" xfId="6" applyFont="1" applyBorder="1"/>
    <xf numFmtId="0" fontId="44" fillId="0" borderId="8" xfId="6" applyFont="1" applyBorder="1"/>
    <xf numFmtId="0" fontId="44" fillId="0" borderId="9" xfId="6" applyFont="1" applyBorder="1"/>
    <xf numFmtId="0" fontId="44" fillId="0" borderId="13" xfId="6" applyFont="1" applyBorder="1"/>
    <xf numFmtId="0" fontId="44" fillId="0" borderId="10" xfId="6" applyFont="1" applyBorder="1"/>
    <xf numFmtId="0" fontId="44" fillId="0" borderId="12" xfId="6" applyFont="1" applyBorder="1"/>
    <xf numFmtId="0" fontId="44" fillId="0" borderId="2" xfId="6" applyFont="1" applyBorder="1"/>
    <xf numFmtId="0" fontId="44" fillId="0" borderId="11" xfId="6" applyFont="1" applyBorder="1"/>
    <xf numFmtId="0" fontId="2" fillId="0" borderId="7" xfId="6" applyBorder="1"/>
    <xf numFmtId="0" fontId="2" fillId="0" borderId="8" xfId="6" applyBorder="1"/>
    <xf numFmtId="0" fontId="2" fillId="0" borderId="9" xfId="6" applyBorder="1"/>
    <xf numFmtId="0" fontId="2" fillId="0" borderId="10" xfId="6" applyBorder="1"/>
    <xf numFmtId="0" fontId="2" fillId="0" borderId="12" xfId="6" applyBorder="1"/>
    <xf numFmtId="0" fontId="2" fillId="0" borderId="2" xfId="6" applyBorder="1"/>
    <xf numFmtId="0" fontId="2" fillId="0" borderId="11" xfId="6" applyBorder="1"/>
    <xf numFmtId="0" fontId="2" fillId="0" borderId="13" xfId="6" applyBorder="1"/>
    <xf numFmtId="2" fontId="44" fillId="0" borderId="6" xfId="6" applyNumberFormat="1" applyFont="1" applyBorder="1"/>
    <xf numFmtId="2" fontId="44" fillId="23" borderId="2" xfId="6" applyNumberFormat="1" applyFont="1" applyFill="1" applyBorder="1"/>
    <xf numFmtId="2" fontId="44" fillId="0" borderId="1" xfId="0" applyNumberFormat="1" applyFont="1" applyBorder="1"/>
    <xf numFmtId="2" fontId="44" fillId="0" borderId="1" xfId="0" applyNumberFormat="1" applyFont="1" applyBorder="1" applyAlignment="1">
      <alignment horizontal="center"/>
    </xf>
    <xf numFmtId="44" fontId="44" fillId="0" borderId="1" xfId="6" applyNumberFormat="1" applyFont="1" applyBorder="1"/>
    <xf numFmtId="0" fontId="76" fillId="0" borderId="3" xfId="6" applyFont="1" applyBorder="1"/>
    <xf numFmtId="0" fontId="76" fillId="0" borderId="5" xfId="6" applyFont="1" applyBorder="1"/>
    <xf numFmtId="0" fontId="76" fillId="0" borderId="4" xfId="6" applyFont="1" applyBorder="1"/>
    <xf numFmtId="0" fontId="76" fillId="0" borderId="4" xfId="6" quotePrefix="1" applyFont="1" applyBorder="1"/>
    <xf numFmtId="0" fontId="88" fillId="0" borderId="0" xfId="6" applyFont="1"/>
    <xf numFmtId="0" fontId="44" fillId="0" borderId="0" xfId="6" applyFont="1" applyAlignment="1">
      <alignment vertical="top"/>
    </xf>
    <xf numFmtId="2" fontId="10" fillId="0" borderId="30" xfId="5" applyNumberFormat="1" applyFont="1" applyBorder="1" applyAlignment="1" applyProtection="1">
      <alignment horizontal="right" vertical="center"/>
    </xf>
    <xf numFmtId="2" fontId="3" fillId="0" borderId="1" xfId="8" applyNumberFormat="1" applyBorder="1"/>
    <xf numFmtId="0" fontId="4" fillId="0" borderId="74" xfId="0" applyFont="1" applyBorder="1" applyAlignment="1">
      <alignment horizontal="center" vertical="center" wrapText="1"/>
    </xf>
    <xf numFmtId="165" fontId="0" fillId="0" borderId="12" xfId="5" applyFont="1" applyBorder="1" applyAlignment="1">
      <alignment horizontal="right" vertical="center"/>
    </xf>
    <xf numFmtId="165" fontId="0" fillId="0" borderId="3" xfId="5" applyFont="1" applyBorder="1" applyAlignment="1">
      <alignment horizontal="right" vertical="center"/>
    </xf>
    <xf numFmtId="165" fontId="0" fillId="0" borderId="27" xfId="5" applyFont="1" applyBorder="1" applyAlignment="1">
      <alignment horizontal="right" vertical="center"/>
    </xf>
    <xf numFmtId="0" fontId="3" fillId="0" borderId="29" xfId="0" applyFont="1" applyBorder="1"/>
    <xf numFmtId="0" fontId="3" fillId="0" borderId="31" xfId="0" applyFont="1" applyBorder="1"/>
    <xf numFmtId="0" fontId="3" fillId="0" borderId="37" xfId="0" applyFont="1" applyBorder="1"/>
    <xf numFmtId="165" fontId="0" fillId="0" borderId="1" xfId="5" applyFont="1" applyBorder="1" applyAlignment="1">
      <alignment vertical="center"/>
    </xf>
    <xf numFmtId="4" fontId="3" fillId="4" borderId="1" xfId="5" applyNumberFormat="1" applyFill="1" applyBorder="1" applyAlignment="1" applyProtection="1">
      <alignment horizontal="center" vertical="center"/>
    </xf>
    <xf numFmtId="2" fontId="3" fillId="4" borderId="1" xfId="5" applyNumberFormat="1" applyFill="1" applyBorder="1" applyAlignment="1" applyProtection="1">
      <alignment vertical="center"/>
    </xf>
    <xf numFmtId="191" fontId="3" fillId="0" borderId="1" xfId="0" applyNumberFormat="1" applyFont="1" applyBorder="1"/>
    <xf numFmtId="10" fontId="40" fillId="0" borderId="47" xfId="5" applyNumberFormat="1" applyFont="1" applyBorder="1" applyAlignment="1">
      <alignment horizontal="center" vertical="center"/>
    </xf>
    <xf numFmtId="0" fontId="87" fillId="0" borderId="13" xfId="6" applyFont="1" applyBorder="1"/>
    <xf numFmtId="2" fontId="87" fillId="0" borderId="0" xfId="6" applyNumberFormat="1" applyFont="1"/>
    <xf numFmtId="0" fontId="87" fillId="0" borderId="10" xfId="6" applyFont="1" applyBorder="1"/>
    <xf numFmtId="2" fontId="89" fillId="0" borderId="1" xfId="0" applyNumberFormat="1" applyFont="1" applyBorder="1"/>
    <xf numFmtId="2" fontId="3" fillId="0" borderId="1" xfId="0" applyNumberFormat="1" applyFont="1" applyBorder="1" applyAlignment="1">
      <alignment horizontal="right" vertical="center"/>
    </xf>
    <xf numFmtId="0" fontId="9" fillId="0" borderId="0" xfId="0" applyFont="1" applyAlignment="1">
      <alignment horizontal="center"/>
    </xf>
    <xf numFmtId="0" fontId="1" fillId="0" borderId="0" xfId="6" applyFont="1"/>
    <xf numFmtId="0" fontId="2" fillId="0" borderId="0" xfId="6" applyAlignment="1">
      <alignment horizontal="left"/>
    </xf>
    <xf numFmtId="2" fontId="1" fillId="0" borderId="0" xfId="6" applyNumberFormat="1" applyFont="1" applyAlignment="1">
      <alignment horizontal="left"/>
    </xf>
    <xf numFmtId="0" fontId="44" fillId="0" borderId="31" xfId="6" applyFont="1" applyBorder="1" applyAlignment="1">
      <alignment horizontal="center" vertical="center"/>
    </xf>
    <xf numFmtId="0" fontId="44" fillId="0" borderId="31" xfId="6" applyFont="1" applyBorder="1"/>
    <xf numFmtId="0" fontId="44" fillId="0" borderId="21" xfId="6" applyFont="1" applyBorder="1"/>
    <xf numFmtId="0" fontId="87" fillId="0" borderId="0" xfId="6" applyFont="1" applyAlignment="1">
      <alignment horizontal="center"/>
    </xf>
    <xf numFmtId="0" fontId="44" fillId="0" borderId="31" xfId="6" applyFont="1" applyBorder="1" applyAlignment="1">
      <alignment horizontal="center"/>
    </xf>
    <xf numFmtId="0" fontId="44" fillId="0" borderId="19" xfId="6" applyFont="1" applyBorder="1"/>
    <xf numFmtId="0" fontId="44" fillId="23" borderId="31" xfId="6" applyFont="1" applyFill="1" applyBorder="1" applyAlignment="1">
      <alignment horizontal="center" vertical="center"/>
    </xf>
    <xf numFmtId="0" fontId="44" fillId="23" borderId="31" xfId="6" applyFont="1" applyFill="1" applyBorder="1"/>
    <xf numFmtId="0" fontId="44" fillId="0" borderId="21" xfId="6" applyFont="1" applyBorder="1" applyAlignment="1">
      <alignment horizontal="right"/>
    </xf>
    <xf numFmtId="0" fontId="44" fillId="0" borderId="24" xfId="6" applyFont="1" applyBorder="1"/>
    <xf numFmtId="0" fontId="9" fillId="0" borderId="1" xfId="0" applyFont="1" applyBorder="1" applyAlignment="1">
      <alignment horizontal="left"/>
    </xf>
    <xf numFmtId="9" fontId="9" fillId="0" borderId="1" xfId="4" applyFont="1" applyBorder="1"/>
    <xf numFmtId="10" fontId="9" fillId="0" borderId="1" xfId="4" applyNumberFormat="1" applyFont="1" applyBorder="1"/>
    <xf numFmtId="9" fontId="9" fillId="0" borderId="0" xfId="4" applyFont="1" applyBorder="1"/>
    <xf numFmtId="173" fontId="9" fillId="0" borderId="1" xfId="0" applyNumberFormat="1" applyFont="1" applyBorder="1"/>
    <xf numFmtId="173" fontId="0" fillId="0" borderId="72" xfId="0" applyNumberFormat="1" applyBorder="1"/>
    <xf numFmtId="2" fontId="9" fillId="0" borderId="1" xfId="0" applyNumberFormat="1" applyFont="1" applyBorder="1" applyAlignment="1">
      <alignment horizontal="center"/>
    </xf>
    <xf numFmtId="0" fontId="9" fillId="0" borderId="5" xfId="0" applyFont="1" applyBorder="1" applyAlignment="1">
      <alignment horizontal="center"/>
    </xf>
    <xf numFmtId="0" fontId="34" fillId="0" borderId="3" xfId="0" applyFont="1" applyBorder="1"/>
    <xf numFmtId="0" fontId="34" fillId="0" borderId="1" xfId="0" applyFont="1" applyBorder="1" applyAlignment="1">
      <alignment horizontal="center"/>
    </xf>
    <xf numFmtId="0" fontId="34" fillId="0" borderId="28" xfId="0" applyFont="1" applyBorder="1" applyAlignment="1">
      <alignment horizontal="center"/>
    </xf>
    <xf numFmtId="10" fontId="9" fillId="18" borderId="1" xfId="4" applyNumberFormat="1" applyFont="1" applyFill="1" applyBorder="1"/>
    <xf numFmtId="173" fontId="3" fillId="0" borderId="121" xfId="0" applyNumberFormat="1" applyFont="1" applyBorder="1" applyAlignment="1">
      <alignment horizontal="center"/>
    </xf>
    <xf numFmtId="0" fontId="0" fillId="0" borderId="59" xfId="0" applyBorder="1"/>
    <xf numFmtId="0" fontId="3" fillId="0" borderId="59" xfId="0" applyFont="1" applyBorder="1"/>
    <xf numFmtId="173" fontId="3" fillId="0" borderId="2" xfId="2" applyNumberFormat="1" applyFont="1" applyBorder="1"/>
    <xf numFmtId="173" fontId="3" fillId="0" borderId="12" xfId="2" applyNumberFormat="1" applyFont="1" applyBorder="1"/>
    <xf numFmtId="173" fontId="3" fillId="0" borderId="1" xfId="0" applyNumberFormat="1" applyFont="1" applyBorder="1"/>
    <xf numFmtId="0" fontId="3" fillId="0" borderId="7" xfId="0" applyFont="1" applyBorder="1" applyAlignment="1">
      <alignment horizontal="right"/>
    </xf>
    <xf numFmtId="0" fontId="3" fillId="0" borderId="12" xfId="0" applyFont="1" applyBorder="1" applyAlignment="1">
      <alignment horizontal="right"/>
    </xf>
    <xf numFmtId="0" fontId="3" fillId="0" borderId="28" xfId="0" applyFont="1" applyBorder="1" applyAlignment="1">
      <alignment horizontal="left"/>
    </xf>
    <xf numFmtId="9" fontId="0" fillId="0" borderId="0" xfId="4" applyFont="1"/>
    <xf numFmtId="9" fontId="3" fillId="0" borderId="1" xfId="4" applyFont="1" applyBorder="1"/>
    <xf numFmtId="0" fontId="3" fillId="5" borderId="1" xfId="8" applyFill="1" applyBorder="1"/>
    <xf numFmtId="0" fontId="3" fillId="5" borderId="1" xfId="8" applyFill="1" applyBorder="1" applyAlignment="1">
      <alignment horizontal="center"/>
    </xf>
    <xf numFmtId="0" fontId="3" fillId="0" borderId="0" xfId="8"/>
    <xf numFmtId="0" fontId="3" fillId="0" borderId="3" xfId="8" applyBorder="1" applyAlignment="1">
      <alignment horizontal="left"/>
    </xf>
    <xf numFmtId="0" fontId="3" fillId="0" borderId="4" xfId="8" applyBorder="1" applyAlignment="1">
      <alignment horizontal="left"/>
    </xf>
    <xf numFmtId="0" fontId="3" fillId="0" borderId="1" xfId="8" applyBorder="1"/>
    <xf numFmtId="4" fontId="3" fillId="0" borderId="1" xfId="8" applyNumberFormat="1" applyBorder="1"/>
    <xf numFmtId="0" fontId="3" fillId="0" borderId="3" xfId="8" applyBorder="1"/>
    <xf numFmtId="0" fontId="3" fillId="0" borderId="4" xfId="8" applyBorder="1"/>
    <xf numFmtId="44" fontId="3" fillId="0" borderId="1" xfId="8" applyNumberFormat="1" applyBorder="1"/>
    <xf numFmtId="0" fontId="3" fillId="23" borderId="1" xfId="0" applyFont="1" applyFill="1" applyBorder="1" applyAlignment="1">
      <alignment horizontal="center"/>
    </xf>
    <xf numFmtId="173" fontId="3" fillId="23" borderId="1" xfId="0" applyNumberFormat="1" applyFont="1" applyFill="1" applyBorder="1"/>
    <xf numFmtId="9" fontId="3" fillId="23" borderId="1" xfId="4" applyFont="1" applyFill="1" applyBorder="1"/>
    <xf numFmtId="173" fontId="9" fillId="23" borderId="1" xfId="0" applyNumberFormat="1" applyFont="1" applyFill="1" applyBorder="1"/>
    <xf numFmtId="0" fontId="0" fillId="23" borderId="0" xfId="0" applyFill="1" applyAlignment="1">
      <alignment horizontal="center"/>
    </xf>
    <xf numFmtId="0" fontId="0" fillId="23" borderId="12" xfId="0" applyFill="1" applyBorder="1" applyAlignment="1">
      <alignment horizontal="center"/>
    </xf>
    <xf numFmtId="0" fontId="3" fillId="0" borderId="1" xfId="0" applyFont="1" applyBorder="1" applyAlignment="1">
      <alignment horizontal="center" wrapText="1"/>
    </xf>
    <xf numFmtId="0" fontId="3" fillId="0" borderId="7" xfId="0" applyFont="1" applyBorder="1" applyAlignment="1">
      <alignment horizontal="center" vertical="center"/>
    </xf>
    <xf numFmtId="0" fontId="3" fillId="0" borderId="3" xfId="0" applyFont="1" applyBorder="1" applyAlignment="1">
      <alignment horizontal="center"/>
    </xf>
    <xf numFmtId="0" fontId="3" fillId="0" borderId="5" xfId="0" applyFont="1" applyBorder="1" applyAlignment="1">
      <alignment horizontal="center"/>
    </xf>
    <xf numFmtId="0" fontId="3" fillId="0" borderId="4" xfId="0" applyFont="1" applyBorder="1" applyAlignment="1">
      <alignment horizontal="center"/>
    </xf>
    <xf numFmtId="0" fontId="3" fillId="0" borderId="1" xfId="0" applyFont="1" applyBorder="1" applyAlignment="1">
      <alignment horizontal="center" vertical="center" wrapText="1"/>
    </xf>
    <xf numFmtId="0" fontId="3" fillId="0" borderId="28" xfId="0" applyFont="1" applyBorder="1" applyAlignment="1">
      <alignment horizontal="center" vertical="center"/>
    </xf>
    <xf numFmtId="0" fontId="3" fillId="2" borderId="3" xfId="0" applyFont="1" applyFill="1" applyBorder="1" applyAlignment="1">
      <alignment horizontal="center" vertical="center"/>
    </xf>
    <xf numFmtId="0" fontId="3" fillId="0" borderId="0" xfId="0" applyFont="1" applyAlignment="1">
      <alignment horizontal="left" vertical="center" wrapText="1"/>
    </xf>
    <xf numFmtId="0" fontId="3" fillId="0" borderId="3" xfId="0" applyFont="1" applyBorder="1" applyAlignment="1">
      <alignment horizontal="left"/>
    </xf>
    <xf numFmtId="0" fontId="3" fillId="0" borderId="1" xfId="0" applyFont="1" applyBorder="1" applyAlignment="1">
      <alignment horizontal="left"/>
    </xf>
    <xf numFmtId="0" fontId="3" fillId="0" borderId="5" xfId="0" applyFont="1" applyBorder="1" applyAlignment="1">
      <alignment horizontal="left"/>
    </xf>
    <xf numFmtId="0" fontId="3" fillId="0" borderId="4" xfId="0" applyFont="1" applyBorder="1" applyAlignment="1">
      <alignment horizontal="left"/>
    </xf>
    <xf numFmtId="0" fontId="3" fillId="0" borderId="12" xfId="0" applyFont="1" applyBorder="1" applyAlignment="1">
      <alignment horizontal="center"/>
    </xf>
    <xf numFmtId="0" fontId="3" fillId="0" borderId="2" xfId="0" applyFont="1" applyBorder="1" applyAlignment="1">
      <alignment horizontal="center"/>
    </xf>
    <xf numFmtId="0" fontId="3" fillId="0" borderId="11" xfId="0" applyFont="1" applyBorder="1" applyAlignment="1">
      <alignment horizontal="center"/>
    </xf>
    <xf numFmtId="0" fontId="3" fillId="0" borderId="3" xfId="0" applyFont="1" applyBorder="1" applyAlignment="1">
      <alignment vertical="center" wrapText="1"/>
    </xf>
    <xf numFmtId="0" fontId="3" fillId="0" borderId="33" xfId="0" applyFont="1" applyBorder="1" applyAlignment="1">
      <alignment vertical="center" wrapText="1"/>
    </xf>
    <xf numFmtId="0" fontId="3" fillId="0" borderId="9" xfId="0" applyFont="1" applyBorder="1"/>
    <xf numFmtId="0" fontId="3" fillId="0" borderId="13" xfId="0" applyFont="1" applyBorder="1"/>
    <xf numFmtId="0" fontId="3" fillId="0" borderId="117" xfId="0" applyFont="1" applyBorder="1"/>
    <xf numFmtId="0" fontId="3" fillId="0" borderId="118" xfId="0" applyFont="1" applyBorder="1"/>
    <xf numFmtId="0" fontId="3" fillId="0" borderId="119" xfId="0" applyFont="1" applyBorder="1" applyAlignment="1">
      <alignment vertical="center"/>
    </xf>
    <xf numFmtId="0" fontId="3" fillId="0" borderId="8" xfId="0" applyFont="1" applyBorder="1" applyAlignment="1">
      <alignment horizontal="center" vertical="center"/>
    </xf>
    <xf numFmtId="0" fontId="3" fillId="0" borderId="2" xfId="0" applyFont="1" applyBorder="1" applyAlignment="1">
      <alignment vertical="top"/>
    </xf>
    <xf numFmtId="0" fontId="3" fillId="0" borderId="11" xfId="0" applyFont="1" applyBorder="1" applyAlignment="1">
      <alignment vertical="center"/>
    </xf>
    <xf numFmtId="0" fontId="3" fillId="0" borderId="5" xfId="0" applyFont="1" applyBorder="1" applyAlignment="1">
      <alignment vertical="center"/>
    </xf>
    <xf numFmtId="2" fontId="3" fillId="0" borderId="5" xfId="0" applyNumberFormat="1" applyFont="1" applyBorder="1" applyAlignment="1">
      <alignment vertical="center"/>
    </xf>
    <xf numFmtId="0" fontId="3" fillId="0" borderId="4" xfId="0" applyFont="1" applyBorder="1" applyAlignment="1">
      <alignment vertical="center"/>
    </xf>
    <xf numFmtId="0" fontId="3" fillId="0" borderId="0" xfId="0" applyFont="1" applyProtection="1">
      <protection hidden="1"/>
    </xf>
    <xf numFmtId="2" fontId="3" fillId="0" borderId="0" xfId="0" applyNumberFormat="1" applyFont="1" applyProtection="1">
      <protection hidden="1"/>
    </xf>
    <xf numFmtId="0" fontId="3" fillId="0" borderId="3" xfId="0" applyFont="1" applyBorder="1" applyProtection="1">
      <protection hidden="1"/>
    </xf>
    <xf numFmtId="0" fontId="3" fillId="0" borderId="5" xfId="0" applyFont="1" applyBorder="1" applyProtection="1">
      <protection hidden="1"/>
    </xf>
    <xf numFmtId="0" fontId="3" fillId="0" borderId="4" xfId="0" applyFont="1" applyBorder="1" applyAlignment="1" applyProtection="1">
      <alignment horizontal="left"/>
      <protection hidden="1"/>
    </xf>
    <xf numFmtId="0" fontId="3" fillId="0" borderId="10" xfId="0" applyFont="1" applyBorder="1" applyAlignment="1">
      <alignment horizontal="left"/>
    </xf>
    <xf numFmtId="0" fontId="3" fillId="0" borderId="4" xfId="0" applyFont="1" applyBorder="1" applyProtection="1">
      <protection hidden="1"/>
    </xf>
    <xf numFmtId="0" fontId="3" fillId="0" borderId="13" xfId="0" applyFont="1" applyBorder="1" applyAlignment="1">
      <alignment horizontal="center" vertical="center"/>
    </xf>
    <xf numFmtId="0" fontId="3" fillId="0" borderId="10" xfId="0" applyFont="1" applyBorder="1" applyAlignment="1">
      <alignment horizontal="center" vertical="center"/>
    </xf>
    <xf numFmtId="0" fontId="3" fillId="0" borderId="1" xfId="0" applyFont="1" applyBorder="1" applyAlignment="1" applyProtection="1">
      <alignment horizontal="center"/>
      <protection hidden="1"/>
    </xf>
    <xf numFmtId="2" fontId="3" fillId="5" borderId="1" xfId="0" applyNumberFormat="1" applyFont="1" applyFill="1" applyBorder="1"/>
    <xf numFmtId="2" fontId="3" fillId="0" borderId="1" xfId="0" applyNumberFormat="1" applyFont="1" applyBorder="1" applyProtection="1">
      <protection hidden="1"/>
    </xf>
    <xf numFmtId="0" fontId="3" fillId="0" borderId="0" xfId="0" applyFont="1" applyAlignment="1">
      <alignment vertical="center"/>
    </xf>
    <xf numFmtId="2" fontId="3" fillId="0" borderId="1" xfId="0" applyNumberFormat="1" applyFont="1" applyBorder="1" applyAlignment="1" applyProtection="1">
      <alignment vertical="center"/>
      <protection hidden="1"/>
    </xf>
    <xf numFmtId="2" fontId="3" fillId="0" borderId="8" xfId="0" applyNumberFormat="1" applyFont="1" applyBorder="1" applyProtection="1">
      <protection hidden="1"/>
    </xf>
    <xf numFmtId="0" fontId="3" fillId="0" borderId="13" xfId="0" applyFont="1" applyBorder="1" applyAlignment="1">
      <alignment horizontal="right"/>
    </xf>
    <xf numFmtId="0" fontId="3" fillId="0" borderId="34" xfId="0" applyFont="1" applyBorder="1" applyAlignment="1">
      <alignment horizontal="center" vertical="center"/>
    </xf>
    <xf numFmtId="0" fontId="3" fillId="0" borderId="18" xfId="0" applyFont="1" applyBorder="1"/>
    <xf numFmtId="0" fontId="3" fillId="0" borderId="18" xfId="0" quotePrefix="1" applyFont="1" applyBorder="1"/>
    <xf numFmtId="2" fontId="3" fillId="0" borderId="3" xfId="0" applyNumberFormat="1" applyFont="1" applyBorder="1" applyProtection="1">
      <protection hidden="1"/>
    </xf>
    <xf numFmtId="2" fontId="3" fillId="0" borderId="17" xfId="0" applyNumberFormat="1" applyFont="1" applyBorder="1" applyProtection="1">
      <protection hidden="1"/>
    </xf>
    <xf numFmtId="0" fontId="3" fillId="0" borderId="35" xfId="0" applyFont="1" applyBorder="1"/>
    <xf numFmtId="2" fontId="3" fillId="0" borderId="3" xfId="0" applyNumberFormat="1" applyFont="1" applyBorder="1" applyAlignment="1" applyProtection="1">
      <alignment horizontal="center"/>
      <protection hidden="1"/>
    </xf>
    <xf numFmtId="2" fontId="3" fillId="0" borderId="1" xfId="0" applyNumberFormat="1" applyFont="1" applyBorder="1" applyAlignment="1">
      <alignment horizontal="center" vertical="center"/>
    </xf>
    <xf numFmtId="2" fontId="3" fillId="0" borderId="0" xfId="0" applyNumberFormat="1" applyFont="1" applyAlignment="1">
      <alignment horizontal="center"/>
    </xf>
    <xf numFmtId="0" fontId="3" fillId="8" borderId="1" xfId="0" applyFont="1" applyFill="1" applyBorder="1" applyAlignment="1">
      <alignment horizontal="right"/>
    </xf>
    <xf numFmtId="2" fontId="3" fillId="8" borderId="17" xfId="0" applyNumberFormat="1" applyFont="1" applyFill="1" applyBorder="1" applyAlignment="1" applyProtection="1">
      <alignment horizontal="center"/>
      <protection hidden="1"/>
    </xf>
    <xf numFmtId="0" fontId="3" fillId="8" borderId="4" xfId="0" applyFont="1" applyFill="1" applyBorder="1"/>
    <xf numFmtId="2" fontId="3" fillId="8" borderId="1" xfId="0" applyNumberFormat="1" applyFont="1" applyFill="1" applyBorder="1" applyAlignment="1" applyProtection="1">
      <alignment horizontal="center"/>
      <protection hidden="1"/>
    </xf>
    <xf numFmtId="0" fontId="3" fillId="8" borderId="0" xfId="0" applyFont="1" applyFill="1"/>
    <xf numFmtId="0" fontId="3" fillId="3" borderId="17" xfId="0" applyFont="1" applyFill="1" applyBorder="1"/>
    <xf numFmtId="0" fontId="3" fillId="3" borderId="18" xfId="0" applyFont="1" applyFill="1" applyBorder="1"/>
    <xf numFmtId="0" fontId="3" fillId="3" borderId="18" xfId="0" quotePrefix="1" applyFont="1" applyFill="1" applyBorder="1"/>
    <xf numFmtId="0" fontId="3" fillId="3" borderId="5" xfId="0" applyFont="1" applyFill="1" applyBorder="1"/>
    <xf numFmtId="2" fontId="3" fillId="3" borderId="5" xfId="0" applyNumberFormat="1" applyFont="1" applyFill="1" applyBorder="1" applyProtection="1">
      <protection hidden="1"/>
    </xf>
    <xf numFmtId="0" fontId="3" fillId="3" borderId="4" xfId="0" applyFont="1" applyFill="1" applyBorder="1"/>
    <xf numFmtId="2" fontId="3" fillId="3" borderId="1" xfId="0" applyNumberFormat="1" applyFont="1" applyFill="1" applyBorder="1" applyAlignment="1">
      <alignment horizontal="right"/>
    </xf>
    <xf numFmtId="0" fontId="3" fillId="3" borderId="0" xfId="0" applyFont="1" applyFill="1"/>
    <xf numFmtId="0" fontId="3" fillId="3" borderId="2" xfId="0" applyFont="1" applyFill="1" applyBorder="1"/>
    <xf numFmtId="0" fontId="3" fillId="3" borderId="11" xfId="0" applyFont="1" applyFill="1" applyBorder="1"/>
    <xf numFmtId="0" fontId="3" fillId="3" borderId="35" xfId="0" applyFont="1" applyFill="1" applyBorder="1"/>
    <xf numFmtId="0" fontId="3" fillId="3" borderId="3" xfId="0" applyFont="1" applyFill="1" applyBorder="1"/>
    <xf numFmtId="2" fontId="3" fillId="3" borderId="1" xfId="0" applyNumberFormat="1" applyFont="1" applyFill="1" applyBorder="1"/>
    <xf numFmtId="0" fontId="3" fillId="0" borderId="14" xfId="0" applyFont="1" applyBorder="1"/>
    <xf numFmtId="0" fontId="3" fillId="5" borderId="4" xfId="0" applyFont="1" applyFill="1" applyBorder="1"/>
    <xf numFmtId="0" fontId="3" fillId="5" borderId="1" xfId="0" applyFont="1" applyFill="1" applyBorder="1" applyAlignment="1">
      <alignment horizontal="center"/>
    </xf>
    <xf numFmtId="0" fontId="3" fillId="5" borderId="5" xfId="0" applyFont="1" applyFill="1" applyBorder="1"/>
    <xf numFmtId="0" fontId="3" fillId="0" borderId="5" xfId="0" applyFont="1" applyBorder="1" applyAlignment="1">
      <alignment horizontal="right"/>
    </xf>
    <xf numFmtId="0" fontId="3" fillId="0" borderId="6" xfId="0" applyFont="1" applyBorder="1" applyAlignment="1">
      <alignment horizontal="center" wrapText="1"/>
    </xf>
    <xf numFmtId="0" fontId="3" fillId="0" borderId="28" xfId="0" applyFont="1" applyBorder="1" applyAlignment="1">
      <alignment horizontal="center" wrapText="1"/>
    </xf>
    <xf numFmtId="0" fontId="3" fillId="14" borderId="1" xfId="0" applyFont="1" applyFill="1" applyBorder="1" applyAlignment="1">
      <alignment horizontal="center"/>
    </xf>
    <xf numFmtId="3" fontId="3" fillId="0" borderId="1" xfId="0" applyNumberFormat="1" applyFont="1" applyBorder="1" applyAlignment="1">
      <alignment horizontal="center"/>
    </xf>
    <xf numFmtId="166" fontId="3" fillId="0" borderId="5" xfId="0" applyNumberFormat="1" applyFont="1" applyBorder="1" applyAlignment="1">
      <alignment horizontal="center"/>
    </xf>
    <xf numFmtId="1" fontId="3" fillId="0" borderId="1" xfId="0" applyNumberFormat="1" applyFont="1" applyBorder="1" applyAlignment="1">
      <alignment horizontal="right"/>
    </xf>
    <xf numFmtId="2" fontId="3" fillId="0" borderId="28" xfId="0" applyNumberFormat="1" applyFont="1" applyBorder="1" applyProtection="1">
      <protection hidden="1"/>
    </xf>
    <xf numFmtId="2" fontId="3" fillId="0" borderId="28" xfId="0" applyNumberFormat="1" applyFont="1" applyBorder="1"/>
    <xf numFmtId="2" fontId="3" fillId="0" borderId="12" xfId="0" applyNumberFormat="1" applyFont="1" applyBorder="1"/>
    <xf numFmtId="2" fontId="3" fillId="0" borderId="2" xfId="0" applyNumberFormat="1" applyFont="1" applyBorder="1"/>
    <xf numFmtId="2" fontId="3" fillId="0" borderId="7" xfId="0" applyNumberFormat="1" applyFont="1" applyBorder="1"/>
    <xf numFmtId="2" fontId="3" fillId="0" borderId="8" xfId="0" applyNumberFormat="1" applyFont="1" applyBorder="1"/>
    <xf numFmtId="0" fontId="3" fillId="0" borderId="9" xfId="0" applyFont="1" applyBorder="1" applyAlignment="1">
      <alignment horizontal="center"/>
    </xf>
    <xf numFmtId="0" fontId="3" fillId="0" borderId="12" xfId="0" applyFont="1" applyBorder="1" applyAlignment="1">
      <alignment horizontal="center" vertical="center"/>
    </xf>
    <xf numFmtId="2" fontId="3" fillId="0" borderId="1" xfId="0" applyNumberFormat="1" applyFont="1" applyBorder="1" applyAlignment="1">
      <alignment horizontal="center"/>
    </xf>
    <xf numFmtId="2" fontId="3" fillId="0" borderId="3" xfId="0" applyNumberFormat="1" applyFont="1" applyBorder="1" applyAlignment="1">
      <alignment horizontal="center"/>
    </xf>
    <xf numFmtId="1" fontId="3" fillId="0" borderId="1" xfId="0" applyNumberFormat="1" applyFont="1" applyBorder="1" applyAlignment="1">
      <alignment horizontal="center"/>
    </xf>
    <xf numFmtId="2" fontId="3" fillId="0" borderId="2" xfId="0" applyNumberFormat="1" applyFont="1" applyBorder="1" applyAlignment="1" applyProtection="1">
      <alignment horizontal="left"/>
      <protection hidden="1"/>
    </xf>
    <xf numFmtId="169" fontId="3" fillId="0" borderId="1" xfId="0" applyNumberFormat="1" applyFont="1" applyBorder="1"/>
    <xf numFmtId="169" fontId="3" fillId="0" borderId="0" xfId="0" applyNumberFormat="1" applyFont="1"/>
    <xf numFmtId="0" fontId="3" fillId="0" borderId="8" xfId="0" applyFont="1" applyBorder="1" applyAlignment="1">
      <alignment horizontal="center"/>
    </xf>
    <xf numFmtId="2" fontId="3" fillId="0" borderId="0" xfId="0" applyNumberFormat="1" applyFont="1" applyAlignment="1" applyProtection="1">
      <alignment horizontal="left"/>
      <protection hidden="1"/>
    </xf>
    <xf numFmtId="2" fontId="3" fillId="0" borderId="8" xfId="0" applyNumberFormat="1" applyFont="1" applyBorder="1" applyAlignment="1" applyProtection="1">
      <alignment horizontal="left"/>
      <protection hidden="1"/>
    </xf>
    <xf numFmtId="2" fontId="3" fillId="0" borderId="16" xfId="0" applyNumberFormat="1" applyFont="1" applyBorder="1" applyAlignment="1" applyProtection="1">
      <alignment horizontal="left"/>
      <protection hidden="1"/>
    </xf>
    <xf numFmtId="2" fontId="3" fillId="0" borderId="14" xfId="0" applyNumberFormat="1" applyFont="1" applyBorder="1" applyAlignment="1" applyProtection="1">
      <alignment horizontal="left"/>
      <protection hidden="1"/>
    </xf>
    <xf numFmtId="2" fontId="3" fillId="0" borderId="14" xfId="0" applyNumberFormat="1" applyFont="1" applyBorder="1" applyAlignment="1">
      <alignment horizontal="center"/>
    </xf>
    <xf numFmtId="2" fontId="3" fillId="0" borderId="14" xfId="0" applyNumberFormat="1" applyFont="1" applyBorder="1" applyAlignment="1">
      <alignment horizontal="left"/>
    </xf>
    <xf numFmtId="2" fontId="3" fillId="0" borderId="15" xfId="0" applyNumberFormat="1" applyFont="1" applyBorder="1" applyAlignment="1">
      <alignment horizontal="center"/>
    </xf>
    <xf numFmtId="2" fontId="3" fillId="0" borderId="12" xfId="0" applyNumberFormat="1" applyFont="1" applyBorder="1" applyAlignment="1" applyProtection="1">
      <alignment horizontal="left"/>
      <protection hidden="1"/>
    </xf>
    <xf numFmtId="2" fontId="3" fillId="0" borderId="11" xfId="0" applyNumberFormat="1" applyFont="1" applyBorder="1" applyAlignment="1" applyProtection="1">
      <alignment horizontal="left"/>
      <protection hidden="1"/>
    </xf>
    <xf numFmtId="2" fontId="3" fillId="0" borderId="28" xfId="0" applyNumberFormat="1" applyFont="1" applyBorder="1" applyAlignment="1">
      <alignment horizontal="center"/>
    </xf>
    <xf numFmtId="0" fontId="3" fillId="0" borderId="16" xfId="0" applyFont="1" applyBorder="1" applyAlignment="1">
      <alignment horizontal="left"/>
    </xf>
    <xf numFmtId="0" fontId="3" fillId="0" borderId="14" xfId="0" applyFont="1" applyBorder="1" applyAlignment="1">
      <alignment horizontal="center"/>
    </xf>
    <xf numFmtId="0" fontId="3" fillId="2" borderId="1" xfId="0" applyFont="1" applyFill="1" applyBorder="1" applyAlignment="1">
      <alignment horizontal="center" vertical="center"/>
    </xf>
    <xf numFmtId="2" fontId="3" fillId="0" borderId="36" xfId="0" applyNumberFormat="1" applyFont="1" applyBorder="1"/>
    <xf numFmtId="2" fontId="3" fillId="0" borderId="17" xfId="0" applyNumberFormat="1" applyFont="1" applyBorder="1" applyAlignment="1" applyProtection="1">
      <alignment horizontal="center"/>
      <protection hidden="1"/>
    </xf>
    <xf numFmtId="2" fontId="3" fillId="0" borderId="1" xfId="0" applyNumberFormat="1" applyFont="1" applyBorder="1" applyAlignment="1" applyProtection="1">
      <alignment horizontal="center"/>
      <protection hidden="1"/>
    </xf>
    <xf numFmtId="0" fontId="3" fillId="0" borderId="1" xfId="0" applyFont="1" applyBorder="1" applyAlignment="1">
      <alignment horizontal="right"/>
    </xf>
    <xf numFmtId="0" fontId="3" fillId="2" borderId="28" xfId="0" applyFont="1" applyFill="1" applyBorder="1" applyAlignment="1">
      <alignment horizontal="center"/>
    </xf>
    <xf numFmtId="0" fontId="3" fillId="3" borderId="38" xfId="0" applyFont="1" applyFill="1" applyBorder="1"/>
    <xf numFmtId="0" fontId="3" fillId="3" borderId="39" xfId="0" applyFont="1" applyFill="1" applyBorder="1"/>
    <xf numFmtId="0" fontId="3" fillId="3" borderId="39" xfId="0" quotePrefix="1" applyFont="1" applyFill="1" applyBorder="1"/>
    <xf numFmtId="2" fontId="3" fillId="3" borderId="8" xfId="0" applyNumberFormat="1" applyFont="1" applyFill="1" applyBorder="1" applyProtection="1">
      <protection hidden="1"/>
    </xf>
    <xf numFmtId="0" fontId="3" fillId="3" borderId="40" xfId="0" applyFont="1" applyFill="1" applyBorder="1"/>
    <xf numFmtId="2" fontId="3" fillId="3" borderId="6" xfId="0" applyNumberFormat="1" applyFont="1" applyFill="1" applyBorder="1" applyAlignment="1">
      <alignment horizontal="right"/>
    </xf>
    <xf numFmtId="1" fontId="3" fillId="0" borderId="5" xfId="0" applyNumberFormat="1" applyFont="1" applyBorder="1" applyAlignment="1">
      <alignment horizontal="center"/>
    </xf>
    <xf numFmtId="0" fontId="3" fillId="0" borderId="6" xfId="0" applyFont="1" applyBorder="1" applyAlignment="1">
      <alignment horizontal="center" vertical="center" wrapText="1"/>
    </xf>
    <xf numFmtId="0" fontId="3" fillId="0" borderId="2" xfId="0" applyFont="1" applyBorder="1" applyAlignment="1">
      <alignment horizontal="center" vertical="center"/>
    </xf>
    <xf numFmtId="0" fontId="3" fillId="0" borderId="11" xfId="0" applyFont="1" applyBorder="1" applyAlignment="1">
      <alignment horizontal="center" vertical="center"/>
    </xf>
    <xf numFmtId="0" fontId="3" fillId="5" borderId="6" xfId="0" applyFont="1" applyFill="1" applyBorder="1" applyAlignment="1">
      <alignment horizontal="center"/>
    </xf>
    <xf numFmtId="1" fontId="3" fillId="0" borderId="1" xfId="0" applyNumberFormat="1" applyFont="1" applyBorder="1" applyAlignment="1">
      <alignment horizontal="center" vertical="center"/>
    </xf>
    <xf numFmtId="0" fontId="3" fillId="0" borderId="34" xfId="0" applyFont="1" applyBorder="1" applyAlignment="1">
      <alignment horizontal="center" wrapText="1"/>
    </xf>
    <xf numFmtId="0" fontId="3" fillId="5" borderId="34" xfId="0" applyFont="1" applyFill="1" applyBorder="1" applyAlignment="1">
      <alignment horizontal="center" wrapText="1"/>
    </xf>
    <xf numFmtId="0" fontId="3" fillId="5" borderId="28" xfId="0" applyFont="1" applyFill="1" applyBorder="1" applyAlignment="1">
      <alignment horizontal="center" wrapText="1"/>
    </xf>
    <xf numFmtId="1" fontId="3" fillId="5" borderId="1" xfId="0" applyNumberFormat="1" applyFont="1" applyFill="1" applyBorder="1" applyAlignment="1">
      <alignment horizontal="center"/>
    </xf>
    <xf numFmtId="2" fontId="3" fillId="3" borderId="5" xfId="0" applyNumberFormat="1" applyFont="1" applyFill="1" applyBorder="1" applyAlignment="1">
      <alignment horizontal="right"/>
    </xf>
    <xf numFmtId="0" fontId="3" fillId="3" borderId="5" xfId="0" applyFont="1" applyFill="1" applyBorder="1" applyAlignment="1">
      <alignment horizontal="left"/>
    </xf>
    <xf numFmtId="2" fontId="3" fillId="3" borderId="1" xfId="0" applyNumberFormat="1" applyFont="1" applyFill="1" applyBorder="1" applyProtection="1">
      <protection hidden="1"/>
    </xf>
    <xf numFmtId="2" fontId="3" fillId="0" borderId="6" xfId="0" applyNumberFormat="1" applyFont="1" applyBorder="1" applyProtection="1">
      <protection hidden="1"/>
    </xf>
    <xf numFmtId="2" fontId="3" fillId="0" borderId="18" xfId="0" applyNumberFormat="1" applyFont="1" applyBorder="1" applyProtection="1">
      <protection hidden="1"/>
    </xf>
    <xf numFmtId="2" fontId="3" fillId="5" borderId="1" xfId="0" applyNumberFormat="1" applyFont="1" applyFill="1" applyBorder="1" applyAlignment="1">
      <alignment horizontal="right"/>
    </xf>
    <xf numFmtId="0" fontId="3" fillId="0" borderId="112" xfId="0" applyFont="1" applyBorder="1"/>
    <xf numFmtId="0" fontId="3" fillId="0" borderId="113" xfId="0" applyFont="1" applyBorder="1"/>
    <xf numFmtId="0" fontId="3" fillId="0" borderId="114" xfId="0" applyFont="1" applyBorder="1"/>
    <xf numFmtId="0" fontId="3" fillId="0" borderId="115" xfId="0" applyFont="1" applyBorder="1"/>
    <xf numFmtId="0" fontId="3" fillId="0" borderId="116" xfId="0" applyFont="1" applyBorder="1"/>
    <xf numFmtId="0" fontId="3" fillId="0" borderId="115" xfId="0" applyFont="1" applyBorder="1" applyAlignment="1">
      <alignment horizontal="right"/>
    </xf>
    <xf numFmtId="0" fontId="3" fillId="0" borderId="109" xfId="0" applyFont="1" applyBorder="1"/>
    <xf numFmtId="0" fontId="3" fillId="0" borderId="110" xfId="0" applyFont="1" applyBorder="1"/>
    <xf numFmtId="0" fontId="3" fillId="0" borderId="111" xfId="0" applyFont="1" applyBorder="1"/>
    <xf numFmtId="0" fontId="4" fillId="0" borderId="111" xfId="0" applyFont="1" applyBorder="1"/>
    <xf numFmtId="168" fontId="3" fillId="0" borderId="5" xfId="0" applyNumberFormat="1" applyFont="1" applyBorder="1" applyAlignment="1">
      <alignment horizontal="left"/>
    </xf>
    <xf numFmtId="2" fontId="3" fillId="3" borderId="5" xfId="0" applyNumberFormat="1" applyFont="1" applyFill="1" applyBorder="1"/>
    <xf numFmtId="2" fontId="3" fillId="0" borderId="5" xfId="0" applyNumberFormat="1" applyFont="1" applyBorder="1"/>
    <xf numFmtId="4" fontId="3" fillId="0" borderId="1" xfId="5" applyNumberFormat="1" applyFont="1" applyBorder="1"/>
    <xf numFmtId="2" fontId="3" fillId="0" borderId="5" xfId="0" applyNumberFormat="1" applyFont="1" applyBorder="1" applyAlignment="1">
      <alignment horizontal="center"/>
    </xf>
    <xf numFmtId="0" fontId="3" fillId="0" borderId="8" xfId="0" quotePrefix="1" applyFont="1" applyBorder="1"/>
    <xf numFmtId="2" fontId="3" fillId="0" borderId="9" xfId="0" applyNumberFormat="1" applyFont="1" applyBorder="1"/>
    <xf numFmtId="0" fontId="3" fillId="0" borderId="9" xfId="0" applyFont="1" applyBorder="1" applyAlignment="1">
      <alignment vertical="center" wrapText="1"/>
    </xf>
    <xf numFmtId="0" fontId="3" fillId="0" borderId="2" xfId="0" quotePrefix="1" applyFont="1" applyBorder="1"/>
    <xf numFmtId="2" fontId="3" fillId="0" borderId="2" xfId="0" applyNumberFormat="1" applyFont="1" applyBorder="1" applyProtection="1">
      <protection hidden="1"/>
    </xf>
    <xf numFmtId="2" fontId="3" fillId="0" borderId="11" xfId="0" applyNumberFormat="1" applyFont="1" applyBorder="1"/>
    <xf numFmtId="0" fontId="3" fillId="0" borderId="5" xfId="0" quotePrefix="1" applyFont="1" applyBorder="1" applyAlignment="1">
      <alignment vertical="center"/>
    </xf>
    <xf numFmtId="2" fontId="3" fillId="0" borderId="5" xfId="0" applyNumberFormat="1" applyFont="1" applyBorder="1" applyAlignment="1" applyProtection="1">
      <alignment vertical="center"/>
      <protection hidden="1"/>
    </xf>
    <xf numFmtId="2" fontId="3" fillId="0" borderId="4" xfId="0" applyNumberFormat="1" applyFont="1" applyBorder="1" applyAlignment="1">
      <alignment vertical="center"/>
    </xf>
    <xf numFmtId="2" fontId="3" fillId="0" borderId="3" xfId="0" applyNumberFormat="1" applyFont="1" applyBorder="1" applyAlignment="1">
      <alignment horizontal="center" vertical="center"/>
    </xf>
    <xf numFmtId="0" fontId="3" fillId="0" borderId="4" xfId="0" applyFont="1" applyBorder="1" applyAlignment="1">
      <alignment horizontal="left" vertical="center"/>
    </xf>
    <xf numFmtId="2" fontId="3" fillId="0" borderId="0" xfId="0" applyNumberFormat="1" applyFont="1" applyAlignment="1">
      <alignment horizontal="center" vertical="center"/>
    </xf>
    <xf numFmtId="0" fontId="3" fillId="0" borderId="13" xfId="0" applyFont="1" applyBorder="1" applyAlignment="1">
      <alignment vertical="center"/>
    </xf>
    <xf numFmtId="2" fontId="3" fillId="0" borderId="28" xfId="0" applyNumberFormat="1" applyFont="1" applyBorder="1" applyAlignment="1">
      <alignment horizontal="right" vertical="center"/>
    </xf>
    <xf numFmtId="2" fontId="3" fillId="0" borderId="0" xfId="0" applyNumberFormat="1" applyFont="1" applyAlignment="1">
      <alignment horizontal="left"/>
    </xf>
    <xf numFmtId="166" fontId="3" fillId="0" borderId="0" xfId="0" applyNumberFormat="1" applyFont="1"/>
    <xf numFmtId="0" fontId="3" fillId="2" borderId="3" xfId="0" applyFont="1" applyFill="1" applyBorder="1"/>
    <xf numFmtId="0" fontId="3" fillId="2" borderId="5" xfId="0" applyFont="1" applyFill="1" applyBorder="1"/>
    <xf numFmtId="0" fontId="3" fillId="2" borderId="1" xfId="0" applyFont="1" applyFill="1" applyBorder="1" applyAlignment="1">
      <alignment horizontal="center"/>
    </xf>
    <xf numFmtId="169" fontId="3" fillId="0" borderId="16" xfId="0" applyNumberFormat="1" applyFont="1" applyBorder="1"/>
    <xf numFmtId="0" fontId="3" fillId="10" borderId="8" xfId="0" applyFont="1" applyFill="1" applyBorder="1"/>
    <xf numFmtId="0" fontId="3" fillId="10" borderId="9" xfId="0" applyFont="1" applyFill="1" applyBorder="1"/>
    <xf numFmtId="0" fontId="3" fillId="10" borderId="7" xfId="0" applyFont="1" applyFill="1" applyBorder="1"/>
    <xf numFmtId="0" fontId="3" fillId="0" borderId="28" xfId="0" applyFont="1" applyBorder="1" applyAlignment="1">
      <alignment horizontal="center" vertical="center" wrapText="1"/>
    </xf>
    <xf numFmtId="0" fontId="3" fillId="0" borderId="8" xfId="0" applyFont="1" applyBorder="1" applyAlignment="1">
      <alignment horizontal="left"/>
    </xf>
    <xf numFmtId="0" fontId="3" fillId="0" borderId="41" xfId="0" applyFont="1" applyBorder="1"/>
    <xf numFmtId="0" fontId="3" fillId="0" borderId="42" xfId="0" applyFont="1" applyBorder="1"/>
    <xf numFmtId="2" fontId="3" fillId="0" borderId="42" xfId="0" applyNumberFormat="1" applyFont="1" applyBorder="1"/>
    <xf numFmtId="0" fontId="3" fillId="0" borderId="42" xfId="0" quotePrefix="1" applyFont="1" applyBorder="1"/>
    <xf numFmtId="0" fontId="3" fillId="0" borderId="42" xfId="0" applyFont="1" applyBorder="1" applyAlignment="1">
      <alignment horizontal="right"/>
    </xf>
    <xf numFmtId="9" fontId="3" fillId="0" borderId="0" xfId="0" applyNumberFormat="1" applyFont="1" applyAlignment="1">
      <alignment horizontal="left"/>
    </xf>
    <xf numFmtId="9" fontId="1" fillId="0" borderId="0" xfId="4" applyFont="1" applyAlignment="1">
      <alignment horizontal="left"/>
    </xf>
    <xf numFmtId="10" fontId="1" fillId="0" borderId="4" xfId="4" applyNumberFormat="1" applyFont="1" applyBorder="1" applyAlignment="1">
      <alignment horizontal="left"/>
    </xf>
    <xf numFmtId="1" fontId="3" fillId="0" borderId="4" xfId="0" applyNumberFormat="1" applyFont="1" applyBorder="1" applyAlignment="1">
      <alignment horizontal="left" vertical="center"/>
    </xf>
    <xf numFmtId="0" fontId="3" fillId="2" borderId="4" xfId="0" applyFont="1" applyFill="1" applyBorder="1" applyAlignment="1">
      <alignment horizontal="center" vertical="center"/>
    </xf>
    <xf numFmtId="0" fontId="3" fillId="0" borderId="29" xfId="0" applyFont="1" applyBorder="1" applyAlignment="1">
      <alignment horizontal="center" vertical="center"/>
    </xf>
    <xf numFmtId="165" fontId="3" fillId="13" borderId="1" xfId="5" applyFont="1" applyFill="1" applyBorder="1" applyAlignment="1">
      <alignment horizontal="center" vertical="center"/>
    </xf>
    <xf numFmtId="4" fontId="3" fillId="0" borderId="0" xfId="0" applyNumberFormat="1" applyFont="1" applyAlignment="1">
      <alignment horizontal="center" vertical="center"/>
    </xf>
    <xf numFmtId="0" fontId="3" fillId="0" borderId="37" xfId="0" applyFont="1" applyBorder="1" applyAlignment="1">
      <alignment horizontal="center" vertical="center"/>
    </xf>
    <xf numFmtId="0" fontId="3" fillId="5" borderId="0" xfId="0" applyFont="1" applyFill="1" applyAlignment="1">
      <alignment horizontal="center" vertical="center"/>
    </xf>
    <xf numFmtId="0" fontId="3" fillId="0" borderId="2" xfId="0" quotePrefix="1" applyFont="1" applyBorder="1" applyAlignment="1">
      <alignment vertical="center"/>
    </xf>
    <xf numFmtId="0" fontId="3" fillId="0" borderId="2" xfId="0" applyFont="1" applyBorder="1" applyAlignment="1">
      <alignment vertical="center"/>
    </xf>
    <xf numFmtId="0" fontId="3" fillId="0" borderId="8" xfId="0" applyFont="1" applyBorder="1" applyAlignment="1">
      <alignment vertical="center"/>
    </xf>
    <xf numFmtId="0" fontId="3" fillId="0" borderId="8" xfId="0" quotePrefix="1" applyFont="1" applyBorder="1" applyAlignment="1">
      <alignment vertical="center"/>
    </xf>
    <xf numFmtId="2" fontId="3" fillId="0" borderId="2" xfId="0" applyNumberFormat="1" applyFont="1" applyBorder="1" applyAlignment="1">
      <alignment horizontal="center" vertical="center"/>
    </xf>
    <xf numFmtId="165" fontId="3" fillId="0" borderId="5" xfId="5" applyFont="1" applyBorder="1" applyAlignment="1">
      <alignment horizontal="center" vertical="center"/>
    </xf>
    <xf numFmtId="165" fontId="3" fillId="2" borderId="1" xfId="5" applyFont="1" applyFill="1" applyBorder="1" applyAlignment="1">
      <alignment horizontal="center" vertical="center"/>
    </xf>
    <xf numFmtId="0" fontId="3" fillId="0" borderId="0" xfId="0" quotePrefix="1" applyFont="1" applyAlignment="1">
      <alignment vertical="center"/>
    </xf>
    <xf numFmtId="165" fontId="3" fillId="0" borderId="0" xfId="5" applyFont="1" applyAlignment="1">
      <alignment horizontal="center" vertical="center"/>
    </xf>
    <xf numFmtId="165" fontId="3" fillId="0" borderId="1" xfId="5" applyFont="1" applyBorder="1" applyAlignment="1">
      <alignment horizontal="center" vertical="center"/>
    </xf>
    <xf numFmtId="165" fontId="3" fillId="2" borderId="1" xfId="5" applyFont="1" applyFill="1" applyBorder="1" applyAlignment="1">
      <alignment vertical="center"/>
    </xf>
    <xf numFmtId="0" fontId="3" fillId="4" borderId="17" xfId="0" applyFont="1" applyFill="1" applyBorder="1" applyAlignment="1">
      <alignment vertical="center"/>
    </xf>
    <xf numFmtId="0" fontId="3" fillId="4" borderId="18" xfId="0" quotePrefix="1" applyFont="1" applyFill="1" applyBorder="1" applyAlignment="1">
      <alignment vertical="center"/>
    </xf>
    <xf numFmtId="0" fontId="3" fillId="4" borderId="18" xfId="0" applyFont="1" applyFill="1" applyBorder="1" applyAlignment="1">
      <alignment vertical="center"/>
    </xf>
    <xf numFmtId="165" fontId="3" fillId="4" borderId="1" xfId="5" applyFont="1" applyFill="1" applyBorder="1" applyAlignment="1">
      <alignment horizontal="right" vertical="center"/>
    </xf>
    <xf numFmtId="165" fontId="3" fillId="4" borderId="1" xfId="5" applyFont="1" applyFill="1" applyBorder="1" applyAlignment="1">
      <alignment vertical="center"/>
    </xf>
    <xf numFmtId="0" fontId="3" fillId="4" borderId="3" xfId="0" applyFont="1" applyFill="1" applyBorder="1" applyAlignment="1">
      <alignment vertical="center"/>
    </xf>
    <xf numFmtId="43" fontId="3" fillId="0" borderId="1" xfId="0" applyNumberFormat="1" applyFont="1" applyBorder="1"/>
    <xf numFmtId="0" fontId="3" fillId="0" borderId="17" xfId="0" applyFont="1" applyBorder="1" applyAlignment="1">
      <alignment vertical="center"/>
    </xf>
    <xf numFmtId="2" fontId="3" fillId="0" borderId="18" xfId="0" quotePrefix="1" applyNumberFormat="1" applyFont="1" applyBorder="1" applyAlignment="1">
      <alignment vertical="center"/>
    </xf>
    <xf numFmtId="0" fontId="3" fillId="0" borderId="18" xfId="0" applyFont="1" applyBorder="1" applyAlignment="1">
      <alignment vertical="center"/>
    </xf>
    <xf numFmtId="4" fontId="3" fillId="0" borderId="17" xfId="0" applyNumberFormat="1" applyFont="1" applyBorder="1" applyAlignment="1">
      <alignment vertical="center"/>
    </xf>
    <xf numFmtId="165" fontId="3" fillId="0" borderId="0" xfId="5" applyFont="1" applyBorder="1" applyAlignment="1">
      <alignment horizontal="center" vertical="center"/>
    </xf>
    <xf numFmtId="0" fontId="3" fillId="2" borderId="1" xfId="0" applyFont="1" applyFill="1" applyBorder="1" applyAlignment="1">
      <alignment horizontal="center" vertical="center" wrapText="1"/>
    </xf>
    <xf numFmtId="165" fontId="3" fillId="0" borderId="1" xfId="0" applyNumberFormat="1" applyFont="1" applyBorder="1"/>
    <xf numFmtId="4" fontId="3" fillId="4" borderId="0" xfId="5" applyNumberFormat="1" applyFont="1" applyFill="1" applyAlignment="1">
      <alignment horizontal="left" vertical="center"/>
    </xf>
    <xf numFmtId="0" fontId="3" fillId="3" borderId="3" xfId="0" applyFont="1" applyFill="1" applyBorder="1" applyAlignment="1">
      <alignment vertical="center"/>
    </xf>
    <xf numFmtId="165" fontId="3" fillId="3" borderId="1" xfId="5" applyFont="1" applyFill="1" applyBorder="1" applyAlignment="1">
      <alignment vertical="center"/>
    </xf>
    <xf numFmtId="0" fontId="3" fillId="3" borderId="5" xfId="0" applyFont="1" applyFill="1" applyBorder="1" applyAlignment="1">
      <alignment horizontal="left" vertical="center"/>
    </xf>
    <xf numFmtId="0" fontId="3" fillId="3" borderId="1" xfId="5" applyNumberFormat="1" applyFont="1" applyFill="1" applyBorder="1" applyAlignment="1">
      <alignment vertical="center"/>
    </xf>
    <xf numFmtId="0" fontId="3" fillId="3" borderId="5" xfId="0" applyFont="1" applyFill="1" applyBorder="1" applyAlignment="1">
      <alignment vertical="center"/>
    </xf>
    <xf numFmtId="0" fontId="3" fillId="3" borderId="3" xfId="0" applyFont="1" applyFill="1" applyBorder="1" applyAlignment="1">
      <alignment horizontal="left" vertical="center"/>
    </xf>
    <xf numFmtId="0" fontId="3" fillId="0" borderId="27" xfId="0" applyFont="1" applyBorder="1" applyAlignment="1">
      <alignment vertical="center" wrapText="1"/>
    </xf>
    <xf numFmtId="0" fontId="3" fillId="0" borderId="20" xfId="0" applyFont="1" applyBorder="1" applyAlignment="1">
      <alignment vertical="center" wrapText="1"/>
    </xf>
    <xf numFmtId="0" fontId="3" fillId="0" borderId="20" xfId="0" applyFont="1" applyBorder="1" applyAlignment="1">
      <alignment horizontal="left" vertical="center" wrapText="1"/>
    </xf>
    <xf numFmtId="0" fontId="3" fillId="12" borderId="0" xfId="0" applyFont="1" applyFill="1"/>
    <xf numFmtId="0" fontId="3" fillId="12" borderId="3" xfId="0" applyFont="1" applyFill="1" applyBorder="1"/>
    <xf numFmtId="173" fontId="3" fillId="12" borderId="4" xfId="2" applyNumberFormat="1" applyFont="1" applyFill="1" applyBorder="1" applyAlignment="1">
      <alignment horizontal="left"/>
    </xf>
    <xf numFmtId="0" fontId="3" fillId="0" borderId="12" xfId="0" applyFont="1" applyBorder="1" applyAlignment="1">
      <alignment wrapText="1"/>
    </xf>
    <xf numFmtId="0" fontId="3" fillId="0" borderId="6" xfId="0" applyFont="1" applyBorder="1" applyAlignment="1">
      <alignment horizontal="left" wrapText="1"/>
    </xf>
    <xf numFmtId="0" fontId="3" fillId="0" borderId="12" xfId="0" applyFont="1" applyBorder="1" applyAlignment="1">
      <alignment horizontal="left"/>
    </xf>
    <xf numFmtId="171" fontId="3" fillId="0" borderId="0" xfId="0" applyNumberFormat="1" applyFont="1"/>
    <xf numFmtId="0" fontId="3" fillId="0" borderId="1" xfId="0" applyFont="1" applyBorder="1" applyAlignment="1">
      <alignment horizontal="center" vertical="center" textRotation="90" wrapText="1"/>
    </xf>
    <xf numFmtId="0" fontId="3" fillId="0" borderId="10" xfId="0" applyFont="1" applyBorder="1" applyAlignment="1">
      <alignment vertical="center"/>
    </xf>
    <xf numFmtId="0" fontId="3" fillId="0" borderId="46" xfId="0" applyFont="1" applyBorder="1" applyAlignment="1">
      <alignment vertical="center"/>
    </xf>
    <xf numFmtId="0" fontId="3" fillId="0" borderId="42" xfId="0" applyFont="1" applyBorder="1" applyAlignment="1">
      <alignment vertical="center"/>
    </xf>
    <xf numFmtId="0" fontId="3" fillId="2" borderId="3" xfId="0" applyFont="1" applyFill="1" applyBorder="1" applyAlignment="1">
      <alignment vertical="center"/>
    </xf>
    <xf numFmtId="0" fontId="3" fillId="2" borderId="5" xfId="0" applyFont="1" applyFill="1" applyBorder="1" applyAlignment="1">
      <alignment vertical="center"/>
    </xf>
    <xf numFmtId="0" fontId="3" fillId="2" borderId="4" xfId="0" applyFont="1" applyFill="1" applyBorder="1" applyAlignment="1">
      <alignment vertical="center"/>
    </xf>
    <xf numFmtId="4" fontId="3" fillId="0" borderId="1" xfId="5" applyNumberFormat="1" applyFont="1" applyBorder="1" applyAlignment="1">
      <alignment vertical="center"/>
    </xf>
    <xf numFmtId="0" fontId="3" fillId="10" borderId="1" xfId="0" applyFont="1" applyFill="1" applyBorder="1" applyAlignment="1">
      <alignment horizontal="center"/>
    </xf>
    <xf numFmtId="0" fontId="3" fillId="4" borderId="7" xfId="0" applyFont="1" applyFill="1" applyBorder="1"/>
    <xf numFmtId="0" fontId="3" fillId="4" borderId="8" xfId="0" applyFont="1" applyFill="1" applyBorder="1"/>
    <xf numFmtId="0" fontId="3" fillId="4" borderId="3" xfId="0" applyFont="1" applyFill="1" applyBorder="1"/>
    <xf numFmtId="0" fontId="3" fillId="4" borderId="5" xfId="0" applyFont="1" applyFill="1" applyBorder="1"/>
    <xf numFmtId="0" fontId="3" fillId="0" borderId="56" xfId="0" applyFont="1" applyBorder="1"/>
    <xf numFmtId="2" fontId="3" fillId="5" borderId="8" xfId="0" applyNumberFormat="1" applyFont="1" applyFill="1" applyBorder="1" applyAlignment="1" applyProtection="1">
      <alignment horizontal="left"/>
      <protection hidden="1"/>
    </xf>
    <xf numFmtId="2" fontId="3" fillId="5" borderId="8" xfId="0" applyNumberFormat="1" applyFont="1" applyFill="1" applyBorder="1" applyAlignment="1">
      <alignment horizontal="center"/>
    </xf>
    <xf numFmtId="2" fontId="3" fillId="5" borderId="14" xfId="0" applyNumberFormat="1" applyFont="1" applyFill="1" applyBorder="1" applyAlignment="1">
      <alignment horizontal="center"/>
    </xf>
    <xf numFmtId="2" fontId="3" fillId="5" borderId="0" xfId="0" applyNumberFormat="1" applyFont="1" applyFill="1" applyAlignment="1">
      <alignment horizontal="center"/>
    </xf>
    <xf numFmtId="2" fontId="3" fillId="5" borderId="0" xfId="0" applyNumberFormat="1" applyFont="1" applyFill="1"/>
    <xf numFmtId="0" fontId="3" fillId="0" borderId="1" xfId="0" applyFont="1" applyBorder="1" applyAlignment="1">
      <alignment horizontal="center" vertical="center" textRotation="90"/>
    </xf>
    <xf numFmtId="0" fontId="3" fillId="0" borderId="1" xfId="0" applyFont="1" applyBorder="1" applyAlignment="1">
      <alignment wrapText="1"/>
    </xf>
    <xf numFmtId="0" fontId="3" fillId="5" borderId="1" xfId="0" applyFont="1" applyFill="1" applyBorder="1" applyAlignment="1">
      <alignment wrapText="1"/>
    </xf>
    <xf numFmtId="0" fontId="3" fillId="0" borderId="7" xfId="0" applyFont="1" applyBorder="1" applyAlignment="1">
      <alignment vertical="center"/>
    </xf>
    <xf numFmtId="0" fontId="3" fillId="0" borderId="0" xfId="0" applyFont="1" applyAlignment="1">
      <alignment horizontal="center" wrapText="1"/>
    </xf>
    <xf numFmtId="0" fontId="3" fillId="0" borderId="34" xfId="0" applyFont="1" applyBorder="1" applyAlignment="1">
      <alignment wrapText="1"/>
    </xf>
    <xf numFmtId="4" fontId="3" fillId="5" borderId="1" xfId="5" applyNumberFormat="1" applyFont="1" applyFill="1" applyBorder="1"/>
    <xf numFmtId="0" fontId="3" fillId="4" borderId="0" xfId="0" applyFont="1" applyFill="1" applyAlignment="1">
      <alignment vertical="center"/>
    </xf>
    <xf numFmtId="0" fontId="3" fillId="4" borderId="0" xfId="0" quotePrefix="1" applyFont="1" applyFill="1" applyAlignment="1">
      <alignment vertical="center"/>
    </xf>
    <xf numFmtId="2" fontId="3" fillId="4" borderId="8" xfId="0" applyNumberFormat="1" applyFont="1" applyFill="1" applyBorder="1" applyAlignment="1">
      <alignment vertical="center"/>
    </xf>
    <xf numFmtId="182" fontId="3" fillId="4" borderId="1" xfId="5" applyNumberFormat="1" applyFont="1" applyFill="1" applyBorder="1" applyAlignment="1">
      <alignment horizontal="right" vertical="center"/>
    </xf>
    <xf numFmtId="2" fontId="3" fillId="4" borderId="3" xfId="0" applyNumberFormat="1" applyFont="1" applyFill="1" applyBorder="1" applyAlignment="1">
      <alignment vertical="center"/>
    </xf>
    <xf numFmtId="182" fontId="3" fillId="4" borderId="0" xfId="5" applyNumberFormat="1" applyFont="1" applyFill="1" applyBorder="1" applyAlignment="1">
      <alignment horizontal="right" vertical="center"/>
    </xf>
    <xf numFmtId="0" fontId="3" fillId="4" borderId="0" xfId="0" applyFont="1" applyFill="1" applyAlignment="1">
      <alignment horizontal="center" vertical="center" wrapText="1"/>
    </xf>
    <xf numFmtId="2" fontId="3" fillId="4" borderId="0" xfId="0" applyNumberFormat="1" applyFont="1" applyFill="1" applyAlignment="1">
      <alignment vertical="center"/>
    </xf>
    <xf numFmtId="0" fontId="3" fillId="4" borderId="0" xfId="0" applyFont="1" applyFill="1" applyAlignment="1">
      <alignment horizontal="center" vertical="center"/>
    </xf>
    <xf numFmtId="0" fontId="3" fillId="4" borderId="13" xfId="0" applyFont="1" applyFill="1" applyBorder="1" applyAlignment="1">
      <alignment vertical="center"/>
    </xf>
    <xf numFmtId="188" fontId="3" fillId="0" borderId="1" xfId="0" applyNumberFormat="1" applyFont="1" applyBorder="1"/>
    <xf numFmtId="188" fontId="3" fillId="0" borderId="3" xfId="0" applyNumberFormat="1" applyFont="1" applyBorder="1"/>
    <xf numFmtId="188" fontId="3" fillId="0" borderId="0" xfId="0" applyNumberFormat="1" applyFont="1"/>
    <xf numFmtId="188" fontId="3" fillId="0" borderId="11" xfId="0" applyNumberFormat="1" applyFont="1" applyBorder="1"/>
    <xf numFmtId="188" fontId="3" fillId="0" borderId="4" xfId="0" applyNumberFormat="1" applyFont="1" applyBorder="1"/>
    <xf numFmtId="188" fontId="3" fillId="0" borderId="10" xfId="0" applyNumberFormat="1" applyFont="1" applyBorder="1"/>
    <xf numFmtId="0" fontId="3" fillId="4" borderId="5" xfId="0" applyFont="1" applyFill="1" applyBorder="1" applyAlignment="1">
      <alignment horizontal="left" vertical="center"/>
    </xf>
    <xf numFmtId="0" fontId="3" fillId="4" borderId="5" xfId="0" applyFont="1" applyFill="1" applyBorder="1" applyAlignment="1">
      <alignment vertical="center"/>
    </xf>
    <xf numFmtId="175" fontId="3" fillId="0" borderId="1" xfId="5" applyNumberFormat="1" applyFont="1" applyBorder="1"/>
    <xf numFmtId="175" fontId="3" fillId="0" borderId="1" xfId="0" applyNumberFormat="1" applyFont="1" applyBorder="1" applyAlignment="1">
      <alignment horizontal="center"/>
    </xf>
    <xf numFmtId="175" fontId="3" fillId="0" borderId="1" xfId="0" applyNumberFormat="1" applyFont="1" applyBorder="1"/>
    <xf numFmtId="176" fontId="3" fillId="0" borderId="1" xfId="5" applyNumberFormat="1" applyFont="1" applyBorder="1"/>
    <xf numFmtId="4" fontId="3" fillId="0" borderId="1" xfId="0" applyNumberFormat="1" applyFont="1" applyBorder="1" applyAlignment="1">
      <alignment vertical="center"/>
    </xf>
    <xf numFmtId="4" fontId="3" fillId="0" borderId="1" xfId="0" applyNumberFormat="1" applyFont="1" applyBorder="1" applyAlignment="1">
      <alignment horizontal="right" vertical="center"/>
    </xf>
    <xf numFmtId="173" fontId="3" fillId="0" borderId="1" xfId="0" applyNumberFormat="1" applyFont="1" applyBorder="1" applyAlignment="1">
      <alignment vertical="center"/>
    </xf>
    <xf numFmtId="0" fontId="3" fillId="0" borderId="8" xfId="0" applyFont="1" applyBorder="1" applyAlignment="1">
      <alignment horizontal="right"/>
    </xf>
    <xf numFmtId="0" fontId="3" fillId="0" borderId="25" xfId="0" applyFont="1" applyBorder="1" applyAlignment="1">
      <alignment horizontal="center" vertical="center"/>
    </xf>
    <xf numFmtId="192" fontId="0" fillId="0" borderId="0" xfId="0" applyNumberFormat="1"/>
    <xf numFmtId="44" fontId="0" fillId="0" borderId="0" xfId="0" applyNumberFormat="1"/>
    <xf numFmtId="44" fontId="9" fillId="0" borderId="4" xfId="0" applyNumberFormat="1" applyFont="1" applyBorder="1"/>
    <xf numFmtId="9" fontId="0" fillId="0" borderId="1" xfId="4" applyFont="1" applyBorder="1"/>
    <xf numFmtId="0" fontId="3" fillId="0" borderId="23" xfId="0" applyFont="1" applyBorder="1"/>
    <xf numFmtId="173" fontId="3" fillId="0" borderId="11" xfId="2" applyNumberFormat="1" applyFont="1" applyBorder="1" applyAlignment="1">
      <alignment vertical="center"/>
    </xf>
    <xf numFmtId="10" fontId="3" fillId="0" borderId="1" xfId="4" applyNumberFormat="1" applyFont="1" applyBorder="1" applyAlignment="1">
      <alignment horizontal="center" vertical="center"/>
    </xf>
    <xf numFmtId="9" fontId="3" fillId="0" borderId="11" xfId="4" applyFont="1" applyBorder="1" applyAlignment="1">
      <alignment vertical="center"/>
    </xf>
    <xf numFmtId="10" fontId="3" fillId="0" borderId="25" xfId="4" applyNumberFormat="1" applyFont="1" applyBorder="1" applyAlignment="1">
      <alignment horizontal="center" vertical="center"/>
    </xf>
    <xf numFmtId="0" fontId="3" fillId="0" borderId="25" xfId="0" applyFont="1" applyBorder="1"/>
    <xf numFmtId="9" fontId="3" fillId="0" borderId="25" xfId="4" applyFont="1" applyBorder="1" applyAlignment="1">
      <alignment vertical="center"/>
    </xf>
    <xf numFmtId="0" fontId="3" fillId="0" borderId="26" xfId="0" applyFont="1" applyBorder="1"/>
    <xf numFmtId="0" fontId="3" fillId="0" borderId="20" xfId="0" applyFont="1" applyBorder="1" applyAlignment="1">
      <alignment horizontal="center"/>
    </xf>
    <xf numFmtId="0" fontId="3" fillId="0" borderId="20" xfId="0" applyFont="1" applyBorder="1" applyAlignment="1">
      <alignment horizontal="center" vertical="center"/>
    </xf>
    <xf numFmtId="0" fontId="3" fillId="0" borderId="20" xfId="0" applyFont="1" applyBorder="1"/>
    <xf numFmtId="0" fontId="3" fillId="0" borderId="22" xfId="0" applyFont="1" applyBorder="1"/>
    <xf numFmtId="173" fontId="3" fillId="0" borderId="25" xfId="2" applyNumberFormat="1" applyFont="1" applyBorder="1" applyAlignment="1">
      <alignment horizontal="right" vertical="center"/>
    </xf>
    <xf numFmtId="173" fontId="3" fillId="0" borderId="25" xfId="0" applyNumberFormat="1" applyFont="1" applyBorder="1" applyAlignment="1">
      <alignment horizontal="right" vertical="center"/>
    </xf>
    <xf numFmtId="174" fontId="3" fillId="0" borderId="12" xfId="0" applyNumberFormat="1" applyFont="1" applyBorder="1" applyAlignment="1">
      <alignment horizontal="left" vertical="center"/>
    </xf>
    <xf numFmtId="173" fontId="3" fillId="0" borderId="2" xfId="0" applyNumberFormat="1" applyFont="1" applyBorder="1" applyAlignment="1">
      <alignment horizontal="right"/>
    </xf>
    <xf numFmtId="174" fontId="3" fillId="0" borderId="2" xfId="0" applyNumberFormat="1" applyFont="1" applyBorder="1"/>
    <xf numFmtId="174" fontId="3" fillId="0" borderId="25" xfId="0" applyNumberFormat="1" applyFont="1" applyBorder="1"/>
    <xf numFmtId="173" fontId="3" fillId="0" borderId="25" xfId="0" applyNumberFormat="1" applyFont="1" applyBorder="1" applyAlignment="1">
      <alignment horizontal="right"/>
    </xf>
    <xf numFmtId="173" fontId="3" fillId="0" borderId="25" xfId="0" applyNumberFormat="1" applyFont="1" applyBorder="1" applyAlignment="1">
      <alignment horizontal="center"/>
    </xf>
    <xf numFmtId="173" fontId="3" fillId="0" borderId="25" xfId="2" applyNumberFormat="1" applyFont="1" applyBorder="1" applyAlignment="1">
      <alignment horizontal="center"/>
    </xf>
    <xf numFmtId="174" fontId="3" fillId="0" borderId="5" xfId="2" applyNumberFormat="1" applyFont="1" applyBorder="1"/>
    <xf numFmtId="0" fontId="3" fillId="0" borderId="5" xfId="0" quotePrefix="1" applyFont="1" applyBorder="1"/>
    <xf numFmtId="173" fontId="3" fillId="0" borderId="0" xfId="0" applyNumberFormat="1" applyFont="1" applyAlignment="1">
      <alignment horizontal="right"/>
    </xf>
    <xf numFmtId="173" fontId="3" fillId="0" borderId="12" xfId="0" applyNumberFormat="1" applyFont="1" applyBorder="1" applyAlignment="1">
      <alignment horizontal="right"/>
    </xf>
    <xf numFmtId="174" fontId="3" fillId="0" borderId="20" xfId="0" applyNumberFormat="1" applyFont="1" applyBorder="1"/>
    <xf numFmtId="174" fontId="3" fillId="0" borderId="12" xfId="0" applyNumberFormat="1" applyFont="1" applyBorder="1"/>
    <xf numFmtId="10" fontId="3" fillId="0" borderId="4" xfId="0" applyNumberFormat="1" applyFont="1" applyBorder="1"/>
    <xf numFmtId="173" fontId="3" fillId="0" borderId="3" xfId="0" applyNumberFormat="1" applyFont="1" applyBorder="1"/>
    <xf numFmtId="173" fontId="3" fillId="0" borderId="5" xfId="0" applyNumberFormat="1" applyFont="1" applyBorder="1"/>
    <xf numFmtId="173" fontId="3" fillId="0" borderId="4" xfId="0" applyNumberFormat="1" applyFont="1" applyBorder="1"/>
    <xf numFmtId="173" fontId="3" fillId="0" borderId="0" xfId="0" applyNumberFormat="1" applyFont="1"/>
    <xf numFmtId="173" fontId="3" fillId="0" borderId="25" xfId="0" applyNumberFormat="1" applyFont="1" applyBorder="1"/>
    <xf numFmtId="10" fontId="3" fillId="0" borderId="1" xfId="0" applyNumberFormat="1" applyFont="1" applyBorder="1"/>
    <xf numFmtId="173" fontId="3" fillId="0" borderId="1" xfId="0" applyNumberFormat="1" applyFont="1" applyBorder="1" applyAlignment="1">
      <alignment horizontal="right"/>
    </xf>
    <xf numFmtId="9" fontId="3" fillId="0" borderId="1" xfId="0" applyNumberFormat="1" applyFont="1" applyBorder="1"/>
    <xf numFmtId="10" fontId="3" fillId="0" borderId="0" xfId="0" applyNumberFormat="1" applyFont="1"/>
    <xf numFmtId="173" fontId="3" fillId="0" borderId="20" xfId="0" applyNumberFormat="1" applyFont="1" applyBorder="1" applyAlignment="1">
      <alignment horizontal="right"/>
    </xf>
    <xf numFmtId="174" fontId="3" fillId="0" borderId="0" xfId="0" applyNumberFormat="1" applyFont="1"/>
    <xf numFmtId="0" fontId="89" fillId="0" borderId="0" xfId="0" applyFont="1" applyAlignment="1">
      <alignment horizontal="right" vertical="center"/>
    </xf>
    <xf numFmtId="0" fontId="3" fillId="7" borderId="7" xfId="0" applyFont="1" applyFill="1" applyBorder="1"/>
    <xf numFmtId="0" fontId="3" fillId="7" borderId="8" xfId="0" applyFont="1" applyFill="1" applyBorder="1"/>
    <xf numFmtId="0" fontId="3" fillId="7" borderId="9" xfId="0" applyFont="1" applyFill="1" applyBorder="1"/>
    <xf numFmtId="0" fontId="3" fillId="6" borderId="10" xfId="0" applyFont="1" applyFill="1" applyBorder="1"/>
    <xf numFmtId="0" fontId="38" fillId="0" borderId="0" xfId="0" applyFont="1" applyAlignment="1">
      <alignment vertical="center"/>
    </xf>
    <xf numFmtId="0" fontId="3" fillId="7" borderId="12" xfId="0" applyFont="1" applyFill="1" applyBorder="1"/>
    <xf numFmtId="0" fontId="3" fillId="7" borderId="2" xfId="0" applyFont="1" applyFill="1" applyBorder="1"/>
    <xf numFmtId="0" fontId="3" fillId="7" borderId="11" xfId="0" applyFont="1" applyFill="1" applyBorder="1"/>
    <xf numFmtId="0" fontId="3" fillId="0" borderId="103" xfId="0" applyFont="1" applyBorder="1"/>
    <xf numFmtId="0" fontId="3" fillId="0" borderId="102" xfId="0" applyFont="1" applyBorder="1"/>
    <xf numFmtId="0" fontId="3" fillId="0" borderId="55" xfId="0" applyFont="1" applyBorder="1"/>
    <xf numFmtId="173" fontId="9" fillId="8" borderId="1" xfId="0" applyNumberFormat="1" applyFont="1" applyFill="1" applyBorder="1"/>
    <xf numFmtId="173" fontId="9" fillId="9" borderId="1" xfId="0" applyNumberFormat="1" applyFont="1" applyFill="1" applyBorder="1"/>
    <xf numFmtId="190" fontId="3" fillId="0" borderId="1" xfId="4" applyNumberFormat="1" applyFont="1" applyBorder="1"/>
    <xf numFmtId="2" fontId="38" fillId="0" borderId="7" xfId="0" applyNumberFormat="1" applyFont="1" applyBorder="1" applyAlignment="1">
      <alignment horizontal="center" vertical="center"/>
    </xf>
    <xf numFmtId="2" fontId="38" fillId="0" borderId="8" xfId="0" applyNumberFormat="1" applyFont="1" applyBorder="1" applyAlignment="1">
      <alignment horizontal="center" vertical="center"/>
    </xf>
    <xf numFmtId="2" fontId="38" fillId="0" borderId="9" xfId="0" applyNumberFormat="1"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14" fillId="0" borderId="12" xfId="0" applyFont="1" applyBorder="1" applyAlignment="1">
      <alignment horizontal="center" vertical="center"/>
    </xf>
    <xf numFmtId="0" fontId="14" fillId="0" borderId="2" xfId="0" applyFont="1" applyBorder="1" applyAlignment="1">
      <alignment horizontal="center" vertical="center"/>
    </xf>
    <xf numFmtId="165" fontId="3" fillId="0" borderId="5" xfId="5" applyFont="1" applyBorder="1" applyProtection="1">
      <protection hidden="1"/>
    </xf>
    <xf numFmtId="0" fontId="40" fillId="0" borderId="0" xfId="0" applyFont="1" applyAlignment="1">
      <alignment horizont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11" xfId="0" applyFont="1" applyFill="1" applyBorder="1" applyAlignment="1">
      <alignment horizontal="center" vertical="center"/>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4" fillId="0" borderId="1" xfId="0" applyFont="1" applyBorder="1" applyAlignment="1">
      <alignment horizontal="center"/>
    </xf>
    <xf numFmtId="0" fontId="3" fillId="0" borderId="13" xfId="0" applyFont="1" applyBorder="1" applyAlignment="1">
      <alignment horizontal="center"/>
    </xf>
    <xf numFmtId="0" fontId="3" fillId="0" borderId="10" xfId="0" applyFont="1" applyBorder="1" applyAlignment="1">
      <alignment horizontal="center"/>
    </xf>
    <xf numFmtId="0" fontId="47" fillId="0" borderId="1" xfId="0" applyFont="1" applyBorder="1" applyAlignment="1">
      <alignment horizontal="center"/>
    </xf>
    <xf numFmtId="169" fontId="3" fillId="0" borderId="3" xfId="0" applyNumberFormat="1" applyFont="1" applyBorder="1" applyAlignment="1">
      <alignment horizontal="right"/>
    </xf>
    <xf numFmtId="169" fontId="3" fillId="0" borderId="4" xfId="0" applyNumberFormat="1" applyFont="1" applyBorder="1" applyAlignment="1">
      <alignment horizontal="right"/>
    </xf>
    <xf numFmtId="0" fontId="3" fillId="10" borderId="3" xfId="0" applyFont="1" applyFill="1" applyBorder="1" applyAlignment="1">
      <alignment horizontal="center"/>
    </xf>
    <xf numFmtId="0" fontId="3" fillId="10" borderId="5" xfId="0" applyFont="1" applyFill="1" applyBorder="1" applyAlignment="1">
      <alignment horizontal="center"/>
    </xf>
    <xf numFmtId="0" fontId="3" fillId="10" borderId="4" xfId="0" applyFont="1" applyFill="1" applyBorder="1" applyAlignment="1">
      <alignment horizontal="center"/>
    </xf>
    <xf numFmtId="2" fontId="3" fillId="0" borderId="6" xfId="0" applyNumberFormat="1" applyFont="1" applyBorder="1" applyAlignment="1">
      <alignment horizontal="right" vertical="center"/>
    </xf>
    <xf numFmtId="2" fontId="3" fillId="0" borderId="75" xfId="0" applyNumberFormat="1" applyFont="1" applyBorder="1" applyAlignment="1">
      <alignment horizontal="right" vertical="center"/>
    </xf>
    <xf numFmtId="0" fontId="3" fillId="0" borderId="13" xfId="0" applyFont="1" applyBorder="1" applyAlignment="1">
      <alignment horizontal="left" vertical="center"/>
    </xf>
    <xf numFmtId="0" fontId="3" fillId="0" borderId="1" xfId="0" applyFont="1" applyBorder="1" applyAlignment="1">
      <alignment horizontal="center" vertical="center"/>
    </xf>
    <xf numFmtId="165" fontId="3" fillId="0" borderId="3" xfId="5" applyFont="1" applyBorder="1" applyAlignment="1" applyProtection="1">
      <alignment horizontal="center"/>
      <protection hidden="1"/>
    </xf>
    <xf numFmtId="165" fontId="3" fillId="0" borderId="5" xfId="5" applyFont="1" applyBorder="1" applyAlignment="1" applyProtection="1">
      <alignment horizontal="center"/>
      <protection hidden="1"/>
    </xf>
    <xf numFmtId="177" fontId="3" fillId="0" borderId="5" xfId="0" applyNumberFormat="1" applyFont="1" applyBorder="1" applyAlignment="1">
      <alignment horizontal="center"/>
    </xf>
    <xf numFmtId="177" fontId="3" fillId="0" borderId="4" xfId="0" applyNumberFormat="1" applyFont="1" applyBorder="1" applyAlignment="1">
      <alignment horizontal="center"/>
    </xf>
    <xf numFmtId="165" fontId="3" fillId="0" borderId="3" xfId="5" applyFont="1" applyBorder="1" applyAlignment="1">
      <alignment horizontal="center"/>
    </xf>
    <xf numFmtId="165" fontId="3" fillId="0" borderId="4" xfId="5" applyFont="1" applyBorder="1" applyAlignment="1">
      <alignment horizontal="center"/>
    </xf>
    <xf numFmtId="0" fontId="3" fillId="2" borderId="3" xfId="0" applyFont="1" applyFill="1" applyBorder="1" applyAlignment="1">
      <alignment horizontal="center"/>
    </xf>
    <xf numFmtId="0" fontId="3" fillId="2" borderId="5" xfId="0" applyFont="1" applyFill="1" applyBorder="1" applyAlignment="1">
      <alignment horizontal="center"/>
    </xf>
    <xf numFmtId="0" fontId="3" fillId="2" borderId="4" xfId="0" applyFont="1" applyFill="1" applyBorder="1" applyAlignment="1">
      <alignment horizontal="center"/>
    </xf>
    <xf numFmtId="0" fontId="3" fillId="0" borderId="109" xfId="0" applyFont="1" applyBorder="1" applyAlignment="1">
      <alignment horizontal="center"/>
    </xf>
    <xf numFmtId="0" fontId="3" fillId="0" borderId="110" xfId="0" applyFont="1" applyBorder="1" applyAlignment="1">
      <alignment horizontal="center"/>
    </xf>
    <xf numFmtId="0" fontId="3" fillId="0" borderId="111" xfId="0" applyFont="1" applyBorder="1" applyAlignment="1">
      <alignment horizontal="center"/>
    </xf>
    <xf numFmtId="2" fontId="3" fillId="5" borderId="3" xfId="0" applyNumberFormat="1" applyFont="1" applyFill="1" applyBorder="1" applyAlignment="1">
      <alignment horizontal="right"/>
    </xf>
    <xf numFmtId="2" fontId="3" fillId="5" borderId="4" xfId="0" applyNumberFormat="1" applyFont="1" applyFill="1" applyBorder="1" applyAlignment="1">
      <alignment horizontal="right"/>
    </xf>
    <xf numFmtId="0" fontId="3" fillId="0" borderId="6" xfId="0" applyFont="1" applyBorder="1" applyAlignment="1">
      <alignment horizontal="center" vertical="center" textRotation="255"/>
    </xf>
    <xf numFmtId="0" fontId="3" fillId="0" borderId="34" xfId="0" applyFont="1" applyBorder="1" applyAlignment="1">
      <alignment horizontal="center" vertical="center" textRotation="255"/>
    </xf>
    <xf numFmtId="0" fontId="3" fillId="0" borderId="28" xfId="0" applyFont="1" applyBorder="1" applyAlignment="1">
      <alignment horizontal="center" vertical="center" textRotation="255"/>
    </xf>
    <xf numFmtId="0" fontId="3" fillId="0" borderId="6"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171" fontId="3" fillId="0" borderId="76" xfId="0" applyNumberFormat="1" applyFont="1" applyBorder="1" applyAlignment="1">
      <alignment horizontal="center" vertical="center"/>
    </xf>
    <xf numFmtId="171" fontId="3" fillId="0" borderId="63" xfId="0" applyNumberFormat="1" applyFont="1" applyBorder="1" applyAlignment="1">
      <alignment horizontal="center" vertical="center"/>
    </xf>
    <xf numFmtId="0" fontId="3" fillId="0" borderId="5" xfId="0" applyFont="1" applyBorder="1" applyAlignment="1">
      <alignment horizontal="center" vertical="center"/>
    </xf>
    <xf numFmtId="1" fontId="3" fillId="0" borderId="5" xfId="0" quotePrefix="1" applyNumberFormat="1" applyFont="1" applyBorder="1" applyAlignment="1">
      <alignment horizontal="center" vertical="center"/>
    </xf>
    <xf numFmtId="1" fontId="3" fillId="0" borderId="66" xfId="0" quotePrefix="1" applyNumberFormat="1" applyFont="1" applyBorder="1" applyAlignment="1">
      <alignment horizontal="center" vertical="center"/>
    </xf>
    <xf numFmtId="0" fontId="3" fillId="0" borderId="66" xfId="0" applyFont="1" applyBorder="1" applyAlignment="1">
      <alignment horizontal="center" vertical="center"/>
    </xf>
    <xf numFmtId="172" fontId="3" fillId="0" borderId="5" xfId="5" applyNumberFormat="1" applyFont="1" applyBorder="1" applyProtection="1">
      <protection hidden="1"/>
    </xf>
    <xf numFmtId="0" fontId="11" fillId="0" borderId="120" xfId="0" applyFont="1" applyBorder="1" applyAlignment="1">
      <alignment horizontal="center" vertical="center"/>
    </xf>
    <xf numFmtId="14" fontId="47" fillId="0" borderId="19" xfId="0" applyNumberFormat="1" applyFont="1" applyBorder="1" applyAlignment="1" applyProtection="1">
      <alignment horizontal="center" vertical="center"/>
      <protection hidden="1"/>
    </xf>
    <xf numFmtId="0" fontId="47" fillId="0" borderId="20" xfId="0" applyFont="1" applyBorder="1" applyAlignment="1" applyProtection="1">
      <alignment horizontal="center" vertical="center"/>
      <protection hidden="1"/>
    </xf>
    <xf numFmtId="0" fontId="47" fillId="0" borderId="77" xfId="0" applyFont="1" applyBorder="1" applyAlignment="1" applyProtection="1">
      <alignment horizontal="center" vertical="center"/>
      <protection hidden="1"/>
    </xf>
    <xf numFmtId="0" fontId="47" fillId="0" borderId="21" xfId="0" applyFont="1" applyBorder="1" applyAlignment="1" applyProtection="1">
      <alignment horizontal="center" vertical="center"/>
      <protection hidden="1"/>
    </xf>
    <xf numFmtId="0" fontId="47" fillId="0" borderId="0" xfId="0" applyFont="1" applyAlignment="1" applyProtection="1">
      <alignment horizontal="center" vertical="center"/>
      <protection hidden="1"/>
    </xf>
    <xf numFmtId="0" fontId="47" fillId="0" borderId="10" xfId="0" applyFont="1" applyBorder="1" applyAlignment="1" applyProtection="1">
      <alignment horizontal="center" vertical="center"/>
      <protection hidden="1"/>
    </xf>
    <xf numFmtId="0" fontId="47" fillId="0" borderId="24" xfId="0" applyFont="1" applyBorder="1" applyAlignment="1" applyProtection="1">
      <alignment horizontal="center" vertical="center"/>
      <protection hidden="1"/>
    </xf>
    <xf numFmtId="0" fontId="47" fillId="0" borderId="25" xfId="0" applyFont="1" applyBorder="1" applyAlignment="1" applyProtection="1">
      <alignment horizontal="center" vertical="center"/>
      <protection hidden="1"/>
    </xf>
    <xf numFmtId="0" fontId="47" fillId="0" borderId="78" xfId="0" applyFont="1" applyBorder="1" applyAlignment="1" applyProtection="1">
      <alignment horizontal="center" vertical="center"/>
      <protection hidden="1"/>
    </xf>
    <xf numFmtId="0" fontId="14" fillId="0" borderId="57" xfId="0" applyFont="1" applyBorder="1" applyAlignment="1">
      <alignment horizontal="center" vertical="center" wrapText="1"/>
    </xf>
    <xf numFmtId="0" fontId="14" fillId="0" borderId="1" xfId="0" applyFont="1" applyBorder="1" applyAlignment="1">
      <alignment horizontal="center" vertical="center" wrapText="1"/>
    </xf>
    <xf numFmtId="0" fontId="3" fillId="0" borderId="79" xfId="0" applyFont="1" applyBorder="1" applyAlignment="1">
      <alignment horizontal="center" vertical="center"/>
    </xf>
    <xf numFmtId="0" fontId="3" fillId="0" borderId="76" xfId="0" applyFont="1" applyBorder="1" applyAlignment="1">
      <alignment horizontal="center" vertical="center"/>
    </xf>
    <xf numFmtId="0" fontId="3" fillId="0" borderId="0" xfId="0" applyFont="1" applyAlignment="1">
      <alignment horizontal="center"/>
    </xf>
    <xf numFmtId="0" fontId="3" fillId="0" borderId="27" xfId="0" applyFont="1" applyBorder="1" applyAlignment="1">
      <alignment horizontal="center" vertical="center"/>
    </xf>
    <xf numFmtId="0" fontId="3" fillId="0" borderId="80" xfId="0" applyFont="1" applyBorder="1" applyAlignment="1">
      <alignment horizontal="center" vertical="center"/>
    </xf>
    <xf numFmtId="0" fontId="3" fillId="0" borderId="67" xfId="0" applyFont="1" applyBorder="1" applyAlignment="1">
      <alignment horizontal="center" vertical="center"/>
    </xf>
    <xf numFmtId="0" fontId="3" fillId="0" borderId="9" xfId="0" applyFont="1" applyBorder="1" applyAlignment="1">
      <alignment horizontal="center" vertical="center"/>
    </xf>
    <xf numFmtId="3" fontId="3" fillId="0" borderId="12" xfId="0" applyNumberFormat="1" applyFont="1" applyBorder="1" applyAlignment="1">
      <alignment horizontal="right" vertical="center"/>
    </xf>
    <xf numFmtId="3" fontId="3" fillId="0" borderId="2" xfId="0" applyNumberFormat="1" applyFont="1" applyBorder="1" applyAlignment="1">
      <alignment horizontal="right" vertical="center"/>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2" xfId="0" applyFont="1" applyBorder="1" applyAlignment="1">
      <alignment horizontal="center" vertical="center" wrapText="1"/>
    </xf>
    <xf numFmtId="0" fontId="14" fillId="0" borderId="11" xfId="0" applyFont="1" applyBorder="1" applyAlignment="1">
      <alignment horizontal="center" vertical="center"/>
    </xf>
    <xf numFmtId="0" fontId="19" fillId="0" borderId="0" xfId="0" applyFont="1" applyAlignment="1">
      <alignment horizontal="left"/>
    </xf>
    <xf numFmtId="0" fontId="4" fillId="0" borderId="3" xfId="0" applyFont="1" applyBorder="1" applyAlignment="1">
      <alignment horizontal="center"/>
    </xf>
    <xf numFmtId="0" fontId="4" fillId="0" borderId="5" xfId="0" applyFont="1" applyBorder="1" applyAlignment="1">
      <alignment horizontal="center"/>
    </xf>
    <xf numFmtId="0" fontId="4" fillId="0" borderId="4" xfId="0" applyFont="1" applyBorder="1" applyAlignment="1">
      <alignment horizontal="center"/>
    </xf>
    <xf numFmtId="0" fontId="3" fillId="0" borderId="12" xfId="0" applyFont="1" applyBorder="1" applyAlignment="1">
      <alignment horizontal="center"/>
    </xf>
    <xf numFmtId="0" fontId="3" fillId="0" borderId="2" xfId="0" applyFont="1" applyBorder="1" applyAlignment="1">
      <alignment horizontal="center"/>
    </xf>
    <xf numFmtId="0" fontId="3" fillId="0" borderId="11" xfId="0" applyFont="1" applyBorder="1" applyAlignment="1">
      <alignment horizontal="center"/>
    </xf>
    <xf numFmtId="2" fontId="3" fillId="0" borderId="1" xfId="0" applyNumberFormat="1" applyFont="1" applyBorder="1" applyAlignment="1" applyProtection="1">
      <alignment horizontal="left"/>
      <protection hidden="1"/>
    </xf>
    <xf numFmtId="2" fontId="3" fillId="0" borderId="3" xfId="0" applyNumberFormat="1" applyFont="1" applyBorder="1" applyAlignment="1">
      <alignment horizontal="center"/>
    </xf>
    <xf numFmtId="2" fontId="3" fillId="0" borderId="4" xfId="0" applyNumberFormat="1" applyFont="1" applyBorder="1" applyAlignment="1">
      <alignment horizontal="center"/>
    </xf>
    <xf numFmtId="0" fontId="3" fillId="0" borderId="13" xfId="0" applyFont="1" applyBorder="1" applyAlignment="1">
      <alignment horizontal="center" vertical="center"/>
    </xf>
    <xf numFmtId="0" fontId="3" fillId="0" borderId="10" xfId="0" applyFont="1" applyBorder="1" applyAlignment="1">
      <alignment horizontal="center" vertical="center"/>
    </xf>
    <xf numFmtId="0" fontId="47" fillId="0" borderId="10" xfId="0" applyFont="1" applyBorder="1" applyAlignment="1">
      <alignment horizontal="center"/>
    </xf>
    <xf numFmtId="0" fontId="3" fillId="0" borderId="6" xfId="0" applyFont="1" applyBorder="1" applyAlignment="1">
      <alignment horizontal="center" vertical="center"/>
    </xf>
    <xf numFmtId="0" fontId="3" fillId="0" borderId="28" xfId="0" applyFont="1" applyBorder="1" applyAlignment="1">
      <alignment horizontal="center" vertical="center"/>
    </xf>
    <xf numFmtId="2" fontId="3" fillId="0" borderId="7" xfId="0" applyNumberFormat="1" applyFont="1" applyBorder="1" applyAlignment="1">
      <alignment horizontal="center" vertical="center"/>
    </xf>
    <xf numFmtId="2" fontId="3" fillId="0" borderId="12" xfId="0" applyNumberFormat="1" applyFont="1" applyBorder="1" applyAlignment="1">
      <alignment horizontal="center" vertical="center"/>
    </xf>
    <xf numFmtId="0" fontId="3" fillId="0" borderId="9" xfId="0" applyFont="1" applyBorder="1" applyAlignment="1">
      <alignment horizontal="left" vertical="center" wrapText="1"/>
    </xf>
    <xf numFmtId="0" fontId="3" fillId="0" borderId="11" xfId="0" applyFont="1" applyBorder="1" applyAlignment="1">
      <alignment horizontal="left" vertical="center"/>
    </xf>
    <xf numFmtId="2" fontId="47" fillId="0" borderId="0" xfId="0" applyNumberFormat="1" applyFont="1" applyAlignment="1" applyProtection="1">
      <alignment horizontal="center"/>
      <protection hidden="1"/>
    </xf>
    <xf numFmtId="2" fontId="47" fillId="0" borderId="13" xfId="0" applyNumberFormat="1" applyFont="1" applyBorder="1" applyAlignment="1" applyProtection="1">
      <alignment horizontal="center"/>
      <protection hidden="1"/>
    </xf>
    <xf numFmtId="0" fontId="3" fillId="5" borderId="3" xfId="0" applyFont="1" applyFill="1" applyBorder="1" applyAlignment="1">
      <alignment horizontal="center"/>
    </xf>
    <xf numFmtId="0" fontId="3" fillId="5" borderId="4" xfId="0" applyFont="1" applyFill="1" applyBorder="1" applyAlignment="1">
      <alignment horizontal="center"/>
    </xf>
    <xf numFmtId="0" fontId="3" fillId="5" borderId="1" xfId="0" applyFont="1" applyFill="1" applyBorder="1" applyAlignment="1">
      <alignment horizontal="center"/>
    </xf>
    <xf numFmtId="0" fontId="3" fillId="5" borderId="5" xfId="0" applyFont="1" applyFill="1" applyBorder="1" applyAlignment="1">
      <alignment horizontal="center"/>
    </xf>
    <xf numFmtId="0" fontId="40" fillId="4" borderId="0" xfId="0" applyFont="1" applyFill="1" applyAlignment="1">
      <alignment horizontal="center"/>
    </xf>
    <xf numFmtId="0" fontId="3" fillId="14" borderId="1" xfId="0" applyFont="1" applyFill="1" applyBorder="1" applyAlignment="1">
      <alignment horizontal="center"/>
    </xf>
    <xf numFmtId="0" fontId="40" fillId="14" borderId="3" xfId="0" applyFont="1" applyFill="1" applyBorder="1" applyAlignment="1">
      <alignment horizontal="center"/>
    </xf>
    <xf numFmtId="0" fontId="40" fillId="14" borderId="4" xfId="0" applyFont="1" applyFill="1" applyBorder="1" applyAlignment="1">
      <alignment horizontal="center"/>
    </xf>
    <xf numFmtId="0" fontId="48" fillId="14" borderId="3" xfId="0" applyFont="1" applyFill="1" applyBorder="1" applyAlignment="1">
      <alignment horizontal="center"/>
    </xf>
    <xf numFmtId="0" fontId="48" fillId="14" borderId="4" xfId="0" applyFont="1" applyFill="1" applyBorder="1" applyAlignment="1">
      <alignment horizontal="center"/>
    </xf>
    <xf numFmtId="0" fontId="40" fillId="11" borderId="3" xfId="0" applyFont="1" applyFill="1" applyBorder="1" applyAlignment="1">
      <alignment horizontal="center"/>
    </xf>
    <xf numFmtId="0" fontId="40" fillId="11" borderId="4" xfId="0" applyFont="1" applyFill="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wrapText="1"/>
    </xf>
    <xf numFmtId="0" fontId="3" fillId="0" borderId="28" xfId="0" applyFont="1" applyBorder="1" applyAlignment="1">
      <alignment horizontal="center" wrapText="1"/>
    </xf>
    <xf numFmtId="0" fontId="48" fillId="11" borderId="3" xfId="0" applyFont="1" applyFill="1" applyBorder="1" applyAlignment="1">
      <alignment horizontal="center"/>
    </xf>
    <xf numFmtId="0" fontId="48" fillId="11" borderId="4" xfId="0" applyFont="1" applyFill="1" applyBorder="1" applyAlignment="1">
      <alignment horizontal="center"/>
    </xf>
    <xf numFmtId="0" fontId="3" fillId="0" borderId="1" xfId="0" applyFont="1" applyBorder="1" applyAlignment="1">
      <alignment horizontal="center"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9" xfId="0" applyFont="1" applyBorder="1" applyAlignment="1">
      <alignment horizontal="left" wrapText="1"/>
    </xf>
    <xf numFmtId="0" fontId="40" fillId="0" borderId="13" xfId="0" applyFont="1" applyBorder="1" applyAlignment="1">
      <alignment horizontal="right"/>
    </xf>
    <xf numFmtId="0" fontId="40" fillId="0" borderId="0" xfId="0" applyFont="1" applyAlignment="1">
      <alignment horizontal="right"/>
    </xf>
    <xf numFmtId="2" fontId="3" fillId="0" borderId="7" xfId="0" applyNumberFormat="1" applyFont="1" applyBorder="1" applyAlignment="1" applyProtection="1">
      <alignment horizontal="center" vertical="center"/>
      <protection hidden="1"/>
    </xf>
    <xf numFmtId="2" fontId="3" fillId="0" borderId="8" xfId="0" applyNumberFormat="1" applyFont="1" applyBorder="1" applyAlignment="1" applyProtection="1">
      <alignment horizontal="center" vertical="center"/>
      <protection hidden="1"/>
    </xf>
    <xf numFmtId="2" fontId="3" fillId="0" borderId="9" xfId="0" applyNumberFormat="1" applyFont="1" applyBorder="1" applyAlignment="1" applyProtection="1">
      <alignment horizontal="center" vertical="center"/>
      <protection hidden="1"/>
    </xf>
    <xf numFmtId="2" fontId="3" fillId="0" borderId="12" xfId="0" applyNumberFormat="1" applyFon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2" fontId="3" fillId="0" borderId="11" xfId="0" applyNumberFormat="1" applyFont="1" applyBorder="1" applyAlignment="1" applyProtection="1">
      <alignment horizontal="center" vertical="center"/>
      <protection hidden="1"/>
    </xf>
    <xf numFmtId="0" fontId="3" fillId="0" borderId="7" xfId="0" applyFont="1" applyBorder="1" applyAlignment="1">
      <alignment horizontal="center"/>
    </xf>
    <xf numFmtId="0" fontId="3" fillId="0" borderId="9" xfId="0" applyFont="1" applyBorder="1" applyAlignment="1">
      <alignment horizontal="center"/>
    </xf>
    <xf numFmtId="0" fontId="3" fillId="0" borderId="0" xfId="0" applyFont="1" applyAlignment="1">
      <alignment horizontal="left" vertical="center"/>
    </xf>
    <xf numFmtId="0" fontId="3" fillId="0" borderId="10" xfId="0" applyFont="1" applyBorder="1" applyAlignment="1">
      <alignment horizontal="left" vertical="center"/>
    </xf>
    <xf numFmtId="0" fontId="3" fillId="0" borderId="8" xfId="0" applyFont="1" applyBorder="1" applyAlignment="1">
      <alignment horizontal="center"/>
    </xf>
    <xf numFmtId="0" fontId="40" fillId="0" borderId="10" xfId="0" applyFont="1" applyBorder="1" applyAlignment="1">
      <alignment horizontal="right"/>
    </xf>
    <xf numFmtId="0" fontId="3" fillId="0" borderId="1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0" xfId="0" applyFont="1" applyAlignment="1">
      <alignment horizontal="center" vertical="center" wrapText="1"/>
    </xf>
    <xf numFmtId="0" fontId="3" fillId="2" borderId="13" xfId="0" applyFont="1" applyFill="1" applyBorder="1" applyAlignment="1">
      <alignment horizontal="center" vertical="center"/>
    </xf>
    <xf numFmtId="0" fontId="3" fillId="2" borderId="0" xfId="0" applyFont="1" applyFill="1" applyAlignment="1">
      <alignment horizontal="center" vertical="center"/>
    </xf>
    <xf numFmtId="0" fontId="3" fillId="2" borderId="10" xfId="0" applyFont="1" applyFill="1" applyBorder="1" applyAlignment="1">
      <alignment horizontal="center" vertical="center"/>
    </xf>
    <xf numFmtId="0" fontId="3" fillId="2" borderId="1" xfId="0" applyFont="1" applyFill="1" applyBorder="1" applyAlignment="1">
      <alignment horizontal="center" vertical="center"/>
    </xf>
    <xf numFmtId="0" fontId="3" fillId="0" borderId="12" xfId="0" applyFont="1" applyBorder="1" applyAlignment="1">
      <alignment horizontal="center" vertical="center"/>
    </xf>
    <xf numFmtId="0" fontId="3" fillId="0" borderId="2" xfId="0" applyFont="1" applyBorder="1" applyAlignment="1">
      <alignment horizontal="center" vertical="center"/>
    </xf>
    <xf numFmtId="0" fontId="3" fillId="0" borderId="11" xfId="0" applyFont="1" applyBorder="1" applyAlignment="1">
      <alignment horizontal="center" vertical="center"/>
    </xf>
    <xf numFmtId="0" fontId="3" fillId="0" borderId="13" xfId="0" applyFont="1" applyBorder="1" applyAlignment="1">
      <alignment horizontal="left"/>
    </xf>
    <xf numFmtId="0" fontId="3" fillId="0" borderId="0" xfId="0" applyFont="1" applyAlignment="1">
      <alignment horizontal="left"/>
    </xf>
    <xf numFmtId="0" fontId="3" fillId="0" borderId="10" xfId="0" applyFont="1" applyBorder="1" applyAlignment="1">
      <alignment horizontal="left"/>
    </xf>
    <xf numFmtId="0" fontId="4" fillId="0" borderId="112" xfId="0" applyFont="1" applyBorder="1" applyAlignment="1">
      <alignment horizontal="center"/>
    </xf>
    <xf numFmtId="0" fontId="4" fillId="0" borderId="113" xfId="0" applyFont="1" applyBorder="1" applyAlignment="1">
      <alignment horizontal="center"/>
    </xf>
    <xf numFmtId="0" fontId="4" fillId="0" borderId="114" xfId="0" applyFont="1" applyBorder="1" applyAlignment="1">
      <alignment horizontal="center"/>
    </xf>
    <xf numFmtId="2" fontId="4" fillId="0" borderId="109" xfId="0" applyNumberFormat="1" applyFont="1" applyBorder="1" applyAlignment="1">
      <alignment horizontal="right"/>
    </xf>
    <xf numFmtId="2" fontId="4" fillId="0" borderId="110" xfId="0" applyNumberFormat="1" applyFont="1" applyBorder="1" applyAlignment="1">
      <alignment horizontal="right"/>
    </xf>
    <xf numFmtId="0" fontId="3" fillId="0" borderId="0" xfId="0" applyFont="1" applyAlignment="1">
      <alignment horizontal="center" vertical="center"/>
    </xf>
    <xf numFmtId="0" fontId="3" fillId="0" borderId="13" xfId="0" applyFont="1" applyBorder="1" applyAlignment="1">
      <alignment horizontal="left" vertical="center" wrapText="1"/>
    </xf>
    <xf numFmtId="0" fontId="3" fillId="0" borderId="0" xfId="0" applyFont="1" applyAlignment="1">
      <alignment horizontal="left" vertical="center" wrapText="1"/>
    </xf>
    <xf numFmtId="0" fontId="3" fillId="0" borderId="10" xfId="0" applyFont="1" applyBorder="1" applyAlignment="1">
      <alignment horizontal="left" vertical="center" wrapText="1"/>
    </xf>
    <xf numFmtId="0" fontId="3" fillId="0" borderId="12" xfId="0" applyFont="1" applyBorder="1" applyAlignment="1">
      <alignment horizontal="left" vertical="center" wrapText="1"/>
    </xf>
    <xf numFmtId="0" fontId="3" fillId="0" borderId="2" xfId="0" applyFont="1" applyBorder="1" applyAlignment="1">
      <alignment horizontal="left" vertical="center" wrapText="1"/>
    </xf>
    <xf numFmtId="0" fontId="3" fillId="0" borderId="11" xfId="0" applyFont="1" applyBorder="1" applyAlignment="1">
      <alignment horizontal="left" vertical="center" wrapText="1"/>
    </xf>
    <xf numFmtId="0" fontId="3" fillId="0" borderId="3" xfId="0" applyFont="1" applyBorder="1" applyAlignment="1">
      <alignment horizontal="right"/>
    </xf>
    <xf numFmtId="0" fontId="3" fillId="0" borderId="5" xfId="0" applyFont="1" applyBorder="1" applyAlignment="1">
      <alignment horizontal="right"/>
    </xf>
    <xf numFmtId="0" fontId="3" fillId="0" borderId="1" xfId="0" applyFont="1" applyBorder="1" applyAlignment="1">
      <alignment horizontal="center" vertical="center" textRotation="255"/>
    </xf>
    <xf numFmtId="0" fontId="25" fillId="0" borderId="7" xfId="0" applyFont="1" applyBorder="1" applyAlignment="1">
      <alignment horizontal="center" vertical="center" wrapText="1"/>
    </xf>
    <xf numFmtId="0" fontId="25" fillId="0" borderId="8" xfId="0" applyFont="1" applyBorder="1" applyAlignment="1">
      <alignment horizontal="center" vertical="center" wrapText="1"/>
    </xf>
    <xf numFmtId="0" fontId="25" fillId="0" borderId="9"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11" xfId="0" applyFont="1" applyBorder="1" applyAlignment="1">
      <alignment horizontal="center" vertical="center" wrapText="1"/>
    </xf>
    <xf numFmtId="0" fontId="3" fillId="0" borderId="0" xfId="0" applyFont="1" applyAlignment="1">
      <alignment horizontal="right"/>
    </xf>
    <xf numFmtId="0" fontId="3" fillId="0" borderId="10" xfId="0" applyFont="1" applyBorder="1" applyAlignment="1">
      <alignment horizontal="right"/>
    </xf>
    <xf numFmtId="0" fontId="3" fillId="0" borderId="5" xfId="0" applyFont="1" applyBorder="1" applyAlignment="1">
      <alignment horizontal="left" vertical="center" wrapText="1"/>
    </xf>
    <xf numFmtId="0" fontId="3" fillId="0" borderId="4" xfId="0" applyFont="1" applyBorder="1" applyAlignment="1">
      <alignment horizontal="left" vertical="center" wrapText="1"/>
    </xf>
    <xf numFmtId="0" fontId="3" fillId="0" borderId="25" xfId="0" applyFont="1" applyBorder="1" applyAlignment="1">
      <alignment horizontal="left" vertical="center" wrapText="1"/>
    </xf>
    <xf numFmtId="0" fontId="3" fillId="0" borderId="78" xfId="0" applyFont="1" applyBorder="1" applyAlignment="1">
      <alignment horizontal="left" vertical="center" wrapText="1"/>
    </xf>
    <xf numFmtId="165" fontId="3" fillId="0" borderId="3" xfId="5" applyFont="1" applyBorder="1" applyAlignment="1" applyProtection="1">
      <alignment horizontal="center"/>
    </xf>
    <xf numFmtId="165" fontId="3" fillId="0" borderId="4" xfId="5" applyFont="1" applyBorder="1" applyAlignment="1" applyProtection="1">
      <alignment horizontal="center"/>
    </xf>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14" xfId="0" applyFont="1" applyBorder="1" applyAlignment="1">
      <alignment horizontal="right"/>
    </xf>
    <xf numFmtId="2" fontId="3" fillId="0" borderId="28" xfId="0" applyNumberFormat="1" applyFont="1" applyBorder="1" applyAlignment="1">
      <alignment horizontal="right" vertical="center"/>
    </xf>
    <xf numFmtId="0" fontId="0" fillId="0" borderId="0" xfId="0" applyAlignment="1">
      <alignment horizontal="center" wrapText="1"/>
    </xf>
    <xf numFmtId="0" fontId="80" fillId="0" borderId="7" xfId="0" applyFont="1" applyBorder="1" applyAlignment="1">
      <alignment horizontal="left" vertical="center" wrapText="1"/>
    </xf>
    <xf numFmtId="0" fontId="80" fillId="0" borderId="8" xfId="0" applyFont="1" applyBorder="1" applyAlignment="1">
      <alignment horizontal="left" vertical="center" wrapText="1"/>
    </xf>
    <xf numFmtId="0" fontId="80" fillId="0" borderId="9" xfId="0" applyFont="1" applyBorder="1" applyAlignment="1">
      <alignment horizontal="left" vertical="center" wrapText="1"/>
    </xf>
    <xf numFmtId="0" fontId="80" fillId="0" borderId="13" xfId="0" applyFont="1" applyBorder="1" applyAlignment="1">
      <alignment horizontal="left" vertical="center" wrapText="1"/>
    </xf>
    <xf numFmtId="0" fontId="80" fillId="0" borderId="0" xfId="0" applyFont="1" applyAlignment="1">
      <alignment horizontal="left" vertical="center" wrapText="1"/>
    </xf>
    <xf numFmtId="0" fontId="80" fillId="0" borderId="10" xfId="0" applyFont="1" applyBorder="1" applyAlignment="1">
      <alignment horizontal="left" vertical="center" wrapText="1"/>
    </xf>
    <xf numFmtId="0" fontId="80" fillId="0" borderId="12" xfId="0" applyFont="1" applyBorder="1" applyAlignment="1">
      <alignment horizontal="left" vertical="center" wrapText="1"/>
    </xf>
    <xf numFmtId="0" fontId="80" fillId="0" borderId="2" xfId="0" applyFont="1" applyBorder="1" applyAlignment="1">
      <alignment horizontal="left" vertical="center" wrapText="1"/>
    </xf>
    <xf numFmtId="0" fontId="80" fillId="0" borderId="11" xfId="0" applyFont="1" applyBorder="1" applyAlignment="1">
      <alignment horizontal="left" vertical="center" wrapText="1"/>
    </xf>
    <xf numFmtId="4" fontId="0" fillId="0" borderId="3" xfId="0" applyNumberFormat="1" applyBorder="1" applyAlignment="1">
      <alignment horizontal="center"/>
    </xf>
    <xf numFmtId="4" fontId="0" fillId="0" borderId="5" xfId="0" applyNumberFormat="1" applyBorder="1" applyAlignment="1">
      <alignment horizontal="center"/>
    </xf>
    <xf numFmtId="4" fontId="10" fillId="0" borderId="1" xfId="0" applyNumberFormat="1" applyFont="1" applyBorder="1" applyAlignment="1">
      <alignment horizontal="center"/>
    </xf>
    <xf numFmtId="4" fontId="10" fillId="0" borderId="3" xfId="0" applyNumberFormat="1" applyFont="1" applyBorder="1" applyAlignment="1">
      <alignment horizontal="right"/>
    </xf>
    <xf numFmtId="4" fontId="10" fillId="0" borderId="4" xfId="0" applyNumberFormat="1" applyFont="1" applyBorder="1" applyAlignment="1">
      <alignment horizontal="right"/>
    </xf>
    <xf numFmtId="0" fontId="3" fillId="0" borderId="12" xfId="0" applyFont="1" applyBorder="1" applyAlignment="1">
      <alignment horizontal="left" wrapText="1"/>
    </xf>
    <xf numFmtId="0" fontId="3" fillId="0" borderId="2" xfId="0" applyFont="1" applyBorder="1" applyAlignment="1">
      <alignment horizontal="left" wrapText="1"/>
    </xf>
    <xf numFmtId="0" fontId="3" fillId="0" borderId="11" xfId="0" applyFont="1" applyBorder="1" applyAlignment="1">
      <alignment horizontal="left" wrapText="1"/>
    </xf>
    <xf numFmtId="0" fontId="80" fillId="0" borderId="0" xfId="0" applyFont="1" applyAlignment="1">
      <alignment horizontal="center" vertical="center"/>
    </xf>
    <xf numFmtId="0" fontId="3" fillId="0" borderId="8" xfId="0" applyFont="1" applyBorder="1" applyAlignment="1">
      <alignment horizontal="right"/>
    </xf>
    <xf numFmtId="0" fontId="3" fillId="0" borderId="9" xfId="0" applyFont="1" applyBorder="1" applyAlignment="1">
      <alignment horizontal="right"/>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3" xfId="0" applyBorder="1" applyAlignment="1">
      <alignment horizontal="center"/>
    </xf>
    <xf numFmtId="0" fontId="0" fillId="0" borderId="0" xfId="0"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2" xfId="0" applyBorder="1" applyAlignment="1">
      <alignment horizontal="center"/>
    </xf>
    <xf numFmtId="0" fontId="0" fillId="0" borderId="11" xfId="0" applyBorder="1" applyAlignment="1">
      <alignment horizontal="center"/>
    </xf>
    <xf numFmtId="0" fontId="0" fillId="0" borderId="5" xfId="0" applyBorder="1" applyAlignment="1">
      <alignment horizontal="center"/>
    </xf>
    <xf numFmtId="179" fontId="0" fillId="0" borderId="5" xfId="0" applyNumberFormat="1" applyBorder="1" applyAlignment="1">
      <alignment horizontal="center"/>
    </xf>
    <xf numFmtId="179" fontId="0" fillId="0" borderId="4" xfId="0" applyNumberFormat="1" applyBorder="1" applyAlignment="1">
      <alignment horizontal="center"/>
    </xf>
    <xf numFmtId="0" fontId="0" fillId="0" borderId="4" xfId="0" applyBorder="1" applyAlignment="1">
      <alignment horizontal="center"/>
    </xf>
    <xf numFmtId="0" fontId="15" fillId="0" borderId="7" xfId="0"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15" fillId="0" borderId="2" xfId="0" applyFont="1" applyBorder="1" applyAlignment="1">
      <alignment horizontal="center" vertical="center"/>
    </xf>
    <xf numFmtId="0" fontId="15" fillId="0" borderId="11" xfId="0" applyFont="1" applyBorder="1" applyAlignment="1">
      <alignment horizontal="center" vertical="center"/>
    </xf>
    <xf numFmtId="44" fontId="76" fillId="0" borderId="3" xfId="6" applyNumberFormat="1" applyFont="1" applyBorder="1" applyAlignment="1">
      <alignment horizontal="center"/>
    </xf>
    <xf numFmtId="44" fontId="76" fillId="0" borderId="5" xfId="6" applyNumberFormat="1" applyFont="1" applyBorder="1" applyAlignment="1">
      <alignment horizontal="center"/>
    </xf>
    <xf numFmtId="0" fontId="44" fillId="0" borderId="3" xfId="6" applyFont="1" applyBorder="1" applyAlignment="1">
      <alignment horizontal="center"/>
    </xf>
    <xf numFmtId="0" fontId="44" fillId="0" borderId="4" xfId="6" applyFont="1" applyBorder="1" applyAlignment="1">
      <alignment horizontal="center"/>
    </xf>
    <xf numFmtId="0" fontId="44" fillId="0" borderId="3" xfId="6" applyFont="1" applyBorder="1" applyAlignment="1">
      <alignment horizontal="right"/>
    </xf>
    <xf numFmtId="0" fontId="44" fillId="0" borderId="5" xfId="6" applyFont="1" applyBorder="1" applyAlignment="1">
      <alignment horizontal="right"/>
    </xf>
    <xf numFmtId="0" fontId="44" fillId="0" borderId="4" xfId="6" applyFont="1" applyBorder="1" applyAlignment="1">
      <alignment horizontal="right"/>
    </xf>
    <xf numFmtId="0" fontId="44" fillId="0" borderId="5" xfId="6" applyFont="1" applyBorder="1" applyAlignment="1">
      <alignment horizontal="center"/>
    </xf>
    <xf numFmtId="0" fontId="44" fillId="0" borderId="1" xfId="6" applyFont="1" applyBorder="1" applyAlignment="1">
      <alignment horizontal="center"/>
    </xf>
    <xf numFmtId="2" fontId="44" fillId="0" borderId="1" xfId="6" applyNumberFormat="1" applyFont="1" applyBorder="1" applyAlignment="1">
      <alignment horizontal="center"/>
    </xf>
    <xf numFmtId="0" fontId="44" fillId="0" borderId="16" xfId="6" applyFont="1" applyBorder="1" applyAlignment="1">
      <alignment horizontal="center"/>
    </xf>
    <xf numFmtId="0" fontId="44" fillId="0" borderId="14" xfId="6" applyFont="1" applyBorder="1" applyAlignment="1">
      <alignment horizontal="center"/>
    </xf>
    <xf numFmtId="2" fontId="44" fillId="8" borderId="3" xfId="6" applyNumberFormat="1" applyFont="1" applyFill="1" applyBorder="1" applyAlignment="1">
      <alignment horizontal="right"/>
    </xf>
    <xf numFmtId="2" fontId="44" fillId="8" borderId="4" xfId="6" applyNumberFormat="1" applyFont="1" applyFill="1" applyBorder="1" applyAlignment="1">
      <alignment horizontal="right"/>
    </xf>
    <xf numFmtId="0" fontId="2" fillId="0" borderId="106" xfId="6" applyBorder="1" applyAlignment="1">
      <alignment horizontal="center"/>
    </xf>
    <xf numFmtId="0" fontId="2" fillId="0" borderId="107" xfId="6" applyBorder="1" applyAlignment="1">
      <alignment horizontal="center"/>
    </xf>
    <xf numFmtId="0" fontId="2" fillId="0" borderId="108" xfId="6" applyBorder="1" applyAlignment="1">
      <alignment horizontal="center"/>
    </xf>
    <xf numFmtId="0" fontId="52" fillId="0" borderId="7" xfId="6" applyFont="1" applyBorder="1" applyAlignment="1">
      <alignment horizontal="center" vertical="center"/>
    </xf>
    <xf numFmtId="0" fontId="52" fillId="0" borderId="8" xfId="6" applyFont="1" applyBorder="1" applyAlignment="1">
      <alignment horizontal="center" vertical="center"/>
    </xf>
    <xf numFmtId="0" fontId="52" fillId="0" borderId="9" xfId="6" applyFont="1" applyBorder="1" applyAlignment="1">
      <alignment horizontal="center" vertical="center"/>
    </xf>
    <xf numFmtId="0" fontId="52" fillId="0" borderId="13" xfId="6" applyFont="1" applyBorder="1" applyAlignment="1">
      <alignment horizontal="center" vertical="center"/>
    </xf>
    <xf numFmtId="0" fontId="52" fillId="0" borderId="0" xfId="6" applyFont="1" applyAlignment="1">
      <alignment horizontal="center" vertical="center"/>
    </xf>
    <xf numFmtId="0" fontId="52" fillId="0" borderId="10" xfId="6" applyFont="1" applyBorder="1" applyAlignment="1">
      <alignment horizontal="center" vertical="center"/>
    </xf>
    <xf numFmtId="0" fontId="52" fillId="0" borderId="12" xfId="6" applyFont="1" applyBorder="1" applyAlignment="1">
      <alignment horizontal="center" vertical="center"/>
    </xf>
    <xf numFmtId="0" fontId="52" fillId="0" borderId="2" xfId="6" applyFont="1" applyBorder="1" applyAlignment="1">
      <alignment horizontal="center" vertical="center"/>
    </xf>
    <xf numFmtId="0" fontId="52" fillId="0" borderId="11" xfId="6" applyFont="1" applyBorder="1" applyAlignment="1">
      <alignment horizontal="center" vertical="center"/>
    </xf>
    <xf numFmtId="0" fontId="44" fillId="0" borderId="1" xfId="6" applyFont="1" applyBorder="1" applyAlignment="1">
      <alignment horizontal="center" vertical="center"/>
    </xf>
    <xf numFmtId="0" fontId="4" fillId="5" borderId="3"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4" xfId="0" applyFont="1" applyFill="1" applyBorder="1" applyAlignment="1">
      <alignment horizontal="center" vertical="center"/>
    </xf>
    <xf numFmtId="0" fontId="0" fillId="0" borderId="7" xfId="0" applyBorder="1" applyAlignment="1">
      <alignment horizontal="center" wrapText="1"/>
    </xf>
    <xf numFmtId="0" fontId="0" fillId="0" borderId="9" xfId="0" applyBorder="1" applyAlignment="1">
      <alignment horizontal="center" wrapText="1"/>
    </xf>
    <xf numFmtId="0" fontId="0" fillId="0" borderId="12" xfId="0" applyBorder="1" applyAlignment="1">
      <alignment horizontal="center" wrapText="1"/>
    </xf>
    <xf numFmtId="0" fontId="0" fillId="0" borderId="11" xfId="0" applyBorder="1" applyAlignment="1">
      <alignment horizontal="center" wrapText="1"/>
    </xf>
    <xf numFmtId="0" fontId="0" fillId="0" borderId="34" xfId="0" applyBorder="1" applyAlignment="1">
      <alignment horizontal="center" vertical="center"/>
    </xf>
    <xf numFmtId="0" fontId="0" fillId="0" borderId="28" xfId="0" applyBorder="1" applyAlignment="1">
      <alignment horizontal="center" vertical="center"/>
    </xf>
    <xf numFmtId="0" fontId="3" fillId="0" borderId="29" xfId="0" applyFont="1" applyBorder="1" applyAlignment="1">
      <alignment horizontal="center" vertical="center"/>
    </xf>
    <xf numFmtId="0" fontId="3" fillId="0" borderId="31" xfId="0" applyFont="1" applyBorder="1" applyAlignment="1">
      <alignment horizontal="center" vertical="center"/>
    </xf>
    <xf numFmtId="2" fontId="10" fillId="0" borderId="57" xfId="0" applyNumberFormat="1" applyFont="1" applyBorder="1" applyAlignment="1">
      <alignment horizontal="center" vertical="center" wrapText="1"/>
    </xf>
    <xf numFmtId="2" fontId="10" fillId="0" borderId="1" xfId="0" applyNumberFormat="1" applyFont="1" applyBorder="1" applyAlignment="1">
      <alignment horizontal="center" vertical="center" wrapText="1"/>
    </xf>
    <xf numFmtId="2" fontId="10" fillId="0" borderId="30" xfId="0" applyNumberFormat="1" applyFont="1" applyBorder="1" applyAlignment="1">
      <alignment horizontal="center" vertical="center" wrapText="1"/>
    </xf>
    <xf numFmtId="2" fontId="10" fillId="0" borderId="32" xfId="0" applyNumberFormat="1" applyFont="1" applyBorder="1" applyAlignment="1">
      <alignment horizontal="center" vertical="center" wrapText="1"/>
    </xf>
    <xf numFmtId="2" fontId="40" fillId="0" borderId="3" xfId="0" applyNumberFormat="1" applyFont="1" applyBorder="1" applyAlignment="1">
      <alignment horizontal="center" vertical="center"/>
    </xf>
    <xf numFmtId="2" fontId="40" fillId="0" borderId="5" xfId="0" applyNumberFormat="1" applyFont="1" applyBorder="1" applyAlignment="1">
      <alignment horizontal="center" vertical="center"/>
    </xf>
    <xf numFmtId="2" fontId="40" fillId="0" borderId="4" xfId="0" applyNumberFormat="1" applyFont="1" applyBorder="1" applyAlignment="1">
      <alignment horizontal="center" vertical="center"/>
    </xf>
    <xf numFmtId="4" fontId="3" fillId="17" borderId="5" xfId="5" applyNumberFormat="1" applyFont="1" applyFill="1" applyBorder="1" applyAlignment="1">
      <alignment horizontal="center"/>
    </xf>
    <xf numFmtId="4" fontId="3" fillId="17" borderId="4" xfId="5" applyNumberFormat="1" applyFont="1" applyFill="1" applyBorder="1" applyAlignment="1">
      <alignment horizontal="center"/>
    </xf>
    <xf numFmtId="2" fontId="0" fillId="3" borderId="1" xfId="0" applyNumberFormat="1" applyFill="1" applyBorder="1" applyAlignment="1">
      <alignment horizontal="center" vertical="center"/>
    </xf>
    <xf numFmtId="2" fontId="0" fillId="3" borderId="3" xfId="0" applyNumberFormat="1" applyFill="1" applyBorder="1" applyAlignment="1">
      <alignment horizontal="center" vertical="center"/>
    </xf>
    <xf numFmtId="2" fontId="0" fillId="3" borderId="5" xfId="0" applyNumberFormat="1" applyFill="1" applyBorder="1" applyAlignment="1">
      <alignment horizontal="center" vertical="center"/>
    </xf>
    <xf numFmtId="2" fontId="0" fillId="3" borderId="4" xfId="0" applyNumberFormat="1" applyFill="1" applyBorder="1" applyAlignment="1">
      <alignment horizontal="center" vertical="center"/>
    </xf>
    <xf numFmtId="2" fontId="3" fillId="0" borderId="8" xfId="0" applyNumberFormat="1" applyFont="1" applyBorder="1" applyAlignment="1">
      <alignment horizontal="center" vertical="center"/>
    </xf>
    <xf numFmtId="2" fontId="0" fillId="0" borderId="8" xfId="0" applyNumberFormat="1" applyBorder="1" applyAlignment="1">
      <alignment horizontal="center" vertical="center"/>
    </xf>
    <xf numFmtId="2" fontId="0" fillId="0" borderId="9" xfId="0" applyNumberFormat="1" applyBorder="1" applyAlignment="1">
      <alignment horizontal="center" vertical="center"/>
    </xf>
    <xf numFmtId="0" fontId="3" fillId="2" borderId="3"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4" xfId="0" applyFont="1" applyFill="1" applyBorder="1" applyAlignment="1">
      <alignment horizontal="center" vertical="center"/>
    </xf>
    <xf numFmtId="2" fontId="0" fillId="0" borderId="1" xfId="0" applyNumberFormat="1" applyBorder="1" applyAlignment="1">
      <alignment horizontal="center" vertical="center"/>
    </xf>
    <xf numFmtId="2" fontId="40" fillId="4" borderId="3" xfId="0" applyNumberFormat="1" applyFont="1" applyFill="1" applyBorder="1" applyAlignment="1">
      <alignment horizontal="center" vertical="center"/>
    </xf>
    <xf numFmtId="2" fontId="40" fillId="4" borderId="5" xfId="0" applyNumberFormat="1" applyFont="1" applyFill="1" applyBorder="1" applyAlignment="1">
      <alignment horizontal="center" vertical="center"/>
    </xf>
    <xf numFmtId="2" fontId="40" fillId="4" borderId="4" xfId="0" applyNumberFormat="1" applyFont="1" applyFill="1" applyBorder="1" applyAlignment="1">
      <alignment horizontal="center" vertical="center"/>
    </xf>
    <xf numFmtId="2" fontId="3" fillId="4" borderId="3" xfId="0" applyNumberFormat="1" applyFont="1" applyFill="1" applyBorder="1" applyAlignment="1">
      <alignment horizontal="center" vertical="center"/>
    </xf>
    <xf numFmtId="2" fontId="3" fillId="4" borderId="5" xfId="0" applyNumberFormat="1" applyFont="1" applyFill="1" applyBorder="1" applyAlignment="1">
      <alignment horizontal="center" vertical="center"/>
    </xf>
    <xf numFmtId="2" fontId="3" fillId="4" borderId="4" xfId="0" applyNumberFormat="1" applyFont="1" applyFill="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2" fontId="0" fillId="0" borderId="4" xfId="0" applyNumberFormat="1" applyBorder="1" applyAlignment="1">
      <alignment horizontal="center" vertical="center"/>
    </xf>
    <xf numFmtId="2" fontId="3" fillId="0" borderId="9" xfId="0" applyNumberFormat="1" applyFont="1" applyBorder="1" applyAlignment="1">
      <alignment horizontal="center" vertical="center"/>
    </xf>
    <xf numFmtId="2" fontId="40" fillId="0" borderId="7" xfId="0" applyNumberFormat="1" applyFont="1" applyBorder="1" applyAlignment="1">
      <alignment horizontal="center" vertical="center"/>
    </xf>
    <xf numFmtId="2" fontId="40" fillId="0" borderId="8" xfId="0" applyNumberFormat="1" applyFont="1" applyBorder="1" applyAlignment="1">
      <alignment horizontal="center" vertical="center"/>
    </xf>
    <xf numFmtId="2" fontId="40" fillId="0" borderId="9" xfId="0" applyNumberFormat="1" applyFont="1" applyBorder="1" applyAlignment="1">
      <alignment horizontal="center" vertical="center"/>
    </xf>
    <xf numFmtId="2" fontId="40" fillId="0" borderId="12" xfId="0" applyNumberFormat="1" applyFont="1" applyBorder="1" applyAlignment="1">
      <alignment horizontal="center" vertical="center"/>
    </xf>
    <xf numFmtId="2" fontId="40" fillId="0" borderId="2" xfId="0" applyNumberFormat="1" applyFont="1" applyBorder="1" applyAlignment="1">
      <alignment horizontal="center" vertical="center"/>
    </xf>
    <xf numFmtId="2" fontId="40" fillId="0" borderId="11" xfId="0" applyNumberFormat="1" applyFont="1" applyBorder="1" applyAlignment="1">
      <alignment horizontal="center" vertical="center"/>
    </xf>
    <xf numFmtId="2" fontId="3" fillId="4" borderId="3" xfId="0" applyNumberFormat="1" applyFont="1" applyFill="1" applyBorder="1" applyAlignment="1">
      <alignment horizontal="left" vertical="center"/>
    </xf>
    <xf numFmtId="2" fontId="3" fillId="4" borderId="4" xfId="0" applyNumberFormat="1" applyFont="1" applyFill="1" applyBorder="1" applyAlignment="1">
      <alignment horizontal="left" vertical="center"/>
    </xf>
    <xf numFmtId="0" fontId="3" fillId="0" borderId="64" xfId="0" applyFont="1" applyBorder="1" applyAlignment="1">
      <alignment horizontal="center" vertical="center"/>
    </xf>
    <xf numFmtId="0" fontId="3" fillId="0" borderId="65" xfId="0" applyFont="1" applyBorder="1" applyAlignment="1">
      <alignment horizontal="center" vertical="center"/>
    </xf>
    <xf numFmtId="0" fontId="10" fillId="0" borderId="88" xfId="0" applyFont="1" applyBorder="1" applyAlignment="1">
      <alignment horizontal="left" vertical="center"/>
    </xf>
    <xf numFmtId="0" fontId="10" fillId="0" borderId="4" xfId="0" applyFont="1" applyBorder="1" applyAlignment="1">
      <alignment horizontal="left" vertical="center"/>
    </xf>
    <xf numFmtId="2" fontId="10" fillId="0" borderId="90" xfId="0" applyNumberFormat="1" applyFont="1" applyBorder="1" applyAlignment="1">
      <alignment horizontal="center" vertical="center"/>
    </xf>
    <xf numFmtId="2" fontId="10" fillId="0" borderId="91" xfId="0" applyNumberFormat="1" applyFont="1" applyBorder="1" applyAlignment="1">
      <alignment horizontal="center" vertical="center"/>
    </xf>
    <xf numFmtId="165" fontId="40" fillId="0" borderId="6" xfId="5" applyFont="1" applyBorder="1" applyAlignment="1">
      <alignment horizontal="center" vertical="center"/>
    </xf>
    <xf numFmtId="165" fontId="40" fillId="0" borderId="28" xfId="5" applyFont="1" applyBorder="1" applyAlignment="1">
      <alignment horizontal="center" vertical="center"/>
    </xf>
    <xf numFmtId="2" fontId="40" fillId="0" borderId="1" xfId="0" applyNumberFormat="1" applyFont="1" applyBorder="1" applyAlignment="1">
      <alignment horizontal="center" vertical="center"/>
    </xf>
    <xf numFmtId="0" fontId="3" fillId="0" borderId="19" xfId="0" applyFont="1" applyBorder="1" applyAlignment="1">
      <alignment horizontal="center" vertical="center" wrapText="1"/>
    </xf>
    <xf numFmtId="0" fontId="3" fillId="0" borderId="87" xfId="0" applyFont="1" applyBorder="1" applyAlignment="1">
      <alignment horizontal="center" vertical="center" wrapText="1"/>
    </xf>
    <xf numFmtId="0" fontId="10" fillId="0" borderId="89" xfId="0" applyFont="1" applyBorder="1" applyAlignment="1">
      <alignment horizontal="left" vertical="center"/>
    </xf>
    <xf numFmtId="0" fontId="10" fillId="0" borderId="62" xfId="0" applyFont="1" applyBorder="1" applyAlignment="1">
      <alignment horizontal="left" vertical="center"/>
    </xf>
    <xf numFmtId="165" fontId="3" fillId="13" borderId="6" xfId="5" applyFont="1" applyFill="1" applyBorder="1" applyAlignment="1">
      <alignment horizontal="center" vertical="center"/>
    </xf>
    <xf numFmtId="165" fontId="3" fillId="13" borderId="28" xfId="5" applyFont="1" applyFill="1" applyBorder="1" applyAlignment="1">
      <alignment horizontal="center" vertical="center"/>
    </xf>
    <xf numFmtId="0" fontId="40" fillId="0" borderId="7" xfId="0" applyFont="1" applyBorder="1" applyAlignment="1">
      <alignment horizontal="left" vertical="center"/>
    </xf>
    <xf numFmtId="0" fontId="40" fillId="0" borderId="9" xfId="0" applyFont="1" applyBorder="1" applyAlignment="1">
      <alignment horizontal="left" vertical="center"/>
    </xf>
    <xf numFmtId="0" fontId="40" fillId="0" borderId="12" xfId="0" applyFont="1" applyBorder="1" applyAlignment="1">
      <alignment horizontal="left" vertical="center"/>
    </xf>
    <xf numFmtId="0" fontId="40" fillId="0" borderId="11" xfId="0" applyFont="1" applyBorder="1" applyAlignment="1">
      <alignment horizontal="left" vertical="center"/>
    </xf>
    <xf numFmtId="0" fontId="47" fillId="0" borderId="2" xfId="0" applyFont="1" applyBorder="1" applyAlignment="1">
      <alignment horizontal="center" vertical="center"/>
    </xf>
    <xf numFmtId="0" fontId="47" fillId="0" borderId="11" xfId="0" applyFont="1" applyBorder="1" applyAlignment="1">
      <alignment horizontal="center" vertical="center"/>
    </xf>
    <xf numFmtId="0" fontId="4" fillId="4" borderId="3" xfId="0" applyFont="1" applyFill="1" applyBorder="1" applyAlignment="1">
      <alignment horizontal="left" vertical="center"/>
    </xf>
    <xf numFmtId="0" fontId="4" fillId="4" borderId="5" xfId="0" applyFont="1" applyFill="1" applyBorder="1" applyAlignment="1">
      <alignment horizontal="left" vertical="center"/>
    </xf>
    <xf numFmtId="0" fontId="4" fillId="4" borderId="4" xfId="0" applyFont="1" applyFill="1" applyBorder="1" applyAlignment="1">
      <alignment horizontal="left" vertical="center"/>
    </xf>
    <xf numFmtId="0" fontId="0" fillId="4" borderId="3" xfId="0" applyFill="1" applyBorder="1" applyAlignment="1">
      <alignment horizontal="center" vertical="center" wrapText="1"/>
    </xf>
    <xf numFmtId="0" fontId="0" fillId="4" borderId="5" xfId="0" applyFill="1" applyBorder="1" applyAlignment="1">
      <alignment horizontal="center" vertical="center" wrapText="1"/>
    </xf>
    <xf numFmtId="0" fontId="0" fillId="4" borderId="4" xfId="0" applyFill="1" applyBorder="1" applyAlignment="1">
      <alignment horizontal="center" vertical="center" wrapText="1"/>
    </xf>
    <xf numFmtId="0" fontId="3" fillId="4" borderId="7" xfId="0" applyFont="1" applyFill="1" applyBorder="1" applyAlignment="1">
      <alignment vertical="center" wrapText="1"/>
    </xf>
    <xf numFmtId="0" fontId="0" fillId="4" borderId="8" xfId="0" applyFill="1" applyBorder="1" applyAlignment="1">
      <alignment vertical="center" wrapText="1"/>
    </xf>
    <xf numFmtId="0" fontId="0" fillId="4" borderId="9" xfId="0" applyFill="1" applyBorder="1" applyAlignment="1">
      <alignment vertical="center" wrapText="1"/>
    </xf>
    <xf numFmtId="0" fontId="0" fillId="4" borderId="12" xfId="0" applyFill="1" applyBorder="1" applyAlignment="1">
      <alignment vertical="center" wrapText="1"/>
    </xf>
    <xf numFmtId="0" fontId="0" fillId="4" borderId="2" xfId="0" applyFill="1" applyBorder="1" applyAlignment="1">
      <alignment vertical="center" wrapText="1"/>
    </xf>
    <xf numFmtId="0" fontId="0" fillId="4" borderId="11" xfId="0" applyFill="1" applyBorder="1" applyAlignment="1">
      <alignment vertical="center" wrapText="1"/>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165" fontId="3" fillId="0" borderId="3" xfId="5" applyFont="1" applyBorder="1" applyAlignment="1">
      <alignment horizontal="center" vertical="center"/>
    </xf>
    <xf numFmtId="165" fontId="3" fillId="0" borderId="4" xfId="5" applyFont="1" applyBorder="1" applyAlignment="1">
      <alignment horizontal="center" vertical="center"/>
    </xf>
    <xf numFmtId="165" fontId="3" fillId="0" borderId="3" xfId="5" applyFont="1" applyBorder="1" applyAlignment="1">
      <alignment horizontal="right" vertical="center"/>
    </xf>
    <xf numFmtId="165" fontId="3" fillId="0" borderId="4" xfId="5" applyFont="1" applyBorder="1" applyAlignment="1">
      <alignment horizontal="right" vertical="center"/>
    </xf>
    <xf numFmtId="165" fontId="3" fillId="0" borderId="3" xfId="5" applyFont="1" applyBorder="1" applyAlignment="1">
      <alignment vertical="center"/>
    </xf>
    <xf numFmtId="165" fontId="3" fillId="0" borderId="4" xfId="5" applyFont="1" applyBorder="1" applyAlignment="1">
      <alignment vertical="center"/>
    </xf>
    <xf numFmtId="165" fontId="40" fillId="0" borderId="6" xfId="5" applyFont="1" applyBorder="1" applyAlignment="1" applyProtection="1">
      <alignment horizontal="center" vertical="center"/>
    </xf>
    <xf numFmtId="165" fontId="40" fillId="0" borderId="28" xfId="5" applyFont="1" applyBorder="1" applyAlignment="1" applyProtection="1">
      <alignment horizontal="center" vertical="center"/>
    </xf>
    <xf numFmtId="2" fontId="65" fillId="0" borderId="12" xfId="0" applyNumberFormat="1" applyFont="1" applyBorder="1" applyAlignment="1">
      <alignment horizontal="center" vertical="center" wrapText="1"/>
    </xf>
    <xf numFmtId="2" fontId="65" fillId="0" borderId="11" xfId="0" applyNumberFormat="1" applyFont="1" applyBorder="1" applyAlignment="1">
      <alignment horizontal="center" vertical="center" wrapText="1"/>
    </xf>
    <xf numFmtId="2" fontId="0" fillId="4" borderId="3" xfId="0" applyNumberFormat="1" applyFill="1" applyBorder="1" applyAlignment="1">
      <alignment horizontal="center" vertical="center"/>
    </xf>
    <xf numFmtId="2" fontId="0" fillId="4" borderId="5" xfId="0" applyNumberFormat="1" applyFill="1" applyBorder="1" applyAlignment="1">
      <alignment horizontal="center" vertical="center"/>
    </xf>
    <xf numFmtId="2" fontId="0" fillId="4" borderId="4" xfId="0" applyNumberFormat="1" applyFill="1" applyBorder="1" applyAlignment="1">
      <alignment horizontal="center" vertical="center"/>
    </xf>
    <xf numFmtId="2" fontId="3" fillId="4" borderId="7" xfId="5" applyNumberFormat="1" applyFont="1" applyFill="1" applyBorder="1" applyAlignment="1">
      <alignment horizontal="center" vertical="center"/>
    </xf>
    <xf numFmtId="2" fontId="3" fillId="4" borderId="8" xfId="5" applyNumberFormat="1" applyFont="1" applyFill="1" applyBorder="1" applyAlignment="1">
      <alignment horizontal="center" vertical="center"/>
    </xf>
    <xf numFmtId="2" fontId="3" fillId="4" borderId="9" xfId="5" applyNumberFormat="1" applyFont="1" applyFill="1" applyBorder="1" applyAlignment="1">
      <alignment horizontal="center" vertical="center"/>
    </xf>
    <xf numFmtId="2" fontId="3" fillId="4" borderId="12" xfId="5" applyNumberFormat="1" applyFont="1" applyFill="1" applyBorder="1" applyAlignment="1">
      <alignment horizontal="center" vertical="center"/>
    </xf>
    <xf numFmtId="2" fontId="3" fillId="4" borderId="2" xfId="5" applyNumberFormat="1" applyFont="1" applyFill="1" applyBorder="1" applyAlignment="1">
      <alignment horizontal="center" vertical="center"/>
    </xf>
    <xf numFmtId="2" fontId="3" fillId="4" borderId="11" xfId="5" applyNumberFormat="1" applyFont="1" applyFill="1" applyBorder="1" applyAlignment="1">
      <alignment horizontal="center" vertical="center"/>
    </xf>
    <xf numFmtId="0" fontId="47" fillId="0" borderId="7" xfId="0" applyFont="1" applyBorder="1" applyAlignment="1">
      <alignment horizontal="center" vertical="center"/>
    </xf>
    <xf numFmtId="0" fontId="47" fillId="0" borderId="8" xfId="0" applyFont="1" applyBorder="1" applyAlignment="1">
      <alignment horizontal="center" vertical="center"/>
    </xf>
    <xf numFmtId="0" fontId="47" fillId="0" borderId="9" xfId="0" applyFont="1" applyBorder="1" applyAlignment="1">
      <alignment horizontal="center" vertical="center"/>
    </xf>
    <xf numFmtId="0" fontId="47" fillId="0" borderId="13" xfId="0" applyFont="1" applyBorder="1" applyAlignment="1">
      <alignment horizontal="center" vertical="center"/>
    </xf>
    <xf numFmtId="0" fontId="47" fillId="0" borderId="0" xfId="0" applyFont="1" applyAlignment="1">
      <alignment horizontal="center" vertical="center"/>
    </xf>
    <xf numFmtId="0" fontId="47" fillId="0" borderId="10" xfId="0" applyFont="1" applyBorder="1" applyAlignment="1">
      <alignment horizontal="center" vertical="center"/>
    </xf>
    <xf numFmtId="0" fontId="47" fillId="0" borderId="12" xfId="0" applyFont="1" applyBorder="1" applyAlignment="1">
      <alignment horizontal="center" vertical="center"/>
    </xf>
    <xf numFmtId="2" fontId="40" fillId="0" borderId="7" xfId="0" applyNumberFormat="1" applyFont="1" applyBorder="1" applyAlignment="1">
      <alignment horizontal="left" vertical="center"/>
    </xf>
    <xf numFmtId="2" fontId="40" fillId="0" borderId="9" xfId="0" applyNumberFormat="1" applyFont="1" applyBorder="1" applyAlignment="1">
      <alignment horizontal="left" vertical="center"/>
    </xf>
    <xf numFmtId="2" fontId="40" fillId="0" borderId="12" xfId="0" applyNumberFormat="1" applyFont="1" applyBorder="1" applyAlignment="1">
      <alignment horizontal="left" vertical="center"/>
    </xf>
    <xf numFmtId="2" fontId="40" fillId="0" borderId="11" xfId="0" applyNumberFormat="1" applyFont="1" applyBorder="1" applyAlignment="1">
      <alignment horizontal="left" vertical="center"/>
    </xf>
    <xf numFmtId="2" fontId="65" fillId="0" borderId="7" xfId="0" applyNumberFormat="1" applyFont="1" applyBorder="1" applyAlignment="1">
      <alignment horizontal="center" vertical="center"/>
    </xf>
    <xf numFmtId="2" fontId="65" fillId="0" borderId="9" xfId="0" applyNumberFormat="1" applyFont="1" applyBorder="1" applyAlignment="1">
      <alignment horizontal="center" vertical="center"/>
    </xf>
    <xf numFmtId="165" fontId="40" fillId="0" borderId="12" xfId="5" applyFont="1" applyBorder="1" applyAlignment="1">
      <alignment horizontal="center" vertical="center"/>
    </xf>
    <xf numFmtId="165" fontId="40" fillId="0" borderId="2" xfId="5" applyFont="1" applyBorder="1" applyAlignment="1">
      <alignment horizontal="center" vertical="center"/>
    </xf>
    <xf numFmtId="0" fontId="40" fillId="0" borderId="2" xfId="0" applyFont="1" applyBorder="1" applyAlignment="1">
      <alignment horizontal="center" vertical="center"/>
    </xf>
    <xf numFmtId="0" fontId="40" fillId="0" borderId="11" xfId="0" applyFont="1" applyBorder="1" applyAlignment="1">
      <alignment horizontal="center" vertical="center"/>
    </xf>
    <xf numFmtId="0" fontId="40" fillId="0" borderId="41" xfId="0" applyFont="1" applyBorder="1" applyAlignment="1">
      <alignment horizontal="left" vertical="center"/>
    </xf>
    <xf numFmtId="0" fontId="40" fillId="0" borderId="43" xfId="0" applyFont="1" applyBorder="1" applyAlignment="1">
      <alignment horizontal="left"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2" xfId="0" applyBorder="1" applyAlignment="1">
      <alignment horizontal="center" vertical="center"/>
    </xf>
    <xf numFmtId="0" fontId="0" fillId="0" borderId="11" xfId="0"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5" fillId="0" borderId="4" xfId="0" applyFont="1" applyBorder="1" applyAlignment="1">
      <alignment horizontal="center" vertical="center"/>
    </xf>
    <xf numFmtId="4" fontId="3" fillId="4" borderId="3" xfId="5" applyNumberFormat="1" applyFill="1" applyBorder="1" applyAlignment="1" applyProtection="1">
      <alignment horizontal="left" vertical="center" wrapText="1"/>
    </xf>
    <xf numFmtId="4" fontId="3" fillId="4" borderId="5" xfId="5" applyNumberFormat="1" applyFill="1" applyBorder="1" applyAlignment="1" applyProtection="1">
      <alignment horizontal="left" vertical="center" wrapText="1"/>
    </xf>
    <xf numFmtId="4" fontId="3" fillId="4" borderId="4" xfId="5" applyNumberFormat="1" applyFill="1" applyBorder="1" applyAlignment="1" applyProtection="1">
      <alignment horizontal="left" vertical="center" wrapText="1"/>
    </xf>
    <xf numFmtId="2" fontId="40" fillId="4" borderId="3" xfId="0" applyNumberFormat="1" applyFont="1" applyFill="1" applyBorder="1" applyAlignment="1">
      <alignment horizontal="left" vertical="center"/>
    </xf>
    <xf numFmtId="2" fontId="40" fillId="4" borderId="4" xfId="0" applyNumberFormat="1" applyFont="1" applyFill="1" applyBorder="1" applyAlignment="1">
      <alignment horizontal="left" vertical="center"/>
    </xf>
    <xf numFmtId="0" fontId="3" fillId="4" borderId="1" xfId="5" applyNumberFormat="1" applyFill="1" applyBorder="1" applyAlignment="1" applyProtection="1">
      <alignment horizontal="center" vertical="center"/>
    </xf>
    <xf numFmtId="0" fontId="3" fillId="4" borderId="1" xfId="5" applyNumberFormat="1" applyFill="1" applyBorder="1" applyAlignment="1">
      <alignment horizontal="center" vertical="center"/>
    </xf>
    <xf numFmtId="165" fontId="3" fillId="0" borderId="5" xfId="5" applyFont="1" applyBorder="1" applyAlignment="1">
      <alignment horizontal="center" vertical="center"/>
    </xf>
    <xf numFmtId="165" fontId="3" fillId="2" borderId="6" xfId="5" applyFont="1" applyFill="1" applyBorder="1" applyAlignment="1">
      <alignment horizontal="center" vertical="center" wrapText="1"/>
    </xf>
    <xf numFmtId="165" fontId="3" fillId="2" borderId="28" xfId="5"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3" borderId="3" xfId="0" applyFont="1" applyFill="1" applyBorder="1" applyAlignment="1">
      <alignment horizontal="left" vertical="center"/>
    </xf>
    <xf numFmtId="0" fontId="0" fillId="3" borderId="4" xfId="0" applyFill="1" applyBorder="1" applyAlignment="1">
      <alignment horizontal="left" vertical="center"/>
    </xf>
    <xf numFmtId="0" fontId="3" fillId="3" borderId="4" xfId="0" applyFont="1" applyFill="1" applyBorder="1" applyAlignment="1">
      <alignment horizontal="left" vertical="center"/>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2" fontId="3" fillId="0" borderId="3" xfId="0" applyNumberFormat="1" applyFont="1" applyBorder="1" applyAlignment="1">
      <alignment horizontal="right" vertical="center"/>
    </xf>
    <xf numFmtId="2" fontId="3" fillId="0" borderId="5" xfId="0" applyNumberFormat="1" applyFont="1" applyBorder="1" applyAlignment="1">
      <alignment horizontal="right" vertical="center"/>
    </xf>
    <xf numFmtId="0" fontId="3" fillId="4" borderId="3" xfId="5" applyNumberFormat="1" applyFill="1" applyBorder="1" applyAlignment="1" applyProtection="1">
      <alignment horizontal="center" vertical="center"/>
    </xf>
    <xf numFmtId="0" fontId="3" fillId="4" borderId="4" xfId="5" applyNumberFormat="1" applyFill="1" applyBorder="1" applyAlignment="1" applyProtection="1">
      <alignment horizontal="center" vertical="center"/>
    </xf>
    <xf numFmtId="0" fontId="3" fillId="2" borderId="8"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0" fillId="0" borderId="5" xfId="0" applyFont="1" applyBorder="1" applyAlignment="1">
      <alignment horizontal="right" vertical="center"/>
    </xf>
    <xf numFmtId="0" fontId="40" fillId="0" borderId="4" xfId="0" applyFont="1" applyBorder="1" applyAlignment="1">
      <alignment horizontal="right" vertical="center"/>
    </xf>
    <xf numFmtId="2" fontId="0" fillId="4" borderId="1" xfId="0" applyNumberFormat="1" applyFill="1" applyBorder="1" applyAlignment="1">
      <alignment horizontal="center" vertical="center"/>
    </xf>
    <xf numFmtId="0" fontId="0" fillId="0" borderId="3" xfId="0" applyBorder="1" applyAlignment="1">
      <alignment horizontal="left" vertical="center" wrapText="1"/>
    </xf>
    <xf numFmtId="0" fontId="0" fillId="0" borderId="4" xfId="0" applyBorder="1" applyAlignment="1">
      <alignment horizontal="left" vertical="center" wrapText="1"/>
    </xf>
    <xf numFmtId="165" fontId="10" fillId="2" borderId="7" xfId="5" applyFont="1" applyFill="1" applyBorder="1" applyAlignment="1">
      <alignment horizontal="center" vertical="center" textRotation="90" wrapText="1"/>
    </xf>
    <xf numFmtId="165" fontId="10" fillId="2" borderId="8" xfId="5" applyFont="1" applyFill="1" applyBorder="1" applyAlignment="1">
      <alignment horizontal="center" vertical="center" textRotation="90" wrapText="1"/>
    </xf>
    <xf numFmtId="165" fontId="10" fillId="2" borderId="9" xfId="5" applyFont="1" applyFill="1" applyBorder="1" applyAlignment="1">
      <alignment horizontal="center" vertical="center" textRotation="90" wrapText="1"/>
    </xf>
    <xf numFmtId="165" fontId="10" fillId="2" borderId="12" xfId="5" applyFont="1" applyFill="1" applyBorder="1" applyAlignment="1">
      <alignment horizontal="center" vertical="center" textRotation="90" wrapText="1"/>
    </xf>
    <xf numFmtId="165" fontId="10" fillId="2" borderId="2" xfId="5" applyFont="1" applyFill="1" applyBorder="1" applyAlignment="1">
      <alignment horizontal="center" vertical="center" textRotation="90" wrapText="1"/>
    </xf>
    <xf numFmtId="165" fontId="10" fillId="2" borderId="11" xfId="5" applyFont="1" applyFill="1" applyBorder="1" applyAlignment="1">
      <alignment horizontal="center" vertical="center" textRotation="90" wrapText="1"/>
    </xf>
    <xf numFmtId="0" fontId="3" fillId="2" borderId="6"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6" xfId="0" applyFont="1" applyFill="1" applyBorder="1" applyAlignment="1">
      <alignment horizontal="center" vertical="center" wrapText="1"/>
    </xf>
    <xf numFmtId="0" fontId="3" fillId="2" borderId="28" xfId="0" applyFont="1" applyFill="1" applyBorder="1" applyAlignment="1">
      <alignment horizontal="center" vertical="center" wrapText="1"/>
    </xf>
    <xf numFmtId="165" fontId="3" fillId="2" borderId="6" xfId="5" applyFont="1" applyFill="1" applyBorder="1" applyAlignment="1">
      <alignment horizontal="center" vertical="center"/>
    </xf>
    <xf numFmtId="165" fontId="3" fillId="2" borderId="28" xfId="5" applyFont="1" applyFill="1" applyBorder="1" applyAlignment="1">
      <alignment horizontal="center" vertical="center"/>
    </xf>
    <xf numFmtId="0" fontId="3" fillId="0" borderId="3" xfId="8" applyBorder="1" applyAlignment="1">
      <alignment horizontal="left"/>
    </xf>
    <xf numFmtId="0" fontId="3" fillId="0" borderId="4" xfId="8" applyBorder="1" applyAlignment="1">
      <alignment horizontal="left"/>
    </xf>
    <xf numFmtId="0" fontId="3" fillId="0" borderId="1" xfId="8" applyBorder="1" applyAlignment="1">
      <alignment horizontal="center"/>
    </xf>
    <xf numFmtId="0" fontId="15" fillId="0" borderId="3" xfId="0" applyFont="1" applyBorder="1" applyAlignment="1">
      <alignment horizontal="center"/>
    </xf>
    <xf numFmtId="0" fontId="15" fillId="0" borderId="5" xfId="0" applyFont="1" applyBorder="1" applyAlignment="1">
      <alignment horizontal="center"/>
    </xf>
    <xf numFmtId="0" fontId="15" fillId="0" borderId="4" xfId="0" applyFont="1" applyBorder="1" applyAlignment="1">
      <alignment horizontal="center"/>
    </xf>
    <xf numFmtId="0" fontId="3" fillId="0" borderId="3" xfId="0" applyFont="1" applyBorder="1" applyAlignment="1">
      <alignment horizontal="left"/>
    </xf>
    <xf numFmtId="0" fontId="0" fillId="0" borderId="5" xfId="0" applyBorder="1" applyAlignment="1">
      <alignment horizontal="left"/>
    </xf>
    <xf numFmtId="0" fontId="0" fillId="0" borderId="4" xfId="0" applyBorder="1" applyAlignment="1">
      <alignment horizontal="left"/>
    </xf>
    <xf numFmtId="173" fontId="3" fillId="0" borderId="5" xfId="0" applyNumberFormat="1" applyFont="1" applyBorder="1" applyAlignment="1">
      <alignment horizontal="right"/>
    </xf>
    <xf numFmtId="173" fontId="3" fillId="0" borderId="4" xfId="0" applyNumberFormat="1" applyFont="1" applyBorder="1" applyAlignment="1">
      <alignment horizontal="right"/>
    </xf>
    <xf numFmtId="0" fontId="3" fillId="23" borderId="3" xfId="0" applyFont="1" applyFill="1" applyBorder="1" applyAlignment="1">
      <alignment horizontal="left"/>
    </xf>
    <xf numFmtId="0" fontId="0" fillId="23" borderId="5" xfId="0" applyFill="1" applyBorder="1" applyAlignment="1">
      <alignment horizontal="left"/>
    </xf>
    <xf numFmtId="0" fontId="0" fillId="23" borderId="4" xfId="0" applyFill="1" applyBorder="1" applyAlignment="1">
      <alignment horizontal="left"/>
    </xf>
    <xf numFmtId="0" fontId="0" fillId="0" borderId="8" xfId="0" applyBorder="1" applyAlignment="1">
      <alignment horizontal="center" wrapText="1"/>
    </xf>
    <xf numFmtId="0" fontId="0" fillId="0" borderId="13" xfId="0" applyBorder="1" applyAlignment="1">
      <alignment horizontal="center" wrapText="1"/>
    </xf>
    <xf numFmtId="0" fontId="0" fillId="0" borderId="10" xfId="0" applyBorder="1" applyAlignment="1">
      <alignment horizontal="center" wrapText="1"/>
    </xf>
    <xf numFmtId="0" fontId="3" fillId="0" borderId="1" xfId="0" applyFont="1" applyBorder="1" applyAlignment="1">
      <alignment horizontal="left"/>
    </xf>
    <xf numFmtId="0" fontId="3" fillId="0" borderId="5" xfId="0" applyFont="1" applyBorder="1" applyAlignment="1">
      <alignment horizontal="left"/>
    </xf>
    <xf numFmtId="0" fontId="3" fillId="0" borderId="4" xfId="0" applyFont="1" applyBorder="1" applyAlignment="1">
      <alignment horizontal="left"/>
    </xf>
    <xf numFmtId="0" fontId="58" fillId="0" borderId="0" xfId="0" applyFont="1" applyAlignment="1">
      <alignment horizontal="left"/>
    </xf>
    <xf numFmtId="0" fontId="40" fillId="0" borderId="8" xfId="0" applyFont="1" applyBorder="1" applyAlignment="1">
      <alignment horizontal="left" vertical="center"/>
    </xf>
    <xf numFmtId="10" fontId="3" fillId="0" borderId="2" xfId="0" applyNumberFormat="1" applyFont="1" applyBorder="1" applyAlignment="1">
      <alignment horizontal="right" vertical="center"/>
    </xf>
    <xf numFmtId="10" fontId="3" fillId="0" borderId="11" xfId="0" applyNumberFormat="1" applyFont="1" applyBorder="1" applyAlignment="1">
      <alignment horizontal="right" vertical="center"/>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0" borderId="9" xfId="0" applyFont="1" applyBorder="1" applyAlignment="1">
      <alignment horizontal="center" wrapText="1"/>
    </xf>
    <xf numFmtId="10" fontId="3" fillId="0" borderId="2" xfId="4" applyNumberFormat="1" applyFont="1" applyBorder="1" applyAlignment="1">
      <alignment horizontal="right" vertical="center"/>
    </xf>
    <xf numFmtId="10" fontId="3" fillId="0" borderId="11" xfId="4" applyNumberFormat="1" applyFont="1" applyBorder="1" applyAlignment="1">
      <alignment horizontal="right" vertical="center"/>
    </xf>
    <xf numFmtId="0" fontId="3" fillId="0" borderId="86" xfId="0" applyFont="1" applyBorder="1" applyAlignment="1">
      <alignment horizontal="left" wrapText="1"/>
    </xf>
    <xf numFmtId="0" fontId="3" fillId="0" borderId="55" xfId="0" applyFont="1" applyBorder="1" applyAlignment="1">
      <alignment horizontal="left" wrapText="1"/>
    </xf>
    <xf numFmtId="0" fontId="9" fillId="0" borderId="82" xfId="0" quotePrefix="1" applyFont="1" applyBorder="1" applyAlignment="1">
      <alignment horizontal="center"/>
    </xf>
    <xf numFmtId="0" fontId="9" fillId="0" borderId="83" xfId="0" quotePrefix="1" applyFont="1" applyBorder="1" applyAlignment="1">
      <alignment horizontal="center"/>
    </xf>
    <xf numFmtId="0" fontId="3" fillId="8" borderId="3" xfId="0" applyFont="1" applyFill="1" applyBorder="1" applyAlignment="1">
      <alignment horizontal="left"/>
    </xf>
    <xf numFmtId="0" fontId="3" fillId="8" borderId="5" xfId="0" applyFont="1" applyFill="1" applyBorder="1" applyAlignment="1">
      <alignment horizontal="left"/>
    </xf>
    <xf numFmtId="0" fontId="3" fillId="8" borderId="4" xfId="0" applyFont="1" applyFill="1" applyBorder="1" applyAlignment="1">
      <alignment horizontal="left"/>
    </xf>
    <xf numFmtId="0" fontId="3" fillId="9" borderId="3" xfId="0" applyFont="1" applyFill="1" applyBorder="1" applyAlignment="1">
      <alignment horizontal="left"/>
    </xf>
    <xf numFmtId="0" fontId="3" fillId="9" borderId="5" xfId="0" applyFont="1" applyFill="1" applyBorder="1" applyAlignment="1">
      <alignment horizontal="left"/>
    </xf>
    <xf numFmtId="0" fontId="3" fillId="9" borderId="4" xfId="0" applyFont="1" applyFill="1" applyBorder="1" applyAlignment="1">
      <alignment horizontal="left"/>
    </xf>
    <xf numFmtId="0" fontId="15" fillId="6" borderId="13" xfId="0" applyFont="1" applyFill="1" applyBorder="1" applyAlignment="1">
      <alignment horizontal="center" vertical="center"/>
    </xf>
    <xf numFmtId="0" fontId="15" fillId="6" borderId="0" xfId="0" applyFont="1" applyFill="1" applyAlignment="1">
      <alignment horizontal="center" vertical="center"/>
    </xf>
    <xf numFmtId="174" fontId="15" fillId="6" borderId="0" xfId="0" applyNumberFormat="1" applyFont="1" applyFill="1" applyAlignment="1">
      <alignment horizontal="center" vertical="center"/>
    </xf>
    <xf numFmtId="173" fontId="58" fillId="0" borderId="3" xfId="0" applyNumberFormat="1" applyFont="1" applyBorder="1" applyAlignment="1">
      <alignment horizontal="center"/>
    </xf>
    <xf numFmtId="173" fontId="58" fillId="0" borderId="5" xfId="0" applyNumberFormat="1" applyFont="1" applyBorder="1" applyAlignment="1">
      <alignment horizontal="center"/>
    </xf>
    <xf numFmtId="173" fontId="58" fillId="0" borderId="4" xfId="0" applyNumberFormat="1" applyFont="1" applyBorder="1" applyAlignment="1">
      <alignment horizontal="center"/>
    </xf>
    <xf numFmtId="0" fontId="3" fillId="0" borderId="7" xfId="0" applyFont="1" applyBorder="1" applyAlignment="1">
      <alignment horizontal="left" vertical="center"/>
    </xf>
    <xf numFmtId="0" fontId="3" fillId="0" borderId="8" xfId="0" applyFont="1" applyBorder="1" applyAlignment="1">
      <alignment horizontal="left" vertical="center"/>
    </xf>
    <xf numFmtId="0" fontId="3" fillId="0" borderId="9" xfId="0" applyFont="1" applyBorder="1" applyAlignment="1">
      <alignment horizontal="left" vertical="center"/>
    </xf>
    <xf numFmtId="0" fontId="3" fillId="0" borderId="12" xfId="0" applyFont="1" applyBorder="1" applyAlignment="1">
      <alignment horizontal="left" vertical="center"/>
    </xf>
    <xf numFmtId="0" fontId="3" fillId="0" borderId="2" xfId="0" applyFont="1" applyBorder="1" applyAlignment="1">
      <alignment horizontal="left" vertical="center"/>
    </xf>
    <xf numFmtId="0" fontId="3" fillId="0" borderId="84" xfId="0" applyFont="1" applyBorder="1" applyAlignment="1">
      <alignment horizontal="center"/>
    </xf>
    <xf numFmtId="0" fontId="3" fillId="0" borderId="85" xfId="0" applyFont="1" applyBorder="1" applyAlignment="1">
      <alignment horizontal="center"/>
    </xf>
    <xf numFmtId="173" fontId="3" fillId="0" borderId="2" xfId="0" applyNumberFormat="1" applyFont="1" applyBorder="1" applyAlignment="1">
      <alignment horizontal="right"/>
    </xf>
    <xf numFmtId="173" fontId="3" fillId="0" borderId="11" xfId="0" applyNumberFormat="1" applyFont="1" applyBorder="1" applyAlignment="1">
      <alignment horizontal="right"/>
    </xf>
    <xf numFmtId="173" fontId="3" fillId="0" borderId="3" xfId="0" applyNumberFormat="1" applyFont="1" applyBorder="1" applyAlignment="1">
      <alignment horizontal="left"/>
    </xf>
    <xf numFmtId="173" fontId="3" fillId="0" borderId="5" xfId="0" applyNumberFormat="1" applyFont="1" applyBorder="1" applyAlignment="1">
      <alignment horizontal="left"/>
    </xf>
    <xf numFmtId="0" fontId="40" fillId="0" borderId="0" xfId="0" applyFont="1" applyAlignment="1">
      <alignment horizontal="left" vertical="center"/>
    </xf>
    <xf numFmtId="173" fontId="3" fillId="0" borderId="2" xfId="0" applyNumberFormat="1" applyFont="1" applyBorder="1" applyAlignment="1">
      <alignment horizontal="right" vertical="center"/>
    </xf>
    <xf numFmtId="173" fontId="3" fillId="0" borderId="11" xfId="0" applyNumberFormat="1" applyFont="1" applyBorder="1" applyAlignment="1">
      <alignment horizontal="right" vertical="center"/>
    </xf>
    <xf numFmtId="173" fontId="3" fillId="0" borderId="0" xfId="0" applyNumberFormat="1" applyFont="1" applyAlignment="1">
      <alignment horizontal="center"/>
    </xf>
    <xf numFmtId="173" fontId="3" fillId="0" borderId="2" xfId="2" applyNumberFormat="1" applyFont="1" applyBorder="1" applyAlignment="1">
      <alignment horizontal="right" vertical="center"/>
    </xf>
    <xf numFmtId="173" fontId="3" fillId="0" borderId="11" xfId="2" applyNumberFormat="1" applyFont="1" applyBorder="1" applyAlignment="1">
      <alignment horizontal="right" vertical="center"/>
    </xf>
    <xf numFmtId="173" fontId="3" fillId="0" borderId="5" xfId="0" applyNumberFormat="1" applyFont="1" applyBorder="1" applyAlignment="1">
      <alignment horizontal="center" vertical="center"/>
    </xf>
    <xf numFmtId="173" fontId="3" fillId="0" borderId="5" xfId="0" quotePrefix="1" applyNumberFormat="1" applyFont="1" applyBorder="1" applyAlignment="1">
      <alignment horizontal="right" vertical="center"/>
    </xf>
    <xf numFmtId="173" fontId="3" fillId="0" borderId="5" xfId="0" applyNumberFormat="1" applyFont="1" applyBorder="1" applyAlignment="1">
      <alignment horizontal="right" vertical="center"/>
    </xf>
    <xf numFmtId="0" fontId="3" fillId="0" borderId="3" xfId="0" applyFont="1" applyBorder="1" applyAlignment="1">
      <alignment horizontal="left" vertical="center"/>
    </xf>
    <xf numFmtId="0" fontId="3" fillId="0" borderId="5" xfId="0" applyFont="1" applyBorder="1" applyAlignment="1">
      <alignment horizontal="left" vertical="center"/>
    </xf>
    <xf numFmtId="173" fontId="3" fillId="0" borderId="2" xfId="2" applyNumberFormat="1" applyFont="1" applyBorder="1" applyAlignment="1">
      <alignment horizontal="center"/>
    </xf>
    <xf numFmtId="173" fontId="3" fillId="0" borderId="11" xfId="2" applyNumberFormat="1" applyFont="1" applyBorder="1" applyAlignment="1">
      <alignment horizontal="center"/>
    </xf>
    <xf numFmtId="173" fontId="3" fillId="0" borderId="2" xfId="0" applyNumberFormat="1" applyFont="1" applyBorder="1" applyAlignment="1">
      <alignment horizontal="center"/>
    </xf>
    <xf numFmtId="173" fontId="3" fillId="0" borderId="11" xfId="0" applyNumberFormat="1" applyFont="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77" xfId="0" applyBorder="1" applyAlignment="1">
      <alignment horizontal="center"/>
    </xf>
    <xf numFmtId="0" fontId="0" fillId="0" borderId="21"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78" xfId="0" applyBorder="1" applyAlignment="1">
      <alignment horizontal="center"/>
    </xf>
    <xf numFmtId="0" fontId="3" fillId="0" borderId="81"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77" xfId="0" applyFont="1" applyBorder="1" applyAlignment="1">
      <alignment horizontal="center" vertical="center" wrapText="1"/>
    </xf>
    <xf numFmtId="14" fontId="3" fillId="0" borderId="76" xfId="0" applyNumberFormat="1" applyFont="1" applyBorder="1" applyAlignment="1">
      <alignment horizontal="center" vertical="center"/>
    </xf>
    <xf numFmtId="14" fontId="3" fillId="0" borderId="63" xfId="0" applyNumberFormat="1" applyFont="1" applyBorder="1" applyAlignment="1">
      <alignment horizontal="center" vertical="center"/>
    </xf>
    <xf numFmtId="1" fontId="3" fillId="0" borderId="5" xfId="0" applyNumberFormat="1" applyFont="1" applyBorder="1" applyAlignment="1">
      <alignment horizontal="center" vertical="center"/>
    </xf>
    <xf numFmtId="1" fontId="3" fillId="0" borderId="66" xfId="0" applyNumberFormat="1" applyFont="1" applyBorder="1" applyAlignment="1">
      <alignment horizontal="center" vertical="center"/>
    </xf>
    <xf numFmtId="0" fontId="9" fillId="0" borderId="27" xfId="0" applyFont="1" applyBorder="1" applyAlignment="1">
      <alignment horizontal="center" vertical="center"/>
    </xf>
    <xf numFmtId="0" fontId="9" fillId="0" borderId="80" xfId="0" applyFont="1" applyBorder="1" applyAlignment="1">
      <alignment horizontal="center" vertical="center"/>
    </xf>
    <xf numFmtId="0" fontId="9" fillId="0" borderId="67" xfId="0" applyFont="1" applyBorder="1" applyAlignment="1">
      <alignment horizontal="center" vertical="center"/>
    </xf>
    <xf numFmtId="173" fontId="3" fillId="0" borderId="0" xfId="0" applyNumberFormat="1" applyFont="1" applyAlignment="1">
      <alignment horizontal="right" vertical="center"/>
    </xf>
    <xf numFmtId="173" fontId="3" fillId="0" borderId="10" xfId="0" applyNumberFormat="1" applyFont="1" applyBorder="1" applyAlignment="1">
      <alignment horizontal="right" vertical="center"/>
    </xf>
    <xf numFmtId="0" fontId="10" fillId="0" borderId="79" xfId="0" applyFont="1" applyBorder="1" applyAlignment="1">
      <alignment horizontal="center" vertical="center"/>
    </xf>
    <xf numFmtId="0" fontId="10" fillId="0" borderId="76" xfId="0" applyFont="1" applyBorder="1" applyAlignment="1">
      <alignment horizontal="center" vertic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3" fillId="0" borderId="80" xfId="0" applyFont="1" applyBorder="1" applyAlignment="1">
      <alignment horizontal="left" vertical="center" wrapText="1"/>
    </xf>
    <xf numFmtId="0" fontId="3" fillId="0" borderId="62" xfId="0" applyFont="1" applyBorder="1" applyAlignment="1">
      <alignment horizontal="left" vertical="center" wrapText="1"/>
    </xf>
    <xf numFmtId="0" fontId="40" fillId="0" borderId="3" xfId="0" applyFont="1" applyBorder="1" applyAlignment="1">
      <alignment horizontal="left"/>
    </xf>
    <xf numFmtId="0" fontId="40" fillId="0" borderId="5" xfId="0" applyFont="1" applyBorder="1" applyAlignment="1">
      <alignment horizontal="left"/>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44" fontId="3" fillId="0" borderId="12" xfId="0" applyNumberFormat="1" applyFont="1" applyBorder="1" applyAlignment="1">
      <alignment horizontal="center" vertical="center"/>
    </xf>
    <xf numFmtId="44" fontId="3" fillId="0" borderId="2" xfId="0" applyNumberFormat="1" applyFont="1" applyBorder="1" applyAlignment="1">
      <alignment horizontal="center" vertical="center"/>
    </xf>
    <xf numFmtId="44" fontId="3" fillId="0" borderId="12" xfId="0" applyNumberFormat="1" applyFont="1" applyBorder="1" applyAlignment="1">
      <alignment horizontal="left" vertical="center"/>
    </xf>
    <xf numFmtId="44" fontId="3" fillId="0" borderId="2" xfId="0" applyNumberFormat="1" applyFont="1" applyBorder="1" applyAlignment="1">
      <alignment horizontal="left" vertical="center"/>
    </xf>
    <xf numFmtId="0" fontId="38" fillId="0" borderId="5" xfId="0" applyFont="1" applyBorder="1" applyAlignment="1">
      <alignment horizontal="right"/>
    </xf>
    <xf numFmtId="0" fontId="15" fillId="0" borderId="13" xfId="0" applyFont="1" applyBorder="1" applyAlignment="1">
      <alignment horizontal="center" vertical="center"/>
    </xf>
    <xf numFmtId="0" fontId="15" fillId="0" borderId="0" xfId="0" applyFont="1" applyAlignment="1">
      <alignment horizontal="center" vertical="center"/>
    </xf>
    <xf numFmtId="174" fontId="15" fillId="0" borderId="0" xfId="0" applyNumberFormat="1" applyFont="1" applyAlignment="1">
      <alignment horizontal="center" vertical="center"/>
    </xf>
    <xf numFmtId="0" fontId="14" fillId="0" borderId="7" xfId="0" applyFont="1" applyBorder="1" applyAlignment="1">
      <alignment horizontal="center"/>
    </xf>
    <xf numFmtId="0" fontId="14" fillId="0" borderId="8" xfId="0" applyFont="1" applyBorder="1" applyAlignment="1">
      <alignment horizontal="center"/>
    </xf>
    <xf numFmtId="0" fontId="14" fillId="0" borderId="9" xfId="0" applyFont="1" applyBorder="1" applyAlignment="1">
      <alignment horizontal="center"/>
    </xf>
    <xf numFmtId="173" fontId="14" fillId="0" borderId="2" xfId="0" applyNumberFormat="1" applyFont="1" applyBorder="1" applyAlignment="1">
      <alignment horizontal="right"/>
    </xf>
    <xf numFmtId="173" fontId="14" fillId="0" borderId="11" xfId="0" applyNumberFormat="1" applyFont="1" applyBorder="1" applyAlignment="1">
      <alignment horizontal="right"/>
    </xf>
    <xf numFmtId="173" fontId="14" fillId="0" borderId="5" xfId="0" quotePrefix="1" applyNumberFormat="1" applyFont="1" applyBorder="1" applyAlignment="1">
      <alignment horizontal="right" vertical="center"/>
    </xf>
    <xf numFmtId="173" fontId="14" fillId="0" borderId="5" xfId="0" applyNumberFormat="1" applyFont="1" applyBorder="1" applyAlignment="1">
      <alignment horizontal="right" vertical="center"/>
    </xf>
    <xf numFmtId="10" fontId="0" fillId="0" borderId="2" xfId="0" applyNumberFormat="1" applyBorder="1" applyAlignment="1">
      <alignment horizontal="right" vertical="center"/>
    </xf>
    <xf numFmtId="10" fontId="0" fillId="0" borderId="11" xfId="0" applyNumberFormat="1" applyBorder="1" applyAlignment="1">
      <alignment horizontal="right" vertical="center"/>
    </xf>
    <xf numFmtId="10" fontId="0" fillId="0" borderId="2" xfId="4" applyNumberFormat="1" applyFont="1" applyBorder="1" applyAlignment="1">
      <alignment horizontal="right" vertical="center"/>
    </xf>
    <xf numFmtId="10" fontId="0" fillId="0" borderId="11" xfId="4" applyNumberFormat="1" applyFont="1" applyBorder="1" applyAlignment="1">
      <alignment horizontal="right" vertical="center"/>
    </xf>
    <xf numFmtId="0" fontId="14" fillId="0" borderId="3" xfId="0" applyFont="1" applyBorder="1" applyAlignment="1">
      <alignment horizontal="left"/>
    </xf>
    <xf numFmtId="0" fontId="14" fillId="0" borderId="5" xfId="0" applyFont="1" applyBorder="1" applyAlignment="1">
      <alignment horizontal="left"/>
    </xf>
    <xf numFmtId="173" fontId="0" fillId="0" borderId="2" xfId="2" applyNumberFormat="1" applyFont="1" applyBorder="1" applyAlignment="1">
      <alignment horizontal="right" vertical="center"/>
    </xf>
    <xf numFmtId="173" fontId="0" fillId="0" borderId="11" xfId="2" applyNumberFormat="1" applyFont="1" applyBorder="1" applyAlignment="1">
      <alignment horizontal="right" vertical="center"/>
    </xf>
    <xf numFmtId="173" fontId="0" fillId="0" borderId="2" xfId="0" applyNumberFormat="1" applyBorder="1" applyAlignment="1">
      <alignment horizontal="right" vertical="center"/>
    </xf>
    <xf numFmtId="173" fontId="0" fillId="0" borderId="11" xfId="0" applyNumberFormat="1" applyBorder="1" applyAlignment="1">
      <alignment horizontal="right" vertical="center"/>
    </xf>
    <xf numFmtId="173" fontId="0" fillId="0" borderId="2" xfId="0" applyNumberFormat="1" applyBorder="1" applyAlignment="1">
      <alignment horizontal="right"/>
    </xf>
    <xf numFmtId="173" fontId="0" fillId="0" borderId="11" xfId="0" applyNumberFormat="1" applyBorder="1" applyAlignment="1">
      <alignment horizontal="right"/>
    </xf>
    <xf numFmtId="0" fontId="14" fillId="0" borderId="7" xfId="0" applyFont="1" applyBorder="1" applyAlignment="1">
      <alignment horizontal="left"/>
    </xf>
    <xf numFmtId="0" fontId="14" fillId="0" borderId="8" xfId="0" applyFont="1" applyBorder="1" applyAlignment="1">
      <alignment horizontal="left"/>
    </xf>
    <xf numFmtId="0" fontId="14" fillId="0" borderId="9" xfId="0" applyFont="1" applyBorder="1" applyAlignment="1">
      <alignment horizontal="left"/>
    </xf>
    <xf numFmtId="173" fontId="14" fillId="0" borderId="12" xfId="0" applyNumberFormat="1" applyFont="1" applyBorder="1" applyAlignment="1">
      <alignment horizontal="center"/>
    </xf>
    <xf numFmtId="173" fontId="14" fillId="0" borderId="2" xfId="0" applyNumberFormat="1" applyFont="1" applyBorder="1" applyAlignment="1">
      <alignment horizontal="center"/>
    </xf>
    <xf numFmtId="173" fontId="14" fillId="0" borderId="7" xfId="0" applyNumberFormat="1" applyFont="1" applyBorder="1" applyAlignment="1">
      <alignment horizontal="left"/>
    </xf>
    <xf numFmtId="173" fontId="14" fillId="0" borderId="8" xfId="0" applyNumberFormat="1" applyFont="1" applyBorder="1" applyAlignment="1">
      <alignment horizontal="left"/>
    </xf>
    <xf numFmtId="173" fontId="14" fillId="0" borderId="9" xfId="0" applyNumberFormat="1" applyFont="1" applyBorder="1" applyAlignment="1">
      <alignment horizontal="left"/>
    </xf>
    <xf numFmtId="0" fontId="14" fillId="0" borderId="3" xfId="0" applyFont="1" applyBorder="1" applyAlignment="1">
      <alignment horizontal="left" vertical="center"/>
    </xf>
    <xf numFmtId="0" fontId="14" fillId="0" borderId="5" xfId="0" applyFont="1" applyBorder="1" applyAlignment="1">
      <alignment horizontal="left" vertical="center"/>
    </xf>
    <xf numFmtId="173" fontId="14" fillId="0" borderId="11" xfId="0" applyNumberFormat="1" applyFont="1" applyBorder="1" applyAlignment="1">
      <alignment horizontal="center"/>
    </xf>
    <xf numFmtId="173" fontId="14" fillId="0" borderId="2" xfId="2" applyNumberFormat="1" applyFont="1" applyBorder="1" applyAlignment="1">
      <alignment horizontal="center"/>
    </xf>
    <xf numFmtId="173" fontId="14" fillId="0" borderId="11" xfId="2" applyNumberFormat="1" applyFont="1" applyBorder="1" applyAlignment="1">
      <alignment horizontal="center"/>
    </xf>
    <xf numFmtId="0" fontId="14" fillId="0" borderId="3" xfId="0" applyFont="1" applyBorder="1" applyAlignment="1">
      <alignment horizontal="right"/>
    </xf>
    <xf numFmtId="0" fontId="14" fillId="0" borderId="5" xfId="0" applyFont="1" applyBorder="1" applyAlignment="1">
      <alignment horizontal="right"/>
    </xf>
    <xf numFmtId="173" fontId="14" fillId="0" borderId="2" xfId="0" applyNumberFormat="1" applyFont="1" applyBorder="1" applyAlignment="1">
      <alignment horizontal="right" vertical="center"/>
    </xf>
    <xf numFmtId="173" fontId="14" fillId="0" borderId="11" xfId="0" applyNumberFormat="1" applyFont="1" applyBorder="1" applyAlignment="1">
      <alignment horizontal="right"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64" fillId="0" borderId="3" xfId="0" applyFont="1" applyBorder="1" applyAlignment="1">
      <alignment horizontal="left"/>
    </xf>
    <xf numFmtId="0" fontId="64" fillId="0" borderId="5" xfId="0" applyFont="1" applyBorder="1" applyAlignment="1">
      <alignment horizontal="left"/>
    </xf>
    <xf numFmtId="173" fontId="14" fillId="0" borderId="0" xfId="0" applyNumberFormat="1" applyFont="1" applyAlignment="1">
      <alignment horizontal="right" vertical="center"/>
    </xf>
    <xf numFmtId="173" fontId="14" fillId="0" borderId="10" xfId="0" applyNumberFormat="1" applyFont="1" applyBorder="1" applyAlignment="1">
      <alignment horizontal="right" vertical="center"/>
    </xf>
    <xf numFmtId="14" fontId="82" fillId="0" borderId="2" xfId="0" applyNumberFormat="1" applyFont="1" applyBorder="1" applyAlignment="1">
      <alignment horizontal="center"/>
    </xf>
    <xf numFmtId="0" fontId="66" fillId="0" borderId="93" xfId="0" applyFont="1" applyBorder="1" applyAlignment="1">
      <alignment horizontal="center" vertical="center"/>
    </xf>
    <xf numFmtId="0" fontId="66" fillId="0" borderId="92" xfId="0" applyFont="1" applyBorder="1" applyAlignment="1">
      <alignment horizontal="center" vertical="center"/>
    </xf>
    <xf numFmtId="0" fontId="66" fillId="0" borderId="94" xfId="0" applyFont="1" applyBorder="1" applyAlignment="1">
      <alignment horizontal="center" vertical="center"/>
    </xf>
    <xf numFmtId="0" fontId="26" fillId="0" borderId="1" xfId="0" applyFont="1" applyBorder="1" applyAlignment="1">
      <alignment horizontal="center" vertical="center"/>
    </xf>
    <xf numFmtId="2" fontId="24" fillId="0" borderId="6" xfId="0" applyNumberFormat="1" applyFont="1" applyBorder="1" applyAlignment="1">
      <alignment horizontal="left" vertical="center" wrapText="1"/>
    </xf>
    <xf numFmtId="2" fontId="24" fillId="0" borderId="28" xfId="0" applyNumberFormat="1" applyFont="1" applyBorder="1" applyAlignment="1">
      <alignment horizontal="left" vertical="center" wrapText="1"/>
    </xf>
    <xf numFmtId="1" fontId="23" fillId="0" borderId="95" xfId="0" applyNumberFormat="1" applyFont="1" applyBorder="1" applyAlignment="1">
      <alignment horizontal="center" vertical="center"/>
    </xf>
    <xf numFmtId="1" fontId="23" fillId="0" borderId="48" xfId="0" applyNumberFormat="1" applyFont="1" applyBorder="1" applyAlignment="1">
      <alignment horizontal="center" vertical="center"/>
    </xf>
    <xf numFmtId="178" fontId="24" fillId="0" borderId="34" xfId="0" applyNumberFormat="1" applyFont="1" applyBorder="1" applyAlignment="1">
      <alignment horizontal="center" vertical="center" textRotation="90"/>
    </xf>
    <xf numFmtId="178" fontId="24" fillId="0" borderId="28" xfId="0" applyNumberFormat="1" applyFont="1" applyBorder="1" applyAlignment="1">
      <alignment horizontal="center" vertical="center" textRotation="90"/>
    </xf>
    <xf numFmtId="0" fontId="3" fillId="0" borderId="7" xfId="0" applyFont="1" applyBorder="1" applyAlignment="1">
      <alignment horizontal="left"/>
    </xf>
    <xf numFmtId="0" fontId="3" fillId="0" borderId="8" xfId="0" applyFont="1" applyBorder="1" applyAlignment="1">
      <alignment horizontal="left"/>
    </xf>
    <xf numFmtId="0" fontId="14" fillId="0" borderId="1" xfId="0" applyFont="1" applyBorder="1" applyAlignment="1">
      <alignment horizontal="center"/>
    </xf>
    <xf numFmtId="0" fontId="71" fillId="0" borderId="96" xfId="0" applyFont="1" applyBorder="1" applyAlignment="1">
      <alignment horizontal="center" vertical="center"/>
    </xf>
    <xf numFmtId="0" fontId="71" fillId="0" borderId="97" xfId="0" applyFont="1" applyBorder="1" applyAlignment="1">
      <alignment horizontal="center" vertical="center"/>
    </xf>
    <xf numFmtId="0" fontId="71" fillId="0" borderId="98" xfId="0" applyFont="1" applyBorder="1" applyAlignment="1">
      <alignment horizontal="center" vertical="center"/>
    </xf>
    <xf numFmtId="0" fontId="71" fillId="0" borderId="99" xfId="0" applyFont="1" applyBorder="1" applyAlignment="1">
      <alignment horizontal="center" vertical="center"/>
    </xf>
    <xf numFmtId="0" fontId="71" fillId="0" borderId="100" xfId="0" applyFont="1" applyBorder="1" applyAlignment="1">
      <alignment horizontal="center" vertical="center"/>
    </xf>
    <xf numFmtId="0" fontId="71" fillId="0" borderId="101" xfId="0" applyFont="1" applyBorder="1" applyAlignment="1">
      <alignment horizontal="center" vertical="center"/>
    </xf>
    <xf numFmtId="179" fontId="26" fillId="0" borderId="7" xfId="0" applyNumberFormat="1" applyFont="1" applyBorder="1" applyAlignment="1">
      <alignment horizontal="center" vertical="center" wrapText="1"/>
    </xf>
    <xf numFmtId="179" fontId="26" fillId="0" borderId="8" xfId="0" applyNumberFormat="1" applyFont="1" applyBorder="1" applyAlignment="1">
      <alignment horizontal="center" vertical="center"/>
    </xf>
    <xf numFmtId="179" fontId="26" fillId="0" borderId="9" xfId="0" applyNumberFormat="1" applyFont="1" applyBorder="1" applyAlignment="1">
      <alignment horizontal="center" vertical="center"/>
    </xf>
    <xf numFmtId="180" fontId="26" fillId="0" borderId="13" xfId="0" applyNumberFormat="1" applyFont="1" applyBorder="1" applyAlignment="1">
      <alignment horizontal="center" vertical="center" textRotation="90"/>
    </xf>
    <xf numFmtId="180" fontId="26" fillId="0" borderId="0" xfId="0" applyNumberFormat="1" applyFont="1" applyAlignment="1">
      <alignment horizontal="center" vertical="center" textRotation="90"/>
    </xf>
    <xf numFmtId="180" fontId="26" fillId="0" borderId="12" xfId="0" applyNumberFormat="1" applyFont="1" applyBorder="1" applyAlignment="1">
      <alignment horizontal="center" vertical="center" textRotation="90"/>
    </xf>
    <xf numFmtId="180" fontId="26" fillId="0" borderId="2" xfId="0" applyNumberFormat="1" applyFont="1" applyBorder="1" applyAlignment="1">
      <alignment horizontal="center" vertical="center" textRotation="90"/>
    </xf>
    <xf numFmtId="0" fontId="26" fillId="0" borderId="0" xfId="0" quotePrefix="1" applyFont="1" applyAlignment="1">
      <alignment horizontal="center" vertical="center" textRotation="90"/>
    </xf>
    <xf numFmtId="0" fontId="26" fillId="0" borderId="0" xfId="0" applyFont="1" applyAlignment="1">
      <alignment horizontal="center" vertical="center" textRotation="90"/>
    </xf>
    <xf numFmtId="0" fontId="26" fillId="0" borderId="2" xfId="0" applyFont="1" applyBorder="1" applyAlignment="1">
      <alignment horizontal="center" vertical="center" textRotation="90"/>
    </xf>
    <xf numFmtId="180" fontId="26" fillId="0" borderId="10" xfId="0" applyNumberFormat="1" applyFont="1" applyBorder="1" applyAlignment="1">
      <alignment horizontal="center" vertical="center" textRotation="90"/>
    </xf>
    <xf numFmtId="180" fontId="26" fillId="0" borderId="11" xfId="0" applyNumberFormat="1" applyFont="1" applyBorder="1" applyAlignment="1">
      <alignment horizontal="center" vertical="center" textRotation="90"/>
    </xf>
    <xf numFmtId="0" fontId="67" fillId="4" borderId="94" xfId="0" applyFont="1" applyFill="1" applyBorder="1" applyAlignment="1">
      <alignment horizontal="center" vertical="center"/>
    </xf>
    <xf numFmtId="0" fontId="67" fillId="4" borderId="93" xfId="0" applyFont="1" applyFill="1" applyBorder="1" applyAlignment="1">
      <alignment horizontal="center" vertical="center"/>
    </xf>
    <xf numFmtId="0" fontId="67" fillId="4" borderId="92" xfId="0" applyFont="1" applyFill="1" applyBorder="1" applyAlignment="1">
      <alignment horizontal="center" vertical="center"/>
    </xf>
    <xf numFmtId="0" fontId="68" fillId="0" borderId="96" xfId="0" applyFont="1" applyBorder="1" applyAlignment="1">
      <alignment horizontal="center" vertical="center"/>
    </xf>
    <xf numFmtId="0" fontId="68" fillId="0" borderId="97" xfId="0" applyFont="1" applyBorder="1" applyAlignment="1">
      <alignment horizontal="center" vertical="center"/>
    </xf>
    <xf numFmtId="0" fontId="68" fillId="0" borderId="98" xfId="0" applyFont="1" applyBorder="1" applyAlignment="1">
      <alignment horizontal="center" vertical="center"/>
    </xf>
    <xf numFmtId="0" fontId="68" fillId="0" borderId="99" xfId="0" applyFont="1" applyBorder="1" applyAlignment="1">
      <alignment horizontal="center" vertical="center"/>
    </xf>
    <xf numFmtId="0" fontId="68" fillId="0" borderId="100" xfId="0" applyFont="1" applyBorder="1" applyAlignment="1">
      <alignment horizontal="center" vertical="center"/>
    </xf>
    <xf numFmtId="0" fontId="68" fillId="0" borderId="101" xfId="0" applyFont="1" applyBorder="1" applyAlignment="1">
      <alignment horizontal="center" vertical="center"/>
    </xf>
    <xf numFmtId="0" fontId="69" fillId="0" borderId="96" xfId="0" applyFont="1" applyBorder="1" applyAlignment="1">
      <alignment horizontal="center" vertical="center"/>
    </xf>
    <xf numFmtId="0" fontId="69" fillId="0" borderId="97" xfId="0" applyFont="1" applyBorder="1" applyAlignment="1">
      <alignment horizontal="center" vertical="center"/>
    </xf>
    <xf numFmtId="0" fontId="69" fillId="0" borderId="98" xfId="0" applyFont="1" applyBorder="1" applyAlignment="1">
      <alignment horizontal="center" vertical="center"/>
    </xf>
    <xf numFmtId="0" fontId="69" fillId="0" borderId="99" xfId="0" applyFont="1" applyBorder="1" applyAlignment="1">
      <alignment horizontal="center" vertical="center"/>
    </xf>
    <xf numFmtId="0" fontId="70" fillId="0" borderId="98" xfId="0" applyFont="1" applyBorder="1" applyAlignment="1">
      <alignment horizontal="center" vertical="center"/>
    </xf>
    <xf numFmtId="0" fontId="70" fillId="0" borderId="99" xfId="0" applyFont="1" applyBorder="1" applyAlignment="1">
      <alignment horizontal="center" vertical="center"/>
    </xf>
    <xf numFmtId="0" fontId="70" fillId="0" borderId="100" xfId="0" applyFont="1" applyBorder="1" applyAlignment="1">
      <alignment horizontal="center" vertical="center"/>
    </xf>
    <xf numFmtId="0" fontId="70" fillId="0" borderId="101" xfId="0" applyFont="1" applyBorder="1" applyAlignment="1">
      <alignment horizontal="center" vertical="center"/>
    </xf>
    <xf numFmtId="0" fontId="70" fillId="0" borderId="96" xfId="0" applyFont="1" applyBorder="1" applyAlignment="1">
      <alignment horizontal="center" vertical="center"/>
    </xf>
    <xf numFmtId="0" fontId="70" fillId="0" borderId="97" xfId="0" applyFont="1" applyBorder="1" applyAlignment="1">
      <alignment horizontal="center" vertical="center"/>
    </xf>
    <xf numFmtId="178" fontId="24" fillId="0" borderId="13" xfId="0" applyNumberFormat="1" applyFont="1" applyBorder="1" applyAlignment="1">
      <alignment horizontal="center" vertical="center" textRotation="90"/>
    </xf>
    <xf numFmtId="178" fontId="24" fillId="0" borderId="12" xfId="0" applyNumberFormat="1" applyFont="1" applyBorder="1" applyAlignment="1">
      <alignment horizontal="center" vertical="center" textRotation="90"/>
    </xf>
    <xf numFmtId="0" fontId="26" fillId="0" borderId="6" xfId="0" applyFont="1" applyBorder="1" applyAlignment="1">
      <alignment horizontal="center" vertical="center"/>
    </xf>
    <xf numFmtId="0" fontId="26" fillId="0" borderId="28" xfId="0" applyFont="1" applyBorder="1" applyAlignment="1">
      <alignment horizontal="center" vertical="center"/>
    </xf>
    <xf numFmtId="1" fontId="26" fillId="0" borderId="7" xfId="0" applyNumberFormat="1" applyFont="1" applyBorder="1" applyAlignment="1">
      <alignment horizontal="right" vertical="center"/>
    </xf>
    <xf numFmtId="1" fontId="26" fillId="0" borderId="12" xfId="0" applyNumberFormat="1" applyFont="1" applyBorder="1" applyAlignment="1">
      <alignment horizontal="right" vertical="center"/>
    </xf>
    <xf numFmtId="2" fontId="26" fillId="0" borderId="9" xfId="0" applyNumberFormat="1" applyFont="1" applyBorder="1" applyAlignment="1">
      <alignment horizontal="left" vertical="center"/>
    </xf>
    <xf numFmtId="2" fontId="26" fillId="0" borderId="11" xfId="0" applyNumberFormat="1" applyFont="1" applyBorder="1" applyAlignment="1">
      <alignment horizontal="left" vertical="center"/>
    </xf>
    <xf numFmtId="2" fontId="24" fillId="0" borderId="6" xfId="0" applyNumberFormat="1" applyFont="1" applyBorder="1" applyAlignment="1">
      <alignment horizontal="left" vertical="center"/>
    </xf>
    <xf numFmtId="2" fontId="24" fillId="0" borderId="28" xfId="0" applyNumberFormat="1" applyFont="1" applyBorder="1" applyAlignment="1">
      <alignment horizontal="left" vertical="center"/>
    </xf>
    <xf numFmtId="0" fontId="29" fillId="0" borderId="6" xfId="0" applyFont="1" applyBorder="1" applyAlignment="1">
      <alignment horizontal="center" vertical="center"/>
    </xf>
    <xf numFmtId="0" fontId="29" fillId="0" borderId="28" xfId="0" applyFont="1" applyBorder="1" applyAlignment="1">
      <alignment horizontal="center" vertical="center"/>
    </xf>
    <xf numFmtId="2" fontId="29" fillId="0" borderId="6" xfId="0" applyNumberFormat="1" applyFont="1" applyBorder="1" applyAlignment="1">
      <alignment horizontal="left" vertical="center"/>
    </xf>
    <xf numFmtId="2" fontId="29" fillId="0" borderId="28" xfId="0" applyNumberFormat="1" applyFont="1" applyBorder="1" applyAlignment="1">
      <alignment horizontal="left" vertical="center"/>
    </xf>
    <xf numFmtId="1" fontId="29" fillId="0" borderId="7" xfId="0" applyNumberFormat="1" applyFont="1" applyBorder="1" applyAlignment="1">
      <alignment horizontal="right" vertical="center"/>
    </xf>
    <xf numFmtId="1" fontId="29" fillId="0" borderId="12" xfId="0" applyNumberFormat="1" applyFont="1" applyBorder="1" applyAlignment="1">
      <alignment horizontal="right" vertical="center"/>
    </xf>
    <xf numFmtId="2" fontId="29" fillId="0" borderId="9" xfId="0" applyNumberFormat="1" applyFont="1" applyBorder="1" applyAlignment="1">
      <alignment horizontal="left" vertical="center"/>
    </xf>
    <xf numFmtId="2" fontId="29" fillId="0" borderId="11" xfId="0" applyNumberFormat="1" applyFont="1" applyBorder="1" applyAlignment="1">
      <alignment horizontal="left" vertical="center"/>
    </xf>
    <xf numFmtId="0" fontId="38" fillId="0" borderId="5" xfId="0" applyFont="1" applyBorder="1" applyAlignment="1">
      <alignment horizontal="left" vertical="center"/>
    </xf>
    <xf numFmtId="0" fontId="38" fillId="0" borderId="4" xfId="0" applyFont="1" applyBorder="1" applyAlignment="1">
      <alignment horizontal="left" vertical="center"/>
    </xf>
    <xf numFmtId="2" fontId="25" fillId="0" borderId="6" xfId="0" applyNumberFormat="1" applyFont="1" applyBorder="1" applyAlignment="1">
      <alignment horizontal="center" vertical="center"/>
    </xf>
    <xf numFmtId="2" fontId="25" fillId="0" borderId="34" xfId="0" applyNumberFormat="1" applyFont="1" applyBorder="1" applyAlignment="1">
      <alignment horizontal="center" vertical="center"/>
    </xf>
    <xf numFmtId="2" fontId="25" fillId="0" borderId="28" xfId="0" applyNumberFormat="1" applyFont="1" applyBorder="1" applyAlignment="1">
      <alignment horizontal="center" vertical="center"/>
    </xf>
    <xf numFmtId="171" fontId="41" fillId="0" borderId="8" xfId="0" applyNumberFormat="1" applyFont="1" applyBorder="1" applyAlignment="1">
      <alignment horizontal="center"/>
    </xf>
    <xf numFmtId="14" fontId="72" fillId="0" borderId="8" xfId="0" applyNumberFormat="1" applyFont="1" applyBorder="1" applyAlignment="1">
      <alignment horizontal="center"/>
    </xf>
    <xf numFmtId="2" fontId="25" fillId="0" borderId="8" xfId="0" applyNumberFormat="1" applyFont="1" applyBorder="1" applyAlignment="1">
      <alignment horizontal="center" vertical="center" wrapText="1"/>
    </xf>
    <xf numFmtId="2" fontId="25" fillId="0" borderId="9" xfId="0" applyNumberFormat="1" applyFont="1" applyBorder="1" applyAlignment="1">
      <alignment horizontal="center" vertical="center" wrapText="1"/>
    </xf>
    <xf numFmtId="2" fontId="25" fillId="0" borderId="0" xfId="0" applyNumberFormat="1" applyFont="1" applyAlignment="1">
      <alignment horizontal="center" vertical="center" wrapText="1"/>
    </xf>
    <xf numFmtId="2" fontId="25" fillId="0" borderId="10" xfId="0" applyNumberFormat="1" applyFont="1" applyBorder="1" applyAlignment="1">
      <alignment horizontal="center" vertical="center" wrapText="1"/>
    </xf>
    <xf numFmtId="2" fontId="25" fillId="0" borderId="2" xfId="0" applyNumberFormat="1" applyFont="1" applyBorder="1" applyAlignment="1">
      <alignment horizontal="center" vertical="center" wrapText="1"/>
    </xf>
    <xf numFmtId="2" fontId="25" fillId="0" borderId="11" xfId="0" applyNumberFormat="1" applyFont="1" applyBorder="1" applyAlignment="1">
      <alignment horizontal="center" vertical="center" wrapText="1"/>
    </xf>
    <xf numFmtId="2" fontId="25" fillId="0" borderId="7" xfId="0" applyNumberFormat="1" applyFont="1" applyBorder="1" applyAlignment="1">
      <alignment horizontal="center" vertical="center"/>
    </xf>
    <xf numFmtId="2" fontId="25" fillId="0" borderId="9" xfId="0" applyNumberFormat="1" applyFont="1" applyBorder="1" applyAlignment="1">
      <alignment horizontal="center" vertical="center"/>
    </xf>
    <xf numFmtId="2" fontId="25" fillId="0" borderId="13" xfId="0" applyNumberFormat="1" applyFont="1" applyBorder="1" applyAlignment="1">
      <alignment horizontal="center" vertical="center"/>
    </xf>
    <xf numFmtId="2" fontId="25" fillId="0" borderId="10" xfId="0" applyNumberFormat="1" applyFont="1" applyBorder="1" applyAlignment="1">
      <alignment horizontal="center" vertical="center"/>
    </xf>
    <xf numFmtId="2" fontId="25" fillId="0" borderId="12" xfId="0" applyNumberFormat="1" applyFont="1" applyBorder="1" applyAlignment="1">
      <alignment horizontal="center" vertical="center"/>
    </xf>
    <xf numFmtId="2" fontId="25" fillId="0" borderId="11" xfId="0" applyNumberFormat="1" applyFont="1" applyBorder="1" applyAlignment="1">
      <alignment horizontal="center" vertical="center"/>
    </xf>
    <xf numFmtId="0" fontId="26" fillId="0" borderId="3" xfId="0" applyFont="1" applyBorder="1" applyAlignment="1">
      <alignment horizontal="left"/>
    </xf>
    <xf numFmtId="0" fontId="26" fillId="0" borderId="5" xfId="0" applyFont="1" applyBorder="1" applyAlignment="1">
      <alignment horizontal="left"/>
    </xf>
    <xf numFmtId="0" fontId="26" fillId="0" borderId="4" xfId="0" applyFont="1" applyBorder="1" applyAlignment="1">
      <alignment horizontal="left"/>
    </xf>
    <xf numFmtId="171" fontId="26" fillId="0" borderId="5" xfId="0" applyNumberFormat="1" applyFont="1" applyBorder="1" applyAlignment="1">
      <alignment horizontal="left" vertical="center"/>
    </xf>
    <xf numFmtId="0" fontId="26" fillId="0" borderId="7" xfId="0" applyFont="1" applyBorder="1" applyAlignment="1">
      <alignment horizontal="center"/>
    </xf>
    <xf numFmtId="0" fontId="26" fillId="0" borderId="8" xfId="0" applyFont="1" applyBorder="1" applyAlignment="1">
      <alignment horizontal="center"/>
    </xf>
    <xf numFmtId="0" fontId="26" fillId="0" borderId="13" xfId="0" applyFont="1" applyBorder="1" applyAlignment="1">
      <alignment horizontal="center"/>
    </xf>
    <xf numFmtId="0" fontId="26" fillId="0" borderId="0" xfId="0" applyFont="1" applyAlignment="1">
      <alignment horizontal="center"/>
    </xf>
    <xf numFmtId="0" fontId="26" fillId="0" borderId="12" xfId="0" applyFont="1" applyBorder="1" applyAlignment="1">
      <alignment horizontal="center"/>
    </xf>
    <xf numFmtId="0" fontId="26" fillId="0" borderId="2" xfId="0" applyFont="1" applyBorder="1" applyAlignment="1">
      <alignment horizontal="center"/>
    </xf>
    <xf numFmtId="0" fontId="25" fillId="0" borderId="34" xfId="0" applyFont="1" applyBorder="1" applyAlignment="1">
      <alignment horizontal="center" vertical="center" textRotation="90"/>
    </xf>
    <xf numFmtId="0" fontId="0" fillId="0" borderId="3" xfId="0" applyBorder="1" applyAlignment="1">
      <alignment horizontal="right"/>
    </xf>
    <xf numFmtId="0" fontId="0" fillId="0" borderId="5" xfId="0" applyBorder="1" applyAlignment="1">
      <alignment horizontal="right"/>
    </xf>
    <xf numFmtId="0" fontId="3" fillId="0" borderId="54" xfId="0" applyFont="1" applyBorder="1" applyAlignment="1">
      <alignment horizontal="left"/>
    </xf>
    <xf numFmtId="183" fontId="3" fillId="0" borderId="3" xfId="0" applyNumberFormat="1" applyFont="1" applyBorder="1" applyAlignment="1">
      <alignment horizontal="center" vertical="center"/>
    </xf>
    <xf numFmtId="183" fontId="3" fillId="0" borderId="4" xfId="0" applyNumberFormat="1" applyFont="1" applyBorder="1" applyAlignment="1">
      <alignment horizontal="center" vertical="center"/>
    </xf>
    <xf numFmtId="184" fontId="3" fillId="0" borderId="3" xfId="0" quotePrefix="1" applyNumberFormat="1" applyFont="1" applyBorder="1" applyAlignment="1">
      <alignment horizontal="center" vertical="center"/>
    </xf>
    <xf numFmtId="184" fontId="3" fillId="0" borderId="5" xfId="0" quotePrefix="1" applyNumberFormat="1" applyFont="1" applyBorder="1" applyAlignment="1">
      <alignment horizontal="center" vertical="center"/>
    </xf>
    <xf numFmtId="184" fontId="3" fillId="0" borderId="4" xfId="0" quotePrefix="1" applyNumberFormat="1" applyFont="1" applyBorder="1" applyAlignment="1">
      <alignment horizontal="center" vertical="center"/>
    </xf>
    <xf numFmtId="186" fontId="0" fillId="0" borderId="3" xfId="0" applyNumberFormat="1" applyBorder="1" applyAlignment="1">
      <alignment horizontal="center" vertical="center"/>
    </xf>
    <xf numFmtId="186" fontId="0" fillId="0" borderId="5" xfId="0" applyNumberFormat="1" applyBorder="1" applyAlignment="1">
      <alignment horizontal="center" vertical="center"/>
    </xf>
    <xf numFmtId="186" fontId="0" fillId="0" borderId="4" xfId="0" applyNumberFormat="1" applyBorder="1" applyAlignment="1">
      <alignment horizontal="center" vertical="center"/>
    </xf>
    <xf numFmtId="184" fontId="0" fillId="0" borderId="3" xfId="0" applyNumberFormat="1" applyBorder="1" applyAlignment="1">
      <alignment horizontal="center" vertical="center"/>
    </xf>
    <xf numFmtId="184" fontId="0" fillId="0" borderId="5" xfId="0" applyNumberFormat="1" applyBorder="1" applyAlignment="1">
      <alignment horizontal="center" vertical="center"/>
    </xf>
    <xf numFmtId="184" fontId="0" fillId="0" borderId="4" xfId="0" applyNumberFormat="1" applyBorder="1" applyAlignment="1">
      <alignment horizontal="center" vertical="center"/>
    </xf>
    <xf numFmtId="184" fontId="3" fillId="0" borderId="3" xfId="0" applyNumberFormat="1" applyFont="1" applyBorder="1" applyAlignment="1">
      <alignment horizontal="center" vertical="center"/>
    </xf>
    <xf numFmtId="184" fontId="3" fillId="0" borderId="5" xfId="0" applyNumberFormat="1" applyFont="1" applyBorder="1" applyAlignment="1">
      <alignment horizontal="center" vertical="center"/>
    </xf>
    <xf numFmtId="184" fontId="3" fillId="0" borderId="4" xfId="0" applyNumberFormat="1" applyFont="1" applyBorder="1" applyAlignment="1">
      <alignment horizontal="center" vertical="center"/>
    </xf>
    <xf numFmtId="184" fontId="3" fillId="0" borderId="1" xfId="0" applyNumberFormat="1" applyFont="1" applyBorder="1" applyAlignment="1">
      <alignment horizontal="center" vertical="center"/>
    </xf>
    <xf numFmtId="0" fontId="9" fillId="0" borderId="3" xfId="0" applyFont="1" applyBorder="1" applyAlignment="1">
      <alignment horizontal="center" vertical="center" wrapText="1"/>
    </xf>
    <xf numFmtId="0" fontId="9" fillId="0" borderId="5" xfId="0" applyFont="1" applyBorder="1" applyAlignment="1">
      <alignment horizontal="center" vertical="center" wrapText="1"/>
    </xf>
    <xf numFmtId="0" fontId="9"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5" xfId="0" applyFont="1" applyBorder="1" applyAlignment="1">
      <alignment horizontal="center" vertical="center" wrapText="1"/>
    </xf>
    <xf numFmtId="0" fontId="10" fillId="0" borderId="5" xfId="0" applyFont="1" applyBorder="1" applyAlignment="1">
      <alignment horizontal="left" vertical="center" wrapText="1"/>
    </xf>
    <xf numFmtId="0" fontId="10" fillId="0" borderId="4" xfId="0" applyFont="1" applyBorder="1" applyAlignment="1">
      <alignment horizontal="left" vertical="center" wrapText="1"/>
    </xf>
    <xf numFmtId="184" fontId="0" fillId="4" borderId="3" xfId="0" applyNumberFormat="1" applyFill="1" applyBorder="1" applyAlignment="1">
      <alignment horizontal="center" vertical="center"/>
    </xf>
    <xf numFmtId="184" fontId="0" fillId="4" borderId="4" xfId="0" applyNumberFormat="1" applyFill="1" applyBorder="1" applyAlignment="1">
      <alignment horizontal="center" vertical="center"/>
    </xf>
    <xf numFmtId="0" fontId="9" fillId="0" borderId="1" xfId="0" applyFont="1" applyBorder="1" applyAlignment="1">
      <alignment horizontal="center" vertical="center" wrapText="1"/>
    </xf>
    <xf numFmtId="187" fontId="0" fillId="0" borderId="3" xfId="0" applyNumberFormat="1" applyBorder="1" applyAlignment="1">
      <alignment horizontal="center" vertical="center"/>
    </xf>
    <xf numFmtId="187" fontId="0" fillId="0" borderId="4" xfId="0" applyNumberFormat="1" applyBorder="1" applyAlignment="1">
      <alignment horizontal="center" vertical="center"/>
    </xf>
    <xf numFmtId="184" fontId="0" fillId="0" borderId="1" xfId="0" applyNumberFormat="1" applyBorder="1" applyAlignment="1">
      <alignment horizontal="center" vertical="center"/>
    </xf>
    <xf numFmtId="184" fontId="3" fillId="0" borderId="1" xfId="0" quotePrefix="1" applyNumberFormat="1" applyFont="1" applyBorder="1" applyAlignment="1">
      <alignment horizontal="center" vertical="center"/>
    </xf>
    <xf numFmtId="0" fontId="9"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3"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4" xfId="0" applyFont="1" applyBorder="1" applyAlignment="1">
      <alignment horizontal="center" vertical="center" wrapText="1"/>
    </xf>
    <xf numFmtId="0" fontId="55" fillId="0" borderId="5" xfId="0" applyFont="1" applyBorder="1" applyAlignment="1">
      <alignment horizontal="left"/>
    </xf>
    <xf numFmtId="0" fontId="55" fillId="0" borderId="4" xfId="0" applyFont="1" applyBorder="1" applyAlignment="1">
      <alignment horizontal="left"/>
    </xf>
    <xf numFmtId="0" fontId="55" fillId="0" borderId="1" xfId="0" applyFont="1" applyBorder="1" applyAlignment="1">
      <alignment horizontal="left"/>
    </xf>
    <xf numFmtId="0" fontId="0" fillId="0" borderId="5" xfId="0" applyBorder="1" applyAlignment="1">
      <alignment horizontal="left" vertical="center" wrapText="1"/>
    </xf>
    <xf numFmtId="2" fontId="0" fillId="0" borderId="7" xfId="0" applyNumberFormat="1" applyBorder="1" applyAlignment="1">
      <alignment horizontal="right" vertical="center"/>
    </xf>
    <xf numFmtId="2" fontId="0" fillId="0" borderId="12" xfId="0" applyNumberFormat="1" applyBorder="1" applyAlignment="1">
      <alignment horizontal="right" vertical="center"/>
    </xf>
    <xf numFmtId="0" fontId="0" fillId="0" borderId="9" xfId="0" applyBorder="1" applyAlignment="1">
      <alignment horizontal="center" vertical="center"/>
    </xf>
    <xf numFmtId="183" fontId="3" fillId="0" borderId="1" xfId="0" applyNumberFormat="1" applyFont="1" applyBorder="1" applyAlignment="1">
      <alignment horizontal="center" vertical="center"/>
    </xf>
    <xf numFmtId="0" fontId="0" fillId="0" borderId="1" xfId="0" applyBorder="1" applyAlignment="1">
      <alignment horizontal="center" vertical="center" wrapText="1"/>
    </xf>
    <xf numFmtId="14" fontId="10" fillId="0" borderId="5" xfId="0" applyNumberFormat="1" applyFont="1" applyBorder="1" applyAlignment="1">
      <alignment horizontal="center" vertical="center"/>
    </xf>
    <xf numFmtId="14" fontId="10" fillId="0" borderId="4" xfId="0" applyNumberFormat="1" applyFont="1" applyBorder="1" applyAlignment="1">
      <alignment horizontal="center" vertical="center"/>
    </xf>
    <xf numFmtId="1" fontId="10" fillId="0" borderId="5" xfId="0" applyNumberFormat="1" applyFont="1" applyBorder="1" applyAlignment="1">
      <alignment horizontal="center" vertical="center"/>
    </xf>
    <xf numFmtId="1" fontId="10" fillId="0" borderId="4" xfId="0" applyNumberFormat="1" applyFont="1" applyBorder="1" applyAlignment="1">
      <alignment horizontal="center" vertical="center"/>
    </xf>
    <xf numFmtId="0" fontId="9" fillId="0" borderId="12" xfId="0" applyFont="1" applyBorder="1" applyAlignment="1">
      <alignment horizontal="center" vertical="center"/>
    </xf>
    <xf numFmtId="0" fontId="9" fillId="0" borderId="2" xfId="0" applyFont="1" applyBorder="1" applyAlignment="1">
      <alignment horizontal="center" vertical="center"/>
    </xf>
    <xf numFmtId="0" fontId="9" fillId="0" borderId="11" xfId="0" applyFont="1" applyBorder="1" applyAlignment="1">
      <alignment horizontal="center" vertical="center"/>
    </xf>
    <xf numFmtId="2" fontId="0" fillId="0" borderId="0" xfId="0" applyNumberFormat="1" applyAlignment="1">
      <alignment horizontal="right"/>
    </xf>
    <xf numFmtId="14" fontId="0" fillId="0" borderId="5" xfId="0" applyNumberFormat="1" applyBorder="1" applyAlignment="1">
      <alignment horizontal="center" vertical="center"/>
    </xf>
    <xf numFmtId="14" fontId="0" fillId="0" borderId="4" xfId="0" applyNumberFormat="1" applyBorder="1" applyAlignment="1">
      <alignment horizontal="center" vertical="center"/>
    </xf>
    <xf numFmtId="1" fontId="3" fillId="0" borderId="4" xfId="0" applyNumberFormat="1" applyFont="1" applyBorder="1" applyAlignment="1">
      <alignment horizontal="center" vertical="center"/>
    </xf>
    <xf numFmtId="0" fontId="9" fillId="0" borderId="28" xfId="0" applyFont="1" applyBorder="1" applyAlignment="1">
      <alignment horizontal="center" vertical="center"/>
    </xf>
    <xf numFmtId="44" fontId="40" fillId="0" borderId="5" xfId="5" applyNumberFormat="1" applyFont="1" applyBorder="1" applyAlignment="1">
      <alignment vertical="center"/>
    </xf>
    <xf numFmtId="44" fontId="40" fillId="0" borderId="4" xfId="5" applyNumberFormat="1" applyFont="1" applyBorder="1" applyAlignment="1">
      <alignment vertical="center"/>
    </xf>
    <xf numFmtId="0" fontId="36" fillId="0" borderId="5" xfId="0" applyFont="1" applyBorder="1" applyAlignment="1">
      <alignment horizontal="center"/>
    </xf>
    <xf numFmtId="0" fontId="0" fillId="0" borderId="6" xfId="0" applyBorder="1" applyAlignment="1">
      <alignment horizontal="center" wrapText="1"/>
    </xf>
    <xf numFmtId="0" fontId="0" fillId="0" borderId="28" xfId="0" applyBorder="1" applyAlignment="1">
      <alignment horizontal="center" wrapText="1"/>
    </xf>
    <xf numFmtId="0" fontId="0" fillId="0" borderId="3" xfId="0" applyBorder="1" applyAlignment="1">
      <alignment horizontal="center"/>
    </xf>
    <xf numFmtId="0" fontId="0" fillId="0" borderId="1" xfId="0" applyBorder="1" applyAlignment="1">
      <alignment horizontal="center"/>
    </xf>
    <xf numFmtId="172" fontId="0" fillId="0" borderId="5" xfId="5" applyNumberFormat="1" applyFont="1" applyBorder="1" applyProtection="1">
      <protection hidden="1"/>
    </xf>
    <xf numFmtId="0" fontId="48" fillId="0" borderId="3" xfId="0" applyFont="1" applyBorder="1" applyAlignment="1">
      <alignment horizontal="center"/>
    </xf>
    <xf numFmtId="0" fontId="48" fillId="0" borderId="4" xfId="0" applyFont="1" applyBorder="1" applyAlignment="1">
      <alignment horizontal="center"/>
    </xf>
    <xf numFmtId="0" fontId="0" fillId="0" borderId="1" xfId="0" applyBorder="1" applyAlignment="1">
      <alignment horizontal="center" wrapText="1"/>
    </xf>
    <xf numFmtId="0" fontId="40" fillId="0" borderId="3" xfId="0" applyFont="1" applyBorder="1" applyAlignment="1">
      <alignment horizontal="center"/>
    </xf>
    <xf numFmtId="0" fontId="40" fillId="0" borderId="4" xfId="0" applyFont="1" applyBorder="1" applyAlignment="1">
      <alignment horizontal="center"/>
    </xf>
    <xf numFmtId="165" fontId="0" fillId="0" borderId="3" xfId="5" applyFont="1" applyBorder="1" applyAlignment="1">
      <alignment horizontal="center"/>
    </xf>
    <xf numFmtId="165" fontId="0" fillId="0" borderId="5" xfId="5" applyFont="1" applyBorder="1" applyAlignment="1">
      <alignment horizontal="center"/>
    </xf>
    <xf numFmtId="2" fontId="0" fillId="0" borderId="3" xfId="0" applyNumberFormat="1" applyBorder="1" applyAlignment="1">
      <alignment horizontal="center"/>
    </xf>
    <xf numFmtId="2" fontId="0" fillId="0" borderId="4" xfId="0" applyNumberFormat="1" applyBorder="1" applyAlignment="1">
      <alignment horizontal="center"/>
    </xf>
    <xf numFmtId="4" fontId="0" fillId="0" borderId="1" xfId="0" applyNumberFormat="1" applyBorder="1" applyAlignment="1">
      <alignment horizontal="center"/>
    </xf>
    <xf numFmtId="0" fontId="0" fillId="0" borderId="1" xfId="0" applyBorder="1" applyAlignment="1">
      <alignment horizontal="center" vertical="center" textRotation="255"/>
    </xf>
    <xf numFmtId="2" fontId="0" fillId="0" borderId="6" xfId="0" applyNumberFormat="1" applyBorder="1" applyAlignment="1">
      <alignment horizontal="right" vertical="center"/>
    </xf>
    <xf numFmtId="2" fontId="0" fillId="0" borderId="75" xfId="0" applyNumberFormat="1" applyBorder="1" applyAlignment="1">
      <alignment horizontal="right" vertical="center"/>
    </xf>
    <xf numFmtId="165" fontId="0" fillId="0" borderId="5" xfId="5" applyFont="1" applyBorder="1" applyProtection="1">
      <protection hidden="1"/>
    </xf>
    <xf numFmtId="0" fontId="0" fillId="0" borderId="7" xfId="0" applyBorder="1" applyAlignment="1">
      <alignment horizontal="center" vertical="center"/>
    </xf>
    <xf numFmtId="0" fontId="0" fillId="0" borderId="76" xfId="0" applyBorder="1" applyAlignment="1">
      <alignment horizontal="center" vertical="center"/>
    </xf>
    <xf numFmtId="0" fontId="3" fillId="0" borderId="102" xfId="0" applyFont="1" applyBorder="1" applyAlignment="1">
      <alignment horizontal="center" vertical="center"/>
    </xf>
    <xf numFmtId="0" fontId="47" fillId="0" borderId="3" xfId="0" applyFont="1" applyBorder="1" applyAlignment="1">
      <alignment horizontal="center"/>
    </xf>
    <xf numFmtId="0" fontId="47" fillId="0" borderId="4" xfId="0" applyFont="1" applyBorder="1" applyAlignment="1">
      <alignment horizontal="center"/>
    </xf>
    <xf numFmtId="2" fontId="3" fillId="0" borderId="14" xfId="0" applyNumberFormat="1" applyFont="1" applyBorder="1" applyAlignment="1">
      <alignment horizontal="right"/>
    </xf>
    <xf numFmtId="0" fontId="0" fillId="0" borderId="14" xfId="0" applyBorder="1" applyAlignment="1">
      <alignment horizontal="right"/>
    </xf>
    <xf numFmtId="2" fontId="0" fillId="5" borderId="3" xfId="0" applyNumberFormat="1" applyFill="1" applyBorder="1" applyAlignment="1">
      <alignment horizontal="center"/>
    </xf>
    <xf numFmtId="2" fontId="0" fillId="5" borderId="4" xfId="0" applyNumberFormat="1" applyFill="1" applyBorder="1" applyAlignment="1">
      <alignment horizontal="center"/>
    </xf>
    <xf numFmtId="2" fontId="0" fillId="0" borderId="8" xfId="0" applyNumberFormat="1" applyBorder="1" applyAlignment="1" applyProtection="1">
      <alignment horizontal="center" vertical="center"/>
      <protection hidden="1"/>
    </xf>
    <xf numFmtId="2" fontId="0" fillId="0" borderId="9" xfId="0" applyNumberFormat="1" applyBorder="1" applyAlignment="1" applyProtection="1">
      <alignment horizontal="center" vertical="center"/>
      <protection hidden="1"/>
    </xf>
    <xf numFmtId="2" fontId="0" fillId="0" borderId="12" xfId="0" applyNumberFormat="1" applyBorder="1" applyAlignment="1" applyProtection="1">
      <alignment horizontal="center" vertical="center"/>
      <protection hidden="1"/>
    </xf>
    <xf numFmtId="2" fontId="0" fillId="0" borderId="2" xfId="0" applyNumberFormat="1" applyBorder="1" applyAlignment="1" applyProtection="1">
      <alignment horizontal="center" vertical="center"/>
      <protection hidden="1"/>
    </xf>
    <xf numFmtId="2" fontId="0" fillId="0" borderId="11" xfId="0" applyNumberFormat="1" applyBorder="1" applyAlignment="1" applyProtection="1">
      <alignment horizontal="center" vertical="center"/>
      <protection hidden="1"/>
    </xf>
    <xf numFmtId="0" fontId="3" fillId="0" borderId="103" xfId="0" applyFont="1" applyBorder="1" applyAlignment="1">
      <alignment horizontal="center" vertical="center"/>
    </xf>
    <xf numFmtId="0" fontId="3" fillId="0" borderId="33"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2" fontId="0" fillId="0" borderId="3" xfId="0" applyNumberFormat="1" applyBorder="1" applyAlignment="1">
      <alignment horizontal="right"/>
    </xf>
    <xf numFmtId="2" fontId="0" fillId="0" borderId="4" xfId="0" applyNumberFormat="1" applyBorder="1" applyAlignment="1">
      <alignment horizontal="right"/>
    </xf>
    <xf numFmtId="0" fontId="0" fillId="0" borderId="109" xfId="0" applyBorder="1" applyAlignment="1">
      <alignment horizontal="center"/>
    </xf>
    <xf numFmtId="0" fontId="0" fillId="0" borderId="110" xfId="0" applyBorder="1" applyAlignment="1">
      <alignment horizontal="center"/>
    </xf>
    <xf numFmtId="0" fontId="0" fillId="0" borderId="111" xfId="0" applyBorder="1" applyAlignment="1">
      <alignment horizontal="center"/>
    </xf>
    <xf numFmtId="2" fontId="4" fillId="0" borderId="115" xfId="0" applyNumberFormat="1" applyFont="1" applyBorder="1" applyAlignment="1">
      <alignment horizontal="right"/>
    </xf>
    <xf numFmtId="2" fontId="4" fillId="0" borderId="0" xfId="0" applyNumberFormat="1" applyFont="1" applyAlignment="1">
      <alignment horizontal="right"/>
    </xf>
    <xf numFmtId="0" fontId="0" fillId="0" borderId="6" xfId="0" applyBorder="1" applyAlignment="1">
      <alignment horizontal="center" vertical="center" textRotation="255"/>
    </xf>
    <xf numFmtId="0" fontId="0" fillId="0" borderId="34" xfId="0" applyBorder="1" applyAlignment="1">
      <alignment horizontal="center" vertical="center" textRotation="255"/>
    </xf>
    <xf numFmtId="0" fontId="0" fillId="0" borderId="28" xfId="0" applyBorder="1" applyAlignment="1">
      <alignment horizontal="center" vertical="center" textRotation="255"/>
    </xf>
    <xf numFmtId="2" fontId="40" fillId="0" borderId="3" xfId="0" applyNumberFormat="1" applyFont="1" applyBorder="1" applyAlignment="1">
      <alignment horizontal="center"/>
    </xf>
    <xf numFmtId="2" fontId="48" fillId="0" borderId="3" xfId="0" applyNumberFormat="1" applyFont="1" applyBorder="1" applyAlignment="1">
      <alignment horizontal="center"/>
    </xf>
    <xf numFmtId="0" fontId="3" fillId="0" borderId="34" xfId="0" applyFont="1" applyBorder="1" applyAlignment="1">
      <alignment horizontal="center" wrapText="1"/>
    </xf>
    <xf numFmtId="0" fontId="3" fillId="0" borderId="13" xfId="0" applyFont="1" applyBorder="1" applyAlignment="1">
      <alignment horizontal="center" wrapText="1"/>
    </xf>
    <xf numFmtId="0" fontId="3" fillId="0" borderId="12" xfId="0" applyFont="1" applyBorder="1" applyAlignment="1">
      <alignment horizontal="center" wrapText="1"/>
    </xf>
    <xf numFmtId="0" fontId="0" fillId="0" borderId="5" xfId="0" applyBorder="1" applyAlignment="1">
      <alignment horizontal="center" vertical="center" wrapText="1"/>
    </xf>
    <xf numFmtId="0" fontId="9" fillId="0" borderId="6" xfId="0" applyFont="1" applyBorder="1" applyAlignment="1">
      <alignment horizontal="center" wrapText="1"/>
    </xf>
    <xf numFmtId="0" fontId="9" fillId="0" borderId="34" xfId="0" applyFont="1" applyBorder="1" applyAlignment="1">
      <alignment horizontal="center" wrapText="1"/>
    </xf>
    <xf numFmtId="0" fontId="9" fillId="0" borderId="28" xfId="0" applyFont="1" applyBorder="1" applyAlignment="1">
      <alignment horizontal="center" wrapText="1"/>
    </xf>
    <xf numFmtId="0" fontId="9" fillId="0" borderId="1" xfId="0" applyFont="1" applyBorder="1" applyAlignment="1">
      <alignment horizontal="center" wrapText="1"/>
    </xf>
    <xf numFmtId="0" fontId="3" fillId="5" borderId="1" xfId="0" applyFont="1" applyFill="1" applyBorder="1" applyAlignment="1">
      <alignment horizontal="center" wrapText="1"/>
    </xf>
    <xf numFmtId="0" fontId="0" fillId="5" borderId="1" xfId="0" applyFill="1" applyBorder="1" applyAlignment="1">
      <alignment horizontal="center" wrapText="1"/>
    </xf>
    <xf numFmtId="0" fontId="0" fillId="5" borderId="76" xfId="0" applyFill="1" applyBorder="1" applyAlignment="1">
      <alignment horizontal="center"/>
    </xf>
    <xf numFmtId="0" fontId="34" fillId="0" borderId="4" xfId="0" applyFont="1" applyBorder="1" applyAlignment="1">
      <alignment horizontal="center" wrapText="1"/>
    </xf>
    <xf numFmtId="0" fontId="9" fillId="0" borderId="7" xfId="0" applyFont="1" applyBorder="1" applyAlignment="1">
      <alignment horizontal="center" wrapText="1"/>
    </xf>
    <xf numFmtId="0" fontId="9" fillId="0" borderId="8" xfId="0" applyFont="1" applyBorder="1" applyAlignment="1">
      <alignment horizontal="center" wrapText="1"/>
    </xf>
    <xf numFmtId="0" fontId="9" fillId="0" borderId="9" xfId="0" applyFont="1" applyBorder="1" applyAlignment="1">
      <alignment horizontal="center" wrapText="1"/>
    </xf>
    <xf numFmtId="0" fontId="9" fillId="0" borderId="13" xfId="0" applyFont="1" applyBorder="1" applyAlignment="1">
      <alignment horizontal="center" wrapText="1"/>
    </xf>
    <xf numFmtId="0" fontId="9" fillId="0" borderId="0" xfId="0" applyFont="1" applyAlignment="1">
      <alignment horizontal="center" wrapText="1"/>
    </xf>
    <xf numFmtId="0" fontId="9" fillId="0" borderId="10" xfId="0" applyFont="1" applyBorder="1" applyAlignment="1">
      <alignment horizontal="center" wrapText="1"/>
    </xf>
    <xf numFmtId="0" fontId="9" fillId="0" borderId="12" xfId="0" applyFont="1" applyBorder="1" applyAlignment="1">
      <alignment horizontal="center" wrapText="1"/>
    </xf>
    <xf numFmtId="0" fontId="9" fillId="0" borderId="2" xfId="0" applyFont="1" applyBorder="1" applyAlignment="1">
      <alignment horizontal="center" wrapText="1"/>
    </xf>
    <xf numFmtId="0" fontId="9" fillId="0" borderId="11" xfId="0" applyFont="1" applyBorder="1" applyAlignment="1">
      <alignment horizontal="center" wrapText="1"/>
    </xf>
    <xf numFmtId="0" fontId="34" fillId="0" borderId="31" xfId="0" applyFont="1" applyBorder="1" applyAlignment="1">
      <alignment horizontal="center" wrapText="1"/>
    </xf>
    <xf numFmtId="0" fontId="0" fillId="5" borderId="1" xfId="0" applyFill="1" applyBorder="1" applyAlignment="1">
      <alignment horizontal="center"/>
    </xf>
    <xf numFmtId="0" fontId="0" fillId="0" borderId="13" xfId="0" applyBorder="1" applyAlignment="1">
      <alignment horizontal="left" vertical="center"/>
    </xf>
    <xf numFmtId="0" fontId="0" fillId="0" borderId="12" xfId="0" applyBorder="1" applyAlignment="1">
      <alignment horizontal="left" vertical="center"/>
    </xf>
    <xf numFmtId="0" fontId="3" fillId="0" borderId="0" xfId="0" applyFont="1" applyAlignment="1">
      <alignment horizontal="center" wrapText="1"/>
    </xf>
    <xf numFmtId="0" fontId="29" fillId="0" borderId="6" xfId="0" applyFont="1" applyBorder="1" applyAlignment="1">
      <alignment horizontal="center" wrapText="1"/>
    </xf>
    <xf numFmtId="0" fontId="29" fillId="0" borderId="34" xfId="0" applyFont="1" applyBorder="1" applyAlignment="1">
      <alignment horizontal="center" wrapText="1"/>
    </xf>
    <xf numFmtId="0" fontId="29" fillId="0" borderId="28" xfId="0" applyFont="1" applyBorder="1" applyAlignment="1">
      <alignment horizontal="center" wrapText="1"/>
    </xf>
    <xf numFmtId="0" fontId="9" fillId="0" borderId="3" xfId="0" applyFont="1" applyBorder="1" applyAlignment="1">
      <alignment horizontal="center" wrapText="1"/>
    </xf>
    <xf numFmtId="0" fontId="9" fillId="0" borderId="104" xfId="0" applyFont="1" applyBorder="1" applyAlignment="1">
      <alignment horizontal="center" wrapText="1"/>
    </xf>
    <xf numFmtId="0" fontId="9" fillId="0" borderId="59" xfId="0" applyFont="1" applyBorder="1" applyAlignment="1">
      <alignment horizontal="center" wrapText="1"/>
    </xf>
    <xf numFmtId="0" fontId="9" fillId="0" borderId="105" xfId="0" applyFont="1" applyBorder="1" applyAlignment="1">
      <alignment horizontal="center" wrapText="1"/>
    </xf>
    <xf numFmtId="0" fontId="9" fillId="0" borderId="106" xfId="0" applyFont="1" applyBorder="1" applyAlignment="1">
      <alignment horizontal="center" wrapText="1"/>
    </xf>
    <xf numFmtId="0" fontId="9" fillId="0" borderId="107" xfId="0" applyFont="1" applyBorder="1" applyAlignment="1">
      <alignment horizontal="center" wrapText="1"/>
    </xf>
    <xf numFmtId="0" fontId="9" fillId="0" borderId="108" xfId="0" applyFont="1" applyBorder="1" applyAlignment="1">
      <alignment horizontal="center" wrapText="1"/>
    </xf>
    <xf numFmtId="0" fontId="9" fillId="0" borderId="66" xfId="0" applyFont="1" applyBorder="1" applyAlignment="1">
      <alignment horizontal="center" wrapText="1"/>
    </xf>
    <xf numFmtId="0" fontId="3" fillId="5" borderId="76" xfId="0" applyFont="1" applyFill="1" applyBorder="1" applyAlignment="1">
      <alignment horizontal="center"/>
    </xf>
    <xf numFmtId="0" fontId="0" fillId="0" borderId="9" xfId="0" applyBorder="1" applyAlignment="1">
      <alignment horizontal="center" vertical="center" wrapText="1"/>
    </xf>
    <xf numFmtId="0" fontId="3" fillId="0" borderId="6" xfId="0" applyFont="1" applyBorder="1" applyAlignment="1">
      <alignment horizontal="center" vertical="center" textRotation="90"/>
    </xf>
    <xf numFmtId="0" fontId="3" fillId="0" borderId="34" xfId="0" applyFont="1" applyBorder="1" applyAlignment="1">
      <alignment horizontal="center" vertical="center" textRotation="90"/>
    </xf>
    <xf numFmtId="0" fontId="3" fillId="0" borderId="28" xfId="0" applyFont="1" applyBorder="1" applyAlignment="1">
      <alignment horizontal="center" vertical="center" textRotation="90"/>
    </xf>
    <xf numFmtId="0" fontId="9" fillId="0" borderId="0" xfId="0" applyFont="1" applyAlignment="1">
      <alignment horizontal="center"/>
    </xf>
    <xf numFmtId="0" fontId="9" fillId="0" borderId="10" xfId="0" applyFont="1" applyBorder="1" applyAlignment="1">
      <alignment horizontal="center"/>
    </xf>
    <xf numFmtId="0" fontId="0" fillId="5" borderId="3" xfId="0" applyFill="1" applyBorder="1" applyAlignment="1">
      <alignment horizontal="center" vertical="center" wrapText="1"/>
    </xf>
    <xf numFmtId="0" fontId="0" fillId="5" borderId="5" xfId="0" applyFill="1" applyBorder="1" applyAlignment="1">
      <alignment horizontal="center" vertical="center" wrapText="1"/>
    </xf>
    <xf numFmtId="0" fontId="0" fillId="5" borderId="4" xfId="0" applyFill="1" applyBorder="1" applyAlignment="1">
      <alignment horizontal="center" vertical="center" wrapText="1"/>
    </xf>
    <xf numFmtId="0" fontId="0" fillId="5" borderId="28" xfId="0" applyFill="1" applyBorder="1" applyAlignment="1">
      <alignment horizontal="center" vertical="center" wrapText="1"/>
    </xf>
    <xf numFmtId="0" fontId="0" fillId="0" borderId="34" xfId="0" applyBorder="1" applyAlignment="1">
      <alignment horizontal="center" wrapText="1"/>
    </xf>
    <xf numFmtId="0" fontId="3" fillId="4" borderId="1" xfId="0" applyFont="1" applyFill="1" applyBorder="1" applyAlignment="1">
      <alignment horizontal="center" wrapText="1"/>
    </xf>
    <xf numFmtId="0" fontId="0" fillId="4" borderId="1" xfId="0" applyFill="1" applyBorder="1" applyAlignment="1">
      <alignment horizontal="center" wrapText="1"/>
    </xf>
    <xf numFmtId="0" fontId="0" fillId="5" borderId="6" xfId="0" applyFill="1" applyBorder="1" applyAlignment="1">
      <alignment horizontal="center" wrapText="1"/>
    </xf>
    <xf numFmtId="0" fontId="0" fillId="5" borderId="34" xfId="0" applyFill="1" applyBorder="1" applyAlignment="1">
      <alignment horizontal="center" wrapText="1"/>
    </xf>
    <xf numFmtId="0" fontId="0" fillId="5" borderId="28" xfId="0" applyFill="1" applyBorder="1" applyAlignment="1">
      <alignment horizontal="center" wrapText="1"/>
    </xf>
    <xf numFmtId="0" fontId="63" fillId="2" borderId="3" xfId="0" applyFont="1" applyFill="1" applyBorder="1" applyAlignment="1">
      <alignment horizontal="center" vertical="center"/>
    </xf>
    <xf numFmtId="0" fontId="63" fillId="2" borderId="5" xfId="0" applyFont="1" applyFill="1" applyBorder="1" applyAlignment="1">
      <alignment horizontal="center" vertical="center"/>
    </xf>
    <xf numFmtId="0" fontId="63" fillId="2" borderId="4" xfId="0" applyFont="1" applyFill="1" applyBorder="1" applyAlignment="1">
      <alignment horizontal="center" vertical="center"/>
    </xf>
    <xf numFmtId="0" fontId="3" fillId="25" borderId="6" xfId="0" applyFont="1" applyFill="1" applyBorder="1" applyAlignment="1">
      <alignment horizontal="center" vertical="center" wrapText="1"/>
    </xf>
    <xf numFmtId="0" fontId="3" fillId="25" borderId="28" xfId="0" applyFont="1" applyFill="1" applyBorder="1" applyAlignment="1">
      <alignment horizontal="center" vertical="center" wrapText="1"/>
    </xf>
    <xf numFmtId="0" fontId="63" fillId="2" borderId="7" xfId="0" applyFont="1" applyFill="1" applyBorder="1" applyAlignment="1">
      <alignment horizontal="center" vertical="center" wrapText="1"/>
    </xf>
    <xf numFmtId="0" fontId="63" fillId="2" borderId="8" xfId="0" applyFont="1" applyFill="1" applyBorder="1" applyAlignment="1">
      <alignment horizontal="center" vertical="center" wrapText="1"/>
    </xf>
    <xf numFmtId="0" fontId="63" fillId="2" borderId="9" xfId="0" applyFont="1" applyFill="1" applyBorder="1" applyAlignment="1">
      <alignment horizontal="center" vertical="center" wrapText="1"/>
    </xf>
    <xf numFmtId="0" fontId="63" fillId="2" borderId="7" xfId="0" applyFont="1" applyFill="1" applyBorder="1" applyAlignment="1">
      <alignment horizontal="center" vertical="center"/>
    </xf>
    <xf numFmtId="0" fontId="63" fillId="2" borderId="9" xfId="0" applyFont="1" applyFill="1" applyBorder="1" applyAlignment="1">
      <alignment horizontal="center" vertical="center"/>
    </xf>
    <xf numFmtId="0" fontId="74" fillId="10" borderId="3" xfId="0" applyFont="1" applyFill="1" applyBorder="1" applyAlignment="1">
      <alignment horizontal="center" vertical="center"/>
    </xf>
    <xf numFmtId="0" fontId="74" fillId="10" borderId="5" xfId="0" applyFont="1" applyFill="1" applyBorder="1" applyAlignment="1">
      <alignment horizontal="center" vertical="center"/>
    </xf>
    <xf numFmtId="0" fontId="3" fillId="4" borderId="1"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5" xfId="0" applyFont="1" applyFill="1" applyBorder="1" applyAlignment="1">
      <alignment horizontal="center" vertical="center"/>
    </xf>
    <xf numFmtId="0" fontId="58" fillId="2" borderId="4" xfId="0" applyFont="1" applyFill="1" applyBorder="1" applyAlignment="1">
      <alignment horizontal="center" vertical="center"/>
    </xf>
    <xf numFmtId="0" fontId="73" fillId="10" borderId="3" xfId="0" applyFont="1" applyFill="1" applyBorder="1" applyAlignment="1">
      <alignment horizontal="center" vertical="center"/>
    </xf>
    <xf numFmtId="0" fontId="73" fillId="10" borderId="5" xfId="0" applyFont="1" applyFill="1" applyBorder="1" applyAlignment="1">
      <alignment horizontal="center" vertical="center"/>
    </xf>
    <xf numFmtId="0" fontId="73" fillId="10" borderId="4" xfId="0" applyFont="1" applyFill="1" applyBorder="1" applyAlignment="1">
      <alignment horizontal="center" vertical="center"/>
    </xf>
    <xf numFmtId="0" fontId="58" fillId="2" borderId="7" xfId="0" applyFont="1" applyFill="1" applyBorder="1" applyAlignment="1">
      <alignment horizontal="center" vertical="center" wrapText="1"/>
    </xf>
    <xf numFmtId="0" fontId="58" fillId="2" borderId="9" xfId="0" applyFont="1" applyFill="1" applyBorder="1" applyAlignment="1">
      <alignment horizontal="center" vertical="center" wrapText="1"/>
    </xf>
    <xf numFmtId="0" fontId="58" fillId="2" borderId="3" xfId="0" applyFont="1" applyFill="1" applyBorder="1" applyAlignment="1">
      <alignment horizontal="center" vertical="center"/>
    </xf>
    <xf numFmtId="0" fontId="58" fillId="2" borderId="7" xfId="0" applyFont="1" applyFill="1" applyBorder="1" applyAlignment="1">
      <alignment horizontal="center" vertical="center"/>
    </xf>
    <xf numFmtId="0" fontId="58" fillId="2" borderId="9" xfId="0" applyFont="1" applyFill="1" applyBorder="1" applyAlignment="1">
      <alignment horizontal="center" vertical="center"/>
    </xf>
    <xf numFmtId="188" fontId="3" fillId="0" borderId="3" xfId="0" applyNumberFormat="1" applyFont="1" applyBorder="1" applyAlignment="1">
      <alignment horizontal="right"/>
    </xf>
    <xf numFmtId="188" fontId="3" fillId="0" borderId="5" xfId="0" applyNumberFormat="1" applyFont="1" applyBorder="1" applyAlignment="1">
      <alignment horizontal="right"/>
    </xf>
    <xf numFmtId="0" fontId="3" fillId="4" borderId="13" xfId="0" applyFont="1" applyFill="1" applyBorder="1" applyAlignment="1">
      <alignment horizontal="center" vertical="center"/>
    </xf>
    <xf numFmtId="0" fontId="3" fillId="4" borderId="0" xfId="0" applyFont="1" applyFill="1" applyAlignment="1">
      <alignment horizontal="center" vertical="center"/>
    </xf>
    <xf numFmtId="0" fontId="3" fillId="4" borderId="10" xfId="0" applyFont="1" applyFill="1" applyBorder="1" applyAlignment="1">
      <alignment horizontal="center" vertical="center"/>
    </xf>
    <xf numFmtId="0" fontId="0" fillId="0" borderId="6" xfId="0" applyBorder="1" applyAlignment="1">
      <alignment horizontal="center" vertical="center"/>
    </xf>
    <xf numFmtId="0" fontId="3" fillId="4" borderId="3"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63" fillId="2" borderId="3" xfId="0" applyFont="1" applyFill="1" applyBorder="1" applyAlignment="1">
      <alignment horizontal="center" vertical="center" wrapText="1"/>
    </xf>
    <xf numFmtId="0" fontId="63" fillId="2" borderId="4" xfId="0" applyFont="1" applyFill="1" applyBorder="1" applyAlignment="1">
      <alignment horizontal="center" vertical="center" wrapText="1"/>
    </xf>
    <xf numFmtId="2" fontId="3" fillId="0" borderId="5" xfId="0" applyNumberFormat="1" applyFont="1" applyBorder="1" applyAlignment="1">
      <alignment horizontal="center" vertical="center"/>
    </xf>
    <xf numFmtId="0" fontId="10" fillId="26" borderId="6" xfId="0" applyFont="1" applyFill="1" applyBorder="1" applyAlignment="1">
      <alignment horizontal="center" vertical="center" wrapText="1"/>
    </xf>
    <xf numFmtId="0" fontId="10" fillId="26" borderId="28" xfId="0" applyFont="1" applyFill="1" applyBorder="1" applyAlignment="1">
      <alignment horizontal="center" vertical="center" wrapText="1"/>
    </xf>
    <xf numFmtId="0" fontId="3" fillId="25" borderId="9" xfId="0" applyFont="1" applyFill="1" applyBorder="1" applyAlignment="1">
      <alignment horizontal="center" vertical="center" wrapText="1"/>
    </xf>
    <xf numFmtId="0" fontId="3" fillId="25" borderId="11" xfId="0" applyFont="1" applyFill="1" applyBorder="1" applyAlignment="1">
      <alignment horizontal="center" vertical="center" wrapText="1"/>
    </xf>
    <xf numFmtId="0" fontId="3" fillId="26" borderId="6" xfId="0" applyFont="1" applyFill="1" applyBorder="1" applyAlignment="1">
      <alignment horizontal="center" vertical="center" wrapText="1"/>
    </xf>
    <xf numFmtId="0" fontId="3" fillId="26" borderId="28" xfId="0" applyFont="1" applyFill="1" applyBorder="1" applyAlignment="1">
      <alignment horizontal="center" vertical="center" wrapText="1"/>
    </xf>
    <xf numFmtId="2" fontId="3" fillId="4" borderId="8" xfId="0" applyNumberFormat="1" applyFont="1" applyFill="1" applyBorder="1" applyAlignment="1">
      <alignment horizontal="center" vertical="center"/>
    </xf>
    <xf numFmtId="2" fontId="0" fillId="4" borderId="8" xfId="0" applyNumberFormat="1" applyFill="1" applyBorder="1" applyAlignment="1">
      <alignment horizontal="center" vertical="center"/>
    </xf>
    <xf numFmtId="0" fontId="75" fillId="0" borderId="2" xfId="0" applyFont="1" applyBorder="1" applyAlignment="1">
      <alignment horizontal="center"/>
    </xf>
    <xf numFmtId="0" fontId="75" fillId="0" borderId="11" xfId="0" applyFont="1" applyBorder="1" applyAlignment="1">
      <alignment horizontal="center"/>
    </xf>
    <xf numFmtId="0" fontId="41" fillId="10" borderId="1" xfId="0" applyFont="1" applyFill="1" applyBorder="1" applyAlignment="1">
      <alignment horizontal="center"/>
    </xf>
    <xf numFmtId="0" fontId="41" fillId="10" borderId="3" xfId="0" applyFont="1" applyFill="1" applyBorder="1" applyAlignment="1">
      <alignment horizontal="center"/>
    </xf>
    <xf numFmtId="0" fontId="41" fillId="10" borderId="5" xfId="0" applyFont="1" applyFill="1" applyBorder="1" applyAlignment="1">
      <alignment horizontal="center"/>
    </xf>
    <xf numFmtId="0" fontId="4" fillId="10" borderId="7" xfId="0" applyFont="1" applyFill="1" applyBorder="1" applyAlignment="1">
      <alignment horizontal="center"/>
    </xf>
    <xf numFmtId="0" fontId="4" fillId="10" borderId="8" xfId="0" applyFont="1" applyFill="1" applyBorder="1" applyAlignment="1">
      <alignment horizontal="center"/>
    </xf>
    <xf numFmtId="0" fontId="0" fillId="0" borderId="9" xfId="0" applyBorder="1" applyAlignment="1">
      <alignment horizontal="left" vertical="center"/>
    </xf>
    <xf numFmtId="0" fontId="0" fillId="0" borderId="11" xfId="0" applyBorder="1" applyAlignment="1">
      <alignment horizontal="left" vertical="center"/>
    </xf>
    <xf numFmtId="4" fontId="0" fillId="0" borderId="7" xfId="0" applyNumberFormat="1" applyBorder="1" applyAlignment="1">
      <alignment horizontal="right" vertical="center"/>
    </xf>
    <xf numFmtId="4" fontId="0" fillId="0" borderId="12" xfId="0" applyNumberFormat="1" applyBorder="1" applyAlignment="1">
      <alignment horizontal="right" vertical="center"/>
    </xf>
    <xf numFmtId="4" fontId="4" fillId="0" borderId="2" xfId="0" applyNumberFormat="1"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2" fontId="3" fillId="0" borderId="7" xfId="0" quotePrefix="1" applyNumberFormat="1" applyFont="1" applyBorder="1" applyAlignment="1">
      <alignment horizontal="right" vertical="center"/>
    </xf>
    <xf numFmtId="0" fontId="43" fillId="0" borderId="3" xfId="0" applyFont="1" applyBorder="1" applyAlignment="1">
      <alignment horizontal="center"/>
    </xf>
    <xf numFmtId="0" fontId="43" fillId="0" borderId="5" xfId="0" applyFont="1" applyBorder="1" applyAlignment="1">
      <alignment horizontal="center"/>
    </xf>
    <xf numFmtId="0" fontId="76" fillId="0" borderId="3" xfId="0" applyFont="1" applyBorder="1" applyAlignment="1">
      <alignment horizontal="center" vertical="center"/>
    </xf>
    <xf numFmtId="0" fontId="76" fillId="0" borderId="5" xfId="0" applyFont="1" applyBorder="1" applyAlignment="1">
      <alignment horizontal="center" vertical="center"/>
    </xf>
    <xf numFmtId="0" fontId="76" fillId="0" borderId="4" xfId="0" applyFont="1" applyBorder="1" applyAlignment="1">
      <alignment horizontal="center" vertical="center"/>
    </xf>
    <xf numFmtId="0" fontId="44" fillId="0" borderId="3" xfId="0" applyFont="1" applyBorder="1" applyAlignment="1">
      <alignment horizontal="center" vertical="center"/>
    </xf>
    <xf numFmtId="0" fontId="44" fillId="0" borderId="5" xfId="0" applyFont="1" applyBorder="1" applyAlignment="1">
      <alignment horizontal="center" vertical="center"/>
    </xf>
    <xf numFmtId="0" fontId="44" fillId="0" borderId="4" xfId="0" applyFont="1" applyBorder="1" applyAlignment="1">
      <alignment horizontal="center" vertical="center"/>
    </xf>
    <xf numFmtId="0" fontId="43" fillId="0" borderId="3" xfId="0" applyFont="1" applyBorder="1" applyAlignment="1">
      <alignment horizontal="right"/>
    </xf>
    <xf numFmtId="0" fontId="43" fillId="0" borderId="5" xfId="0" applyFont="1" applyBorder="1" applyAlignment="1">
      <alignment horizontal="right"/>
    </xf>
    <xf numFmtId="173" fontId="43" fillId="0" borderId="5" xfId="0" applyNumberFormat="1" applyFont="1" applyBorder="1" applyAlignment="1">
      <alignment horizontal="right"/>
    </xf>
    <xf numFmtId="2" fontId="43" fillId="0" borderId="5" xfId="0" applyNumberFormat="1" applyFont="1" applyBorder="1" applyAlignment="1">
      <alignment horizontal="right"/>
    </xf>
    <xf numFmtId="0" fontId="51" fillId="0" borderId="3" xfId="0" applyFont="1" applyBorder="1" applyAlignment="1">
      <alignment horizontal="center"/>
    </xf>
    <xf numFmtId="0" fontId="51" fillId="0" borderId="5" xfId="0" applyFont="1" applyBorder="1" applyAlignment="1">
      <alignment horizontal="center"/>
    </xf>
    <xf numFmtId="0" fontId="0" fillId="0" borderId="0" xfId="0" applyAlignment="1">
      <alignment vertical="center"/>
    </xf>
    <xf numFmtId="0" fontId="0" fillId="0" borderId="0" xfId="0" applyAlignment="1">
      <alignment horizontal="center" vertical="center"/>
    </xf>
    <xf numFmtId="0" fontId="37" fillId="0" borderId="13" xfId="0" applyFont="1" applyBorder="1" applyAlignment="1">
      <alignment horizontal="right"/>
    </xf>
    <xf numFmtId="0" fontId="37" fillId="0" borderId="0" xfId="0" applyFont="1" applyAlignment="1">
      <alignment horizontal="right"/>
    </xf>
    <xf numFmtId="0" fontId="37" fillId="0" borderId="12" xfId="0" applyFont="1" applyBorder="1" applyAlignment="1">
      <alignment horizontal="right"/>
    </xf>
    <xf numFmtId="0" fontId="37" fillId="0" borderId="2" xfId="0" applyFont="1" applyBorder="1" applyAlignment="1">
      <alignment horizontal="right"/>
    </xf>
    <xf numFmtId="0" fontId="52" fillId="0" borderId="0" xfId="0" applyFont="1" applyAlignment="1">
      <alignment horizontal="right" indent="1"/>
    </xf>
    <xf numFmtId="0" fontId="0" fillId="0" borderId="0" xfId="0" applyAlignment="1">
      <alignment horizontal="right"/>
    </xf>
    <xf numFmtId="0" fontId="53" fillId="0" borderId="3" xfId="0" applyFont="1" applyBorder="1" applyAlignment="1">
      <alignment horizontal="center"/>
    </xf>
    <xf numFmtId="0" fontId="53" fillId="0" borderId="5" xfId="0" applyFont="1" applyBorder="1" applyAlignment="1">
      <alignment horizontal="center"/>
    </xf>
    <xf numFmtId="0" fontId="53" fillId="0" borderId="4" xfId="0" applyFont="1" applyBorder="1" applyAlignment="1">
      <alignment horizontal="center"/>
    </xf>
    <xf numFmtId="0" fontId="0" fillId="0" borderId="5" xfId="0" applyBorder="1" applyAlignment="1">
      <alignment horizontal="left" vertical="center"/>
    </xf>
    <xf numFmtId="0" fontId="0" fillId="0" borderId="4" xfId="0" applyBorder="1" applyAlignment="1">
      <alignment horizontal="left" vertical="center"/>
    </xf>
  </cellXfs>
  <cellStyles count="9">
    <cellStyle name="Euro" xfId="1" xr:uid="{00000000-0005-0000-0000-000000000000}"/>
    <cellStyle name="Moeda" xfId="2" builtinId="4"/>
    <cellStyle name="Normal" xfId="0" builtinId="0"/>
    <cellStyle name="Normal 2" xfId="3" xr:uid="{00000000-0005-0000-0000-000003000000}"/>
    <cellStyle name="Normal 2 2" xfId="8" xr:uid="{875C3313-ED27-40CA-A8B5-95E2F06B8C48}"/>
    <cellStyle name="Normal 3" xfId="6" xr:uid="{B4F716D3-6B59-4029-A8A7-A43E2A63D384}"/>
    <cellStyle name="Normal 4" xfId="7" xr:uid="{4273B2F4-D038-40FF-8BC2-EB0D753E60C6}"/>
    <cellStyle name="Porcentagem" xfId="4" builtinId="5"/>
    <cellStyle name="Vírgula" xfId="5" builtinId="3"/>
  </cellStyles>
  <dxfs count="552">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2060"/>
        </patternFill>
      </fill>
    </dxf>
    <dxf>
      <fill>
        <patternFill>
          <bgColor rgb="FFFFC000"/>
        </patternFill>
      </fill>
    </dxf>
    <dxf>
      <fill>
        <patternFill>
          <bgColor rgb="FF002060"/>
        </patternFill>
      </fill>
    </dxf>
    <dxf>
      <fill>
        <patternFill>
          <bgColor rgb="FFFFC000"/>
        </patternFill>
      </fill>
    </dxf>
    <dxf>
      <fill>
        <patternFill>
          <bgColor rgb="FF00206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7030A0"/>
        </patternFill>
      </fill>
    </dxf>
    <dxf>
      <fill>
        <patternFill>
          <bgColor rgb="FF00B050"/>
        </patternFill>
      </fill>
    </dxf>
    <dxf>
      <fill>
        <patternFill>
          <bgColor rgb="FF92D050"/>
        </patternFill>
      </fill>
    </dxf>
    <dxf>
      <fill>
        <patternFill>
          <bgColor rgb="FFFFC000"/>
        </patternFill>
      </fill>
    </dxf>
    <dxf>
      <fill>
        <patternFill>
          <bgColor rgb="FFFFFF00"/>
        </patternFill>
      </fill>
    </dxf>
    <dxf>
      <fill>
        <patternFill>
          <bgColor theme="7" tint="0.59996337778862885"/>
        </patternFill>
      </fill>
    </dxf>
    <dxf>
      <fill>
        <patternFill>
          <bgColor theme="4" tint="0.39994506668294322"/>
        </patternFill>
      </fill>
    </dxf>
    <dxf>
      <fill>
        <patternFill>
          <bgColor rgb="FF00B050"/>
        </patternFill>
      </fill>
    </dxf>
    <dxf>
      <fill>
        <patternFill>
          <bgColor rgb="FF92D050"/>
        </patternFill>
      </fill>
    </dxf>
    <dxf>
      <fill>
        <patternFill>
          <bgColor rgb="FFFFC000"/>
        </patternFill>
      </fill>
    </dxf>
    <dxf>
      <fill>
        <patternFill>
          <bgColor rgb="FFFFFF00"/>
        </patternFill>
      </fill>
    </dxf>
    <dxf>
      <fill>
        <patternFill>
          <bgColor theme="7" tint="0.59996337778862885"/>
        </patternFill>
      </fill>
    </dxf>
    <dxf>
      <fill>
        <patternFill>
          <bgColor theme="4" tint="0.39994506668294322"/>
        </patternFill>
      </fill>
    </dxf>
    <dxf>
      <fill>
        <patternFill>
          <bgColor rgb="FF92D050"/>
        </patternFill>
      </fill>
    </dxf>
    <dxf>
      <fill>
        <patternFill>
          <bgColor rgb="FF00B050"/>
        </patternFill>
      </fill>
    </dxf>
    <dxf>
      <fill>
        <patternFill>
          <bgColor rgb="FFFFC000"/>
        </patternFill>
      </fill>
    </dxf>
    <dxf>
      <fill>
        <patternFill>
          <bgColor rgb="FFFFFF00"/>
        </patternFill>
      </fill>
    </dxf>
    <dxf>
      <fill>
        <patternFill>
          <bgColor theme="7" tint="0.59996337778862885"/>
        </patternFill>
      </fill>
    </dxf>
    <dxf>
      <fill>
        <patternFill>
          <bgColor theme="4" tint="0.39994506668294322"/>
        </patternFill>
      </fill>
    </dxf>
    <dxf>
      <fill>
        <patternFill>
          <bgColor rgb="FF00B050"/>
        </patternFill>
      </fill>
    </dxf>
    <dxf>
      <fill>
        <patternFill>
          <bgColor rgb="FF92D050"/>
        </patternFill>
      </fill>
    </dxf>
    <dxf>
      <fill>
        <patternFill>
          <bgColor rgb="FFFFC000"/>
        </patternFill>
      </fill>
    </dxf>
    <dxf>
      <fill>
        <patternFill patternType="gray0625">
          <bgColor theme="2" tint="-9.9948118533890809E-2"/>
        </patternFill>
      </fill>
    </dxf>
    <dxf>
      <fill>
        <patternFill>
          <bgColor rgb="FF00B050"/>
        </patternFill>
      </fill>
    </dxf>
    <dxf>
      <fill>
        <patternFill>
          <bgColor rgb="FFFFC000"/>
        </patternFill>
      </fill>
    </dxf>
    <dxf>
      <fill>
        <patternFill>
          <bgColor rgb="FF00B0F0"/>
        </patternFill>
      </fill>
    </dxf>
    <dxf>
      <fill>
        <patternFill>
          <bgColor rgb="FF00B0F0"/>
        </patternFill>
      </fill>
    </dxf>
    <dxf>
      <fill>
        <patternFill>
          <bgColor theme="3" tint="0.79998168889431442"/>
        </patternFill>
      </fill>
    </dxf>
    <dxf>
      <fill>
        <patternFill>
          <bgColor theme="2" tint="-0.749961851863155"/>
        </patternFill>
      </fill>
    </dxf>
    <dxf>
      <fill>
        <patternFill patternType="gray0625">
          <bgColor theme="2" tint="-9.9948118533890809E-2"/>
        </patternFill>
      </fill>
    </dxf>
    <dxf>
      <fill>
        <patternFill>
          <bgColor rgb="FF00B050"/>
        </patternFill>
      </fill>
    </dxf>
    <dxf>
      <fill>
        <patternFill>
          <bgColor rgb="FFFFC000"/>
        </patternFill>
      </fill>
    </dxf>
    <dxf>
      <fill>
        <patternFill>
          <bgColor rgb="FF00B0F0"/>
        </patternFill>
      </fill>
    </dxf>
    <dxf>
      <fill>
        <patternFill>
          <bgColor rgb="FF00B0F0"/>
        </patternFill>
      </fill>
    </dxf>
    <dxf>
      <fill>
        <patternFill>
          <bgColor theme="3" tint="0.79998168889431442"/>
        </patternFill>
      </fill>
    </dxf>
    <dxf>
      <fill>
        <patternFill>
          <bgColor theme="2" tint="-0.749961851863155"/>
        </patternFill>
      </fill>
    </dxf>
    <dxf>
      <fill>
        <patternFill patternType="gray0625">
          <bgColor theme="2" tint="-9.9948118533890809E-2"/>
        </patternFill>
      </fill>
    </dxf>
    <dxf>
      <fill>
        <patternFill>
          <bgColor rgb="FF00B050"/>
        </patternFill>
      </fill>
    </dxf>
    <dxf>
      <fill>
        <patternFill>
          <bgColor rgb="FFFFC000"/>
        </patternFill>
      </fill>
    </dxf>
    <dxf>
      <fill>
        <patternFill>
          <bgColor rgb="FF00B0F0"/>
        </patternFill>
      </fill>
    </dxf>
    <dxf>
      <fill>
        <patternFill>
          <bgColor rgb="FF00B0F0"/>
        </patternFill>
      </fill>
    </dxf>
    <dxf>
      <fill>
        <patternFill>
          <bgColor theme="3" tint="0.79998168889431442"/>
        </patternFill>
      </fill>
    </dxf>
    <dxf>
      <fill>
        <patternFill>
          <bgColor theme="2" tint="-0.749961851863155"/>
        </patternFill>
      </fill>
    </dxf>
    <dxf>
      <fill>
        <patternFill patternType="gray0625">
          <bgColor theme="2" tint="-9.9948118533890809E-2"/>
        </patternFill>
      </fill>
    </dxf>
    <dxf>
      <fill>
        <patternFill>
          <bgColor rgb="FF00B050"/>
        </patternFill>
      </fill>
    </dxf>
    <dxf>
      <fill>
        <patternFill>
          <bgColor rgb="FFFFC000"/>
        </patternFill>
      </fill>
    </dxf>
    <dxf>
      <fill>
        <patternFill>
          <bgColor rgb="FF00B0F0"/>
        </patternFill>
      </fill>
    </dxf>
    <dxf>
      <fill>
        <patternFill>
          <bgColor rgb="FF00B0F0"/>
        </patternFill>
      </fill>
    </dxf>
    <dxf>
      <fill>
        <patternFill>
          <bgColor theme="3" tint="0.79998168889431442"/>
        </patternFill>
      </fill>
    </dxf>
    <dxf>
      <fill>
        <patternFill>
          <bgColor theme="2" tint="-0.749961851863155"/>
        </patternFill>
      </fill>
    </dxf>
    <dxf>
      <fill>
        <patternFill patternType="solid">
          <bgColor rgb="FF7030A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FF00"/>
        </patternFill>
      </fill>
    </dxf>
    <dxf>
      <font>
        <color rgb="FFFFFF0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style="thin">
          <color indexed="64"/>
        </left>
        <right style="thin">
          <color indexed="64"/>
        </right>
        <top style="thin">
          <color indexed="64"/>
        </top>
        <bottom style="thin">
          <color indexed="64"/>
        </bottom>
      </border>
    </dxf>
    <dxf>
      <border>
        <left/>
        <right/>
        <bottom/>
      </border>
    </dxf>
    <dxf>
      <fill>
        <patternFill>
          <bgColor rgb="FFFF0000"/>
        </patternFill>
      </fill>
    </dxf>
    <dxf>
      <fill>
        <patternFill>
          <bgColor rgb="FFFF0000"/>
        </patternFill>
      </fill>
    </dxf>
    <dxf>
      <font>
        <color theme="0"/>
      </font>
    </dxf>
    <dxf>
      <font>
        <color theme="0"/>
      </font>
    </dxf>
    <dxf>
      <font>
        <color theme="0"/>
      </font>
    </dxf>
    <dxf>
      <font>
        <color auto="1"/>
      </font>
      <fill>
        <patternFill>
          <bgColor rgb="FFFFFF00"/>
        </patternFill>
      </fill>
    </dxf>
    <dxf>
      <font>
        <color rgb="FFFFFF00"/>
      </font>
    </dxf>
    <dxf>
      <fill>
        <patternFill>
          <bgColor rgb="FFFFFF00"/>
        </patternFill>
      </fill>
    </dxf>
    <dxf>
      <fill>
        <patternFill>
          <bgColor rgb="FFFFFF00"/>
        </patternFill>
      </fill>
    </dxf>
    <dxf>
      <font>
        <color theme="0"/>
      </font>
    </dxf>
    <dxf>
      <fill>
        <patternFill>
          <bgColor rgb="FFFFFF00"/>
        </patternFill>
      </fill>
    </dxf>
    <dxf>
      <fill>
        <patternFill>
          <bgColor rgb="FFFF0000"/>
        </patternFill>
      </fill>
    </dxf>
    <dxf>
      <font>
        <color auto="1"/>
      </font>
      <fill>
        <patternFill>
          <bgColor rgb="FFFFFF00"/>
        </patternFill>
      </fill>
    </dxf>
    <dxf>
      <font>
        <color rgb="FFFFFF00"/>
      </font>
    </dxf>
    <dxf>
      <font>
        <color rgb="FFFFFF00"/>
      </font>
    </dxf>
    <dxf>
      <font>
        <color auto="1"/>
      </font>
      <fill>
        <patternFill>
          <bgColor rgb="FFFFFF00"/>
        </patternFill>
      </fill>
    </dxf>
    <dxf>
      <font>
        <color rgb="FFFFFF00"/>
      </font>
    </dxf>
    <dxf>
      <font>
        <color auto="1"/>
      </font>
      <fill>
        <patternFill>
          <bgColor rgb="FFFFFF00"/>
        </patternFill>
      </fill>
    </dxf>
    <dxf>
      <font>
        <color auto="1"/>
      </font>
      <fill>
        <patternFill>
          <bgColor rgb="FFFFFF00"/>
        </patternFill>
      </fill>
    </dxf>
    <dxf>
      <font>
        <color rgb="FFFFFF00"/>
      </font>
    </dxf>
    <dxf>
      <font>
        <color theme="0"/>
      </font>
    </dxf>
    <dxf>
      <font>
        <color theme="0"/>
      </font>
    </dxf>
    <dxf>
      <font>
        <color theme="0"/>
      </font>
    </dxf>
    <dxf>
      <font>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9"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9" tint="0.39994506668294322"/>
        </patternFill>
      </fill>
    </dxf>
    <dxf>
      <fill>
        <patternFill>
          <bgColor rgb="FFFFFF00"/>
        </patternFill>
      </fill>
    </dxf>
    <dxf>
      <fill>
        <patternFill>
          <bgColor rgb="FFFFFF00"/>
        </patternFill>
      </fill>
    </dxf>
    <dxf>
      <fill>
        <patternFill>
          <bgColor theme="9" tint="0.39994506668294322"/>
        </patternFill>
      </fill>
    </dxf>
    <dxf>
      <fill>
        <patternFill>
          <bgColor rgb="FFFFFF00"/>
        </patternFill>
      </fill>
    </dxf>
    <dxf>
      <fill>
        <patternFill>
          <bgColor rgb="FFFFFF00"/>
        </patternFill>
      </fill>
    </dxf>
    <dxf>
      <fill>
        <patternFill>
          <bgColor rgb="FFFFFF00"/>
        </patternFill>
      </fill>
    </dxf>
    <dxf>
      <fill>
        <patternFill>
          <bgColor rgb="FFFFFF99"/>
        </patternFill>
      </fill>
    </dxf>
    <dxf>
      <fill>
        <patternFill>
          <bgColor rgb="FFFFFFCC"/>
        </patternFill>
      </fill>
    </dxf>
    <dxf>
      <fill>
        <patternFill>
          <bgColor rgb="FFFFFF99"/>
        </patternFill>
      </fill>
    </dxf>
    <dxf>
      <fill>
        <patternFill>
          <bgColor rgb="FFFFFFCC"/>
        </patternFill>
      </fill>
    </dxf>
    <dxf>
      <fill>
        <patternFill>
          <bgColor rgb="FFFFFFCC"/>
        </patternFill>
      </fill>
    </dxf>
    <dxf>
      <fill>
        <patternFill>
          <bgColor rgb="FFFFFF99"/>
        </patternFill>
      </fill>
    </dxf>
    <dxf>
      <fill>
        <patternFill>
          <bgColor rgb="FFFFFF99"/>
        </patternFill>
      </fill>
    </dxf>
    <dxf>
      <border>
        <left style="dashed">
          <color auto="1"/>
        </left>
        <vertical/>
        <horizontal/>
      </border>
    </dxf>
    <dxf>
      <border>
        <right style="dashed">
          <color auto="1"/>
        </right>
        <vertical/>
        <horizontal/>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border>
        <left/>
        <top style="dashed">
          <color auto="1"/>
        </top>
        <vertical/>
        <horizontal/>
      </border>
    </dxf>
    <dxf>
      <border>
        <left/>
        <top style="dashed">
          <color auto="1"/>
        </top>
        <vertical/>
        <horizontal/>
      </border>
    </dxf>
    <dxf>
      <fill>
        <patternFill>
          <bgColor rgb="FFFFFF00"/>
        </patternFill>
      </fill>
    </dxf>
    <dxf>
      <font>
        <color rgb="FFFF0000"/>
      </font>
    </dxf>
    <dxf>
      <fill>
        <patternFill>
          <bgColor rgb="FFFFFF00"/>
        </patternFill>
      </fill>
    </dxf>
    <dxf>
      <font>
        <color rgb="FFFF0000"/>
      </font>
    </dxf>
    <dxf>
      <fill>
        <patternFill>
          <bgColor rgb="FFFFFF00"/>
        </patternFill>
      </fill>
    </dxf>
    <dxf>
      <font>
        <color rgb="FFFF000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theme="0"/>
      </font>
    </dxf>
    <dxf>
      <fill>
        <patternFill>
          <bgColor rgb="FFFFFF00"/>
        </patternFill>
      </fill>
    </dxf>
    <dxf>
      <fill>
        <patternFill>
          <bgColor rgb="FFFFFF00"/>
        </patternFill>
      </fill>
    </dxf>
    <dxf>
      <fill>
        <patternFill>
          <bgColor rgb="FFFFFF00"/>
        </patternFill>
      </fill>
    </dxf>
    <dxf>
      <font>
        <color rgb="FFFF000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theme="0"/>
      </font>
    </dxf>
    <dxf>
      <fill>
        <patternFill>
          <bgColor rgb="FFFFFF00"/>
        </patternFill>
      </fill>
    </dxf>
    <dxf>
      <font>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FFC00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FF0000"/>
      </font>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00B0F0"/>
      </font>
    </dxf>
    <dxf>
      <fill>
        <patternFill>
          <bgColor rgb="FFFFFF00"/>
        </patternFill>
      </fill>
    </dxf>
    <dxf>
      <fill>
        <patternFill>
          <bgColor rgb="FFFFFF00"/>
        </patternFill>
      </fill>
    </dxf>
    <dxf>
      <fill>
        <patternFill>
          <bgColor rgb="FFFFFF00"/>
        </patternFill>
      </fill>
    </dxf>
    <dxf>
      <fill>
        <patternFill>
          <bgColor rgb="FFFFFF00"/>
        </patternFill>
      </fill>
    </dxf>
    <dxf>
      <font>
        <color rgb="FFFFC00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ont>
        <color rgb="FFFF0000"/>
      </font>
      <fill>
        <patternFill>
          <bgColor rgb="FFFF0000"/>
        </patternFill>
      </fill>
    </dxf>
    <dxf>
      <fill>
        <patternFill>
          <bgColor rgb="FFFF0000"/>
        </patternFill>
      </fill>
    </dxf>
    <dxf>
      <fill>
        <patternFill>
          <bgColor rgb="FFFF0000"/>
        </patternFill>
      </fill>
    </dxf>
  </dxfs>
  <tableStyles count="0" defaultTableStyle="TableStyleMedium9" defaultPivotStyle="PivotStyleLight16"/>
  <colors>
    <mruColors>
      <color rgb="FFFFFFCC"/>
      <color rgb="FFEEF8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emf"/></Relationships>
</file>

<file path=xl/drawings/_rels/drawing9.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7.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11</xdr:col>
      <xdr:colOff>209550</xdr:colOff>
      <xdr:row>12</xdr:row>
      <xdr:rowOff>0</xdr:rowOff>
    </xdr:from>
    <xdr:to>
      <xdr:col>14</xdr:col>
      <xdr:colOff>314325</xdr:colOff>
      <xdr:row>27</xdr:row>
      <xdr:rowOff>76200</xdr:rowOff>
    </xdr:to>
    <xdr:grpSp>
      <xdr:nvGrpSpPr>
        <xdr:cNvPr id="3405396" name="Grupo 99">
          <a:extLst>
            <a:ext uri="{FF2B5EF4-FFF2-40B4-BE49-F238E27FC236}">
              <a16:creationId xmlns:a16="http://schemas.microsoft.com/office/drawing/2014/main" id="{00000000-0008-0000-0000-000054F63300}"/>
            </a:ext>
          </a:extLst>
        </xdr:cNvPr>
        <xdr:cNvGrpSpPr>
          <a:grpSpLocks/>
        </xdr:cNvGrpSpPr>
      </xdr:nvGrpSpPr>
      <xdr:grpSpPr bwMode="auto">
        <a:xfrm>
          <a:off x="6757988" y="1762125"/>
          <a:ext cx="1771650" cy="1828800"/>
          <a:chOff x="10296525" y="1323975"/>
          <a:chExt cx="1561655" cy="1533648"/>
        </a:xfrm>
      </xdr:grpSpPr>
      <xdr:sp macro="" textlink="">
        <xdr:nvSpPr>
          <xdr:cNvPr id="3" name="Retângulo 2">
            <a:extLst>
              <a:ext uri="{FF2B5EF4-FFF2-40B4-BE49-F238E27FC236}">
                <a16:creationId xmlns:a16="http://schemas.microsoft.com/office/drawing/2014/main" id="{00000000-0008-0000-0000-000003000000}"/>
              </a:ext>
            </a:extLst>
          </xdr:cNvPr>
          <xdr:cNvSpPr/>
        </xdr:nvSpPr>
        <xdr:spPr>
          <a:xfrm>
            <a:off x="10787331" y="2575573"/>
            <a:ext cx="1026230" cy="255608"/>
          </a:xfrm>
          <a:prstGeom prst="rect">
            <a:avLst/>
          </a:prstGeom>
          <a:pattFill prst="smConfetti">
            <a:fgClr>
              <a:schemeClr val="accent1"/>
            </a:fgClr>
            <a:bgClr>
              <a:schemeClr val="bg1"/>
            </a:bgClr>
          </a:patt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xnSp macro="">
        <xdr:nvCxnSpPr>
          <xdr:cNvPr id="4" name="Conector reto 3">
            <a:extLst>
              <a:ext uri="{FF2B5EF4-FFF2-40B4-BE49-F238E27FC236}">
                <a16:creationId xmlns:a16="http://schemas.microsoft.com/office/drawing/2014/main" id="{00000000-0008-0000-0000-000004000000}"/>
              </a:ext>
            </a:extLst>
          </xdr:cNvPr>
          <xdr:cNvCxnSpPr/>
        </xdr:nvCxnSpPr>
        <xdr:spPr>
          <a:xfrm flipH="1">
            <a:off x="10510695" y="1385673"/>
            <a:ext cx="348026"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 name="Conector reto 4">
            <a:extLst>
              <a:ext uri="{FF2B5EF4-FFF2-40B4-BE49-F238E27FC236}">
                <a16:creationId xmlns:a16="http://schemas.microsoft.com/office/drawing/2014/main" id="{00000000-0008-0000-0000-000005000000}"/>
              </a:ext>
            </a:extLst>
          </xdr:cNvPr>
          <xdr:cNvCxnSpPr/>
        </xdr:nvCxnSpPr>
        <xdr:spPr>
          <a:xfrm flipV="1">
            <a:off x="10546390" y="1332789"/>
            <a:ext cx="80314" cy="8814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6" name="CaixaDeTexto 5">
            <a:extLst>
              <a:ext uri="{FF2B5EF4-FFF2-40B4-BE49-F238E27FC236}">
                <a16:creationId xmlns:a16="http://schemas.microsoft.com/office/drawing/2014/main" id="{00000000-0008-0000-0000-000006000000}"/>
              </a:ext>
            </a:extLst>
          </xdr:cNvPr>
          <xdr:cNvSpPr txBox="1"/>
        </xdr:nvSpPr>
        <xdr:spPr>
          <a:xfrm>
            <a:off x="10305449" y="1932146"/>
            <a:ext cx="481882" cy="3613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Ht</a:t>
            </a:r>
          </a:p>
        </xdr:txBody>
      </xdr:sp>
      <xdr:sp macro="" textlink="">
        <xdr:nvSpPr>
          <xdr:cNvPr id="7" name="CaixaDeTexto 6">
            <a:extLst>
              <a:ext uri="{FF2B5EF4-FFF2-40B4-BE49-F238E27FC236}">
                <a16:creationId xmlns:a16="http://schemas.microsoft.com/office/drawing/2014/main" id="{00000000-0008-0000-0000-000007000000}"/>
              </a:ext>
            </a:extLst>
          </xdr:cNvPr>
          <xdr:cNvSpPr txBox="1"/>
        </xdr:nvSpPr>
        <xdr:spPr>
          <a:xfrm>
            <a:off x="10296525" y="2496246"/>
            <a:ext cx="401568" cy="3613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h1</a:t>
            </a:r>
          </a:p>
        </xdr:txBody>
      </xdr:sp>
      <xdr:cxnSp macro="">
        <xdr:nvCxnSpPr>
          <xdr:cNvPr id="8" name="Conector reto 7">
            <a:extLst>
              <a:ext uri="{FF2B5EF4-FFF2-40B4-BE49-F238E27FC236}">
                <a16:creationId xmlns:a16="http://schemas.microsoft.com/office/drawing/2014/main" id="{00000000-0008-0000-0000-000008000000}"/>
              </a:ext>
            </a:extLst>
          </xdr:cNvPr>
          <xdr:cNvCxnSpPr/>
        </xdr:nvCxnSpPr>
        <xdr:spPr>
          <a:xfrm flipH="1">
            <a:off x="10501771" y="2575573"/>
            <a:ext cx="249865"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9" name="Conector reto 8">
            <a:extLst>
              <a:ext uri="{FF2B5EF4-FFF2-40B4-BE49-F238E27FC236}">
                <a16:creationId xmlns:a16="http://schemas.microsoft.com/office/drawing/2014/main" id="{00000000-0008-0000-0000-000009000000}"/>
              </a:ext>
            </a:extLst>
          </xdr:cNvPr>
          <xdr:cNvCxnSpPr/>
        </xdr:nvCxnSpPr>
        <xdr:spPr>
          <a:xfrm flipH="1">
            <a:off x="10483924" y="2698970"/>
            <a:ext cx="249865"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ector reto 9">
            <a:extLst>
              <a:ext uri="{FF2B5EF4-FFF2-40B4-BE49-F238E27FC236}">
                <a16:creationId xmlns:a16="http://schemas.microsoft.com/office/drawing/2014/main" id="{00000000-0008-0000-0000-00000A000000}"/>
              </a:ext>
            </a:extLst>
          </xdr:cNvPr>
          <xdr:cNvCxnSpPr/>
        </xdr:nvCxnSpPr>
        <xdr:spPr>
          <a:xfrm flipV="1">
            <a:off x="10537466" y="2513874"/>
            <a:ext cx="80314" cy="10576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ector reto 10">
            <a:extLst>
              <a:ext uri="{FF2B5EF4-FFF2-40B4-BE49-F238E27FC236}">
                <a16:creationId xmlns:a16="http://schemas.microsoft.com/office/drawing/2014/main" id="{00000000-0008-0000-0000-00000B000000}"/>
              </a:ext>
            </a:extLst>
          </xdr:cNvPr>
          <xdr:cNvCxnSpPr/>
        </xdr:nvCxnSpPr>
        <xdr:spPr>
          <a:xfrm flipV="1">
            <a:off x="10546390" y="2646085"/>
            <a:ext cx="80314" cy="7932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ector reto 11">
            <a:extLst>
              <a:ext uri="{FF2B5EF4-FFF2-40B4-BE49-F238E27FC236}">
                <a16:creationId xmlns:a16="http://schemas.microsoft.com/office/drawing/2014/main" id="{00000000-0008-0000-0000-00000C000000}"/>
              </a:ext>
            </a:extLst>
          </xdr:cNvPr>
          <xdr:cNvCxnSpPr/>
        </xdr:nvCxnSpPr>
        <xdr:spPr>
          <a:xfrm flipV="1">
            <a:off x="11162128" y="2513874"/>
            <a:ext cx="71390" cy="10576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3" name="CaixaDeTexto 12">
            <a:extLst>
              <a:ext uri="{FF2B5EF4-FFF2-40B4-BE49-F238E27FC236}">
                <a16:creationId xmlns:a16="http://schemas.microsoft.com/office/drawing/2014/main" id="{00000000-0008-0000-0000-00000D000000}"/>
              </a:ext>
            </a:extLst>
          </xdr:cNvPr>
          <xdr:cNvSpPr txBox="1"/>
        </xdr:nvSpPr>
        <xdr:spPr>
          <a:xfrm>
            <a:off x="11206747" y="1993844"/>
            <a:ext cx="499730" cy="3701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Hu</a:t>
            </a:r>
          </a:p>
        </xdr:txBody>
      </xdr:sp>
      <xdr:cxnSp macro="">
        <xdr:nvCxnSpPr>
          <xdr:cNvPr id="14" name="Conector reto 13">
            <a:extLst>
              <a:ext uri="{FF2B5EF4-FFF2-40B4-BE49-F238E27FC236}">
                <a16:creationId xmlns:a16="http://schemas.microsoft.com/office/drawing/2014/main" id="{00000000-0008-0000-0000-00000E000000}"/>
              </a:ext>
            </a:extLst>
          </xdr:cNvPr>
          <xdr:cNvCxnSpPr/>
        </xdr:nvCxnSpPr>
        <xdr:spPr>
          <a:xfrm flipV="1">
            <a:off x="10582085" y="1323975"/>
            <a:ext cx="0" cy="146313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15" name="Retângulo 14">
            <a:extLst>
              <a:ext uri="{FF2B5EF4-FFF2-40B4-BE49-F238E27FC236}">
                <a16:creationId xmlns:a16="http://schemas.microsoft.com/office/drawing/2014/main" id="{00000000-0008-0000-0000-00000F000000}"/>
              </a:ext>
            </a:extLst>
          </xdr:cNvPr>
          <xdr:cNvSpPr/>
        </xdr:nvSpPr>
        <xdr:spPr>
          <a:xfrm>
            <a:off x="10912263" y="1385673"/>
            <a:ext cx="62466" cy="1313296"/>
          </a:xfrm>
          <a:prstGeom prst="rect">
            <a:avLst/>
          </a:prstGeom>
          <a:pattFill prst="lgConfetti">
            <a:fgClr>
              <a:schemeClr val="accent1"/>
            </a:fgClr>
            <a:bgClr>
              <a:schemeClr val="bg1"/>
            </a:bgClr>
          </a:patt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16" name="CaixaDeTexto 15">
            <a:extLst>
              <a:ext uri="{FF2B5EF4-FFF2-40B4-BE49-F238E27FC236}">
                <a16:creationId xmlns:a16="http://schemas.microsoft.com/office/drawing/2014/main" id="{00000000-0008-0000-0000-000010000000}"/>
              </a:ext>
            </a:extLst>
          </xdr:cNvPr>
          <xdr:cNvSpPr txBox="1"/>
        </xdr:nvSpPr>
        <xdr:spPr>
          <a:xfrm>
            <a:off x="11313832" y="1368045"/>
            <a:ext cx="472958" cy="37019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N.A.</a:t>
            </a:r>
          </a:p>
        </xdr:txBody>
      </xdr:sp>
      <xdr:sp macro="" textlink="">
        <xdr:nvSpPr>
          <xdr:cNvPr id="17" name="Retângulo 16">
            <a:extLst>
              <a:ext uri="{FF2B5EF4-FFF2-40B4-BE49-F238E27FC236}">
                <a16:creationId xmlns:a16="http://schemas.microsoft.com/office/drawing/2014/main" id="{00000000-0008-0000-0000-000011000000}"/>
              </a:ext>
            </a:extLst>
          </xdr:cNvPr>
          <xdr:cNvSpPr/>
        </xdr:nvSpPr>
        <xdr:spPr>
          <a:xfrm>
            <a:off x="10983653" y="1597211"/>
            <a:ext cx="838832" cy="149839"/>
          </a:xfrm>
          <a:prstGeom prst="rect">
            <a:avLst/>
          </a:prstGeom>
          <a:pattFill prst="dashHorz">
            <a:fgClr>
              <a:schemeClr val="tx1"/>
            </a:fgClr>
            <a:bgClr>
              <a:schemeClr val="bg1"/>
            </a:bgClr>
          </a:patt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xnSp macro="">
        <xdr:nvCxnSpPr>
          <xdr:cNvPr id="18" name="Conector reto 17">
            <a:extLst>
              <a:ext uri="{FF2B5EF4-FFF2-40B4-BE49-F238E27FC236}">
                <a16:creationId xmlns:a16="http://schemas.microsoft.com/office/drawing/2014/main" id="{00000000-0008-0000-0000-000012000000}"/>
              </a:ext>
            </a:extLst>
          </xdr:cNvPr>
          <xdr:cNvCxnSpPr/>
        </xdr:nvCxnSpPr>
        <xdr:spPr>
          <a:xfrm>
            <a:off x="10974729" y="1597211"/>
            <a:ext cx="847756" cy="0"/>
          </a:xfrm>
          <a:prstGeom prst="line">
            <a:avLst/>
          </a:prstGeom>
          <a:pattFill prst="dashHorz">
            <a:fgClr>
              <a:schemeClr val="accent1"/>
            </a:fgClr>
            <a:bgClr>
              <a:schemeClr val="bg1"/>
            </a:bgClr>
          </a:patt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cxnSp>
      <xdr:cxnSp macro="">
        <xdr:nvCxnSpPr>
          <xdr:cNvPr id="19" name="Conector reto 18">
            <a:extLst>
              <a:ext uri="{FF2B5EF4-FFF2-40B4-BE49-F238E27FC236}">
                <a16:creationId xmlns:a16="http://schemas.microsoft.com/office/drawing/2014/main" id="{00000000-0008-0000-0000-000013000000}"/>
              </a:ext>
            </a:extLst>
          </xdr:cNvPr>
          <xdr:cNvCxnSpPr/>
        </xdr:nvCxnSpPr>
        <xdr:spPr>
          <a:xfrm flipH="1">
            <a:off x="11135357" y="1597211"/>
            <a:ext cx="33910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0" name="Conector reto 19">
            <a:extLst>
              <a:ext uri="{FF2B5EF4-FFF2-40B4-BE49-F238E27FC236}">
                <a16:creationId xmlns:a16="http://schemas.microsoft.com/office/drawing/2014/main" id="{00000000-0008-0000-0000-000014000000}"/>
              </a:ext>
            </a:extLst>
          </xdr:cNvPr>
          <xdr:cNvCxnSpPr/>
        </xdr:nvCxnSpPr>
        <xdr:spPr>
          <a:xfrm flipV="1">
            <a:off x="11162128" y="1535513"/>
            <a:ext cx="80314" cy="8814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21" name="Conector reto 20">
            <a:extLst>
              <a:ext uri="{FF2B5EF4-FFF2-40B4-BE49-F238E27FC236}">
                <a16:creationId xmlns:a16="http://schemas.microsoft.com/office/drawing/2014/main" id="{00000000-0008-0000-0000-000015000000}"/>
              </a:ext>
            </a:extLst>
          </xdr:cNvPr>
          <xdr:cNvCxnSpPr/>
        </xdr:nvCxnSpPr>
        <xdr:spPr>
          <a:xfrm flipV="1">
            <a:off x="11197823" y="1535513"/>
            <a:ext cx="0" cy="111938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22" name="Retângulo 21">
            <a:extLst>
              <a:ext uri="{FF2B5EF4-FFF2-40B4-BE49-F238E27FC236}">
                <a16:creationId xmlns:a16="http://schemas.microsoft.com/office/drawing/2014/main" id="{00000000-0008-0000-0000-000016000000}"/>
              </a:ext>
            </a:extLst>
          </xdr:cNvPr>
          <xdr:cNvSpPr/>
        </xdr:nvSpPr>
        <xdr:spPr>
          <a:xfrm>
            <a:off x="11768943" y="1482628"/>
            <a:ext cx="89237" cy="1348553"/>
          </a:xfrm>
          <a:prstGeom prst="rect">
            <a:avLst/>
          </a:prstGeom>
          <a:solidFill>
            <a:schemeClr val="l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grpSp>
    <xdr:clientData/>
  </xdr:twoCellAnchor>
  <xdr:twoCellAnchor>
    <xdr:from>
      <xdr:col>11</xdr:col>
      <xdr:colOff>123825</xdr:colOff>
      <xdr:row>88</xdr:row>
      <xdr:rowOff>0</xdr:rowOff>
    </xdr:from>
    <xdr:to>
      <xdr:col>16</xdr:col>
      <xdr:colOff>38100</xdr:colOff>
      <xdr:row>103</xdr:row>
      <xdr:rowOff>47625</xdr:rowOff>
    </xdr:to>
    <xdr:grpSp>
      <xdr:nvGrpSpPr>
        <xdr:cNvPr id="3405397" name="Grupo 153">
          <a:extLst>
            <a:ext uri="{FF2B5EF4-FFF2-40B4-BE49-F238E27FC236}">
              <a16:creationId xmlns:a16="http://schemas.microsoft.com/office/drawing/2014/main" id="{00000000-0008-0000-0000-000055F63300}"/>
            </a:ext>
          </a:extLst>
        </xdr:cNvPr>
        <xdr:cNvGrpSpPr>
          <a:grpSpLocks/>
        </xdr:cNvGrpSpPr>
      </xdr:nvGrpSpPr>
      <xdr:grpSpPr bwMode="auto">
        <a:xfrm>
          <a:off x="6672263" y="8743950"/>
          <a:ext cx="2419350" cy="1647825"/>
          <a:chOff x="4426639" y="3715848"/>
          <a:chExt cx="2280475" cy="2008683"/>
        </a:xfrm>
      </xdr:grpSpPr>
      <xdr:grpSp>
        <xdr:nvGrpSpPr>
          <xdr:cNvPr id="3405431" name="Grupo 149">
            <a:extLst>
              <a:ext uri="{FF2B5EF4-FFF2-40B4-BE49-F238E27FC236}">
                <a16:creationId xmlns:a16="http://schemas.microsoft.com/office/drawing/2014/main" id="{00000000-0008-0000-0000-000077F63300}"/>
              </a:ext>
            </a:extLst>
          </xdr:cNvPr>
          <xdr:cNvGrpSpPr>
            <a:grpSpLocks/>
          </xdr:cNvGrpSpPr>
        </xdr:nvGrpSpPr>
        <xdr:grpSpPr bwMode="auto">
          <a:xfrm>
            <a:off x="4426639" y="3715848"/>
            <a:ext cx="1449455" cy="2008683"/>
            <a:chOff x="4397088" y="3773268"/>
            <a:chExt cx="1477691" cy="1998883"/>
          </a:xfrm>
        </xdr:grpSpPr>
        <xdr:sp macro="" textlink="">
          <xdr:nvSpPr>
            <xdr:cNvPr id="27" name="Retângulo 26">
              <a:extLst>
                <a:ext uri="{FF2B5EF4-FFF2-40B4-BE49-F238E27FC236}">
                  <a16:creationId xmlns:a16="http://schemas.microsoft.com/office/drawing/2014/main" id="{00000000-0008-0000-0000-00001B000000}"/>
                </a:ext>
              </a:extLst>
            </xdr:cNvPr>
            <xdr:cNvSpPr/>
          </xdr:nvSpPr>
          <xdr:spPr>
            <a:xfrm>
              <a:off x="4856207" y="4304763"/>
              <a:ext cx="126990" cy="808797"/>
            </a:xfrm>
            <a:prstGeom prst="rect">
              <a:avLst/>
            </a:prstGeom>
            <a:pattFill prst="lgConfetti">
              <a:fgClr>
                <a:schemeClr val="accent1"/>
              </a:fgClr>
              <a:bgClr>
                <a:schemeClr val="bg1"/>
              </a:bgClr>
            </a:patt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28" name="Retângulo 27">
              <a:extLst>
                <a:ext uri="{FF2B5EF4-FFF2-40B4-BE49-F238E27FC236}">
                  <a16:creationId xmlns:a16="http://schemas.microsoft.com/office/drawing/2014/main" id="{00000000-0008-0000-0000-00001C000000}"/>
                </a:ext>
              </a:extLst>
            </xdr:cNvPr>
            <xdr:cNvSpPr/>
          </xdr:nvSpPr>
          <xdr:spPr>
            <a:xfrm>
              <a:off x="4856207" y="4963354"/>
              <a:ext cx="791247" cy="161759"/>
            </a:xfrm>
            <a:prstGeom prst="rect">
              <a:avLst/>
            </a:prstGeom>
            <a:pattFill prst="lgConfetti">
              <a:fgClr>
                <a:schemeClr val="accent1"/>
              </a:fgClr>
              <a:bgClr>
                <a:schemeClr val="bg1"/>
              </a:bgClr>
            </a:patt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29" name="Retângulo 28">
              <a:extLst>
                <a:ext uri="{FF2B5EF4-FFF2-40B4-BE49-F238E27FC236}">
                  <a16:creationId xmlns:a16="http://schemas.microsoft.com/office/drawing/2014/main" id="{00000000-0008-0000-0000-00001D000000}"/>
                </a:ext>
              </a:extLst>
            </xdr:cNvPr>
            <xdr:cNvSpPr/>
          </xdr:nvSpPr>
          <xdr:spPr>
            <a:xfrm>
              <a:off x="5618148" y="4304763"/>
              <a:ext cx="205138" cy="1467388"/>
            </a:xfrm>
            <a:prstGeom prst="rect">
              <a:avLst/>
            </a:prstGeom>
            <a:pattFill prst="smConfetti">
              <a:fgClr>
                <a:schemeClr val="accent1"/>
              </a:fgClr>
              <a:bgClr>
                <a:schemeClr val="bg1"/>
              </a:bgClr>
            </a:patt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30" name="CaixaDeTexto 29">
              <a:extLst>
                <a:ext uri="{FF2B5EF4-FFF2-40B4-BE49-F238E27FC236}">
                  <a16:creationId xmlns:a16="http://schemas.microsoft.com/office/drawing/2014/main" id="{00000000-0008-0000-0000-00001E000000}"/>
                </a:ext>
              </a:extLst>
            </xdr:cNvPr>
            <xdr:cNvSpPr txBox="1"/>
          </xdr:nvSpPr>
          <xdr:spPr>
            <a:xfrm>
              <a:off x="4787827" y="3773268"/>
              <a:ext cx="273518" cy="265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A</a:t>
              </a:r>
            </a:p>
          </xdr:txBody>
        </xdr:sp>
        <xdr:cxnSp macro="">
          <xdr:nvCxnSpPr>
            <xdr:cNvPr id="31" name="Conector reto 30">
              <a:extLst>
                <a:ext uri="{FF2B5EF4-FFF2-40B4-BE49-F238E27FC236}">
                  <a16:creationId xmlns:a16="http://schemas.microsoft.com/office/drawing/2014/main" id="{00000000-0008-0000-0000-00001F000000}"/>
                </a:ext>
              </a:extLst>
            </xdr:cNvPr>
            <xdr:cNvCxnSpPr/>
          </xdr:nvCxnSpPr>
          <xdr:spPr>
            <a:xfrm flipV="1">
              <a:off x="4856207" y="3992799"/>
              <a:ext cx="0" cy="27730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2" name="Conector reto 31">
              <a:extLst>
                <a:ext uri="{FF2B5EF4-FFF2-40B4-BE49-F238E27FC236}">
                  <a16:creationId xmlns:a16="http://schemas.microsoft.com/office/drawing/2014/main" id="{00000000-0008-0000-0000-000020000000}"/>
                </a:ext>
              </a:extLst>
            </xdr:cNvPr>
            <xdr:cNvCxnSpPr/>
          </xdr:nvCxnSpPr>
          <xdr:spPr>
            <a:xfrm flipV="1">
              <a:off x="4992965" y="3992799"/>
              <a:ext cx="0" cy="26574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3" name="Conector reto 32">
              <a:extLst>
                <a:ext uri="{FF2B5EF4-FFF2-40B4-BE49-F238E27FC236}">
                  <a16:creationId xmlns:a16="http://schemas.microsoft.com/office/drawing/2014/main" id="{00000000-0008-0000-0000-000021000000}"/>
                </a:ext>
              </a:extLst>
            </xdr:cNvPr>
            <xdr:cNvCxnSpPr/>
          </xdr:nvCxnSpPr>
          <xdr:spPr>
            <a:xfrm>
              <a:off x="4787827" y="4050570"/>
              <a:ext cx="302823"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4" name="Conector reto 33">
              <a:extLst>
                <a:ext uri="{FF2B5EF4-FFF2-40B4-BE49-F238E27FC236}">
                  <a16:creationId xmlns:a16="http://schemas.microsoft.com/office/drawing/2014/main" id="{00000000-0008-0000-0000-000022000000}"/>
                </a:ext>
              </a:extLst>
            </xdr:cNvPr>
            <xdr:cNvCxnSpPr/>
          </xdr:nvCxnSpPr>
          <xdr:spPr>
            <a:xfrm flipV="1">
              <a:off x="4817133" y="4015907"/>
              <a:ext cx="78148" cy="9243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5" name="Conector reto 34">
              <a:extLst>
                <a:ext uri="{FF2B5EF4-FFF2-40B4-BE49-F238E27FC236}">
                  <a16:creationId xmlns:a16="http://schemas.microsoft.com/office/drawing/2014/main" id="{00000000-0008-0000-0000-000023000000}"/>
                </a:ext>
              </a:extLst>
            </xdr:cNvPr>
            <xdr:cNvCxnSpPr/>
          </xdr:nvCxnSpPr>
          <xdr:spPr>
            <a:xfrm flipV="1">
              <a:off x="4963660" y="4004353"/>
              <a:ext cx="78148" cy="10398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6" name="Conector reto 35">
              <a:extLst>
                <a:ext uri="{FF2B5EF4-FFF2-40B4-BE49-F238E27FC236}">
                  <a16:creationId xmlns:a16="http://schemas.microsoft.com/office/drawing/2014/main" id="{00000000-0008-0000-0000-000024000000}"/>
                </a:ext>
              </a:extLst>
            </xdr:cNvPr>
            <xdr:cNvCxnSpPr/>
          </xdr:nvCxnSpPr>
          <xdr:spPr>
            <a:xfrm>
              <a:off x="4514310" y="4293209"/>
              <a:ext cx="31259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7" name="Conector reto 36">
              <a:extLst>
                <a:ext uri="{FF2B5EF4-FFF2-40B4-BE49-F238E27FC236}">
                  <a16:creationId xmlns:a16="http://schemas.microsoft.com/office/drawing/2014/main" id="{00000000-0008-0000-0000-000025000000}"/>
                </a:ext>
              </a:extLst>
            </xdr:cNvPr>
            <xdr:cNvCxnSpPr/>
          </xdr:nvCxnSpPr>
          <xdr:spPr>
            <a:xfrm>
              <a:off x="4494773" y="4963354"/>
              <a:ext cx="31259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38" name="Conector reto 37">
              <a:extLst>
                <a:ext uri="{FF2B5EF4-FFF2-40B4-BE49-F238E27FC236}">
                  <a16:creationId xmlns:a16="http://schemas.microsoft.com/office/drawing/2014/main" id="{00000000-0008-0000-0000-000026000000}"/>
                </a:ext>
              </a:extLst>
            </xdr:cNvPr>
            <xdr:cNvCxnSpPr/>
          </xdr:nvCxnSpPr>
          <xdr:spPr>
            <a:xfrm flipV="1">
              <a:off x="4621763" y="4235437"/>
              <a:ext cx="0" cy="105143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39" name="CaixaDeTexto 38">
              <a:extLst>
                <a:ext uri="{FF2B5EF4-FFF2-40B4-BE49-F238E27FC236}">
                  <a16:creationId xmlns:a16="http://schemas.microsoft.com/office/drawing/2014/main" id="{00000000-0008-0000-0000-000027000000}"/>
                </a:ext>
              </a:extLst>
            </xdr:cNvPr>
            <xdr:cNvSpPr txBox="1"/>
          </xdr:nvSpPr>
          <xdr:spPr>
            <a:xfrm>
              <a:off x="4397088" y="4524293"/>
              <a:ext cx="263749" cy="265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t-BR" sz="1100">
                  <a:solidFill>
                    <a:schemeClr val="dk1"/>
                  </a:solidFill>
                  <a:latin typeface="+mn-lt"/>
                  <a:ea typeface="+mn-ea"/>
                  <a:cs typeface="+mn-cs"/>
                </a:rPr>
                <a:t>B</a:t>
              </a:r>
            </a:p>
          </xdr:txBody>
        </xdr:sp>
        <xdr:cxnSp macro="">
          <xdr:nvCxnSpPr>
            <xdr:cNvPr id="40" name="Conector reto 39">
              <a:extLst>
                <a:ext uri="{FF2B5EF4-FFF2-40B4-BE49-F238E27FC236}">
                  <a16:creationId xmlns:a16="http://schemas.microsoft.com/office/drawing/2014/main" id="{00000000-0008-0000-0000-000028000000}"/>
                </a:ext>
              </a:extLst>
            </xdr:cNvPr>
            <xdr:cNvCxnSpPr/>
          </xdr:nvCxnSpPr>
          <xdr:spPr>
            <a:xfrm flipV="1">
              <a:off x="4582689" y="4235437"/>
              <a:ext cx="68379" cy="11554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1" name="Conector reto 40">
              <a:extLst>
                <a:ext uri="{FF2B5EF4-FFF2-40B4-BE49-F238E27FC236}">
                  <a16:creationId xmlns:a16="http://schemas.microsoft.com/office/drawing/2014/main" id="{00000000-0008-0000-0000-000029000000}"/>
                </a:ext>
              </a:extLst>
            </xdr:cNvPr>
            <xdr:cNvCxnSpPr/>
          </xdr:nvCxnSpPr>
          <xdr:spPr>
            <a:xfrm flipV="1">
              <a:off x="4592458" y="4917137"/>
              <a:ext cx="68379" cy="10398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2" name="Conector reto 41">
              <a:extLst>
                <a:ext uri="{FF2B5EF4-FFF2-40B4-BE49-F238E27FC236}">
                  <a16:creationId xmlns:a16="http://schemas.microsoft.com/office/drawing/2014/main" id="{00000000-0008-0000-0000-00002A000000}"/>
                </a:ext>
              </a:extLst>
            </xdr:cNvPr>
            <xdr:cNvCxnSpPr/>
          </xdr:nvCxnSpPr>
          <xdr:spPr>
            <a:xfrm flipV="1">
              <a:off x="4582689" y="5078897"/>
              <a:ext cx="68379" cy="9243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3" name="Conector reto 42">
              <a:extLst>
                <a:ext uri="{FF2B5EF4-FFF2-40B4-BE49-F238E27FC236}">
                  <a16:creationId xmlns:a16="http://schemas.microsoft.com/office/drawing/2014/main" id="{00000000-0008-0000-0000-00002B000000}"/>
                </a:ext>
              </a:extLst>
            </xdr:cNvPr>
            <xdr:cNvCxnSpPr/>
          </xdr:nvCxnSpPr>
          <xdr:spPr>
            <a:xfrm>
              <a:off x="4485004" y="5125114"/>
              <a:ext cx="312591"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4" name="CaixaDeTexto 43">
              <a:extLst>
                <a:ext uri="{FF2B5EF4-FFF2-40B4-BE49-F238E27FC236}">
                  <a16:creationId xmlns:a16="http://schemas.microsoft.com/office/drawing/2014/main" id="{00000000-0008-0000-0000-00002C000000}"/>
                </a:ext>
              </a:extLst>
            </xdr:cNvPr>
            <xdr:cNvSpPr txBox="1"/>
          </xdr:nvSpPr>
          <xdr:spPr>
            <a:xfrm>
              <a:off x="4406856" y="4894029"/>
              <a:ext cx="273518" cy="242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t-BR" sz="1100">
                  <a:solidFill>
                    <a:schemeClr val="dk1"/>
                  </a:solidFill>
                  <a:latin typeface="+mn-lt"/>
                  <a:ea typeface="+mn-ea"/>
                  <a:cs typeface="+mn-cs"/>
                </a:rPr>
                <a:t>L</a:t>
              </a:r>
            </a:p>
          </xdr:txBody>
        </xdr:sp>
        <xdr:cxnSp macro="">
          <xdr:nvCxnSpPr>
            <xdr:cNvPr id="45" name="Conector reto 44">
              <a:extLst>
                <a:ext uri="{FF2B5EF4-FFF2-40B4-BE49-F238E27FC236}">
                  <a16:creationId xmlns:a16="http://schemas.microsoft.com/office/drawing/2014/main" id="{00000000-0008-0000-0000-00002D000000}"/>
                </a:ext>
              </a:extLst>
            </xdr:cNvPr>
            <xdr:cNvCxnSpPr/>
          </xdr:nvCxnSpPr>
          <xdr:spPr>
            <a:xfrm>
              <a:off x="4719448" y="5413970"/>
              <a:ext cx="947543"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6" name="Conector reto 45">
              <a:extLst>
                <a:ext uri="{FF2B5EF4-FFF2-40B4-BE49-F238E27FC236}">
                  <a16:creationId xmlns:a16="http://schemas.microsoft.com/office/drawing/2014/main" id="{00000000-0008-0000-0000-00002E000000}"/>
                </a:ext>
              </a:extLst>
            </xdr:cNvPr>
            <xdr:cNvCxnSpPr/>
          </xdr:nvCxnSpPr>
          <xdr:spPr>
            <a:xfrm flipV="1">
              <a:off x="4856207" y="5159776"/>
              <a:ext cx="0" cy="35818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7" name="Conector reto 46">
              <a:extLst>
                <a:ext uri="{FF2B5EF4-FFF2-40B4-BE49-F238E27FC236}">
                  <a16:creationId xmlns:a16="http://schemas.microsoft.com/office/drawing/2014/main" id="{00000000-0008-0000-0000-00002F000000}"/>
                </a:ext>
              </a:extLst>
            </xdr:cNvPr>
            <xdr:cNvCxnSpPr/>
          </xdr:nvCxnSpPr>
          <xdr:spPr>
            <a:xfrm flipV="1">
              <a:off x="4807364" y="5379307"/>
              <a:ext cx="87916" cy="10398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48" name="Conector reto 47">
              <a:extLst>
                <a:ext uri="{FF2B5EF4-FFF2-40B4-BE49-F238E27FC236}">
                  <a16:creationId xmlns:a16="http://schemas.microsoft.com/office/drawing/2014/main" id="{00000000-0008-0000-0000-000030000000}"/>
                </a:ext>
              </a:extLst>
            </xdr:cNvPr>
            <xdr:cNvCxnSpPr/>
          </xdr:nvCxnSpPr>
          <xdr:spPr>
            <a:xfrm flipV="1">
              <a:off x="5598611" y="5367753"/>
              <a:ext cx="68379" cy="11554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49" name="CaixaDeTexto 48">
              <a:extLst>
                <a:ext uri="{FF2B5EF4-FFF2-40B4-BE49-F238E27FC236}">
                  <a16:creationId xmlns:a16="http://schemas.microsoft.com/office/drawing/2014/main" id="{00000000-0008-0000-0000-000031000000}"/>
                </a:ext>
              </a:extLst>
            </xdr:cNvPr>
            <xdr:cNvSpPr txBox="1"/>
          </xdr:nvSpPr>
          <xdr:spPr>
            <a:xfrm>
              <a:off x="5090650" y="5171331"/>
              <a:ext cx="283286" cy="265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t-BR" sz="1100">
                  <a:solidFill>
                    <a:schemeClr val="dk1"/>
                  </a:solidFill>
                  <a:latin typeface="+mn-lt"/>
                  <a:ea typeface="+mn-ea"/>
                  <a:cs typeface="+mn-cs"/>
                </a:rPr>
                <a:t>M</a:t>
              </a:r>
            </a:p>
          </xdr:txBody>
        </xdr:sp>
        <xdr:sp macro="" textlink="">
          <xdr:nvSpPr>
            <xdr:cNvPr id="50" name="CaixaDeTexto 49">
              <a:extLst>
                <a:ext uri="{FF2B5EF4-FFF2-40B4-BE49-F238E27FC236}">
                  <a16:creationId xmlns:a16="http://schemas.microsoft.com/office/drawing/2014/main" id="{00000000-0008-0000-0000-000032000000}"/>
                </a:ext>
              </a:extLst>
            </xdr:cNvPr>
            <xdr:cNvSpPr txBox="1"/>
          </xdr:nvSpPr>
          <xdr:spPr>
            <a:xfrm>
              <a:off x="4924586" y="4454968"/>
              <a:ext cx="947543" cy="323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t-BR" sz="1100">
                  <a:solidFill>
                    <a:schemeClr val="dk1"/>
                  </a:solidFill>
                  <a:latin typeface="+mn-lt"/>
                  <a:ea typeface="+mn-ea"/>
                  <a:cs typeface="+mn-cs"/>
                </a:rPr>
                <a:t>CANALETA</a:t>
              </a:r>
            </a:p>
          </xdr:txBody>
        </xdr:sp>
        <xdr:cxnSp macro="">
          <xdr:nvCxnSpPr>
            <xdr:cNvPr id="51" name="Conector reto 50">
              <a:extLst>
                <a:ext uri="{FF2B5EF4-FFF2-40B4-BE49-F238E27FC236}">
                  <a16:creationId xmlns:a16="http://schemas.microsoft.com/office/drawing/2014/main" id="{00000000-0008-0000-0000-000033000000}"/>
                </a:ext>
              </a:extLst>
            </xdr:cNvPr>
            <xdr:cNvCxnSpPr/>
          </xdr:nvCxnSpPr>
          <xdr:spPr>
            <a:xfrm flipV="1">
              <a:off x="4963660" y="4697607"/>
              <a:ext cx="283286" cy="13865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52" name="Conector reto 51">
              <a:extLst>
                <a:ext uri="{FF2B5EF4-FFF2-40B4-BE49-F238E27FC236}">
                  <a16:creationId xmlns:a16="http://schemas.microsoft.com/office/drawing/2014/main" id="{00000000-0008-0000-0000-000034000000}"/>
                </a:ext>
              </a:extLst>
            </xdr:cNvPr>
            <xdr:cNvCxnSpPr/>
          </xdr:nvCxnSpPr>
          <xdr:spPr>
            <a:xfrm flipV="1">
              <a:off x="5159030" y="4697607"/>
              <a:ext cx="87916" cy="35818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25" name="CaixaDeTexto 24">
            <a:extLst>
              <a:ext uri="{FF2B5EF4-FFF2-40B4-BE49-F238E27FC236}">
                <a16:creationId xmlns:a16="http://schemas.microsoft.com/office/drawing/2014/main" id="{00000000-0008-0000-0000-000019000000}"/>
              </a:ext>
            </a:extLst>
          </xdr:cNvPr>
          <xdr:cNvSpPr txBox="1"/>
        </xdr:nvSpPr>
        <xdr:spPr>
          <a:xfrm>
            <a:off x="5892659" y="4319614"/>
            <a:ext cx="814455" cy="952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t-BR" sz="1100">
                <a:solidFill>
                  <a:schemeClr val="dk1"/>
                </a:solidFill>
                <a:latin typeface="+mn-lt"/>
                <a:ea typeface="+mn-ea"/>
                <a:cs typeface="+mn-cs"/>
              </a:rPr>
              <a:t>PAINEL</a:t>
            </a:r>
            <a:r>
              <a:rPr lang="pt-BR" sz="1100" baseline="0">
                <a:solidFill>
                  <a:schemeClr val="dk1"/>
                </a:solidFill>
                <a:latin typeface="+mn-lt"/>
                <a:ea typeface="+mn-ea"/>
                <a:cs typeface="+mn-cs"/>
              </a:rPr>
              <a:t> </a:t>
            </a:r>
            <a:r>
              <a:rPr lang="pt-BR" sz="1100">
                <a:solidFill>
                  <a:schemeClr val="dk1"/>
                </a:solidFill>
                <a:latin typeface="+mn-lt"/>
                <a:ea typeface="+mn-ea"/>
                <a:cs typeface="+mn-cs"/>
              </a:rPr>
              <a:t>do TANQUE</a:t>
            </a:r>
          </a:p>
        </xdr:txBody>
      </xdr:sp>
      <xdr:cxnSp macro="">
        <xdr:nvCxnSpPr>
          <xdr:cNvPr id="26" name="Conector reto 25">
            <a:extLst>
              <a:ext uri="{FF2B5EF4-FFF2-40B4-BE49-F238E27FC236}">
                <a16:creationId xmlns:a16="http://schemas.microsoft.com/office/drawing/2014/main" id="{00000000-0008-0000-0000-00001A000000}"/>
              </a:ext>
            </a:extLst>
          </xdr:cNvPr>
          <xdr:cNvCxnSpPr/>
        </xdr:nvCxnSpPr>
        <xdr:spPr>
          <a:xfrm flipV="1">
            <a:off x="5768095" y="5004656"/>
            <a:ext cx="316200" cy="19738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11</xdr:col>
      <xdr:colOff>447675</xdr:colOff>
      <xdr:row>103</xdr:row>
      <xdr:rowOff>28575</xdr:rowOff>
    </xdr:from>
    <xdr:to>
      <xdr:col>16</xdr:col>
      <xdr:colOff>28575</xdr:colOff>
      <xdr:row>117</xdr:row>
      <xdr:rowOff>47625</xdr:rowOff>
    </xdr:to>
    <xdr:grpSp>
      <xdr:nvGrpSpPr>
        <xdr:cNvPr id="3405398" name="Grupo 193">
          <a:extLst>
            <a:ext uri="{FF2B5EF4-FFF2-40B4-BE49-F238E27FC236}">
              <a16:creationId xmlns:a16="http://schemas.microsoft.com/office/drawing/2014/main" id="{00000000-0008-0000-0000-000056F63300}"/>
            </a:ext>
          </a:extLst>
        </xdr:cNvPr>
        <xdr:cNvGrpSpPr>
          <a:grpSpLocks/>
        </xdr:cNvGrpSpPr>
      </xdr:nvGrpSpPr>
      <xdr:grpSpPr bwMode="auto">
        <a:xfrm>
          <a:off x="6996113" y="10372725"/>
          <a:ext cx="2085975" cy="1762125"/>
          <a:chOff x="7784815" y="4184574"/>
          <a:chExt cx="2082499" cy="3025252"/>
        </a:xfrm>
      </xdr:grpSpPr>
      <xdr:sp macro="" textlink="">
        <xdr:nvSpPr>
          <xdr:cNvPr id="54" name="Retângulo 53">
            <a:extLst>
              <a:ext uri="{FF2B5EF4-FFF2-40B4-BE49-F238E27FC236}">
                <a16:creationId xmlns:a16="http://schemas.microsoft.com/office/drawing/2014/main" id="{00000000-0008-0000-0000-000036000000}"/>
              </a:ext>
            </a:extLst>
          </xdr:cNvPr>
          <xdr:cNvSpPr/>
        </xdr:nvSpPr>
        <xdr:spPr>
          <a:xfrm>
            <a:off x="8379815" y="4936799"/>
            <a:ext cx="348793" cy="784930"/>
          </a:xfrm>
          <a:prstGeom prst="rect">
            <a:avLst/>
          </a:prstGeom>
          <a:pattFill prst="lgConfetti">
            <a:fgClr>
              <a:schemeClr val="accent1"/>
            </a:fgClr>
            <a:bgClr>
              <a:schemeClr val="bg1"/>
            </a:bgClr>
          </a:patt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55" name="Triângulo isósceles 54">
            <a:extLst>
              <a:ext uri="{FF2B5EF4-FFF2-40B4-BE49-F238E27FC236}">
                <a16:creationId xmlns:a16="http://schemas.microsoft.com/office/drawing/2014/main" id="{00000000-0008-0000-0000-000037000000}"/>
              </a:ext>
            </a:extLst>
          </xdr:cNvPr>
          <xdr:cNvSpPr/>
        </xdr:nvSpPr>
        <xdr:spPr>
          <a:xfrm rot="10800000">
            <a:off x="8379815" y="5721729"/>
            <a:ext cx="502672" cy="703167"/>
          </a:xfrm>
          <a:prstGeom prst="triangle">
            <a:avLst>
              <a:gd name="adj" fmla="val 30000"/>
            </a:avLst>
          </a:prstGeom>
          <a:pattFill prst="lgConfetti">
            <a:fgClr>
              <a:schemeClr val="accent1"/>
            </a:fgClr>
            <a:bgClr>
              <a:schemeClr val="bg1"/>
            </a:bgClr>
          </a:patt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56" name="Retângulo 55">
            <a:extLst>
              <a:ext uri="{FF2B5EF4-FFF2-40B4-BE49-F238E27FC236}">
                <a16:creationId xmlns:a16="http://schemas.microsoft.com/office/drawing/2014/main" id="{00000000-0008-0000-0000-000038000000}"/>
              </a:ext>
            </a:extLst>
          </xdr:cNvPr>
          <xdr:cNvSpPr/>
        </xdr:nvSpPr>
        <xdr:spPr>
          <a:xfrm>
            <a:off x="8728608" y="4936799"/>
            <a:ext cx="194914" cy="2256674"/>
          </a:xfrm>
          <a:prstGeom prst="rect">
            <a:avLst/>
          </a:prstGeom>
          <a:pattFill prst="smConfetti">
            <a:fgClr>
              <a:schemeClr val="accent1"/>
            </a:fgClr>
            <a:bgClr>
              <a:schemeClr val="bg1"/>
            </a:bgClr>
          </a:patt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xnSp macro="">
        <xdr:nvCxnSpPr>
          <xdr:cNvPr id="57" name="Conector reto 56">
            <a:extLst>
              <a:ext uri="{FF2B5EF4-FFF2-40B4-BE49-F238E27FC236}">
                <a16:creationId xmlns:a16="http://schemas.microsoft.com/office/drawing/2014/main" id="{00000000-0008-0000-0000-000039000000}"/>
              </a:ext>
            </a:extLst>
          </xdr:cNvPr>
          <xdr:cNvCxnSpPr/>
        </xdr:nvCxnSpPr>
        <xdr:spPr>
          <a:xfrm flipV="1">
            <a:off x="8061798" y="4855035"/>
            <a:ext cx="0" cy="104657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58" name="CaixaDeTexto 57">
            <a:extLst>
              <a:ext uri="{FF2B5EF4-FFF2-40B4-BE49-F238E27FC236}">
                <a16:creationId xmlns:a16="http://schemas.microsoft.com/office/drawing/2014/main" id="{00000000-0008-0000-0000-00003A000000}"/>
              </a:ext>
            </a:extLst>
          </xdr:cNvPr>
          <xdr:cNvSpPr txBox="1"/>
        </xdr:nvSpPr>
        <xdr:spPr>
          <a:xfrm>
            <a:off x="7784815" y="5149384"/>
            <a:ext cx="400086" cy="392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t-BR" sz="1100">
                <a:solidFill>
                  <a:schemeClr val="dk1"/>
                </a:solidFill>
                <a:latin typeface="+mn-lt"/>
                <a:ea typeface="+mn-ea"/>
                <a:cs typeface="+mn-cs"/>
              </a:rPr>
              <a:t>S</a:t>
            </a:r>
          </a:p>
        </xdr:txBody>
      </xdr:sp>
      <xdr:cxnSp macro="">
        <xdr:nvCxnSpPr>
          <xdr:cNvPr id="59" name="Conector reto 58">
            <a:extLst>
              <a:ext uri="{FF2B5EF4-FFF2-40B4-BE49-F238E27FC236}">
                <a16:creationId xmlns:a16="http://schemas.microsoft.com/office/drawing/2014/main" id="{00000000-0008-0000-0000-00003B000000}"/>
              </a:ext>
            </a:extLst>
          </xdr:cNvPr>
          <xdr:cNvCxnSpPr/>
        </xdr:nvCxnSpPr>
        <xdr:spPr>
          <a:xfrm flipV="1">
            <a:off x="8061798" y="5476438"/>
            <a:ext cx="0" cy="1046574"/>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60" name="CaixaDeTexto 59">
            <a:extLst>
              <a:ext uri="{FF2B5EF4-FFF2-40B4-BE49-F238E27FC236}">
                <a16:creationId xmlns:a16="http://schemas.microsoft.com/office/drawing/2014/main" id="{00000000-0008-0000-0000-00003C000000}"/>
              </a:ext>
            </a:extLst>
          </xdr:cNvPr>
          <xdr:cNvSpPr txBox="1"/>
        </xdr:nvSpPr>
        <xdr:spPr>
          <a:xfrm>
            <a:off x="7805332" y="5885256"/>
            <a:ext cx="430862" cy="392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t-BR" sz="1100">
                <a:solidFill>
                  <a:schemeClr val="dk1"/>
                </a:solidFill>
                <a:latin typeface="+mn-lt"/>
                <a:ea typeface="+mn-ea"/>
                <a:cs typeface="+mn-cs"/>
              </a:rPr>
              <a:t>T</a:t>
            </a:r>
          </a:p>
        </xdr:txBody>
      </xdr:sp>
      <xdr:cxnSp macro="">
        <xdr:nvCxnSpPr>
          <xdr:cNvPr id="61" name="Conector reto 60">
            <a:extLst>
              <a:ext uri="{FF2B5EF4-FFF2-40B4-BE49-F238E27FC236}">
                <a16:creationId xmlns:a16="http://schemas.microsoft.com/office/drawing/2014/main" id="{00000000-0008-0000-0000-00003D000000}"/>
              </a:ext>
            </a:extLst>
          </xdr:cNvPr>
          <xdr:cNvCxnSpPr/>
        </xdr:nvCxnSpPr>
        <xdr:spPr>
          <a:xfrm>
            <a:off x="7918177" y="4936799"/>
            <a:ext cx="36931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2" name="Conector reto 61">
            <a:extLst>
              <a:ext uri="{FF2B5EF4-FFF2-40B4-BE49-F238E27FC236}">
                <a16:creationId xmlns:a16="http://schemas.microsoft.com/office/drawing/2014/main" id="{00000000-0008-0000-0000-00003E000000}"/>
              </a:ext>
            </a:extLst>
          </xdr:cNvPr>
          <xdr:cNvCxnSpPr/>
        </xdr:nvCxnSpPr>
        <xdr:spPr>
          <a:xfrm>
            <a:off x="7928436" y="5705376"/>
            <a:ext cx="400086"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3" name="Conector reto 62">
            <a:extLst>
              <a:ext uri="{FF2B5EF4-FFF2-40B4-BE49-F238E27FC236}">
                <a16:creationId xmlns:a16="http://schemas.microsoft.com/office/drawing/2014/main" id="{00000000-0008-0000-0000-00003F000000}"/>
              </a:ext>
            </a:extLst>
          </xdr:cNvPr>
          <xdr:cNvCxnSpPr/>
        </xdr:nvCxnSpPr>
        <xdr:spPr>
          <a:xfrm>
            <a:off x="7928436" y="6408543"/>
            <a:ext cx="67706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4" name="Conector reto 63">
            <a:extLst>
              <a:ext uri="{FF2B5EF4-FFF2-40B4-BE49-F238E27FC236}">
                <a16:creationId xmlns:a16="http://schemas.microsoft.com/office/drawing/2014/main" id="{00000000-0008-0000-0000-000040000000}"/>
              </a:ext>
            </a:extLst>
          </xdr:cNvPr>
          <xdr:cNvCxnSpPr/>
        </xdr:nvCxnSpPr>
        <xdr:spPr>
          <a:xfrm flipV="1">
            <a:off x="8031022" y="4887741"/>
            <a:ext cx="71810" cy="11446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5" name="Conector reto 64">
            <a:extLst>
              <a:ext uri="{FF2B5EF4-FFF2-40B4-BE49-F238E27FC236}">
                <a16:creationId xmlns:a16="http://schemas.microsoft.com/office/drawing/2014/main" id="{00000000-0008-0000-0000-000041000000}"/>
              </a:ext>
            </a:extLst>
          </xdr:cNvPr>
          <xdr:cNvCxnSpPr/>
        </xdr:nvCxnSpPr>
        <xdr:spPr>
          <a:xfrm flipV="1">
            <a:off x="8031022" y="5656318"/>
            <a:ext cx="71810" cy="9811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6" name="Conector reto 65">
            <a:extLst>
              <a:ext uri="{FF2B5EF4-FFF2-40B4-BE49-F238E27FC236}">
                <a16:creationId xmlns:a16="http://schemas.microsoft.com/office/drawing/2014/main" id="{00000000-0008-0000-0000-000042000000}"/>
              </a:ext>
            </a:extLst>
          </xdr:cNvPr>
          <xdr:cNvCxnSpPr/>
        </xdr:nvCxnSpPr>
        <xdr:spPr>
          <a:xfrm flipV="1">
            <a:off x="8031022" y="6359485"/>
            <a:ext cx="71810" cy="9811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67" name="CaixaDeTexto 66">
            <a:extLst>
              <a:ext uri="{FF2B5EF4-FFF2-40B4-BE49-F238E27FC236}">
                <a16:creationId xmlns:a16="http://schemas.microsoft.com/office/drawing/2014/main" id="{00000000-0008-0000-0000-000043000000}"/>
              </a:ext>
            </a:extLst>
          </xdr:cNvPr>
          <xdr:cNvSpPr txBox="1"/>
        </xdr:nvSpPr>
        <xdr:spPr>
          <a:xfrm>
            <a:off x="8390073" y="4184574"/>
            <a:ext cx="400086" cy="392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R</a:t>
            </a:r>
          </a:p>
        </xdr:txBody>
      </xdr:sp>
      <xdr:cxnSp macro="">
        <xdr:nvCxnSpPr>
          <xdr:cNvPr id="68" name="Conector reto 67">
            <a:extLst>
              <a:ext uri="{FF2B5EF4-FFF2-40B4-BE49-F238E27FC236}">
                <a16:creationId xmlns:a16="http://schemas.microsoft.com/office/drawing/2014/main" id="{00000000-0008-0000-0000-000044000000}"/>
              </a:ext>
            </a:extLst>
          </xdr:cNvPr>
          <xdr:cNvCxnSpPr/>
        </xdr:nvCxnSpPr>
        <xdr:spPr>
          <a:xfrm>
            <a:off x="8266970" y="4577039"/>
            <a:ext cx="595000"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69" name="Conector reto 68">
            <a:extLst>
              <a:ext uri="{FF2B5EF4-FFF2-40B4-BE49-F238E27FC236}">
                <a16:creationId xmlns:a16="http://schemas.microsoft.com/office/drawing/2014/main" id="{00000000-0008-0000-0000-000045000000}"/>
              </a:ext>
            </a:extLst>
          </xdr:cNvPr>
          <xdr:cNvCxnSpPr/>
        </xdr:nvCxnSpPr>
        <xdr:spPr>
          <a:xfrm flipV="1">
            <a:off x="8349039" y="4527981"/>
            <a:ext cx="61552" cy="9811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0" name="Conector reto 69">
            <a:extLst>
              <a:ext uri="{FF2B5EF4-FFF2-40B4-BE49-F238E27FC236}">
                <a16:creationId xmlns:a16="http://schemas.microsoft.com/office/drawing/2014/main" id="{00000000-0008-0000-0000-000046000000}"/>
              </a:ext>
            </a:extLst>
          </xdr:cNvPr>
          <xdr:cNvCxnSpPr/>
        </xdr:nvCxnSpPr>
        <xdr:spPr>
          <a:xfrm flipV="1">
            <a:off x="8687573" y="4527981"/>
            <a:ext cx="82069" cy="98116"/>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1" name="Conector reto 70">
            <a:extLst>
              <a:ext uri="{FF2B5EF4-FFF2-40B4-BE49-F238E27FC236}">
                <a16:creationId xmlns:a16="http://schemas.microsoft.com/office/drawing/2014/main" id="{00000000-0008-0000-0000-000047000000}"/>
              </a:ext>
            </a:extLst>
          </xdr:cNvPr>
          <xdr:cNvCxnSpPr/>
        </xdr:nvCxnSpPr>
        <xdr:spPr>
          <a:xfrm flipV="1">
            <a:off x="8379815" y="4478923"/>
            <a:ext cx="0" cy="35976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xnSp macro="">
        <xdr:nvCxnSpPr>
          <xdr:cNvPr id="72" name="Conector reto 71">
            <a:extLst>
              <a:ext uri="{FF2B5EF4-FFF2-40B4-BE49-F238E27FC236}">
                <a16:creationId xmlns:a16="http://schemas.microsoft.com/office/drawing/2014/main" id="{00000000-0008-0000-0000-000048000000}"/>
              </a:ext>
            </a:extLst>
          </xdr:cNvPr>
          <xdr:cNvCxnSpPr/>
        </xdr:nvCxnSpPr>
        <xdr:spPr>
          <a:xfrm flipV="1">
            <a:off x="8728608" y="4478923"/>
            <a:ext cx="0" cy="34340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73" name="CaixaDeTexto 72">
            <a:extLst>
              <a:ext uri="{FF2B5EF4-FFF2-40B4-BE49-F238E27FC236}">
                <a16:creationId xmlns:a16="http://schemas.microsoft.com/office/drawing/2014/main" id="{00000000-0008-0000-0000-000049000000}"/>
              </a:ext>
            </a:extLst>
          </xdr:cNvPr>
          <xdr:cNvSpPr txBox="1"/>
        </xdr:nvSpPr>
        <xdr:spPr>
          <a:xfrm>
            <a:off x="8995332" y="6016078"/>
            <a:ext cx="871982" cy="1193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t-BR" sz="1100">
                <a:solidFill>
                  <a:schemeClr val="dk1"/>
                </a:solidFill>
                <a:latin typeface="+mn-lt"/>
                <a:ea typeface="+mn-ea"/>
                <a:cs typeface="+mn-cs"/>
              </a:rPr>
              <a:t>PAINEL</a:t>
            </a:r>
            <a:r>
              <a:rPr lang="pt-BR" sz="1100" baseline="0">
                <a:solidFill>
                  <a:schemeClr val="dk1"/>
                </a:solidFill>
                <a:latin typeface="+mn-lt"/>
                <a:ea typeface="+mn-ea"/>
                <a:cs typeface="+mn-cs"/>
              </a:rPr>
              <a:t> </a:t>
            </a:r>
            <a:r>
              <a:rPr lang="pt-BR" sz="1100">
                <a:solidFill>
                  <a:schemeClr val="dk1"/>
                </a:solidFill>
                <a:latin typeface="+mn-lt"/>
                <a:ea typeface="+mn-ea"/>
                <a:cs typeface="+mn-cs"/>
              </a:rPr>
              <a:t>do TANQUE</a:t>
            </a:r>
          </a:p>
        </xdr:txBody>
      </xdr:sp>
      <xdr:cxnSp macro="">
        <xdr:nvCxnSpPr>
          <xdr:cNvPr id="74" name="Conector reto 73">
            <a:extLst>
              <a:ext uri="{FF2B5EF4-FFF2-40B4-BE49-F238E27FC236}">
                <a16:creationId xmlns:a16="http://schemas.microsoft.com/office/drawing/2014/main" id="{00000000-0008-0000-0000-00004A000000}"/>
              </a:ext>
            </a:extLst>
          </xdr:cNvPr>
          <xdr:cNvCxnSpPr/>
        </xdr:nvCxnSpPr>
        <xdr:spPr>
          <a:xfrm flipV="1">
            <a:off x="8810677" y="6408543"/>
            <a:ext cx="266724" cy="49058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sp macro="" textlink="">
        <xdr:nvSpPr>
          <xdr:cNvPr id="75" name="CaixaDeTexto 74">
            <a:extLst>
              <a:ext uri="{FF2B5EF4-FFF2-40B4-BE49-F238E27FC236}">
                <a16:creationId xmlns:a16="http://schemas.microsoft.com/office/drawing/2014/main" id="{00000000-0008-0000-0000-00004B000000}"/>
              </a:ext>
            </a:extLst>
          </xdr:cNvPr>
          <xdr:cNvSpPr txBox="1"/>
        </xdr:nvSpPr>
        <xdr:spPr>
          <a:xfrm>
            <a:off x="8985073" y="4642450"/>
            <a:ext cx="718103" cy="1226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t-BR" sz="1100">
                <a:solidFill>
                  <a:schemeClr val="dk1"/>
                </a:solidFill>
                <a:latin typeface="+mn-lt"/>
                <a:ea typeface="+mn-ea"/>
                <a:cs typeface="+mn-cs"/>
              </a:rPr>
              <a:t>BEIRAL de APOIO</a:t>
            </a:r>
          </a:p>
        </xdr:txBody>
      </xdr:sp>
      <xdr:cxnSp macro="">
        <xdr:nvCxnSpPr>
          <xdr:cNvPr id="76" name="Conector reto 75">
            <a:extLst>
              <a:ext uri="{FF2B5EF4-FFF2-40B4-BE49-F238E27FC236}">
                <a16:creationId xmlns:a16="http://schemas.microsoft.com/office/drawing/2014/main" id="{00000000-0008-0000-0000-00004C000000}"/>
              </a:ext>
            </a:extLst>
          </xdr:cNvPr>
          <xdr:cNvCxnSpPr/>
        </xdr:nvCxnSpPr>
        <xdr:spPr>
          <a:xfrm flipV="1">
            <a:off x="8584987" y="5247500"/>
            <a:ext cx="430862" cy="31070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xdr:col>
      <xdr:colOff>307975</xdr:colOff>
      <xdr:row>627</xdr:row>
      <xdr:rowOff>133350</xdr:rowOff>
    </xdr:from>
    <xdr:to>
      <xdr:col>8</xdr:col>
      <xdr:colOff>568365</xdr:colOff>
      <xdr:row>628</xdr:row>
      <xdr:rowOff>95252</xdr:rowOff>
    </xdr:to>
    <xdr:cxnSp macro="">
      <xdr:nvCxnSpPr>
        <xdr:cNvPr id="89" name="Conector de seta reta 88">
          <a:extLst>
            <a:ext uri="{FF2B5EF4-FFF2-40B4-BE49-F238E27FC236}">
              <a16:creationId xmlns:a16="http://schemas.microsoft.com/office/drawing/2014/main" id="{00000000-0008-0000-0000-000059000000}"/>
            </a:ext>
          </a:extLst>
        </xdr:cNvPr>
        <xdr:cNvCxnSpPr/>
      </xdr:nvCxnSpPr>
      <xdr:spPr>
        <a:xfrm flipV="1">
          <a:off x="4594225" y="41633775"/>
          <a:ext cx="260390" cy="123827"/>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298450</xdr:colOff>
      <xdr:row>628</xdr:row>
      <xdr:rowOff>95250</xdr:rowOff>
    </xdr:from>
    <xdr:to>
      <xdr:col>8</xdr:col>
      <xdr:colOff>549157</xdr:colOff>
      <xdr:row>629</xdr:row>
      <xdr:rowOff>114300</xdr:rowOff>
    </xdr:to>
    <xdr:cxnSp macro="">
      <xdr:nvCxnSpPr>
        <xdr:cNvPr id="90" name="Conector de seta reta 89">
          <a:extLst>
            <a:ext uri="{FF2B5EF4-FFF2-40B4-BE49-F238E27FC236}">
              <a16:creationId xmlns:a16="http://schemas.microsoft.com/office/drawing/2014/main" id="{00000000-0008-0000-0000-00005A000000}"/>
            </a:ext>
          </a:extLst>
        </xdr:cNvPr>
        <xdr:cNvCxnSpPr/>
      </xdr:nvCxnSpPr>
      <xdr:spPr>
        <a:xfrm>
          <a:off x="4584700" y="41757600"/>
          <a:ext cx="250707" cy="180975"/>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333379</xdr:colOff>
      <xdr:row>37</xdr:row>
      <xdr:rowOff>57149</xdr:rowOff>
    </xdr:from>
    <xdr:to>
      <xdr:col>3</xdr:col>
      <xdr:colOff>752477</xdr:colOff>
      <xdr:row>38</xdr:row>
      <xdr:rowOff>114299</xdr:rowOff>
    </xdr:to>
    <xdr:sp macro="" textlink="">
      <xdr:nvSpPr>
        <xdr:cNvPr id="2277904" name="Seta: Dobrada 2277903">
          <a:extLst>
            <a:ext uri="{FF2B5EF4-FFF2-40B4-BE49-F238E27FC236}">
              <a16:creationId xmlns:a16="http://schemas.microsoft.com/office/drawing/2014/main" id="{00000000-0008-0000-0000-000010C22200}"/>
            </a:ext>
          </a:extLst>
        </xdr:cNvPr>
        <xdr:cNvSpPr/>
      </xdr:nvSpPr>
      <xdr:spPr>
        <a:xfrm rot="16200000">
          <a:off x="1300165" y="3890963"/>
          <a:ext cx="219075" cy="419098"/>
        </a:xfrm>
        <a:prstGeom prst="bentArrow">
          <a:avLst/>
        </a:prstGeom>
        <a:no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twoCellAnchor>
  <xdr:twoCellAnchor>
    <xdr:from>
      <xdr:col>3</xdr:col>
      <xdr:colOff>371479</xdr:colOff>
      <xdr:row>41</xdr:row>
      <xdr:rowOff>57149</xdr:rowOff>
    </xdr:from>
    <xdr:to>
      <xdr:col>3</xdr:col>
      <xdr:colOff>790577</xdr:colOff>
      <xdr:row>42</xdr:row>
      <xdr:rowOff>114299</xdr:rowOff>
    </xdr:to>
    <xdr:sp macro="" textlink="">
      <xdr:nvSpPr>
        <xdr:cNvPr id="96" name="Seta: Dobrada 95">
          <a:extLst>
            <a:ext uri="{FF2B5EF4-FFF2-40B4-BE49-F238E27FC236}">
              <a16:creationId xmlns:a16="http://schemas.microsoft.com/office/drawing/2014/main" id="{00000000-0008-0000-0000-000060000000}"/>
            </a:ext>
          </a:extLst>
        </xdr:cNvPr>
        <xdr:cNvSpPr/>
      </xdr:nvSpPr>
      <xdr:spPr>
        <a:xfrm rot="16200000">
          <a:off x="1338265" y="4538663"/>
          <a:ext cx="219075" cy="419098"/>
        </a:xfrm>
        <a:prstGeom prst="bentArrow">
          <a:avLst/>
        </a:prstGeom>
        <a:no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twoCellAnchor>
  <xdr:twoCellAnchor>
    <xdr:from>
      <xdr:col>3</xdr:col>
      <xdr:colOff>390526</xdr:colOff>
      <xdr:row>45</xdr:row>
      <xdr:rowOff>57150</xdr:rowOff>
    </xdr:from>
    <xdr:to>
      <xdr:col>3</xdr:col>
      <xdr:colOff>809624</xdr:colOff>
      <xdr:row>46</xdr:row>
      <xdr:rowOff>114300</xdr:rowOff>
    </xdr:to>
    <xdr:sp macro="" textlink="">
      <xdr:nvSpPr>
        <xdr:cNvPr id="97" name="Seta: Dobrada 96">
          <a:extLst>
            <a:ext uri="{FF2B5EF4-FFF2-40B4-BE49-F238E27FC236}">
              <a16:creationId xmlns:a16="http://schemas.microsoft.com/office/drawing/2014/main" id="{00000000-0008-0000-0000-000061000000}"/>
            </a:ext>
          </a:extLst>
        </xdr:cNvPr>
        <xdr:cNvSpPr/>
      </xdr:nvSpPr>
      <xdr:spPr>
        <a:xfrm rot="16200000">
          <a:off x="1357312" y="5729289"/>
          <a:ext cx="219075" cy="419098"/>
        </a:xfrm>
        <a:prstGeom prst="bentArrow">
          <a:avLst/>
        </a:prstGeom>
        <a:no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twoCellAnchor>
  <xdr:twoCellAnchor>
    <xdr:from>
      <xdr:col>8</xdr:col>
      <xdr:colOff>466725</xdr:colOff>
      <xdr:row>17</xdr:row>
      <xdr:rowOff>95250</xdr:rowOff>
    </xdr:from>
    <xdr:to>
      <xdr:col>8</xdr:col>
      <xdr:colOff>600075</xdr:colOff>
      <xdr:row>17</xdr:row>
      <xdr:rowOff>95250</xdr:rowOff>
    </xdr:to>
    <xdr:cxnSp macro="">
      <xdr:nvCxnSpPr>
        <xdr:cNvPr id="3288321" name="Conector de Seta Reta 3288320">
          <a:extLst>
            <a:ext uri="{FF2B5EF4-FFF2-40B4-BE49-F238E27FC236}">
              <a16:creationId xmlns:a16="http://schemas.microsoft.com/office/drawing/2014/main" id="{00000000-0008-0000-0000-0000012D3200}"/>
            </a:ext>
          </a:extLst>
        </xdr:cNvPr>
        <xdr:cNvCxnSpPr/>
      </xdr:nvCxnSpPr>
      <xdr:spPr>
        <a:xfrm>
          <a:off x="4752975" y="2647950"/>
          <a:ext cx="13335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152400</xdr:colOff>
      <xdr:row>1247</xdr:row>
      <xdr:rowOff>123825</xdr:rowOff>
    </xdr:from>
    <xdr:to>
      <xdr:col>14</xdr:col>
      <xdr:colOff>381000</xdr:colOff>
      <xdr:row>1247</xdr:row>
      <xdr:rowOff>123825</xdr:rowOff>
    </xdr:to>
    <xdr:cxnSp macro="">
      <xdr:nvCxnSpPr>
        <xdr:cNvPr id="3288327" name="Conector reto 3288326">
          <a:extLst>
            <a:ext uri="{FF2B5EF4-FFF2-40B4-BE49-F238E27FC236}">
              <a16:creationId xmlns:a16="http://schemas.microsoft.com/office/drawing/2014/main" id="{00000000-0008-0000-0000-0000072D3200}"/>
            </a:ext>
          </a:extLst>
        </xdr:cNvPr>
        <xdr:cNvCxnSpPr/>
      </xdr:nvCxnSpPr>
      <xdr:spPr>
        <a:xfrm>
          <a:off x="7305675" y="81915000"/>
          <a:ext cx="2286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381000</xdr:colOff>
      <xdr:row>1247</xdr:row>
      <xdr:rowOff>123825</xdr:rowOff>
    </xdr:from>
    <xdr:to>
      <xdr:col>14</xdr:col>
      <xdr:colOff>381000</xdr:colOff>
      <xdr:row>1248</xdr:row>
      <xdr:rowOff>142875</xdr:rowOff>
    </xdr:to>
    <xdr:cxnSp macro="">
      <xdr:nvCxnSpPr>
        <xdr:cNvPr id="3288329" name="Conector de Seta Reta 3288328">
          <a:extLst>
            <a:ext uri="{FF2B5EF4-FFF2-40B4-BE49-F238E27FC236}">
              <a16:creationId xmlns:a16="http://schemas.microsoft.com/office/drawing/2014/main" id="{00000000-0008-0000-0000-0000092D3200}"/>
            </a:ext>
          </a:extLst>
        </xdr:cNvPr>
        <xdr:cNvCxnSpPr/>
      </xdr:nvCxnSpPr>
      <xdr:spPr>
        <a:xfrm>
          <a:off x="7534275" y="81915000"/>
          <a:ext cx="0" cy="180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180975</xdr:colOff>
      <xdr:row>924</xdr:row>
      <xdr:rowOff>2</xdr:rowOff>
    </xdr:from>
    <xdr:to>
      <xdr:col>13</xdr:col>
      <xdr:colOff>180975</xdr:colOff>
      <xdr:row>925</xdr:row>
      <xdr:rowOff>85725</xdr:rowOff>
    </xdr:to>
    <xdr:cxnSp macro="">
      <xdr:nvCxnSpPr>
        <xdr:cNvPr id="23" name="Conector de Seta Reta 22">
          <a:extLst>
            <a:ext uri="{FF2B5EF4-FFF2-40B4-BE49-F238E27FC236}">
              <a16:creationId xmlns:a16="http://schemas.microsoft.com/office/drawing/2014/main" id="{00000000-0008-0000-0000-000017000000}"/>
            </a:ext>
          </a:extLst>
        </xdr:cNvPr>
        <xdr:cNvCxnSpPr/>
      </xdr:nvCxnSpPr>
      <xdr:spPr>
        <a:xfrm flipV="1">
          <a:off x="7391400" y="46015277"/>
          <a:ext cx="0" cy="257173"/>
        </a:xfrm>
        <a:prstGeom prst="straightConnector1">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200025</xdr:colOff>
      <xdr:row>925</xdr:row>
      <xdr:rowOff>85725</xdr:rowOff>
    </xdr:from>
    <xdr:to>
      <xdr:col>13</xdr:col>
      <xdr:colOff>180975</xdr:colOff>
      <xdr:row>925</xdr:row>
      <xdr:rowOff>85725</xdr:rowOff>
    </xdr:to>
    <xdr:cxnSp macro="">
      <xdr:nvCxnSpPr>
        <xdr:cNvPr id="3288324" name="Conector reto 3288323">
          <a:extLst>
            <a:ext uri="{FF2B5EF4-FFF2-40B4-BE49-F238E27FC236}">
              <a16:creationId xmlns:a16="http://schemas.microsoft.com/office/drawing/2014/main" id="{00000000-0008-0000-0000-0000042D3200}"/>
            </a:ext>
          </a:extLst>
        </xdr:cNvPr>
        <xdr:cNvCxnSpPr/>
      </xdr:nvCxnSpPr>
      <xdr:spPr>
        <a:xfrm>
          <a:off x="7029450" y="46272450"/>
          <a:ext cx="3619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0</xdr:colOff>
      <xdr:row>0</xdr:row>
      <xdr:rowOff>49389</xdr:rowOff>
    </xdr:from>
    <xdr:to>
      <xdr:col>3</xdr:col>
      <xdr:colOff>691444</xdr:colOff>
      <xdr:row>3</xdr:row>
      <xdr:rowOff>87836</xdr:rowOff>
    </xdr:to>
    <xdr:pic>
      <xdr:nvPicPr>
        <xdr:cNvPr id="3288322" name="Imagem 3288321">
          <a:extLst>
            <a:ext uri="{FF2B5EF4-FFF2-40B4-BE49-F238E27FC236}">
              <a16:creationId xmlns:a16="http://schemas.microsoft.com/office/drawing/2014/main" id="{3465797C-1A8E-A1E1-F449-8A447CFEEB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722" y="49389"/>
          <a:ext cx="2017889" cy="6099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209550</xdr:colOff>
      <xdr:row>0</xdr:row>
      <xdr:rowOff>200025</xdr:rowOff>
    </xdr:from>
    <xdr:to>
      <xdr:col>16</xdr:col>
      <xdr:colOff>209550</xdr:colOff>
      <xdr:row>0</xdr:row>
      <xdr:rowOff>352425</xdr:rowOff>
    </xdr:to>
    <xdr:cxnSp macro="">
      <xdr:nvCxnSpPr>
        <xdr:cNvPr id="2" name="Conector reto 1">
          <a:extLst>
            <a:ext uri="{FF2B5EF4-FFF2-40B4-BE49-F238E27FC236}">
              <a16:creationId xmlns:a16="http://schemas.microsoft.com/office/drawing/2014/main" id="{00000000-0008-0000-0100-000002000000}"/>
            </a:ext>
          </a:extLst>
        </xdr:cNvPr>
        <xdr:cNvCxnSpPr/>
      </xdr:nvCxnSpPr>
      <xdr:spPr>
        <a:xfrm>
          <a:off x="8134350" y="200025"/>
          <a:ext cx="0" cy="152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200025</xdr:colOff>
      <xdr:row>0</xdr:row>
      <xdr:rowOff>0</xdr:rowOff>
    </xdr:from>
    <xdr:to>
      <xdr:col>18</xdr:col>
      <xdr:colOff>0</xdr:colOff>
      <xdr:row>2</xdr:row>
      <xdr:rowOff>28575</xdr:rowOff>
    </xdr:to>
    <xdr:grpSp>
      <xdr:nvGrpSpPr>
        <xdr:cNvPr id="3397225" name="Agrupar 27">
          <a:extLst>
            <a:ext uri="{FF2B5EF4-FFF2-40B4-BE49-F238E27FC236}">
              <a16:creationId xmlns:a16="http://schemas.microsoft.com/office/drawing/2014/main" id="{00000000-0008-0000-0100-000069D63300}"/>
            </a:ext>
          </a:extLst>
        </xdr:cNvPr>
        <xdr:cNvGrpSpPr>
          <a:grpSpLocks/>
        </xdr:cNvGrpSpPr>
      </xdr:nvGrpSpPr>
      <xdr:grpSpPr bwMode="auto">
        <a:xfrm>
          <a:off x="10753725" y="0"/>
          <a:ext cx="1857375" cy="838200"/>
          <a:chOff x="7486650" y="0"/>
          <a:chExt cx="1714500" cy="838200"/>
        </a:xfrm>
      </xdr:grpSpPr>
      <xdr:grpSp>
        <xdr:nvGrpSpPr>
          <xdr:cNvPr id="3397227" name="Agrupar 26">
            <a:extLst>
              <a:ext uri="{FF2B5EF4-FFF2-40B4-BE49-F238E27FC236}">
                <a16:creationId xmlns:a16="http://schemas.microsoft.com/office/drawing/2014/main" id="{00000000-0008-0000-0100-00006BD63300}"/>
              </a:ext>
            </a:extLst>
          </xdr:cNvPr>
          <xdr:cNvGrpSpPr>
            <a:grpSpLocks/>
          </xdr:cNvGrpSpPr>
        </xdr:nvGrpSpPr>
        <xdr:grpSpPr bwMode="auto">
          <a:xfrm>
            <a:off x="7486650" y="114301"/>
            <a:ext cx="1714500" cy="723899"/>
            <a:chOff x="7486650" y="114301"/>
            <a:chExt cx="1714500" cy="723899"/>
          </a:xfrm>
        </xdr:grpSpPr>
        <xdr:cxnSp macro="">
          <xdr:nvCxnSpPr>
            <xdr:cNvPr id="6" name="Conector reto 5">
              <a:extLst>
                <a:ext uri="{FF2B5EF4-FFF2-40B4-BE49-F238E27FC236}">
                  <a16:creationId xmlns:a16="http://schemas.microsoft.com/office/drawing/2014/main" id="{00000000-0008-0000-0100-000006000000}"/>
                </a:ext>
              </a:extLst>
            </xdr:cNvPr>
            <xdr:cNvCxnSpPr/>
          </xdr:nvCxnSpPr>
          <xdr:spPr>
            <a:xfrm>
              <a:off x="8591550" y="190500"/>
              <a:ext cx="0" cy="64770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7" name="Conector reto 6">
              <a:extLst>
                <a:ext uri="{FF2B5EF4-FFF2-40B4-BE49-F238E27FC236}">
                  <a16:creationId xmlns:a16="http://schemas.microsoft.com/office/drawing/2014/main" id="{00000000-0008-0000-0100-000007000000}"/>
                </a:ext>
              </a:extLst>
            </xdr:cNvPr>
            <xdr:cNvCxnSpPr/>
          </xdr:nvCxnSpPr>
          <xdr:spPr>
            <a:xfrm flipH="1">
              <a:off x="7981950" y="200025"/>
              <a:ext cx="61912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 name="Conector reto 7">
              <a:extLst>
                <a:ext uri="{FF2B5EF4-FFF2-40B4-BE49-F238E27FC236}">
                  <a16:creationId xmlns:a16="http://schemas.microsoft.com/office/drawing/2014/main" id="{00000000-0008-0000-0100-000008000000}"/>
                </a:ext>
              </a:extLst>
            </xdr:cNvPr>
            <xdr:cNvCxnSpPr/>
          </xdr:nvCxnSpPr>
          <xdr:spPr>
            <a:xfrm>
              <a:off x="7981950" y="200025"/>
              <a:ext cx="619125" cy="62865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9" name="Conector reto 8">
              <a:extLst>
                <a:ext uri="{FF2B5EF4-FFF2-40B4-BE49-F238E27FC236}">
                  <a16:creationId xmlns:a16="http://schemas.microsoft.com/office/drawing/2014/main" id="{00000000-0008-0000-0100-000009000000}"/>
                </a:ext>
              </a:extLst>
            </xdr:cNvPr>
            <xdr:cNvCxnSpPr/>
          </xdr:nvCxnSpPr>
          <xdr:spPr>
            <a:xfrm flipH="1">
              <a:off x="8134350" y="209550"/>
              <a:ext cx="447675" cy="142875"/>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10" name="CaixaDeTexto 9">
              <a:extLst>
                <a:ext uri="{FF2B5EF4-FFF2-40B4-BE49-F238E27FC236}">
                  <a16:creationId xmlns:a16="http://schemas.microsoft.com/office/drawing/2014/main" id="{00000000-0008-0000-0100-00000A000000}"/>
                </a:ext>
              </a:extLst>
            </xdr:cNvPr>
            <xdr:cNvSpPr txBox="1"/>
          </xdr:nvSpPr>
          <xdr:spPr>
            <a:xfrm>
              <a:off x="8601075" y="361950"/>
              <a:ext cx="6000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h</a:t>
              </a:r>
            </a:p>
          </xdr:txBody>
        </xdr:sp>
        <xdr:cxnSp macro="">
          <xdr:nvCxnSpPr>
            <xdr:cNvPr id="11" name="Conector reto 10">
              <a:extLst>
                <a:ext uri="{FF2B5EF4-FFF2-40B4-BE49-F238E27FC236}">
                  <a16:creationId xmlns:a16="http://schemas.microsoft.com/office/drawing/2014/main" id="{00000000-0008-0000-0100-00000B000000}"/>
                </a:ext>
              </a:extLst>
            </xdr:cNvPr>
            <xdr:cNvCxnSpPr/>
          </xdr:nvCxnSpPr>
          <xdr:spPr>
            <a:xfrm flipH="1" flipV="1">
              <a:off x="7686675" y="209550"/>
              <a:ext cx="438150" cy="57150"/>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12" name="CaixaDeTexto 11">
              <a:extLst>
                <a:ext uri="{FF2B5EF4-FFF2-40B4-BE49-F238E27FC236}">
                  <a16:creationId xmlns:a16="http://schemas.microsoft.com/office/drawing/2014/main" id="{00000000-0008-0000-0100-00000C000000}"/>
                </a:ext>
              </a:extLst>
            </xdr:cNvPr>
            <xdr:cNvSpPr txBox="1"/>
          </xdr:nvSpPr>
          <xdr:spPr>
            <a:xfrm>
              <a:off x="7486650" y="114300"/>
              <a:ext cx="2667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b</a:t>
              </a:r>
            </a:p>
          </xdr:txBody>
        </xdr:sp>
        <xdr:cxnSp macro="">
          <xdr:nvCxnSpPr>
            <xdr:cNvPr id="13" name="Conector reto 12">
              <a:extLst>
                <a:ext uri="{FF2B5EF4-FFF2-40B4-BE49-F238E27FC236}">
                  <a16:creationId xmlns:a16="http://schemas.microsoft.com/office/drawing/2014/main" id="{00000000-0008-0000-0100-00000D000000}"/>
                </a:ext>
              </a:extLst>
            </xdr:cNvPr>
            <xdr:cNvCxnSpPr/>
          </xdr:nvCxnSpPr>
          <xdr:spPr>
            <a:xfrm flipH="1">
              <a:off x="7753350" y="295275"/>
              <a:ext cx="323850" cy="228600"/>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14" name="CaixaDeTexto 13">
              <a:extLst>
                <a:ext uri="{FF2B5EF4-FFF2-40B4-BE49-F238E27FC236}">
                  <a16:creationId xmlns:a16="http://schemas.microsoft.com/office/drawing/2014/main" id="{00000000-0008-0000-0100-00000E000000}"/>
                </a:ext>
              </a:extLst>
            </xdr:cNvPr>
            <xdr:cNvSpPr txBox="1"/>
          </xdr:nvSpPr>
          <xdr:spPr>
            <a:xfrm>
              <a:off x="7705725" y="457200"/>
              <a:ext cx="26670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c</a:t>
              </a:r>
            </a:p>
          </xdr:txBody>
        </xdr:sp>
        <xdr:cxnSp macro="">
          <xdr:nvCxnSpPr>
            <xdr:cNvPr id="15" name="Conector reto 14">
              <a:extLst>
                <a:ext uri="{FF2B5EF4-FFF2-40B4-BE49-F238E27FC236}">
                  <a16:creationId xmlns:a16="http://schemas.microsoft.com/office/drawing/2014/main" id="{00000000-0008-0000-0100-00000F000000}"/>
                </a:ext>
              </a:extLst>
            </xdr:cNvPr>
            <xdr:cNvCxnSpPr/>
          </xdr:nvCxnSpPr>
          <xdr:spPr>
            <a:xfrm flipH="1">
              <a:off x="7972425" y="142875"/>
              <a:ext cx="619125" cy="0"/>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5" name="CaixaDeTexto 4">
            <a:extLst>
              <a:ext uri="{FF2B5EF4-FFF2-40B4-BE49-F238E27FC236}">
                <a16:creationId xmlns:a16="http://schemas.microsoft.com/office/drawing/2014/main" id="{00000000-0008-0000-0100-000005000000}"/>
              </a:ext>
            </a:extLst>
          </xdr:cNvPr>
          <xdr:cNvSpPr txBox="1"/>
        </xdr:nvSpPr>
        <xdr:spPr>
          <a:xfrm>
            <a:off x="8153400" y="0"/>
            <a:ext cx="285750" cy="2000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a</a:t>
            </a:r>
          </a:p>
        </xdr:txBody>
      </xdr:sp>
    </xdr:grpSp>
    <xdr:clientData/>
  </xdr:twoCellAnchor>
  <xdr:twoCellAnchor>
    <xdr:from>
      <xdr:col>20</xdr:col>
      <xdr:colOff>333375</xdr:colOff>
      <xdr:row>0</xdr:row>
      <xdr:rowOff>161925</xdr:rowOff>
    </xdr:from>
    <xdr:to>
      <xdr:col>21</xdr:col>
      <xdr:colOff>180975</xdr:colOff>
      <xdr:row>0</xdr:row>
      <xdr:rowOff>171450</xdr:rowOff>
    </xdr:to>
    <xdr:cxnSp macro="">
      <xdr:nvCxnSpPr>
        <xdr:cNvPr id="17" name="Conector de Seta Reta 16">
          <a:extLst>
            <a:ext uri="{FF2B5EF4-FFF2-40B4-BE49-F238E27FC236}">
              <a16:creationId xmlns:a16="http://schemas.microsoft.com/office/drawing/2014/main" id="{00000000-0008-0000-0100-000011000000}"/>
            </a:ext>
          </a:extLst>
        </xdr:cNvPr>
        <xdr:cNvCxnSpPr/>
      </xdr:nvCxnSpPr>
      <xdr:spPr>
        <a:xfrm flipH="1">
          <a:off x="10810875" y="161925"/>
          <a:ext cx="48577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6349</xdr:colOff>
          <xdr:row>4</xdr:row>
          <xdr:rowOff>46182</xdr:rowOff>
        </xdr:from>
        <xdr:to>
          <xdr:col>11</xdr:col>
          <xdr:colOff>12121</xdr:colOff>
          <xdr:row>10</xdr:row>
          <xdr:rowOff>109682</xdr:rowOff>
        </xdr:to>
        <xdr:pic>
          <xdr:nvPicPr>
            <xdr:cNvPr id="5" name="Imagem 4">
              <a:extLst>
                <a:ext uri="{FF2B5EF4-FFF2-40B4-BE49-F238E27FC236}">
                  <a16:creationId xmlns:a16="http://schemas.microsoft.com/office/drawing/2014/main" id="{00000000-0008-0000-0300-000005000000}"/>
                </a:ext>
              </a:extLst>
            </xdr:cNvPr>
            <xdr:cNvPicPr>
              <a:picLocks noChangeAspect="1" noChangeArrowheads="1"/>
              <a:extLst>
                <a:ext uri="{84589F7E-364E-4C9E-8A38-B11213B215E9}">
                  <a14:cameraTool cellRange="'tabela traços'!C2:M8" spid="_x0000_s3427453"/>
                </a:ext>
              </a:extLst>
            </xdr:cNvPicPr>
          </xdr:nvPicPr>
          <xdr:blipFill>
            <a:blip xmlns:r="http://schemas.openxmlformats.org/officeDocument/2006/relationships" r:embed="rId1"/>
            <a:srcRect/>
            <a:stretch>
              <a:fillRect/>
            </a:stretch>
          </xdr:blipFill>
          <xdr:spPr bwMode="auto">
            <a:xfrm>
              <a:off x="64076" y="663864"/>
              <a:ext cx="6604000" cy="1171863"/>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21</xdr:col>
      <xdr:colOff>952500</xdr:colOff>
      <xdr:row>136</xdr:row>
      <xdr:rowOff>66675</xdr:rowOff>
    </xdr:from>
    <xdr:to>
      <xdr:col>22</xdr:col>
      <xdr:colOff>314325</xdr:colOff>
      <xdr:row>138</xdr:row>
      <xdr:rowOff>133350</xdr:rowOff>
    </xdr:to>
    <xdr:cxnSp macro="">
      <xdr:nvCxnSpPr>
        <xdr:cNvPr id="3" name="Conector de Seta Reta 2">
          <a:extLst>
            <a:ext uri="{FF2B5EF4-FFF2-40B4-BE49-F238E27FC236}">
              <a16:creationId xmlns:a16="http://schemas.microsoft.com/office/drawing/2014/main" id="{00000000-0008-0000-0400-000003000000}"/>
            </a:ext>
          </a:extLst>
        </xdr:cNvPr>
        <xdr:cNvCxnSpPr/>
      </xdr:nvCxnSpPr>
      <xdr:spPr>
        <a:xfrm>
          <a:off x="10163175" y="22393275"/>
          <a:ext cx="523875" cy="561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895352</xdr:colOff>
      <xdr:row>136</xdr:row>
      <xdr:rowOff>66675</xdr:rowOff>
    </xdr:from>
    <xdr:to>
      <xdr:col>21</xdr:col>
      <xdr:colOff>952500</xdr:colOff>
      <xdr:row>139</xdr:row>
      <xdr:rowOff>47625</xdr:rowOff>
    </xdr:to>
    <xdr:cxnSp macro="">
      <xdr:nvCxnSpPr>
        <xdr:cNvPr id="10" name="Conector reto 9">
          <a:extLst>
            <a:ext uri="{FF2B5EF4-FFF2-40B4-BE49-F238E27FC236}">
              <a16:creationId xmlns:a16="http://schemas.microsoft.com/office/drawing/2014/main" id="{00000000-0008-0000-0400-00000A000000}"/>
            </a:ext>
          </a:extLst>
        </xdr:cNvPr>
        <xdr:cNvCxnSpPr/>
      </xdr:nvCxnSpPr>
      <xdr:spPr>
        <a:xfrm flipH="1">
          <a:off x="7448552" y="22393275"/>
          <a:ext cx="2714623" cy="7239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723900</xdr:colOff>
      <xdr:row>109</xdr:row>
      <xdr:rowOff>19050</xdr:rowOff>
    </xdr:from>
    <xdr:to>
      <xdr:col>11</xdr:col>
      <xdr:colOff>723900</xdr:colOff>
      <xdr:row>110</xdr:row>
      <xdr:rowOff>28575</xdr:rowOff>
    </xdr:to>
    <xdr:cxnSp macro="">
      <xdr:nvCxnSpPr>
        <xdr:cNvPr id="3" name="Conector de Seta Reta 2">
          <a:extLst>
            <a:ext uri="{FF2B5EF4-FFF2-40B4-BE49-F238E27FC236}">
              <a16:creationId xmlns:a16="http://schemas.microsoft.com/office/drawing/2014/main" id="{00000000-0008-0000-0500-000003000000}"/>
            </a:ext>
          </a:extLst>
        </xdr:cNvPr>
        <xdr:cNvCxnSpPr/>
      </xdr:nvCxnSpPr>
      <xdr:spPr>
        <a:xfrm>
          <a:off x="6153150" y="12011025"/>
          <a:ext cx="0" cy="152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552450</xdr:colOff>
      <xdr:row>109</xdr:row>
      <xdr:rowOff>47625</xdr:rowOff>
    </xdr:from>
    <xdr:to>
      <xdr:col>14</xdr:col>
      <xdr:colOff>552450</xdr:colOff>
      <xdr:row>110</xdr:row>
      <xdr:rowOff>123825</xdr:rowOff>
    </xdr:to>
    <xdr:cxnSp macro="">
      <xdr:nvCxnSpPr>
        <xdr:cNvPr id="5" name="Conector de Seta Reta 4">
          <a:extLst>
            <a:ext uri="{FF2B5EF4-FFF2-40B4-BE49-F238E27FC236}">
              <a16:creationId xmlns:a16="http://schemas.microsoft.com/office/drawing/2014/main" id="{00000000-0008-0000-0500-000005000000}"/>
            </a:ext>
          </a:extLst>
        </xdr:cNvPr>
        <xdr:cNvCxnSpPr/>
      </xdr:nvCxnSpPr>
      <xdr:spPr>
        <a:xfrm>
          <a:off x="7410450" y="12039600"/>
          <a:ext cx="0"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571500</xdr:colOff>
      <xdr:row>109</xdr:row>
      <xdr:rowOff>28575</xdr:rowOff>
    </xdr:from>
    <xdr:to>
      <xdr:col>15</xdr:col>
      <xdr:colOff>571500</xdr:colOff>
      <xdr:row>110</xdr:row>
      <xdr:rowOff>114300</xdr:rowOff>
    </xdr:to>
    <xdr:cxnSp macro="">
      <xdr:nvCxnSpPr>
        <xdr:cNvPr id="6" name="Conector de Seta Reta 5">
          <a:extLst>
            <a:ext uri="{FF2B5EF4-FFF2-40B4-BE49-F238E27FC236}">
              <a16:creationId xmlns:a16="http://schemas.microsoft.com/office/drawing/2014/main" id="{00000000-0008-0000-0500-000006000000}"/>
            </a:ext>
          </a:extLst>
        </xdr:cNvPr>
        <xdr:cNvCxnSpPr/>
      </xdr:nvCxnSpPr>
      <xdr:spPr>
        <a:xfrm>
          <a:off x="8048625" y="12020550"/>
          <a:ext cx="0" cy="228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44450</xdr:colOff>
      <xdr:row>1</xdr:row>
      <xdr:rowOff>88901</xdr:rowOff>
    </xdr:from>
    <xdr:to>
      <xdr:col>3</xdr:col>
      <xdr:colOff>622075</xdr:colOff>
      <xdr:row>4</xdr:row>
      <xdr:rowOff>63501</xdr:rowOff>
    </xdr:to>
    <xdr:pic>
      <xdr:nvPicPr>
        <xdr:cNvPr id="2" name="Imagem 1">
          <a:extLst>
            <a:ext uri="{FF2B5EF4-FFF2-40B4-BE49-F238E27FC236}">
              <a16:creationId xmlns:a16="http://schemas.microsoft.com/office/drawing/2014/main" id="{46630F25-C220-4789-91EA-918FA5C6B2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000" y="127001"/>
          <a:ext cx="1428525" cy="431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95251</xdr:colOff>
      <xdr:row>3</xdr:row>
      <xdr:rowOff>19050</xdr:rowOff>
    </xdr:from>
    <xdr:to>
      <xdr:col>2</xdr:col>
      <xdr:colOff>1066801</xdr:colOff>
      <xdr:row>5</xdr:row>
      <xdr:rowOff>0</xdr:rowOff>
    </xdr:to>
    <xdr:pic>
      <xdr:nvPicPr>
        <xdr:cNvPr id="3328955" name="Imagem 1">
          <a:extLst>
            <a:ext uri="{FF2B5EF4-FFF2-40B4-BE49-F238E27FC236}">
              <a16:creationId xmlns:a16="http://schemas.microsoft.com/office/drawing/2014/main" id="{00000000-0008-0000-0700-0000BBCB3200}"/>
            </a:ext>
          </a:extLst>
        </xdr:cNvPr>
        <xdr:cNvPicPr>
          <a:picLocks noChangeAspect="1"/>
        </xdr:cNvPicPr>
      </xdr:nvPicPr>
      <xdr:blipFill>
        <a:blip xmlns:r="http://schemas.openxmlformats.org/officeDocument/2006/relationships" cstate="print">
          <a:extLst>
            <a:ext uri="{28A0092B-C50C-407E-A947-70E740481C1C}">
              <a14:useLocalDpi xmlns:a14="http://schemas.microsoft.com/office/drawing/2010/main" val="0"/>
            </a:ext>
          </a:extLst>
        </a:blip>
        <a:srcRect/>
        <a:stretch>
          <a:fillRect/>
        </a:stretch>
      </xdr:blipFill>
      <xdr:spPr bwMode="auto">
        <a:xfrm>
          <a:off x="457201" y="381000"/>
          <a:ext cx="971550" cy="336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126</xdr:col>
      <xdr:colOff>38100</xdr:colOff>
      <xdr:row>3</xdr:row>
      <xdr:rowOff>66675</xdr:rowOff>
    </xdr:from>
    <xdr:to>
      <xdr:col>225</xdr:col>
      <xdr:colOff>0</xdr:colOff>
      <xdr:row>4</xdr:row>
      <xdr:rowOff>142875</xdr:rowOff>
    </xdr:to>
    <xdr:sp macro="" textlink="">
      <xdr:nvSpPr>
        <xdr:cNvPr id="8" name="CaixaDeTexto 7">
          <a:extLst>
            <a:ext uri="{FF2B5EF4-FFF2-40B4-BE49-F238E27FC236}">
              <a16:creationId xmlns:a16="http://schemas.microsoft.com/office/drawing/2014/main" id="{00000000-0008-0000-0700-000008000000}"/>
            </a:ext>
          </a:extLst>
        </xdr:cNvPr>
        <xdr:cNvSpPr txBox="1"/>
      </xdr:nvSpPr>
      <xdr:spPr>
        <a:xfrm>
          <a:off x="8915400" y="428625"/>
          <a:ext cx="4676775"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400"/>
            <a:t>CRONOGRAMA</a:t>
          </a:r>
          <a:r>
            <a:rPr lang="pt-BR" sz="1400" baseline="0"/>
            <a:t> CONFECÇÃO E MONTAGEM</a:t>
          </a:r>
        </a:p>
        <a:p>
          <a:r>
            <a:rPr lang="pt-BR" sz="1400"/>
            <a:t>'</a:t>
          </a:r>
        </a:p>
      </xdr:txBody>
    </xdr:sp>
    <xdr:clientData/>
  </xdr:twoCellAnchor>
  <xdr:twoCellAnchor>
    <xdr:from>
      <xdr:col>3</xdr:col>
      <xdr:colOff>114300</xdr:colOff>
      <xdr:row>309</xdr:row>
      <xdr:rowOff>66675</xdr:rowOff>
    </xdr:from>
    <xdr:to>
      <xdr:col>3</xdr:col>
      <xdr:colOff>114300</xdr:colOff>
      <xdr:row>310</xdr:row>
      <xdr:rowOff>85725</xdr:rowOff>
    </xdr:to>
    <xdr:cxnSp macro="">
      <xdr:nvCxnSpPr>
        <xdr:cNvPr id="3" name="Conector de Seta Reta 2">
          <a:extLst>
            <a:ext uri="{FF2B5EF4-FFF2-40B4-BE49-F238E27FC236}">
              <a16:creationId xmlns:a16="http://schemas.microsoft.com/office/drawing/2014/main" id="{00000000-0008-0000-0700-000003000000}"/>
            </a:ext>
          </a:extLst>
        </xdr:cNvPr>
        <xdr:cNvCxnSpPr/>
      </xdr:nvCxnSpPr>
      <xdr:spPr>
        <a:xfrm flipV="1">
          <a:off x="2066925" y="37709475"/>
          <a:ext cx="0" cy="1809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307975</xdr:colOff>
      <xdr:row>315</xdr:row>
      <xdr:rowOff>133350</xdr:rowOff>
    </xdr:from>
    <xdr:to>
      <xdr:col>8</xdr:col>
      <xdr:colOff>568365</xdr:colOff>
      <xdr:row>316</xdr:row>
      <xdr:rowOff>95252</xdr:rowOff>
    </xdr:to>
    <xdr:cxnSp macro="">
      <xdr:nvCxnSpPr>
        <xdr:cNvPr id="3" name="Conector de seta reta 2">
          <a:extLst>
            <a:ext uri="{FF2B5EF4-FFF2-40B4-BE49-F238E27FC236}">
              <a16:creationId xmlns:a16="http://schemas.microsoft.com/office/drawing/2014/main" id="{00000000-0008-0000-0A00-000003000000}"/>
            </a:ext>
          </a:extLst>
        </xdr:cNvPr>
        <xdr:cNvCxnSpPr/>
      </xdr:nvCxnSpPr>
      <xdr:spPr>
        <a:xfrm flipV="1">
          <a:off x="4581525" y="14563725"/>
          <a:ext cx="257175" cy="123827"/>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298450</xdr:colOff>
      <xdr:row>316</xdr:row>
      <xdr:rowOff>95250</xdr:rowOff>
    </xdr:from>
    <xdr:to>
      <xdr:col>8</xdr:col>
      <xdr:colOff>549157</xdr:colOff>
      <xdr:row>317</xdr:row>
      <xdr:rowOff>114300</xdr:rowOff>
    </xdr:to>
    <xdr:cxnSp macro="">
      <xdr:nvCxnSpPr>
        <xdr:cNvPr id="5" name="Conector de seta reta 4">
          <a:extLst>
            <a:ext uri="{FF2B5EF4-FFF2-40B4-BE49-F238E27FC236}">
              <a16:creationId xmlns:a16="http://schemas.microsoft.com/office/drawing/2014/main" id="{00000000-0008-0000-0A00-000005000000}"/>
            </a:ext>
          </a:extLst>
        </xdr:cNvPr>
        <xdr:cNvCxnSpPr/>
      </xdr:nvCxnSpPr>
      <xdr:spPr>
        <a:xfrm>
          <a:off x="4572000" y="14687550"/>
          <a:ext cx="247650" cy="180975"/>
        </a:xfrm>
        <a:prstGeom prst="straightConnector1">
          <a:avLst/>
        </a:prstGeom>
        <a:ln w="127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8</xdr:col>
          <xdr:colOff>152400</xdr:colOff>
          <xdr:row>153</xdr:row>
          <xdr:rowOff>28575</xdr:rowOff>
        </xdr:from>
        <xdr:to>
          <xdr:col>14</xdr:col>
          <xdr:colOff>625475</xdr:colOff>
          <xdr:row>167</xdr:row>
          <xdr:rowOff>28575</xdr:rowOff>
        </xdr:to>
        <xdr:pic>
          <xdr:nvPicPr>
            <xdr:cNvPr id="3386999" name="Imagem 99">
              <a:extLst>
                <a:ext uri="{FF2B5EF4-FFF2-40B4-BE49-F238E27FC236}">
                  <a16:creationId xmlns:a16="http://schemas.microsoft.com/office/drawing/2014/main" id="{00000000-0008-0000-0A00-000077AE3300}"/>
                </a:ext>
              </a:extLst>
            </xdr:cNvPr>
            <xdr:cNvPicPr>
              <a:picLocks noChangeAspect="1" noChangeArrowheads="1"/>
              <a:extLst>
                <a:ext uri="{84589F7E-364E-4C9E-8A38-B11213B215E9}">
                  <a14:cameraTool cellRange="$AX$222:$BE$242" spid="_x0000_s3428471"/>
                </a:ext>
              </a:extLst>
            </xdr:cNvPicPr>
          </xdr:nvPicPr>
          <xdr:blipFill>
            <a:blip xmlns:r="http://schemas.openxmlformats.org/officeDocument/2006/relationships" r:embed="rId1"/>
            <a:srcRect/>
            <a:stretch>
              <a:fillRect/>
            </a:stretch>
          </xdr:blipFill>
          <xdr:spPr bwMode="auto">
            <a:xfrm>
              <a:off x="4514850" y="22231350"/>
              <a:ext cx="3371850" cy="226695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xdr:from>
      <xdr:col>3</xdr:col>
      <xdr:colOff>371475</xdr:colOff>
      <xdr:row>30</xdr:row>
      <xdr:rowOff>66675</xdr:rowOff>
    </xdr:from>
    <xdr:to>
      <xdr:col>3</xdr:col>
      <xdr:colOff>790573</xdr:colOff>
      <xdr:row>31</xdr:row>
      <xdr:rowOff>123825</xdr:rowOff>
    </xdr:to>
    <xdr:sp macro="" textlink="">
      <xdr:nvSpPr>
        <xdr:cNvPr id="100" name="Seta: Dobrada 99">
          <a:extLst>
            <a:ext uri="{FF2B5EF4-FFF2-40B4-BE49-F238E27FC236}">
              <a16:creationId xmlns:a16="http://schemas.microsoft.com/office/drawing/2014/main" id="{00000000-0008-0000-0A00-000064000000}"/>
            </a:ext>
          </a:extLst>
        </xdr:cNvPr>
        <xdr:cNvSpPr/>
      </xdr:nvSpPr>
      <xdr:spPr>
        <a:xfrm rot="16200000">
          <a:off x="1338261" y="4348164"/>
          <a:ext cx="219075" cy="419098"/>
        </a:xfrm>
        <a:prstGeom prst="bentArrow">
          <a:avLst/>
        </a:prstGeom>
        <a:no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twoCellAnchor>
  <xdr:twoCellAnchor>
    <xdr:from>
      <xdr:col>3</xdr:col>
      <xdr:colOff>371476</xdr:colOff>
      <xdr:row>34</xdr:row>
      <xdr:rowOff>57150</xdr:rowOff>
    </xdr:from>
    <xdr:to>
      <xdr:col>3</xdr:col>
      <xdr:colOff>790574</xdr:colOff>
      <xdr:row>35</xdr:row>
      <xdr:rowOff>114300</xdr:rowOff>
    </xdr:to>
    <xdr:sp macro="" textlink="">
      <xdr:nvSpPr>
        <xdr:cNvPr id="110" name="Seta: Dobrada 109">
          <a:extLst>
            <a:ext uri="{FF2B5EF4-FFF2-40B4-BE49-F238E27FC236}">
              <a16:creationId xmlns:a16="http://schemas.microsoft.com/office/drawing/2014/main" id="{00000000-0008-0000-0A00-00006E000000}"/>
            </a:ext>
          </a:extLst>
        </xdr:cNvPr>
        <xdr:cNvSpPr/>
      </xdr:nvSpPr>
      <xdr:spPr>
        <a:xfrm rot="16200000">
          <a:off x="1338262" y="5033964"/>
          <a:ext cx="219075" cy="419098"/>
        </a:xfrm>
        <a:prstGeom prst="bentArrow">
          <a:avLst/>
        </a:prstGeom>
        <a:no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twoCellAnchor>
  <xdr:twoCellAnchor>
    <xdr:from>
      <xdr:col>3</xdr:col>
      <xdr:colOff>371473</xdr:colOff>
      <xdr:row>38</xdr:row>
      <xdr:rowOff>66676</xdr:rowOff>
    </xdr:from>
    <xdr:to>
      <xdr:col>3</xdr:col>
      <xdr:colOff>790571</xdr:colOff>
      <xdr:row>39</xdr:row>
      <xdr:rowOff>123826</xdr:rowOff>
    </xdr:to>
    <xdr:sp macro="" textlink="">
      <xdr:nvSpPr>
        <xdr:cNvPr id="111" name="Seta: Dobrada 110">
          <a:extLst>
            <a:ext uri="{FF2B5EF4-FFF2-40B4-BE49-F238E27FC236}">
              <a16:creationId xmlns:a16="http://schemas.microsoft.com/office/drawing/2014/main" id="{00000000-0008-0000-0A00-00006F000000}"/>
            </a:ext>
          </a:extLst>
        </xdr:cNvPr>
        <xdr:cNvSpPr/>
      </xdr:nvSpPr>
      <xdr:spPr>
        <a:xfrm rot="16200000">
          <a:off x="1338259" y="5738815"/>
          <a:ext cx="219075" cy="419098"/>
        </a:xfrm>
        <a:prstGeom prst="bentArrow">
          <a:avLst/>
        </a:prstGeom>
        <a:no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twoCellAnchor>
  <xdr:twoCellAnchor>
    <xdr:from>
      <xdr:col>9</xdr:col>
      <xdr:colOff>38100</xdr:colOff>
      <xdr:row>316</xdr:row>
      <xdr:rowOff>85725</xdr:rowOff>
    </xdr:from>
    <xdr:to>
      <xdr:col>13</xdr:col>
      <xdr:colOff>409575</xdr:colOff>
      <xdr:row>316</xdr:row>
      <xdr:rowOff>85725</xdr:rowOff>
    </xdr:to>
    <xdr:cxnSp macro="">
      <xdr:nvCxnSpPr>
        <xdr:cNvPr id="16" name="Conector reto 15">
          <a:extLst>
            <a:ext uri="{FF2B5EF4-FFF2-40B4-BE49-F238E27FC236}">
              <a16:creationId xmlns:a16="http://schemas.microsoft.com/office/drawing/2014/main" id="{00000000-0008-0000-0A00-000010000000}"/>
            </a:ext>
          </a:extLst>
        </xdr:cNvPr>
        <xdr:cNvCxnSpPr/>
      </xdr:nvCxnSpPr>
      <xdr:spPr>
        <a:xfrm>
          <a:off x="5019675" y="42291000"/>
          <a:ext cx="21907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19050</xdr:colOff>
      <xdr:row>318</xdr:row>
      <xdr:rowOff>85725</xdr:rowOff>
    </xdr:from>
    <xdr:to>
      <xdr:col>13</xdr:col>
      <xdr:colOff>400050</xdr:colOff>
      <xdr:row>318</xdr:row>
      <xdr:rowOff>85725</xdr:rowOff>
    </xdr:to>
    <xdr:cxnSp macro="">
      <xdr:nvCxnSpPr>
        <xdr:cNvPr id="126" name="Conector reto 125">
          <a:extLst>
            <a:ext uri="{FF2B5EF4-FFF2-40B4-BE49-F238E27FC236}">
              <a16:creationId xmlns:a16="http://schemas.microsoft.com/office/drawing/2014/main" id="{00000000-0008-0000-0A00-00007E000000}"/>
            </a:ext>
          </a:extLst>
        </xdr:cNvPr>
        <xdr:cNvCxnSpPr/>
      </xdr:nvCxnSpPr>
      <xdr:spPr>
        <a:xfrm>
          <a:off x="5000625" y="42614850"/>
          <a:ext cx="22002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102</xdr:col>
      <xdr:colOff>495300</xdr:colOff>
      <xdr:row>130</xdr:row>
      <xdr:rowOff>171450</xdr:rowOff>
    </xdr:from>
    <xdr:to>
      <xdr:col>106</xdr:col>
      <xdr:colOff>457200</xdr:colOff>
      <xdr:row>131</xdr:row>
      <xdr:rowOff>485775</xdr:rowOff>
    </xdr:to>
    <xdr:cxnSp macro="">
      <xdr:nvCxnSpPr>
        <xdr:cNvPr id="3" name="Conector de Seta Reta 2">
          <a:extLst>
            <a:ext uri="{FF2B5EF4-FFF2-40B4-BE49-F238E27FC236}">
              <a16:creationId xmlns:a16="http://schemas.microsoft.com/office/drawing/2014/main" id="{00000000-0008-0000-0B00-000003000000}"/>
            </a:ext>
          </a:extLst>
        </xdr:cNvPr>
        <xdr:cNvCxnSpPr/>
      </xdr:nvCxnSpPr>
      <xdr:spPr>
        <a:xfrm flipH="1" flipV="1">
          <a:off x="71475600" y="25584150"/>
          <a:ext cx="2400300" cy="1266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110</xdr:col>
      <xdr:colOff>352425</xdr:colOff>
      <xdr:row>130</xdr:row>
      <xdr:rowOff>219075</xdr:rowOff>
    </xdr:from>
    <xdr:to>
      <xdr:col>114</xdr:col>
      <xdr:colOff>314325</xdr:colOff>
      <xdr:row>131</xdr:row>
      <xdr:rowOff>533400</xdr:rowOff>
    </xdr:to>
    <xdr:cxnSp macro="">
      <xdr:nvCxnSpPr>
        <xdr:cNvPr id="8" name="Conector de Seta Reta 7">
          <a:extLst>
            <a:ext uri="{FF2B5EF4-FFF2-40B4-BE49-F238E27FC236}">
              <a16:creationId xmlns:a16="http://schemas.microsoft.com/office/drawing/2014/main" id="{00000000-0008-0000-0B00-000008000000}"/>
            </a:ext>
          </a:extLst>
        </xdr:cNvPr>
        <xdr:cNvCxnSpPr/>
      </xdr:nvCxnSpPr>
      <xdr:spPr>
        <a:xfrm flipH="1" flipV="1">
          <a:off x="76209525" y="25631775"/>
          <a:ext cx="2400300" cy="1266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342900</xdr:colOff>
      <xdr:row>131</xdr:row>
      <xdr:rowOff>571500</xdr:rowOff>
    </xdr:from>
    <xdr:to>
      <xdr:col>27</xdr:col>
      <xdr:colOff>352425</xdr:colOff>
      <xdr:row>133</xdr:row>
      <xdr:rowOff>66675</xdr:rowOff>
    </xdr:to>
    <xdr:cxnSp macro="">
      <xdr:nvCxnSpPr>
        <xdr:cNvPr id="4" name="Conector de Seta Reta 3">
          <a:extLst>
            <a:ext uri="{FF2B5EF4-FFF2-40B4-BE49-F238E27FC236}">
              <a16:creationId xmlns:a16="http://schemas.microsoft.com/office/drawing/2014/main" id="{00000000-0008-0000-0B00-000004000000}"/>
            </a:ext>
          </a:extLst>
        </xdr:cNvPr>
        <xdr:cNvCxnSpPr/>
      </xdr:nvCxnSpPr>
      <xdr:spPr>
        <a:xfrm flipH="1">
          <a:off x="18640425" y="26946225"/>
          <a:ext cx="9525" cy="7524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400050</xdr:colOff>
      <xdr:row>6</xdr:row>
      <xdr:rowOff>76200</xdr:rowOff>
    </xdr:from>
    <xdr:to>
      <xdr:col>39</xdr:col>
      <xdr:colOff>523875</xdr:colOff>
      <xdr:row>7</xdr:row>
      <xdr:rowOff>76200</xdr:rowOff>
    </xdr:to>
    <xdr:cxnSp macro="">
      <xdr:nvCxnSpPr>
        <xdr:cNvPr id="5" name="Conector: Angulado 4">
          <a:extLst>
            <a:ext uri="{FF2B5EF4-FFF2-40B4-BE49-F238E27FC236}">
              <a16:creationId xmlns:a16="http://schemas.microsoft.com/office/drawing/2014/main" id="{00000000-0008-0000-0B00-000005000000}"/>
            </a:ext>
          </a:extLst>
        </xdr:cNvPr>
        <xdr:cNvCxnSpPr/>
      </xdr:nvCxnSpPr>
      <xdr:spPr>
        <a:xfrm flipV="1">
          <a:off x="28708350" y="1047750"/>
          <a:ext cx="1600200" cy="161925"/>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38100</xdr:colOff>
      <xdr:row>0</xdr:row>
      <xdr:rowOff>76200</xdr:rowOff>
    </xdr:from>
    <xdr:to>
      <xdr:col>2</xdr:col>
      <xdr:colOff>809625</xdr:colOff>
      <xdr:row>3</xdr:row>
      <xdr:rowOff>104775</xdr:rowOff>
    </xdr:to>
    <xdr:pic>
      <xdr:nvPicPr>
        <xdr:cNvPr id="1450641" name="Imagem 1">
          <a:extLst>
            <a:ext uri="{FF2B5EF4-FFF2-40B4-BE49-F238E27FC236}">
              <a16:creationId xmlns:a16="http://schemas.microsoft.com/office/drawing/2014/main" id="{00000000-0008-0000-0E00-0000912216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76200"/>
          <a:ext cx="14763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19050</xdr:colOff>
      <xdr:row>0</xdr:row>
      <xdr:rowOff>57150</xdr:rowOff>
    </xdr:from>
    <xdr:to>
      <xdr:col>1</xdr:col>
      <xdr:colOff>790575</xdr:colOff>
      <xdr:row>3</xdr:row>
      <xdr:rowOff>85725</xdr:rowOff>
    </xdr:to>
    <xdr:pic>
      <xdr:nvPicPr>
        <xdr:cNvPr id="1451665" name="Imagem 1">
          <a:extLst>
            <a:ext uri="{FF2B5EF4-FFF2-40B4-BE49-F238E27FC236}">
              <a16:creationId xmlns:a16="http://schemas.microsoft.com/office/drawing/2014/main" id="{00000000-0008-0000-0F00-0000912616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57150"/>
          <a:ext cx="14763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28575</xdr:colOff>
      <xdr:row>15</xdr:row>
      <xdr:rowOff>76200</xdr:rowOff>
    </xdr:from>
    <xdr:to>
      <xdr:col>4</xdr:col>
      <xdr:colOff>523875</xdr:colOff>
      <xdr:row>18</xdr:row>
      <xdr:rowOff>152400</xdr:rowOff>
    </xdr:to>
    <xdr:grpSp>
      <xdr:nvGrpSpPr>
        <xdr:cNvPr id="3406162" name="Agrupar 1">
          <a:extLst>
            <a:ext uri="{FF2B5EF4-FFF2-40B4-BE49-F238E27FC236}">
              <a16:creationId xmlns:a16="http://schemas.microsoft.com/office/drawing/2014/main" id="{00000000-0008-0000-1100-000052F93300}"/>
            </a:ext>
          </a:extLst>
        </xdr:cNvPr>
        <xdr:cNvGrpSpPr>
          <a:grpSpLocks/>
        </xdr:cNvGrpSpPr>
      </xdr:nvGrpSpPr>
      <xdr:grpSpPr bwMode="auto">
        <a:xfrm>
          <a:off x="1320662" y="2312504"/>
          <a:ext cx="2565952" cy="560733"/>
          <a:chOff x="933450" y="1370148"/>
          <a:chExt cx="5295900" cy="915852"/>
        </a:xfrm>
      </xdr:grpSpPr>
      <xdr:sp macro="" textlink="">
        <xdr:nvSpPr>
          <xdr:cNvPr id="3" name="CaixaDeTexto 2">
            <a:extLst>
              <a:ext uri="{FF2B5EF4-FFF2-40B4-BE49-F238E27FC236}">
                <a16:creationId xmlns:a16="http://schemas.microsoft.com/office/drawing/2014/main" id="{00000000-0008-0000-1100-000003000000}"/>
              </a:ext>
            </a:extLst>
          </xdr:cNvPr>
          <xdr:cNvSpPr txBox="1"/>
        </xdr:nvSpPr>
        <xdr:spPr>
          <a:xfrm>
            <a:off x="1244974" y="1928973"/>
            <a:ext cx="1266862" cy="3415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30</a:t>
            </a:r>
          </a:p>
        </xdr:txBody>
      </xdr:sp>
      <xdr:sp macro="" textlink="">
        <xdr:nvSpPr>
          <xdr:cNvPr id="4" name="CaixaDeTexto 3">
            <a:extLst>
              <a:ext uri="{FF2B5EF4-FFF2-40B4-BE49-F238E27FC236}">
                <a16:creationId xmlns:a16="http://schemas.microsoft.com/office/drawing/2014/main" id="{00000000-0008-0000-1100-000004000000}"/>
              </a:ext>
            </a:extLst>
          </xdr:cNvPr>
          <xdr:cNvSpPr txBox="1"/>
        </xdr:nvSpPr>
        <xdr:spPr>
          <a:xfrm>
            <a:off x="2428763" y="1370148"/>
            <a:ext cx="1100716" cy="3259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25</a:t>
            </a:r>
          </a:p>
          <a:p>
            <a:endParaRPr lang="pt-BR" sz="1100"/>
          </a:p>
        </xdr:txBody>
      </xdr:sp>
      <xdr:sp macro="" textlink="">
        <xdr:nvSpPr>
          <xdr:cNvPr id="5" name="Forma Livre: Forma 4">
            <a:extLst>
              <a:ext uri="{FF2B5EF4-FFF2-40B4-BE49-F238E27FC236}">
                <a16:creationId xmlns:a16="http://schemas.microsoft.com/office/drawing/2014/main" id="{00000000-0008-0000-1100-000005000000}"/>
              </a:ext>
            </a:extLst>
          </xdr:cNvPr>
          <xdr:cNvSpPr/>
        </xdr:nvSpPr>
        <xdr:spPr>
          <a:xfrm>
            <a:off x="2677982" y="1680606"/>
            <a:ext cx="145378" cy="62092"/>
          </a:xfrm>
          <a:custGeom>
            <a:avLst/>
            <a:gdLst>
              <a:gd name="connsiteX0" fmla="*/ 0 w 1828800"/>
              <a:gd name="connsiteY0" fmla="*/ 542963 h 542963"/>
              <a:gd name="connsiteX1" fmla="*/ 933450 w 1828800"/>
              <a:gd name="connsiteY1" fmla="*/ 38 h 542963"/>
              <a:gd name="connsiteX2" fmla="*/ 1828800 w 1828800"/>
              <a:gd name="connsiteY2" fmla="*/ 514388 h 542963"/>
            </a:gdLst>
            <a:ahLst/>
            <a:cxnLst>
              <a:cxn ang="0">
                <a:pos x="connsiteX0" y="connsiteY0"/>
              </a:cxn>
              <a:cxn ang="0">
                <a:pos x="connsiteX1" y="connsiteY1"/>
              </a:cxn>
              <a:cxn ang="0">
                <a:pos x="connsiteX2" y="connsiteY2"/>
              </a:cxn>
            </a:cxnLst>
            <a:rect l="l" t="t" r="r" b="b"/>
            <a:pathLst>
              <a:path w="1828800" h="542963">
                <a:moveTo>
                  <a:pt x="0" y="542963"/>
                </a:moveTo>
                <a:cubicBezTo>
                  <a:pt x="314325" y="273881"/>
                  <a:pt x="628650" y="4800"/>
                  <a:pt x="933450" y="38"/>
                </a:cubicBezTo>
                <a:cubicBezTo>
                  <a:pt x="1238250" y="-4724"/>
                  <a:pt x="1662113" y="433425"/>
                  <a:pt x="1828800" y="514388"/>
                </a:cubicBezTo>
              </a:path>
            </a:pathLst>
          </a:cu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6" name="CaixaDeTexto 5">
            <a:extLst>
              <a:ext uri="{FF2B5EF4-FFF2-40B4-BE49-F238E27FC236}">
                <a16:creationId xmlns:a16="http://schemas.microsoft.com/office/drawing/2014/main" id="{00000000-0008-0000-1100-000006000000}"/>
              </a:ext>
            </a:extLst>
          </xdr:cNvPr>
          <xdr:cNvSpPr txBox="1"/>
        </xdr:nvSpPr>
        <xdr:spPr>
          <a:xfrm>
            <a:off x="4734037" y="1960019"/>
            <a:ext cx="1246094" cy="3259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80</a:t>
            </a:r>
          </a:p>
        </xdr:txBody>
      </xdr:sp>
      <xdr:grpSp>
        <xdr:nvGrpSpPr>
          <xdr:cNvPr id="3406283" name="Agrupar 6">
            <a:extLst>
              <a:ext uri="{FF2B5EF4-FFF2-40B4-BE49-F238E27FC236}">
                <a16:creationId xmlns:a16="http://schemas.microsoft.com/office/drawing/2014/main" id="{00000000-0008-0000-1100-0000CBF93300}"/>
              </a:ext>
            </a:extLst>
          </xdr:cNvPr>
          <xdr:cNvGrpSpPr>
            <a:grpSpLocks/>
          </xdr:cNvGrpSpPr>
        </xdr:nvGrpSpPr>
        <xdr:grpSpPr bwMode="auto">
          <a:xfrm>
            <a:off x="933450" y="1428750"/>
            <a:ext cx="5295900" cy="542963"/>
            <a:chOff x="1038225" y="1438237"/>
            <a:chExt cx="5295900" cy="542963"/>
          </a:xfrm>
        </xdr:grpSpPr>
        <xdr:sp macro="" textlink="">
          <xdr:nvSpPr>
            <xdr:cNvPr id="8" name="Forma Livre: Forma 7">
              <a:extLst>
                <a:ext uri="{FF2B5EF4-FFF2-40B4-BE49-F238E27FC236}">
                  <a16:creationId xmlns:a16="http://schemas.microsoft.com/office/drawing/2014/main" id="{00000000-0008-0000-1100-000008000000}"/>
                </a:ext>
              </a:extLst>
            </xdr:cNvPr>
            <xdr:cNvSpPr/>
          </xdr:nvSpPr>
          <xdr:spPr>
            <a:xfrm>
              <a:off x="1931259" y="1441726"/>
              <a:ext cx="1827605" cy="543302"/>
            </a:xfrm>
            <a:custGeom>
              <a:avLst/>
              <a:gdLst>
                <a:gd name="connsiteX0" fmla="*/ 0 w 1828800"/>
                <a:gd name="connsiteY0" fmla="*/ 542963 h 542963"/>
                <a:gd name="connsiteX1" fmla="*/ 933450 w 1828800"/>
                <a:gd name="connsiteY1" fmla="*/ 38 h 542963"/>
                <a:gd name="connsiteX2" fmla="*/ 1828800 w 1828800"/>
                <a:gd name="connsiteY2" fmla="*/ 514388 h 542963"/>
              </a:gdLst>
              <a:ahLst/>
              <a:cxnLst>
                <a:cxn ang="0">
                  <a:pos x="connsiteX0" y="connsiteY0"/>
                </a:cxn>
                <a:cxn ang="0">
                  <a:pos x="connsiteX1" y="connsiteY1"/>
                </a:cxn>
                <a:cxn ang="0">
                  <a:pos x="connsiteX2" y="connsiteY2"/>
                </a:cxn>
              </a:cxnLst>
              <a:rect l="l" t="t" r="r" b="b"/>
              <a:pathLst>
                <a:path w="1828800" h="542963">
                  <a:moveTo>
                    <a:pt x="0" y="542963"/>
                  </a:moveTo>
                  <a:cubicBezTo>
                    <a:pt x="314325" y="273881"/>
                    <a:pt x="628650" y="4800"/>
                    <a:pt x="933450" y="38"/>
                  </a:cubicBezTo>
                  <a:cubicBezTo>
                    <a:pt x="1238250" y="-4724"/>
                    <a:pt x="1662113" y="433425"/>
                    <a:pt x="1828800" y="514388"/>
                  </a:cubicBez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pt-BR"/>
            </a:p>
          </xdr:txBody>
        </xdr:sp>
        <xdr:cxnSp macro="">
          <xdr:nvCxnSpPr>
            <xdr:cNvPr id="9" name="Conector reto 8">
              <a:extLst>
                <a:ext uri="{FF2B5EF4-FFF2-40B4-BE49-F238E27FC236}">
                  <a16:creationId xmlns:a16="http://schemas.microsoft.com/office/drawing/2014/main" id="{00000000-0008-0000-1100-000009000000}"/>
                </a:ext>
              </a:extLst>
            </xdr:cNvPr>
            <xdr:cNvCxnSpPr/>
          </xdr:nvCxnSpPr>
          <xdr:spPr>
            <a:xfrm>
              <a:off x="3758864" y="1953982"/>
              <a:ext cx="2575261"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 name="Conector reto 9">
              <a:extLst>
                <a:ext uri="{FF2B5EF4-FFF2-40B4-BE49-F238E27FC236}">
                  <a16:creationId xmlns:a16="http://schemas.microsoft.com/office/drawing/2014/main" id="{00000000-0008-0000-1100-00000A000000}"/>
                </a:ext>
              </a:extLst>
            </xdr:cNvPr>
            <xdr:cNvCxnSpPr>
              <a:endCxn id="8" idx="0"/>
            </xdr:cNvCxnSpPr>
          </xdr:nvCxnSpPr>
          <xdr:spPr>
            <a:xfrm>
              <a:off x="1038225" y="1985028"/>
              <a:ext cx="893034" cy="0"/>
            </a:xfrm>
            <a:prstGeom prst="line">
              <a:avLst/>
            </a:prstGeom>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2</xdr:col>
      <xdr:colOff>695325</xdr:colOff>
      <xdr:row>21</xdr:row>
      <xdr:rowOff>161925</xdr:rowOff>
    </xdr:from>
    <xdr:to>
      <xdr:col>3</xdr:col>
      <xdr:colOff>171450</xdr:colOff>
      <xdr:row>25</xdr:row>
      <xdr:rowOff>123825</xdr:rowOff>
    </xdr:to>
    <xdr:grpSp>
      <xdr:nvGrpSpPr>
        <xdr:cNvPr id="3406163" name="Agrupar 10">
          <a:extLst>
            <a:ext uri="{FF2B5EF4-FFF2-40B4-BE49-F238E27FC236}">
              <a16:creationId xmlns:a16="http://schemas.microsoft.com/office/drawing/2014/main" id="{00000000-0008-0000-1100-000053F93300}"/>
            </a:ext>
          </a:extLst>
        </xdr:cNvPr>
        <xdr:cNvGrpSpPr>
          <a:grpSpLocks/>
        </xdr:cNvGrpSpPr>
      </xdr:nvGrpSpPr>
      <xdr:grpSpPr bwMode="auto">
        <a:xfrm>
          <a:off x="1987412" y="3367295"/>
          <a:ext cx="519734" cy="607943"/>
          <a:chOff x="1990725" y="3143249"/>
          <a:chExt cx="495879" cy="590551"/>
        </a:xfrm>
      </xdr:grpSpPr>
      <xdr:sp macro="" textlink="">
        <xdr:nvSpPr>
          <xdr:cNvPr id="12" name="CaixaDeTexto 11">
            <a:extLst>
              <a:ext uri="{FF2B5EF4-FFF2-40B4-BE49-F238E27FC236}">
                <a16:creationId xmlns:a16="http://schemas.microsoft.com/office/drawing/2014/main" id="{00000000-0008-0000-1100-00000C000000}"/>
              </a:ext>
            </a:extLst>
          </xdr:cNvPr>
          <xdr:cNvSpPr txBox="1"/>
        </xdr:nvSpPr>
        <xdr:spPr>
          <a:xfrm>
            <a:off x="2043478" y="3290887"/>
            <a:ext cx="443126" cy="3783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pt-BR" sz="1100">
                <a:solidFill>
                  <a:schemeClr val="dk1"/>
                </a:solidFill>
                <a:latin typeface="+mn-lt"/>
                <a:ea typeface="+mn-ea"/>
                <a:cs typeface="+mn-cs"/>
              </a:rPr>
              <a:t>170</a:t>
            </a:r>
          </a:p>
        </xdr:txBody>
      </xdr:sp>
      <xdr:grpSp>
        <xdr:nvGrpSpPr>
          <xdr:cNvPr id="3406276" name="Agrupar 12">
            <a:extLst>
              <a:ext uri="{FF2B5EF4-FFF2-40B4-BE49-F238E27FC236}">
                <a16:creationId xmlns:a16="http://schemas.microsoft.com/office/drawing/2014/main" id="{00000000-0008-0000-1100-0000C4F93300}"/>
              </a:ext>
            </a:extLst>
          </xdr:cNvPr>
          <xdr:cNvGrpSpPr>
            <a:grpSpLocks/>
          </xdr:cNvGrpSpPr>
        </xdr:nvGrpSpPr>
        <xdr:grpSpPr bwMode="auto">
          <a:xfrm>
            <a:off x="1990725" y="3143249"/>
            <a:ext cx="495300" cy="590551"/>
            <a:chOff x="2743200" y="3124199"/>
            <a:chExt cx="495300" cy="590551"/>
          </a:xfrm>
        </xdr:grpSpPr>
        <xdr:sp macro="" textlink="">
          <xdr:nvSpPr>
            <xdr:cNvPr id="14" name="Forma Livre: Forma 13">
              <a:extLst>
                <a:ext uri="{FF2B5EF4-FFF2-40B4-BE49-F238E27FC236}">
                  <a16:creationId xmlns:a16="http://schemas.microsoft.com/office/drawing/2014/main" id="{00000000-0008-0000-1100-00000E000000}"/>
                </a:ext>
              </a:extLst>
            </xdr:cNvPr>
            <xdr:cNvSpPr/>
          </xdr:nvSpPr>
          <xdr:spPr>
            <a:xfrm>
              <a:off x="2890909" y="3465611"/>
              <a:ext cx="158259" cy="46137"/>
            </a:xfrm>
            <a:custGeom>
              <a:avLst/>
              <a:gdLst>
                <a:gd name="connsiteX0" fmla="*/ 0 w 1828800"/>
                <a:gd name="connsiteY0" fmla="*/ 542963 h 542963"/>
                <a:gd name="connsiteX1" fmla="*/ 933450 w 1828800"/>
                <a:gd name="connsiteY1" fmla="*/ 38 h 542963"/>
                <a:gd name="connsiteX2" fmla="*/ 1828800 w 1828800"/>
                <a:gd name="connsiteY2" fmla="*/ 514388 h 542963"/>
              </a:gdLst>
              <a:ahLst/>
              <a:cxnLst>
                <a:cxn ang="0">
                  <a:pos x="connsiteX0" y="connsiteY0"/>
                </a:cxn>
                <a:cxn ang="0">
                  <a:pos x="connsiteX1" y="connsiteY1"/>
                </a:cxn>
                <a:cxn ang="0">
                  <a:pos x="connsiteX2" y="connsiteY2"/>
                </a:cxn>
              </a:cxnLst>
              <a:rect l="l" t="t" r="r" b="b"/>
              <a:pathLst>
                <a:path w="1828800" h="542963">
                  <a:moveTo>
                    <a:pt x="0" y="542963"/>
                  </a:moveTo>
                  <a:cubicBezTo>
                    <a:pt x="314325" y="273881"/>
                    <a:pt x="628650" y="4800"/>
                    <a:pt x="933450" y="38"/>
                  </a:cubicBezTo>
                  <a:cubicBezTo>
                    <a:pt x="1238250" y="-4724"/>
                    <a:pt x="1662113" y="433425"/>
                    <a:pt x="1828800" y="514388"/>
                  </a:cubicBez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pt-BR"/>
            </a:p>
          </xdr:txBody>
        </xdr:sp>
        <xdr:sp macro="" textlink="">
          <xdr:nvSpPr>
            <xdr:cNvPr id="15" name="Forma Livre: Forma 14">
              <a:extLst>
                <a:ext uri="{FF2B5EF4-FFF2-40B4-BE49-F238E27FC236}">
                  <a16:creationId xmlns:a16="http://schemas.microsoft.com/office/drawing/2014/main" id="{00000000-0008-0000-1100-00000F000000}"/>
                </a:ext>
              </a:extLst>
            </xdr:cNvPr>
            <xdr:cNvSpPr/>
          </xdr:nvSpPr>
          <xdr:spPr>
            <a:xfrm>
              <a:off x="2743200" y="3124199"/>
              <a:ext cx="495879" cy="590551"/>
            </a:xfrm>
            <a:custGeom>
              <a:avLst/>
              <a:gdLst>
                <a:gd name="connsiteX0" fmla="*/ 0 w 1828800"/>
                <a:gd name="connsiteY0" fmla="*/ 542963 h 542963"/>
                <a:gd name="connsiteX1" fmla="*/ 933450 w 1828800"/>
                <a:gd name="connsiteY1" fmla="*/ 38 h 542963"/>
                <a:gd name="connsiteX2" fmla="*/ 1828800 w 1828800"/>
                <a:gd name="connsiteY2" fmla="*/ 514388 h 542963"/>
              </a:gdLst>
              <a:ahLst/>
              <a:cxnLst>
                <a:cxn ang="0">
                  <a:pos x="connsiteX0" y="connsiteY0"/>
                </a:cxn>
                <a:cxn ang="0">
                  <a:pos x="connsiteX1" y="connsiteY1"/>
                </a:cxn>
                <a:cxn ang="0">
                  <a:pos x="connsiteX2" y="connsiteY2"/>
                </a:cxn>
              </a:cxnLst>
              <a:rect l="l" t="t" r="r" b="b"/>
              <a:pathLst>
                <a:path w="1828800" h="542963">
                  <a:moveTo>
                    <a:pt x="0" y="542963"/>
                  </a:moveTo>
                  <a:cubicBezTo>
                    <a:pt x="314325" y="273881"/>
                    <a:pt x="628650" y="4800"/>
                    <a:pt x="933450" y="38"/>
                  </a:cubicBezTo>
                  <a:cubicBezTo>
                    <a:pt x="1238250" y="-4724"/>
                    <a:pt x="1662113" y="433425"/>
                    <a:pt x="1828800" y="514388"/>
                  </a:cubicBezTo>
                </a:path>
              </a:pathLst>
            </a:cu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pt-BR"/>
            </a:p>
          </xdr:txBody>
        </xdr:sp>
      </xdr:grpSp>
    </xdr:grpSp>
    <xdr:clientData/>
  </xdr:twoCellAnchor>
  <xdr:twoCellAnchor>
    <xdr:from>
      <xdr:col>1</xdr:col>
      <xdr:colOff>352425</xdr:colOff>
      <xdr:row>30</xdr:row>
      <xdr:rowOff>9525</xdr:rowOff>
    </xdr:from>
    <xdr:to>
      <xdr:col>4</xdr:col>
      <xdr:colOff>361950</xdr:colOff>
      <xdr:row>33</xdr:row>
      <xdr:rowOff>161925</xdr:rowOff>
    </xdr:to>
    <xdr:grpSp>
      <xdr:nvGrpSpPr>
        <xdr:cNvPr id="3406164" name="Agrupar 15">
          <a:extLst>
            <a:ext uri="{FF2B5EF4-FFF2-40B4-BE49-F238E27FC236}">
              <a16:creationId xmlns:a16="http://schemas.microsoft.com/office/drawing/2014/main" id="{00000000-0008-0000-1100-000054F93300}"/>
            </a:ext>
          </a:extLst>
        </xdr:cNvPr>
        <xdr:cNvGrpSpPr>
          <a:grpSpLocks/>
        </xdr:cNvGrpSpPr>
      </xdr:nvGrpSpPr>
      <xdr:grpSpPr bwMode="auto">
        <a:xfrm>
          <a:off x="998468" y="4449003"/>
          <a:ext cx="2726221" cy="636933"/>
          <a:chOff x="676275" y="4252551"/>
          <a:chExt cx="2466975" cy="921641"/>
        </a:xfrm>
      </xdr:grpSpPr>
      <xdr:sp macro="" textlink="">
        <xdr:nvSpPr>
          <xdr:cNvPr id="17" name="CaixaDeTexto 16">
            <a:extLst>
              <a:ext uri="{FF2B5EF4-FFF2-40B4-BE49-F238E27FC236}">
                <a16:creationId xmlns:a16="http://schemas.microsoft.com/office/drawing/2014/main" id="{00000000-0008-0000-1100-000011000000}"/>
              </a:ext>
            </a:extLst>
          </xdr:cNvPr>
          <xdr:cNvSpPr txBox="1"/>
        </xdr:nvSpPr>
        <xdr:spPr>
          <a:xfrm>
            <a:off x="676275" y="4610203"/>
            <a:ext cx="635154" cy="261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11</a:t>
            </a:r>
          </a:p>
        </xdr:txBody>
      </xdr:sp>
      <xdr:sp macro="" textlink="">
        <xdr:nvSpPr>
          <xdr:cNvPr id="18" name="CaixaDeTexto 17">
            <a:extLst>
              <a:ext uri="{FF2B5EF4-FFF2-40B4-BE49-F238E27FC236}">
                <a16:creationId xmlns:a16="http://schemas.microsoft.com/office/drawing/2014/main" id="{00000000-0008-0000-1100-000012000000}"/>
              </a:ext>
            </a:extLst>
          </xdr:cNvPr>
          <xdr:cNvSpPr txBox="1"/>
        </xdr:nvSpPr>
        <xdr:spPr>
          <a:xfrm>
            <a:off x="1762480" y="4252551"/>
            <a:ext cx="561513" cy="261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75</a:t>
            </a:r>
          </a:p>
        </xdr:txBody>
      </xdr:sp>
      <xdr:sp macro="" textlink="">
        <xdr:nvSpPr>
          <xdr:cNvPr id="19" name="CaixaDeTexto 18">
            <a:extLst>
              <a:ext uri="{FF2B5EF4-FFF2-40B4-BE49-F238E27FC236}">
                <a16:creationId xmlns:a16="http://schemas.microsoft.com/office/drawing/2014/main" id="{00000000-0008-0000-1100-000013000000}"/>
              </a:ext>
            </a:extLst>
          </xdr:cNvPr>
          <xdr:cNvSpPr txBox="1"/>
        </xdr:nvSpPr>
        <xdr:spPr>
          <a:xfrm>
            <a:off x="1762480" y="4912831"/>
            <a:ext cx="561513" cy="2613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75</a:t>
            </a:r>
          </a:p>
        </xdr:txBody>
      </xdr:sp>
      <xdr:grpSp>
        <xdr:nvGrpSpPr>
          <xdr:cNvPr id="3406270" name="Agrupar 19">
            <a:extLst>
              <a:ext uri="{FF2B5EF4-FFF2-40B4-BE49-F238E27FC236}">
                <a16:creationId xmlns:a16="http://schemas.microsoft.com/office/drawing/2014/main" id="{00000000-0008-0000-1100-0000BEF93300}"/>
              </a:ext>
            </a:extLst>
          </xdr:cNvPr>
          <xdr:cNvGrpSpPr>
            <a:grpSpLocks/>
          </xdr:cNvGrpSpPr>
        </xdr:nvGrpSpPr>
        <xdr:grpSpPr bwMode="auto">
          <a:xfrm>
            <a:off x="1066800" y="4581525"/>
            <a:ext cx="2076450" cy="323850"/>
            <a:chOff x="4095750" y="4371975"/>
            <a:chExt cx="1704975" cy="323850"/>
          </a:xfrm>
        </xdr:grpSpPr>
        <xdr:grpSp>
          <xdr:nvGrpSpPr>
            <xdr:cNvPr id="3406271" name="Agrupar 20">
              <a:extLst>
                <a:ext uri="{FF2B5EF4-FFF2-40B4-BE49-F238E27FC236}">
                  <a16:creationId xmlns:a16="http://schemas.microsoft.com/office/drawing/2014/main" id="{00000000-0008-0000-1100-0000BFF93300}"/>
                </a:ext>
              </a:extLst>
            </xdr:cNvPr>
            <xdr:cNvGrpSpPr>
              <a:grpSpLocks/>
            </xdr:cNvGrpSpPr>
          </xdr:nvGrpSpPr>
          <xdr:grpSpPr bwMode="auto">
            <a:xfrm>
              <a:off x="4095750" y="4371975"/>
              <a:ext cx="1704975" cy="323850"/>
              <a:chOff x="1219200" y="4305300"/>
              <a:chExt cx="1704975" cy="323850"/>
            </a:xfrm>
          </xdr:grpSpPr>
          <xdr:cxnSp macro="">
            <xdr:nvCxnSpPr>
              <xdr:cNvPr id="23" name="Conector reto 22">
                <a:extLst>
                  <a:ext uri="{FF2B5EF4-FFF2-40B4-BE49-F238E27FC236}">
                    <a16:creationId xmlns:a16="http://schemas.microsoft.com/office/drawing/2014/main" id="{00000000-0008-0000-1100-000017000000}"/>
                  </a:ext>
                </a:extLst>
              </xdr:cNvPr>
              <xdr:cNvCxnSpPr/>
            </xdr:nvCxnSpPr>
            <xdr:spPr>
              <a:xfrm>
                <a:off x="1215990" y="4306465"/>
                <a:ext cx="1708185"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4" name="Conector reto 23">
                <a:extLst>
                  <a:ext uri="{FF2B5EF4-FFF2-40B4-BE49-F238E27FC236}">
                    <a16:creationId xmlns:a16="http://schemas.microsoft.com/office/drawing/2014/main" id="{00000000-0008-0000-1100-000018000000}"/>
                  </a:ext>
                </a:extLst>
              </xdr:cNvPr>
              <xdr:cNvCxnSpPr/>
            </xdr:nvCxnSpPr>
            <xdr:spPr>
              <a:xfrm flipV="1">
                <a:off x="1215990" y="4306465"/>
                <a:ext cx="0" cy="316384"/>
              </a:xfrm>
              <a:prstGeom prst="line">
                <a:avLst/>
              </a:prstGeom>
            </xdr:spPr>
            <xdr:style>
              <a:lnRef idx="1">
                <a:schemeClr val="accent1"/>
              </a:lnRef>
              <a:fillRef idx="0">
                <a:schemeClr val="accent1"/>
              </a:fillRef>
              <a:effectRef idx="0">
                <a:schemeClr val="accent1"/>
              </a:effectRef>
              <a:fontRef idx="minor">
                <a:schemeClr val="tx1"/>
              </a:fontRef>
            </xdr:style>
          </xdr:cxnSp>
        </xdr:grpSp>
        <xdr:cxnSp macro="">
          <xdr:nvCxnSpPr>
            <xdr:cNvPr id="22" name="Conector reto 21">
              <a:extLst>
                <a:ext uri="{FF2B5EF4-FFF2-40B4-BE49-F238E27FC236}">
                  <a16:creationId xmlns:a16="http://schemas.microsoft.com/office/drawing/2014/main" id="{00000000-0008-0000-1100-000016000000}"/>
                </a:ext>
              </a:extLst>
            </xdr:cNvPr>
            <xdr:cNvCxnSpPr/>
          </xdr:nvCxnSpPr>
          <xdr:spPr>
            <a:xfrm>
              <a:off x="4092540" y="4689524"/>
              <a:ext cx="1708185" cy="0"/>
            </a:xfrm>
            <a:prstGeom prst="line">
              <a:avLst/>
            </a:prstGeom>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1</xdr:col>
      <xdr:colOff>276225</xdr:colOff>
      <xdr:row>44</xdr:row>
      <xdr:rowOff>114300</xdr:rowOff>
    </xdr:from>
    <xdr:to>
      <xdr:col>5</xdr:col>
      <xdr:colOff>276225</xdr:colOff>
      <xdr:row>50</xdr:row>
      <xdr:rowOff>66675</xdr:rowOff>
    </xdr:to>
    <xdr:grpSp>
      <xdr:nvGrpSpPr>
        <xdr:cNvPr id="3406165" name="Agrupar 24">
          <a:extLst>
            <a:ext uri="{FF2B5EF4-FFF2-40B4-BE49-F238E27FC236}">
              <a16:creationId xmlns:a16="http://schemas.microsoft.com/office/drawing/2014/main" id="{00000000-0008-0000-1100-000055F93300}"/>
            </a:ext>
          </a:extLst>
        </xdr:cNvPr>
        <xdr:cNvGrpSpPr>
          <a:grpSpLocks/>
        </xdr:cNvGrpSpPr>
      </xdr:nvGrpSpPr>
      <xdr:grpSpPr bwMode="auto">
        <a:xfrm>
          <a:off x="922268" y="6373882"/>
          <a:ext cx="3602935" cy="873815"/>
          <a:chOff x="1190625" y="6829425"/>
          <a:chExt cx="2324100" cy="590550"/>
        </a:xfrm>
      </xdr:grpSpPr>
      <xdr:grpSp>
        <xdr:nvGrpSpPr>
          <xdr:cNvPr id="3406234" name="Agrupar 25">
            <a:extLst>
              <a:ext uri="{FF2B5EF4-FFF2-40B4-BE49-F238E27FC236}">
                <a16:creationId xmlns:a16="http://schemas.microsoft.com/office/drawing/2014/main" id="{00000000-0008-0000-1100-00009AF93300}"/>
              </a:ext>
            </a:extLst>
          </xdr:cNvPr>
          <xdr:cNvGrpSpPr>
            <a:grpSpLocks/>
          </xdr:cNvGrpSpPr>
        </xdr:nvGrpSpPr>
        <xdr:grpSpPr bwMode="auto">
          <a:xfrm>
            <a:off x="1247775" y="6829425"/>
            <a:ext cx="2181225" cy="590550"/>
            <a:chOff x="2438400" y="7486650"/>
            <a:chExt cx="2181225" cy="590550"/>
          </a:xfrm>
        </xdr:grpSpPr>
        <xdr:cxnSp macro="">
          <xdr:nvCxnSpPr>
            <xdr:cNvPr id="35" name="Conector reto 34">
              <a:extLst>
                <a:ext uri="{FF2B5EF4-FFF2-40B4-BE49-F238E27FC236}">
                  <a16:creationId xmlns:a16="http://schemas.microsoft.com/office/drawing/2014/main" id="{00000000-0008-0000-1100-000023000000}"/>
                </a:ext>
              </a:extLst>
            </xdr:cNvPr>
            <xdr:cNvCxnSpPr/>
          </xdr:nvCxnSpPr>
          <xdr:spPr>
            <a:xfrm flipV="1">
              <a:off x="2440505" y="7493069"/>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6" name="Conector reto 35">
              <a:extLst>
                <a:ext uri="{FF2B5EF4-FFF2-40B4-BE49-F238E27FC236}">
                  <a16:creationId xmlns:a16="http://schemas.microsoft.com/office/drawing/2014/main" id="{00000000-0008-0000-1100-000024000000}"/>
                </a:ext>
              </a:extLst>
            </xdr:cNvPr>
            <xdr:cNvCxnSpPr/>
          </xdr:nvCxnSpPr>
          <xdr:spPr>
            <a:xfrm flipV="1">
              <a:off x="2532679" y="7493069"/>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7" name="Conector reto 36">
              <a:extLst>
                <a:ext uri="{FF2B5EF4-FFF2-40B4-BE49-F238E27FC236}">
                  <a16:creationId xmlns:a16="http://schemas.microsoft.com/office/drawing/2014/main" id="{00000000-0008-0000-1100-000025000000}"/>
                </a:ext>
              </a:extLst>
            </xdr:cNvPr>
            <xdr:cNvCxnSpPr/>
          </xdr:nvCxnSpPr>
          <xdr:spPr>
            <a:xfrm flipV="1">
              <a:off x="2631436" y="7493069"/>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8" name="Conector reto 37">
              <a:extLst>
                <a:ext uri="{FF2B5EF4-FFF2-40B4-BE49-F238E27FC236}">
                  <a16:creationId xmlns:a16="http://schemas.microsoft.com/office/drawing/2014/main" id="{00000000-0008-0000-1100-000026000000}"/>
                </a:ext>
              </a:extLst>
            </xdr:cNvPr>
            <xdr:cNvCxnSpPr/>
          </xdr:nvCxnSpPr>
          <xdr:spPr>
            <a:xfrm flipV="1">
              <a:off x="2723610" y="7493069"/>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9" name="Conector reto 38">
              <a:extLst>
                <a:ext uri="{FF2B5EF4-FFF2-40B4-BE49-F238E27FC236}">
                  <a16:creationId xmlns:a16="http://schemas.microsoft.com/office/drawing/2014/main" id="{00000000-0008-0000-1100-000027000000}"/>
                </a:ext>
              </a:extLst>
            </xdr:cNvPr>
            <xdr:cNvCxnSpPr/>
          </xdr:nvCxnSpPr>
          <xdr:spPr>
            <a:xfrm flipV="1">
              <a:off x="2822368" y="7493069"/>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40" name="Conector reto 39">
              <a:extLst>
                <a:ext uri="{FF2B5EF4-FFF2-40B4-BE49-F238E27FC236}">
                  <a16:creationId xmlns:a16="http://schemas.microsoft.com/office/drawing/2014/main" id="{00000000-0008-0000-1100-000028000000}"/>
                </a:ext>
              </a:extLst>
            </xdr:cNvPr>
            <xdr:cNvCxnSpPr/>
          </xdr:nvCxnSpPr>
          <xdr:spPr>
            <a:xfrm flipV="1">
              <a:off x="2914542" y="7493069"/>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41" name="Conector reto 40">
              <a:extLst>
                <a:ext uri="{FF2B5EF4-FFF2-40B4-BE49-F238E27FC236}">
                  <a16:creationId xmlns:a16="http://schemas.microsoft.com/office/drawing/2014/main" id="{00000000-0008-0000-1100-000029000000}"/>
                </a:ext>
              </a:extLst>
            </xdr:cNvPr>
            <xdr:cNvCxnSpPr/>
          </xdr:nvCxnSpPr>
          <xdr:spPr>
            <a:xfrm flipV="1">
              <a:off x="3013300" y="7493069"/>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42" name="Conector reto 41">
              <a:extLst>
                <a:ext uri="{FF2B5EF4-FFF2-40B4-BE49-F238E27FC236}">
                  <a16:creationId xmlns:a16="http://schemas.microsoft.com/office/drawing/2014/main" id="{00000000-0008-0000-1100-00002A000000}"/>
                </a:ext>
              </a:extLst>
            </xdr:cNvPr>
            <xdr:cNvCxnSpPr/>
          </xdr:nvCxnSpPr>
          <xdr:spPr>
            <a:xfrm flipV="1">
              <a:off x="3105474" y="7493069"/>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43" name="Conector reto 42">
              <a:extLst>
                <a:ext uri="{FF2B5EF4-FFF2-40B4-BE49-F238E27FC236}">
                  <a16:creationId xmlns:a16="http://schemas.microsoft.com/office/drawing/2014/main" id="{00000000-0008-0000-1100-00002B000000}"/>
                </a:ext>
              </a:extLst>
            </xdr:cNvPr>
            <xdr:cNvCxnSpPr/>
          </xdr:nvCxnSpPr>
          <xdr:spPr>
            <a:xfrm flipV="1">
              <a:off x="3204232"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44" name="Conector reto 43">
              <a:extLst>
                <a:ext uri="{FF2B5EF4-FFF2-40B4-BE49-F238E27FC236}">
                  <a16:creationId xmlns:a16="http://schemas.microsoft.com/office/drawing/2014/main" id="{00000000-0008-0000-1100-00002C000000}"/>
                </a:ext>
              </a:extLst>
            </xdr:cNvPr>
            <xdr:cNvCxnSpPr/>
          </xdr:nvCxnSpPr>
          <xdr:spPr>
            <a:xfrm flipV="1">
              <a:off x="3296406"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45" name="Conector reto 44">
              <a:extLst>
                <a:ext uri="{FF2B5EF4-FFF2-40B4-BE49-F238E27FC236}">
                  <a16:creationId xmlns:a16="http://schemas.microsoft.com/office/drawing/2014/main" id="{00000000-0008-0000-1100-00002D000000}"/>
                </a:ext>
              </a:extLst>
            </xdr:cNvPr>
            <xdr:cNvCxnSpPr/>
          </xdr:nvCxnSpPr>
          <xdr:spPr>
            <a:xfrm flipV="1">
              <a:off x="3395163"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46" name="Conector reto 45">
              <a:extLst>
                <a:ext uri="{FF2B5EF4-FFF2-40B4-BE49-F238E27FC236}">
                  <a16:creationId xmlns:a16="http://schemas.microsoft.com/office/drawing/2014/main" id="{00000000-0008-0000-1100-00002E000000}"/>
                </a:ext>
              </a:extLst>
            </xdr:cNvPr>
            <xdr:cNvCxnSpPr/>
          </xdr:nvCxnSpPr>
          <xdr:spPr>
            <a:xfrm flipV="1">
              <a:off x="3487337"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47" name="Conector reto 46">
              <a:extLst>
                <a:ext uri="{FF2B5EF4-FFF2-40B4-BE49-F238E27FC236}">
                  <a16:creationId xmlns:a16="http://schemas.microsoft.com/office/drawing/2014/main" id="{00000000-0008-0000-1100-00002F000000}"/>
                </a:ext>
              </a:extLst>
            </xdr:cNvPr>
            <xdr:cNvCxnSpPr/>
          </xdr:nvCxnSpPr>
          <xdr:spPr>
            <a:xfrm flipV="1">
              <a:off x="3579511"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48" name="Conector reto 47">
              <a:extLst>
                <a:ext uri="{FF2B5EF4-FFF2-40B4-BE49-F238E27FC236}">
                  <a16:creationId xmlns:a16="http://schemas.microsoft.com/office/drawing/2014/main" id="{00000000-0008-0000-1100-000030000000}"/>
                </a:ext>
              </a:extLst>
            </xdr:cNvPr>
            <xdr:cNvCxnSpPr/>
          </xdr:nvCxnSpPr>
          <xdr:spPr>
            <a:xfrm flipV="1">
              <a:off x="3678269"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49" name="Conector reto 48">
              <a:extLst>
                <a:ext uri="{FF2B5EF4-FFF2-40B4-BE49-F238E27FC236}">
                  <a16:creationId xmlns:a16="http://schemas.microsoft.com/office/drawing/2014/main" id="{00000000-0008-0000-1100-000031000000}"/>
                </a:ext>
              </a:extLst>
            </xdr:cNvPr>
            <xdr:cNvCxnSpPr/>
          </xdr:nvCxnSpPr>
          <xdr:spPr>
            <a:xfrm flipV="1">
              <a:off x="3770443"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0" name="Conector reto 49">
              <a:extLst>
                <a:ext uri="{FF2B5EF4-FFF2-40B4-BE49-F238E27FC236}">
                  <a16:creationId xmlns:a16="http://schemas.microsoft.com/office/drawing/2014/main" id="{00000000-0008-0000-1100-000032000000}"/>
                </a:ext>
              </a:extLst>
            </xdr:cNvPr>
            <xdr:cNvCxnSpPr/>
          </xdr:nvCxnSpPr>
          <xdr:spPr>
            <a:xfrm flipV="1">
              <a:off x="3869201"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1" name="Conector reto 50">
              <a:extLst>
                <a:ext uri="{FF2B5EF4-FFF2-40B4-BE49-F238E27FC236}">
                  <a16:creationId xmlns:a16="http://schemas.microsoft.com/office/drawing/2014/main" id="{00000000-0008-0000-1100-000033000000}"/>
                </a:ext>
              </a:extLst>
            </xdr:cNvPr>
            <xdr:cNvCxnSpPr/>
          </xdr:nvCxnSpPr>
          <xdr:spPr>
            <a:xfrm flipV="1">
              <a:off x="3954791"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2" name="Conector reto 51">
              <a:extLst>
                <a:ext uri="{FF2B5EF4-FFF2-40B4-BE49-F238E27FC236}">
                  <a16:creationId xmlns:a16="http://schemas.microsoft.com/office/drawing/2014/main" id="{00000000-0008-0000-1100-000034000000}"/>
                </a:ext>
              </a:extLst>
            </xdr:cNvPr>
            <xdr:cNvCxnSpPr/>
          </xdr:nvCxnSpPr>
          <xdr:spPr>
            <a:xfrm flipV="1">
              <a:off x="4046965"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3" name="Conector reto 52">
              <a:extLst>
                <a:ext uri="{FF2B5EF4-FFF2-40B4-BE49-F238E27FC236}">
                  <a16:creationId xmlns:a16="http://schemas.microsoft.com/office/drawing/2014/main" id="{00000000-0008-0000-1100-000035000000}"/>
                </a:ext>
              </a:extLst>
            </xdr:cNvPr>
            <xdr:cNvCxnSpPr/>
          </xdr:nvCxnSpPr>
          <xdr:spPr>
            <a:xfrm flipV="1">
              <a:off x="4145722"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4" name="Conector reto 53">
              <a:extLst>
                <a:ext uri="{FF2B5EF4-FFF2-40B4-BE49-F238E27FC236}">
                  <a16:creationId xmlns:a16="http://schemas.microsoft.com/office/drawing/2014/main" id="{00000000-0008-0000-1100-000036000000}"/>
                </a:ext>
              </a:extLst>
            </xdr:cNvPr>
            <xdr:cNvCxnSpPr/>
          </xdr:nvCxnSpPr>
          <xdr:spPr>
            <a:xfrm flipV="1">
              <a:off x="4237896"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5" name="Conector reto 54">
              <a:extLst>
                <a:ext uri="{FF2B5EF4-FFF2-40B4-BE49-F238E27FC236}">
                  <a16:creationId xmlns:a16="http://schemas.microsoft.com/office/drawing/2014/main" id="{00000000-0008-0000-1100-000037000000}"/>
                </a:ext>
              </a:extLst>
            </xdr:cNvPr>
            <xdr:cNvCxnSpPr/>
          </xdr:nvCxnSpPr>
          <xdr:spPr>
            <a:xfrm flipV="1">
              <a:off x="4336654"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6" name="Conector reto 55">
              <a:extLst>
                <a:ext uri="{FF2B5EF4-FFF2-40B4-BE49-F238E27FC236}">
                  <a16:creationId xmlns:a16="http://schemas.microsoft.com/office/drawing/2014/main" id="{00000000-0008-0000-1100-000038000000}"/>
                </a:ext>
              </a:extLst>
            </xdr:cNvPr>
            <xdr:cNvCxnSpPr/>
          </xdr:nvCxnSpPr>
          <xdr:spPr>
            <a:xfrm flipV="1">
              <a:off x="4428828"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7" name="Conector reto 56">
              <a:extLst>
                <a:ext uri="{FF2B5EF4-FFF2-40B4-BE49-F238E27FC236}">
                  <a16:creationId xmlns:a16="http://schemas.microsoft.com/office/drawing/2014/main" id="{00000000-0008-0000-1100-000039000000}"/>
                </a:ext>
              </a:extLst>
            </xdr:cNvPr>
            <xdr:cNvCxnSpPr/>
          </xdr:nvCxnSpPr>
          <xdr:spPr>
            <a:xfrm flipV="1">
              <a:off x="4527586"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58" name="Conector reto 57">
              <a:extLst>
                <a:ext uri="{FF2B5EF4-FFF2-40B4-BE49-F238E27FC236}">
                  <a16:creationId xmlns:a16="http://schemas.microsoft.com/office/drawing/2014/main" id="{00000000-0008-0000-1100-00003A000000}"/>
                </a:ext>
              </a:extLst>
            </xdr:cNvPr>
            <xdr:cNvCxnSpPr/>
          </xdr:nvCxnSpPr>
          <xdr:spPr>
            <a:xfrm flipV="1">
              <a:off x="4619760" y="7486650"/>
              <a:ext cx="0" cy="584131"/>
            </a:xfrm>
            <a:prstGeom prst="line">
              <a:avLst/>
            </a:prstGeom>
          </xdr:spPr>
          <xdr:style>
            <a:lnRef idx="1">
              <a:schemeClr val="accent1"/>
            </a:lnRef>
            <a:fillRef idx="0">
              <a:schemeClr val="accent1"/>
            </a:fillRef>
            <a:effectRef idx="0">
              <a:schemeClr val="accent1"/>
            </a:effectRef>
            <a:fontRef idx="minor">
              <a:schemeClr val="tx1"/>
            </a:fontRef>
          </xdr:style>
        </xdr:cxnSp>
      </xdr:grpSp>
      <xdr:grpSp>
        <xdr:nvGrpSpPr>
          <xdr:cNvPr id="3406235" name="Agrupar 26">
            <a:extLst>
              <a:ext uri="{FF2B5EF4-FFF2-40B4-BE49-F238E27FC236}">
                <a16:creationId xmlns:a16="http://schemas.microsoft.com/office/drawing/2014/main" id="{00000000-0008-0000-1100-00009BF93300}"/>
              </a:ext>
            </a:extLst>
          </xdr:cNvPr>
          <xdr:cNvGrpSpPr>
            <a:grpSpLocks/>
          </xdr:cNvGrpSpPr>
        </xdr:nvGrpSpPr>
        <xdr:grpSpPr bwMode="auto">
          <a:xfrm>
            <a:off x="1190625" y="6858000"/>
            <a:ext cx="2324100" cy="523875"/>
            <a:chOff x="1190625" y="6858000"/>
            <a:chExt cx="2324100" cy="523875"/>
          </a:xfrm>
        </xdr:grpSpPr>
        <xdr:cxnSp macro="">
          <xdr:nvCxnSpPr>
            <xdr:cNvPr id="28" name="Conector reto 27">
              <a:extLst>
                <a:ext uri="{FF2B5EF4-FFF2-40B4-BE49-F238E27FC236}">
                  <a16:creationId xmlns:a16="http://schemas.microsoft.com/office/drawing/2014/main" id="{00000000-0008-0000-1100-00001C000000}"/>
                </a:ext>
              </a:extLst>
            </xdr:cNvPr>
            <xdr:cNvCxnSpPr/>
          </xdr:nvCxnSpPr>
          <xdr:spPr>
            <a:xfrm>
              <a:off x="1190625" y="6855101"/>
              <a:ext cx="232410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29" name="Conector reto 28">
              <a:extLst>
                <a:ext uri="{FF2B5EF4-FFF2-40B4-BE49-F238E27FC236}">
                  <a16:creationId xmlns:a16="http://schemas.microsoft.com/office/drawing/2014/main" id="{00000000-0008-0000-1100-00001D000000}"/>
                </a:ext>
              </a:extLst>
            </xdr:cNvPr>
            <xdr:cNvCxnSpPr/>
          </xdr:nvCxnSpPr>
          <xdr:spPr>
            <a:xfrm>
              <a:off x="1190625" y="6938548"/>
              <a:ext cx="232410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0" name="Conector reto 29">
              <a:extLst>
                <a:ext uri="{FF2B5EF4-FFF2-40B4-BE49-F238E27FC236}">
                  <a16:creationId xmlns:a16="http://schemas.microsoft.com/office/drawing/2014/main" id="{00000000-0008-0000-1100-00001E000000}"/>
                </a:ext>
              </a:extLst>
            </xdr:cNvPr>
            <xdr:cNvCxnSpPr/>
          </xdr:nvCxnSpPr>
          <xdr:spPr>
            <a:xfrm>
              <a:off x="1190625" y="7028414"/>
              <a:ext cx="232410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1" name="Conector reto 30">
              <a:extLst>
                <a:ext uri="{FF2B5EF4-FFF2-40B4-BE49-F238E27FC236}">
                  <a16:creationId xmlns:a16="http://schemas.microsoft.com/office/drawing/2014/main" id="{00000000-0008-0000-1100-00001F000000}"/>
                </a:ext>
              </a:extLst>
            </xdr:cNvPr>
            <xdr:cNvCxnSpPr/>
          </xdr:nvCxnSpPr>
          <xdr:spPr>
            <a:xfrm>
              <a:off x="1190625" y="7111862"/>
              <a:ext cx="232410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2" name="Conector reto 31">
              <a:extLst>
                <a:ext uri="{FF2B5EF4-FFF2-40B4-BE49-F238E27FC236}">
                  <a16:creationId xmlns:a16="http://schemas.microsoft.com/office/drawing/2014/main" id="{00000000-0008-0000-1100-000020000000}"/>
                </a:ext>
              </a:extLst>
            </xdr:cNvPr>
            <xdr:cNvCxnSpPr/>
          </xdr:nvCxnSpPr>
          <xdr:spPr>
            <a:xfrm>
              <a:off x="1190625" y="7201728"/>
              <a:ext cx="232410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3" name="Conector reto 32">
              <a:extLst>
                <a:ext uri="{FF2B5EF4-FFF2-40B4-BE49-F238E27FC236}">
                  <a16:creationId xmlns:a16="http://schemas.microsoft.com/office/drawing/2014/main" id="{00000000-0008-0000-1100-000021000000}"/>
                </a:ext>
              </a:extLst>
            </xdr:cNvPr>
            <xdr:cNvCxnSpPr/>
          </xdr:nvCxnSpPr>
          <xdr:spPr>
            <a:xfrm>
              <a:off x="1190625" y="7285175"/>
              <a:ext cx="232410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34" name="Conector reto 33">
              <a:extLst>
                <a:ext uri="{FF2B5EF4-FFF2-40B4-BE49-F238E27FC236}">
                  <a16:creationId xmlns:a16="http://schemas.microsoft.com/office/drawing/2014/main" id="{00000000-0008-0000-1100-000022000000}"/>
                </a:ext>
              </a:extLst>
            </xdr:cNvPr>
            <xdr:cNvCxnSpPr/>
          </xdr:nvCxnSpPr>
          <xdr:spPr>
            <a:xfrm>
              <a:off x="1190625" y="7381461"/>
              <a:ext cx="2324100" cy="0"/>
            </a:xfrm>
            <a:prstGeom prst="line">
              <a:avLst/>
            </a:prstGeom>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3</xdr:col>
      <xdr:colOff>85725</xdr:colOff>
      <xdr:row>50</xdr:row>
      <xdr:rowOff>78684</xdr:rowOff>
    </xdr:from>
    <xdr:to>
      <xdr:col>4</xdr:col>
      <xdr:colOff>571500</xdr:colOff>
      <xdr:row>51</xdr:row>
      <xdr:rowOff>147476</xdr:rowOff>
    </xdr:to>
    <xdr:sp macro="" textlink="">
      <xdr:nvSpPr>
        <xdr:cNvPr id="59" name="CaixaDeTexto 58">
          <a:extLst>
            <a:ext uri="{FF2B5EF4-FFF2-40B4-BE49-F238E27FC236}">
              <a16:creationId xmlns:a16="http://schemas.microsoft.com/office/drawing/2014/main" id="{00000000-0008-0000-1100-00003B000000}"/>
            </a:ext>
          </a:extLst>
        </xdr:cNvPr>
        <xdr:cNvSpPr txBox="1"/>
      </xdr:nvSpPr>
      <xdr:spPr>
        <a:xfrm>
          <a:off x="2280616" y="7317684"/>
          <a:ext cx="1446558" cy="2344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pt-BR"/>
        </a:p>
      </xdr:txBody>
    </xdr:sp>
    <xdr:clientData/>
  </xdr:twoCellAnchor>
  <xdr:twoCellAnchor>
    <xdr:from>
      <xdr:col>5</xdr:col>
      <xdr:colOff>361949</xdr:colOff>
      <xdr:row>46</xdr:row>
      <xdr:rowOff>142875</xdr:rowOff>
    </xdr:from>
    <xdr:to>
      <xdr:col>7</xdr:col>
      <xdr:colOff>329710</xdr:colOff>
      <xdr:row>48</xdr:row>
      <xdr:rowOff>21167</xdr:rowOff>
    </xdr:to>
    <xdr:sp macro="" textlink="">
      <xdr:nvSpPr>
        <xdr:cNvPr id="60" name="CaixaDeTexto 59">
          <a:extLst>
            <a:ext uri="{FF2B5EF4-FFF2-40B4-BE49-F238E27FC236}">
              <a16:creationId xmlns:a16="http://schemas.microsoft.com/office/drawing/2014/main" id="{00000000-0008-0000-1100-00003C000000}"/>
            </a:ext>
          </a:extLst>
        </xdr:cNvPr>
        <xdr:cNvSpPr txBox="1"/>
      </xdr:nvSpPr>
      <xdr:spPr>
        <a:xfrm>
          <a:off x="3842237" y="7455144"/>
          <a:ext cx="1184031" cy="2006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ɸ 8 </a:t>
          </a:r>
          <a:r>
            <a:rPr lang="pt-BR" sz="1100" baseline="0"/>
            <a:t> C/ 20</a:t>
          </a:r>
          <a:endParaRPr lang="pt-BR" sz="1100"/>
        </a:p>
      </xdr:txBody>
    </xdr:sp>
    <xdr:clientData/>
  </xdr:twoCellAnchor>
  <xdr:twoCellAnchor>
    <xdr:from>
      <xdr:col>1</xdr:col>
      <xdr:colOff>276225</xdr:colOff>
      <xdr:row>67</xdr:row>
      <xdr:rowOff>114300</xdr:rowOff>
    </xdr:from>
    <xdr:to>
      <xdr:col>7</xdr:col>
      <xdr:colOff>0</xdr:colOff>
      <xdr:row>75</xdr:row>
      <xdr:rowOff>0</xdr:rowOff>
    </xdr:to>
    <xdr:grpSp>
      <xdr:nvGrpSpPr>
        <xdr:cNvPr id="3406168" name="Agrupar 60">
          <a:extLst>
            <a:ext uri="{FF2B5EF4-FFF2-40B4-BE49-F238E27FC236}">
              <a16:creationId xmlns:a16="http://schemas.microsoft.com/office/drawing/2014/main" id="{00000000-0008-0000-1100-000058F93300}"/>
            </a:ext>
          </a:extLst>
        </xdr:cNvPr>
        <xdr:cNvGrpSpPr>
          <a:grpSpLocks/>
        </xdr:cNvGrpSpPr>
      </xdr:nvGrpSpPr>
      <xdr:grpSpPr bwMode="auto">
        <a:xfrm>
          <a:off x="922268" y="9987584"/>
          <a:ext cx="5041210" cy="1131819"/>
          <a:chOff x="885825" y="10525124"/>
          <a:chExt cx="4286250" cy="1383243"/>
        </a:xfrm>
      </xdr:grpSpPr>
      <xdr:grpSp>
        <xdr:nvGrpSpPr>
          <xdr:cNvPr id="3406207" name="Agrupar 61">
            <a:extLst>
              <a:ext uri="{FF2B5EF4-FFF2-40B4-BE49-F238E27FC236}">
                <a16:creationId xmlns:a16="http://schemas.microsoft.com/office/drawing/2014/main" id="{00000000-0008-0000-1100-00007FF93300}"/>
              </a:ext>
            </a:extLst>
          </xdr:cNvPr>
          <xdr:cNvGrpSpPr>
            <a:grpSpLocks/>
          </xdr:cNvGrpSpPr>
        </xdr:nvGrpSpPr>
        <xdr:grpSpPr bwMode="auto">
          <a:xfrm>
            <a:off x="960777" y="10525124"/>
            <a:ext cx="2966378" cy="1095376"/>
            <a:chOff x="2438400" y="7486650"/>
            <a:chExt cx="2261814" cy="590550"/>
          </a:xfrm>
        </xdr:grpSpPr>
        <xdr:cxnSp macro="">
          <xdr:nvCxnSpPr>
            <xdr:cNvPr id="72" name="Conector reto 71">
              <a:extLst>
                <a:ext uri="{FF2B5EF4-FFF2-40B4-BE49-F238E27FC236}">
                  <a16:creationId xmlns:a16="http://schemas.microsoft.com/office/drawing/2014/main" id="{00000000-0008-0000-1100-000048000000}"/>
                </a:ext>
              </a:extLst>
            </xdr:cNvPr>
            <xdr:cNvCxnSpPr/>
          </xdr:nvCxnSpPr>
          <xdr:spPr>
            <a:xfrm flipV="1">
              <a:off x="2441156" y="7499184"/>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73" name="Conector reto 72">
              <a:extLst>
                <a:ext uri="{FF2B5EF4-FFF2-40B4-BE49-F238E27FC236}">
                  <a16:creationId xmlns:a16="http://schemas.microsoft.com/office/drawing/2014/main" id="{00000000-0008-0000-1100-000049000000}"/>
                </a:ext>
              </a:extLst>
            </xdr:cNvPr>
            <xdr:cNvCxnSpPr/>
          </xdr:nvCxnSpPr>
          <xdr:spPr>
            <a:xfrm flipV="1">
              <a:off x="2580936" y="7499184"/>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74" name="Conector reto 73">
              <a:extLst>
                <a:ext uri="{FF2B5EF4-FFF2-40B4-BE49-F238E27FC236}">
                  <a16:creationId xmlns:a16="http://schemas.microsoft.com/office/drawing/2014/main" id="{00000000-0008-0000-1100-00004A000000}"/>
                </a:ext>
              </a:extLst>
            </xdr:cNvPr>
            <xdr:cNvCxnSpPr/>
          </xdr:nvCxnSpPr>
          <xdr:spPr>
            <a:xfrm flipV="1">
              <a:off x="2720717" y="7499184"/>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75" name="Conector reto 74">
              <a:extLst>
                <a:ext uri="{FF2B5EF4-FFF2-40B4-BE49-F238E27FC236}">
                  <a16:creationId xmlns:a16="http://schemas.microsoft.com/office/drawing/2014/main" id="{00000000-0008-0000-1100-00004B000000}"/>
                </a:ext>
              </a:extLst>
            </xdr:cNvPr>
            <xdr:cNvCxnSpPr/>
          </xdr:nvCxnSpPr>
          <xdr:spPr>
            <a:xfrm flipV="1">
              <a:off x="2860497" y="7499184"/>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76" name="Conector reto 75">
              <a:extLst>
                <a:ext uri="{FF2B5EF4-FFF2-40B4-BE49-F238E27FC236}">
                  <a16:creationId xmlns:a16="http://schemas.microsoft.com/office/drawing/2014/main" id="{00000000-0008-0000-1100-00004C000000}"/>
                </a:ext>
              </a:extLst>
            </xdr:cNvPr>
            <xdr:cNvCxnSpPr/>
          </xdr:nvCxnSpPr>
          <xdr:spPr>
            <a:xfrm flipV="1">
              <a:off x="3013589" y="7499184"/>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77" name="Conector reto 76">
              <a:extLst>
                <a:ext uri="{FF2B5EF4-FFF2-40B4-BE49-F238E27FC236}">
                  <a16:creationId xmlns:a16="http://schemas.microsoft.com/office/drawing/2014/main" id="{00000000-0008-0000-1100-00004D000000}"/>
                </a:ext>
              </a:extLst>
            </xdr:cNvPr>
            <xdr:cNvCxnSpPr/>
          </xdr:nvCxnSpPr>
          <xdr:spPr>
            <a:xfrm flipV="1">
              <a:off x="3153370" y="7499184"/>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78" name="Conector reto 77">
              <a:extLst>
                <a:ext uri="{FF2B5EF4-FFF2-40B4-BE49-F238E27FC236}">
                  <a16:creationId xmlns:a16="http://schemas.microsoft.com/office/drawing/2014/main" id="{00000000-0008-0000-1100-00004E000000}"/>
                </a:ext>
              </a:extLst>
            </xdr:cNvPr>
            <xdr:cNvCxnSpPr/>
          </xdr:nvCxnSpPr>
          <xdr:spPr>
            <a:xfrm flipV="1">
              <a:off x="3293150" y="7486650"/>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79" name="Conector reto 78">
              <a:extLst>
                <a:ext uri="{FF2B5EF4-FFF2-40B4-BE49-F238E27FC236}">
                  <a16:creationId xmlns:a16="http://schemas.microsoft.com/office/drawing/2014/main" id="{00000000-0008-0000-1100-00004F000000}"/>
                </a:ext>
              </a:extLst>
            </xdr:cNvPr>
            <xdr:cNvCxnSpPr/>
          </xdr:nvCxnSpPr>
          <xdr:spPr>
            <a:xfrm flipV="1">
              <a:off x="3439586" y="7486650"/>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0" name="Conector reto 79">
              <a:extLst>
                <a:ext uri="{FF2B5EF4-FFF2-40B4-BE49-F238E27FC236}">
                  <a16:creationId xmlns:a16="http://schemas.microsoft.com/office/drawing/2014/main" id="{00000000-0008-0000-1100-000050000000}"/>
                </a:ext>
              </a:extLst>
            </xdr:cNvPr>
            <xdr:cNvCxnSpPr/>
          </xdr:nvCxnSpPr>
          <xdr:spPr>
            <a:xfrm flipV="1">
              <a:off x="3579366" y="7486650"/>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1" name="Conector reto 80">
              <a:extLst>
                <a:ext uri="{FF2B5EF4-FFF2-40B4-BE49-F238E27FC236}">
                  <a16:creationId xmlns:a16="http://schemas.microsoft.com/office/drawing/2014/main" id="{00000000-0008-0000-1100-000051000000}"/>
                </a:ext>
              </a:extLst>
            </xdr:cNvPr>
            <xdr:cNvCxnSpPr/>
          </xdr:nvCxnSpPr>
          <xdr:spPr>
            <a:xfrm flipV="1">
              <a:off x="3719147" y="7486650"/>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2" name="Conector reto 81">
              <a:extLst>
                <a:ext uri="{FF2B5EF4-FFF2-40B4-BE49-F238E27FC236}">
                  <a16:creationId xmlns:a16="http://schemas.microsoft.com/office/drawing/2014/main" id="{00000000-0008-0000-1100-000052000000}"/>
                </a:ext>
              </a:extLst>
            </xdr:cNvPr>
            <xdr:cNvCxnSpPr/>
          </xdr:nvCxnSpPr>
          <xdr:spPr>
            <a:xfrm flipV="1">
              <a:off x="3872239" y="7486650"/>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3" name="Conector reto 82">
              <a:extLst>
                <a:ext uri="{FF2B5EF4-FFF2-40B4-BE49-F238E27FC236}">
                  <a16:creationId xmlns:a16="http://schemas.microsoft.com/office/drawing/2014/main" id="{00000000-0008-0000-1100-000053000000}"/>
                </a:ext>
              </a:extLst>
            </xdr:cNvPr>
            <xdr:cNvCxnSpPr/>
          </xdr:nvCxnSpPr>
          <xdr:spPr>
            <a:xfrm flipV="1">
              <a:off x="3998707" y="7486650"/>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4" name="Conector reto 83">
              <a:extLst>
                <a:ext uri="{FF2B5EF4-FFF2-40B4-BE49-F238E27FC236}">
                  <a16:creationId xmlns:a16="http://schemas.microsoft.com/office/drawing/2014/main" id="{00000000-0008-0000-1100-000054000000}"/>
                </a:ext>
              </a:extLst>
            </xdr:cNvPr>
            <xdr:cNvCxnSpPr/>
          </xdr:nvCxnSpPr>
          <xdr:spPr>
            <a:xfrm flipV="1">
              <a:off x="4145143" y="7486650"/>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5" name="Conector reto 84">
              <a:extLst>
                <a:ext uri="{FF2B5EF4-FFF2-40B4-BE49-F238E27FC236}">
                  <a16:creationId xmlns:a16="http://schemas.microsoft.com/office/drawing/2014/main" id="{00000000-0008-0000-1100-000055000000}"/>
                </a:ext>
              </a:extLst>
            </xdr:cNvPr>
            <xdr:cNvCxnSpPr/>
          </xdr:nvCxnSpPr>
          <xdr:spPr>
            <a:xfrm flipV="1">
              <a:off x="4284924" y="7486650"/>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6" name="Conector reto 85">
              <a:extLst>
                <a:ext uri="{FF2B5EF4-FFF2-40B4-BE49-F238E27FC236}">
                  <a16:creationId xmlns:a16="http://schemas.microsoft.com/office/drawing/2014/main" id="{00000000-0008-0000-1100-000056000000}"/>
                </a:ext>
              </a:extLst>
            </xdr:cNvPr>
            <xdr:cNvCxnSpPr/>
          </xdr:nvCxnSpPr>
          <xdr:spPr>
            <a:xfrm flipV="1">
              <a:off x="4431360" y="7486650"/>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7" name="Conector reto 86">
              <a:extLst>
                <a:ext uri="{FF2B5EF4-FFF2-40B4-BE49-F238E27FC236}">
                  <a16:creationId xmlns:a16="http://schemas.microsoft.com/office/drawing/2014/main" id="{00000000-0008-0000-1100-000057000000}"/>
                </a:ext>
              </a:extLst>
            </xdr:cNvPr>
            <xdr:cNvCxnSpPr/>
          </xdr:nvCxnSpPr>
          <xdr:spPr>
            <a:xfrm flipV="1">
              <a:off x="4571140" y="7486650"/>
              <a:ext cx="0" cy="57654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8" name="Conector reto 87">
              <a:extLst>
                <a:ext uri="{FF2B5EF4-FFF2-40B4-BE49-F238E27FC236}">
                  <a16:creationId xmlns:a16="http://schemas.microsoft.com/office/drawing/2014/main" id="{00000000-0008-0000-1100-000058000000}"/>
                </a:ext>
              </a:extLst>
            </xdr:cNvPr>
            <xdr:cNvCxnSpPr/>
          </xdr:nvCxnSpPr>
          <xdr:spPr>
            <a:xfrm flipV="1">
              <a:off x="4697608" y="7486650"/>
              <a:ext cx="0" cy="576545"/>
            </a:xfrm>
            <a:prstGeom prst="line">
              <a:avLst/>
            </a:prstGeom>
          </xdr:spPr>
          <xdr:style>
            <a:lnRef idx="1">
              <a:schemeClr val="accent1"/>
            </a:lnRef>
            <a:fillRef idx="0">
              <a:schemeClr val="accent1"/>
            </a:fillRef>
            <a:effectRef idx="0">
              <a:schemeClr val="accent1"/>
            </a:effectRef>
            <a:fontRef idx="minor">
              <a:schemeClr val="tx1"/>
            </a:fontRef>
          </xdr:style>
        </xdr:cxnSp>
      </xdr:grpSp>
      <xdr:cxnSp macro="">
        <xdr:nvCxnSpPr>
          <xdr:cNvPr id="63" name="Conector reto 62">
            <a:extLst>
              <a:ext uri="{FF2B5EF4-FFF2-40B4-BE49-F238E27FC236}">
                <a16:creationId xmlns:a16="http://schemas.microsoft.com/office/drawing/2014/main" id="{00000000-0008-0000-1100-00003F000000}"/>
              </a:ext>
            </a:extLst>
          </xdr:cNvPr>
          <xdr:cNvCxnSpPr/>
        </xdr:nvCxnSpPr>
        <xdr:spPr>
          <a:xfrm>
            <a:off x="885825" y="10583243"/>
            <a:ext cx="3133938"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64" name="Conector reto 63">
            <a:extLst>
              <a:ext uri="{FF2B5EF4-FFF2-40B4-BE49-F238E27FC236}">
                <a16:creationId xmlns:a16="http://schemas.microsoft.com/office/drawing/2014/main" id="{00000000-0008-0000-1100-000040000000}"/>
              </a:ext>
            </a:extLst>
          </xdr:cNvPr>
          <xdr:cNvCxnSpPr/>
        </xdr:nvCxnSpPr>
        <xdr:spPr>
          <a:xfrm>
            <a:off x="885825" y="10734354"/>
            <a:ext cx="3133938"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65" name="Conector reto 64">
            <a:extLst>
              <a:ext uri="{FF2B5EF4-FFF2-40B4-BE49-F238E27FC236}">
                <a16:creationId xmlns:a16="http://schemas.microsoft.com/office/drawing/2014/main" id="{00000000-0008-0000-1100-000041000000}"/>
              </a:ext>
            </a:extLst>
          </xdr:cNvPr>
          <xdr:cNvCxnSpPr/>
        </xdr:nvCxnSpPr>
        <xdr:spPr>
          <a:xfrm>
            <a:off x="885825" y="10897089"/>
            <a:ext cx="3125209"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66" name="Conector reto 65">
            <a:extLst>
              <a:ext uri="{FF2B5EF4-FFF2-40B4-BE49-F238E27FC236}">
                <a16:creationId xmlns:a16="http://schemas.microsoft.com/office/drawing/2014/main" id="{00000000-0008-0000-1100-000042000000}"/>
              </a:ext>
            </a:extLst>
          </xdr:cNvPr>
          <xdr:cNvCxnSpPr/>
        </xdr:nvCxnSpPr>
        <xdr:spPr>
          <a:xfrm>
            <a:off x="885825" y="11059823"/>
            <a:ext cx="3133938"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67" name="Conector reto 66">
            <a:extLst>
              <a:ext uri="{FF2B5EF4-FFF2-40B4-BE49-F238E27FC236}">
                <a16:creationId xmlns:a16="http://schemas.microsoft.com/office/drawing/2014/main" id="{00000000-0008-0000-1100-000043000000}"/>
              </a:ext>
            </a:extLst>
          </xdr:cNvPr>
          <xdr:cNvCxnSpPr/>
        </xdr:nvCxnSpPr>
        <xdr:spPr>
          <a:xfrm>
            <a:off x="885825" y="11210934"/>
            <a:ext cx="3116479"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68" name="Conector reto 67">
            <a:extLst>
              <a:ext uri="{FF2B5EF4-FFF2-40B4-BE49-F238E27FC236}">
                <a16:creationId xmlns:a16="http://schemas.microsoft.com/office/drawing/2014/main" id="{00000000-0008-0000-1100-000044000000}"/>
              </a:ext>
            </a:extLst>
          </xdr:cNvPr>
          <xdr:cNvCxnSpPr/>
        </xdr:nvCxnSpPr>
        <xdr:spPr>
          <a:xfrm>
            <a:off x="885825" y="11373668"/>
            <a:ext cx="3116479"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69" name="Conector reto 68">
            <a:extLst>
              <a:ext uri="{FF2B5EF4-FFF2-40B4-BE49-F238E27FC236}">
                <a16:creationId xmlns:a16="http://schemas.microsoft.com/office/drawing/2014/main" id="{00000000-0008-0000-1100-000045000000}"/>
              </a:ext>
            </a:extLst>
          </xdr:cNvPr>
          <xdr:cNvCxnSpPr/>
        </xdr:nvCxnSpPr>
        <xdr:spPr>
          <a:xfrm>
            <a:off x="885825" y="11548026"/>
            <a:ext cx="3116479" cy="0"/>
          </a:xfrm>
          <a:prstGeom prst="line">
            <a:avLst/>
          </a:prstGeom>
        </xdr:spPr>
        <xdr:style>
          <a:lnRef idx="1">
            <a:schemeClr val="accent1"/>
          </a:lnRef>
          <a:fillRef idx="0">
            <a:schemeClr val="accent1"/>
          </a:fillRef>
          <a:effectRef idx="0">
            <a:schemeClr val="accent1"/>
          </a:effectRef>
          <a:fontRef idx="minor">
            <a:schemeClr val="tx1"/>
          </a:fontRef>
        </xdr:style>
      </xdr:cxnSp>
      <xdr:sp macro="" textlink="">
        <xdr:nvSpPr>
          <xdr:cNvPr id="70" name="CaixaDeTexto 69">
            <a:extLst>
              <a:ext uri="{FF2B5EF4-FFF2-40B4-BE49-F238E27FC236}">
                <a16:creationId xmlns:a16="http://schemas.microsoft.com/office/drawing/2014/main" id="{00000000-0008-0000-1100-000046000000}"/>
              </a:ext>
            </a:extLst>
          </xdr:cNvPr>
          <xdr:cNvSpPr txBox="1"/>
        </xdr:nvSpPr>
        <xdr:spPr>
          <a:xfrm>
            <a:off x="1915922" y="11652641"/>
            <a:ext cx="1091204" cy="2557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ɸ 10 </a:t>
            </a:r>
            <a:r>
              <a:rPr lang="pt-BR" sz="1100" baseline="0"/>
              <a:t> C/ 20</a:t>
            </a:r>
            <a:r>
              <a:rPr lang="pt-BR" sz="1100"/>
              <a:t> </a:t>
            </a:r>
          </a:p>
        </xdr:txBody>
      </xdr:sp>
      <xdr:sp macro="" textlink="">
        <xdr:nvSpPr>
          <xdr:cNvPr id="71" name="CaixaDeTexto 70">
            <a:extLst>
              <a:ext uri="{FF2B5EF4-FFF2-40B4-BE49-F238E27FC236}">
                <a16:creationId xmlns:a16="http://schemas.microsoft.com/office/drawing/2014/main" id="{00000000-0008-0000-1100-000047000000}"/>
              </a:ext>
            </a:extLst>
          </xdr:cNvPr>
          <xdr:cNvSpPr txBox="1"/>
        </xdr:nvSpPr>
        <xdr:spPr>
          <a:xfrm>
            <a:off x="4080871" y="10931960"/>
            <a:ext cx="1091204" cy="2673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ɸ 8 </a:t>
            </a:r>
            <a:r>
              <a:rPr lang="pt-BR" sz="1100" baseline="0"/>
              <a:t> C/ 20</a:t>
            </a:r>
            <a:endParaRPr lang="pt-BR" sz="1100"/>
          </a:p>
        </xdr:txBody>
      </xdr:sp>
    </xdr:grpSp>
    <xdr:clientData/>
  </xdr:twoCellAnchor>
  <xdr:twoCellAnchor>
    <xdr:from>
      <xdr:col>1</xdr:col>
      <xdr:colOff>542925</xdr:colOff>
      <xdr:row>89</xdr:row>
      <xdr:rowOff>142875</xdr:rowOff>
    </xdr:from>
    <xdr:to>
      <xdr:col>3</xdr:col>
      <xdr:colOff>381000</xdr:colOff>
      <xdr:row>96</xdr:row>
      <xdr:rowOff>133350</xdr:rowOff>
    </xdr:to>
    <xdr:grpSp>
      <xdr:nvGrpSpPr>
        <xdr:cNvPr id="3406169" name="Agrupar 88">
          <a:extLst>
            <a:ext uri="{FF2B5EF4-FFF2-40B4-BE49-F238E27FC236}">
              <a16:creationId xmlns:a16="http://schemas.microsoft.com/office/drawing/2014/main" id="{00000000-0008-0000-1100-000059F93300}"/>
            </a:ext>
          </a:extLst>
        </xdr:cNvPr>
        <xdr:cNvGrpSpPr>
          <a:grpSpLocks/>
        </xdr:cNvGrpSpPr>
      </xdr:nvGrpSpPr>
      <xdr:grpSpPr bwMode="auto">
        <a:xfrm>
          <a:off x="1188968" y="13448886"/>
          <a:ext cx="1527728" cy="1121051"/>
          <a:chOff x="1152526" y="14125575"/>
          <a:chExt cx="1485900" cy="1240367"/>
        </a:xfrm>
      </xdr:grpSpPr>
      <xdr:grpSp>
        <xdr:nvGrpSpPr>
          <xdr:cNvPr id="3406192" name="Agrupar 89">
            <a:extLst>
              <a:ext uri="{FF2B5EF4-FFF2-40B4-BE49-F238E27FC236}">
                <a16:creationId xmlns:a16="http://schemas.microsoft.com/office/drawing/2014/main" id="{00000000-0008-0000-1100-000070F93300}"/>
              </a:ext>
            </a:extLst>
          </xdr:cNvPr>
          <xdr:cNvGrpSpPr>
            <a:grpSpLocks/>
          </xdr:cNvGrpSpPr>
        </xdr:nvGrpSpPr>
        <xdr:grpSpPr bwMode="auto">
          <a:xfrm>
            <a:off x="1152526" y="14125575"/>
            <a:ext cx="1485900" cy="1240367"/>
            <a:chOff x="1019176" y="13858875"/>
            <a:chExt cx="1485900" cy="1240367"/>
          </a:xfrm>
        </xdr:grpSpPr>
        <xdr:sp macro="" textlink="">
          <xdr:nvSpPr>
            <xdr:cNvPr id="94" name="CaixaDeTexto 93">
              <a:extLst>
                <a:ext uri="{FF2B5EF4-FFF2-40B4-BE49-F238E27FC236}">
                  <a16:creationId xmlns:a16="http://schemas.microsoft.com/office/drawing/2014/main" id="{00000000-0008-0000-1100-00005E000000}"/>
                </a:ext>
              </a:extLst>
            </xdr:cNvPr>
            <xdr:cNvSpPr txBox="1"/>
          </xdr:nvSpPr>
          <xdr:spPr>
            <a:xfrm>
              <a:off x="2116149" y="14373943"/>
              <a:ext cx="378954" cy="2627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17</a:t>
              </a:r>
            </a:p>
          </xdr:txBody>
        </xdr:sp>
        <xdr:sp macro="" textlink="">
          <xdr:nvSpPr>
            <xdr:cNvPr id="95" name="CaixaDeTexto 94">
              <a:extLst>
                <a:ext uri="{FF2B5EF4-FFF2-40B4-BE49-F238E27FC236}">
                  <a16:creationId xmlns:a16="http://schemas.microsoft.com/office/drawing/2014/main" id="{00000000-0008-0000-1100-00005F000000}"/>
                </a:ext>
              </a:extLst>
            </xdr:cNvPr>
            <xdr:cNvSpPr txBox="1"/>
          </xdr:nvSpPr>
          <xdr:spPr>
            <a:xfrm>
              <a:off x="1019176" y="14363431"/>
              <a:ext cx="378954" cy="2627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17</a:t>
              </a:r>
            </a:p>
          </xdr:txBody>
        </xdr:sp>
        <xdr:sp macro="" textlink="">
          <xdr:nvSpPr>
            <xdr:cNvPr id="96" name="CaixaDeTexto 95">
              <a:extLst>
                <a:ext uri="{FF2B5EF4-FFF2-40B4-BE49-F238E27FC236}">
                  <a16:creationId xmlns:a16="http://schemas.microsoft.com/office/drawing/2014/main" id="{00000000-0008-0000-1100-000060000000}"/>
                </a:ext>
              </a:extLst>
            </xdr:cNvPr>
            <xdr:cNvSpPr txBox="1"/>
          </xdr:nvSpPr>
          <xdr:spPr>
            <a:xfrm>
              <a:off x="1587608" y="14836452"/>
              <a:ext cx="388927" cy="2627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18</a:t>
              </a:r>
            </a:p>
          </xdr:txBody>
        </xdr:sp>
        <xdr:sp macro="" textlink="">
          <xdr:nvSpPr>
            <xdr:cNvPr id="97" name="CaixaDeTexto 96">
              <a:extLst>
                <a:ext uri="{FF2B5EF4-FFF2-40B4-BE49-F238E27FC236}">
                  <a16:creationId xmlns:a16="http://schemas.microsoft.com/office/drawing/2014/main" id="{00000000-0008-0000-1100-000061000000}"/>
                </a:ext>
              </a:extLst>
            </xdr:cNvPr>
            <xdr:cNvSpPr txBox="1"/>
          </xdr:nvSpPr>
          <xdr:spPr>
            <a:xfrm>
              <a:off x="1358240" y="13858875"/>
              <a:ext cx="388927" cy="2627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6</a:t>
              </a:r>
            </a:p>
          </xdr:txBody>
        </xdr:sp>
        <xdr:sp macro="" textlink="">
          <xdr:nvSpPr>
            <xdr:cNvPr id="98" name="CaixaDeTexto 97">
              <a:extLst>
                <a:ext uri="{FF2B5EF4-FFF2-40B4-BE49-F238E27FC236}">
                  <a16:creationId xmlns:a16="http://schemas.microsoft.com/office/drawing/2014/main" id="{00000000-0008-0000-1100-000062000000}"/>
                </a:ext>
              </a:extLst>
            </xdr:cNvPr>
            <xdr:cNvSpPr txBox="1"/>
          </xdr:nvSpPr>
          <xdr:spPr>
            <a:xfrm>
              <a:off x="2126122" y="13858875"/>
              <a:ext cx="378954" cy="2627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8</a:t>
              </a:r>
            </a:p>
          </xdr:txBody>
        </xdr:sp>
        <xdr:grpSp>
          <xdr:nvGrpSpPr>
            <xdr:cNvPr id="3406201" name="Agrupar 98">
              <a:extLst>
                <a:ext uri="{FF2B5EF4-FFF2-40B4-BE49-F238E27FC236}">
                  <a16:creationId xmlns:a16="http://schemas.microsoft.com/office/drawing/2014/main" id="{00000000-0008-0000-1100-000079F93300}"/>
                </a:ext>
              </a:extLst>
            </xdr:cNvPr>
            <xdr:cNvGrpSpPr>
              <a:grpSpLocks/>
            </xdr:cNvGrpSpPr>
          </xdr:nvGrpSpPr>
          <xdr:grpSpPr bwMode="auto">
            <a:xfrm>
              <a:off x="1352550" y="14077950"/>
              <a:ext cx="1114425" cy="771525"/>
              <a:chOff x="1362075" y="14116050"/>
              <a:chExt cx="1114425" cy="771525"/>
            </a:xfrm>
          </xdr:grpSpPr>
          <xdr:cxnSp macro="">
            <xdr:nvCxnSpPr>
              <xdr:cNvPr id="100" name="Conector reto 99">
                <a:extLst>
                  <a:ext uri="{FF2B5EF4-FFF2-40B4-BE49-F238E27FC236}">
                    <a16:creationId xmlns:a16="http://schemas.microsoft.com/office/drawing/2014/main" id="{00000000-0008-0000-1100-000064000000}"/>
                  </a:ext>
                </a:extLst>
              </xdr:cNvPr>
              <xdr:cNvCxnSpPr/>
            </xdr:nvCxnSpPr>
            <xdr:spPr>
              <a:xfrm flipH="1">
                <a:off x="1367765" y="14117719"/>
                <a:ext cx="289202"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1" name="Conector reto 100">
                <a:extLst>
                  <a:ext uri="{FF2B5EF4-FFF2-40B4-BE49-F238E27FC236}">
                    <a16:creationId xmlns:a16="http://schemas.microsoft.com/office/drawing/2014/main" id="{00000000-0008-0000-1100-000065000000}"/>
                  </a:ext>
                </a:extLst>
              </xdr:cNvPr>
              <xdr:cNvCxnSpPr/>
            </xdr:nvCxnSpPr>
            <xdr:spPr>
              <a:xfrm>
                <a:off x="1367765" y="14117719"/>
                <a:ext cx="0" cy="756834"/>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2" name="Conector reto 101">
                <a:extLst>
                  <a:ext uri="{FF2B5EF4-FFF2-40B4-BE49-F238E27FC236}">
                    <a16:creationId xmlns:a16="http://schemas.microsoft.com/office/drawing/2014/main" id="{00000000-0008-0000-1100-000066000000}"/>
                  </a:ext>
                </a:extLst>
              </xdr:cNvPr>
              <xdr:cNvCxnSpPr/>
            </xdr:nvCxnSpPr>
            <xdr:spPr>
              <a:xfrm>
                <a:off x="1357793" y="14874553"/>
                <a:ext cx="777854"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3" name="Conector reto 102">
                <a:extLst>
                  <a:ext uri="{FF2B5EF4-FFF2-40B4-BE49-F238E27FC236}">
                    <a16:creationId xmlns:a16="http://schemas.microsoft.com/office/drawing/2014/main" id="{00000000-0008-0000-1100-000067000000}"/>
                  </a:ext>
                </a:extLst>
              </xdr:cNvPr>
              <xdr:cNvCxnSpPr/>
            </xdr:nvCxnSpPr>
            <xdr:spPr>
              <a:xfrm flipV="1">
                <a:off x="2135646" y="14117719"/>
                <a:ext cx="0" cy="767346"/>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4" name="Conector reto 103">
                <a:extLst>
                  <a:ext uri="{FF2B5EF4-FFF2-40B4-BE49-F238E27FC236}">
                    <a16:creationId xmlns:a16="http://schemas.microsoft.com/office/drawing/2014/main" id="{00000000-0008-0000-1100-000068000000}"/>
                  </a:ext>
                </a:extLst>
              </xdr:cNvPr>
              <xdr:cNvCxnSpPr/>
            </xdr:nvCxnSpPr>
            <xdr:spPr>
              <a:xfrm>
                <a:off x="2135646" y="14117719"/>
                <a:ext cx="339064" cy="0"/>
              </a:xfrm>
              <a:prstGeom prst="line">
                <a:avLst/>
              </a:prstGeom>
            </xdr:spPr>
            <xdr:style>
              <a:lnRef idx="1">
                <a:schemeClr val="accent1"/>
              </a:lnRef>
              <a:fillRef idx="0">
                <a:schemeClr val="accent1"/>
              </a:fillRef>
              <a:effectRef idx="0">
                <a:schemeClr val="accent1"/>
              </a:effectRef>
              <a:fontRef idx="minor">
                <a:schemeClr val="tx1"/>
              </a:fontRef>
            </xdr:style>
          </xdr:cxnSp>
        </xdr:grpSp>
      </xdr:grpSp>
      <xdr:sp macro="" textlink="">
        <xdr:nvSpPr>
          <xdr:cNvPr id="91" name="Elipse 90">
            <a:extLst>
              <a:ext uri="{FF2B5EF4-FFF2-40B4-BE49-F238E27FC236}">
                <a16:creationId xmlns:a16="http://schemas.microsoft.com/office/drawing/2014/main" id="{00000000-0008-0000-1100-00005B000000}"/>
              </a:ext>
            </a:extLst>
          </xdr:cNvPr>
          <xdr:cNvSpPr/>
        </xdr:nvSpPr>
        <xdr:spPr>
          <a:xfrm>
            <a:off x="1501563" y="14356830"/>
            <a:ext cx="99725" cy="9460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92" name="Elipse 91">
            <a:extLst>
              <a:ext uri="{FF2B5EF4-FFF2-40B4-BE49-F238E27FC236}">
                <a16:creationId xmlns:a16="http://schemas.microsoft.com/office/drawing/2014/main" id="{00000000-0008-0000-1100-00005C000000}"/>
              </a:ext>
            </a:extLst>
          </xdr:cNvPr>
          <xdr:cNvSpPr/>
        </xdr:nvSpPr>
        <xdr:spPr>
          <a:xfrm>
            <a:off x="1501563" y="14998037"/>
            <a:ext cx="99725" cy="9460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93" name="Elipse 92">
            <a:extLst>
              <a:ext uri="{FF2B5EF4-FFF2-40B4-BE49-F238E27FC236}">
                <a16:creationId xmlns:a16="http://schemas.microsoft.com/office/drawing/2014/main" id="{00000000-0008-0000-1100-00005D000000}"/>
              </a:ext>
            </a:extLst>
          </xdr:cNvPr>
          <xdr:cNvSpPr/>
        </xdr:nvSpPr>
        <xdr:spPr>
          <a:xfrm>
            <a:off x="2149774" y="14998037"/>
            <a:ext cx="99725" cy="9460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grpSp>
    <xdr:clientData/>
  </xdr:twoCellAnchor>
  <xdr:twoCellAnchor>
    <xdr:from>
      <xdr:col>6</xdr:col>
      <xdr:colOff>76200</xdr:colOff>
      <xdr:row>89</xdr:row>
      <xdr:rowOff>114300</xdr:rowOff>
    </xdr:from>
    <xdr:to>
      <xdr:col>8</xdr:col>
      <xdr:colOff>161925</xdr:colOff>
      <xdr:row>96</xdr:row>
      <xdr:rowOff>142875</xdr:rowOff>
    </xdr:to>
    <xdr:grpSp>
      <xdr:nvGrpSpPr>
        <xdr:cNvPr id="3406170" name="Agrupar 104">
          <a:extLst>
            <a:ext uri="{FF2B5EF4-FFF2-40B4-BE49-F238E27FC236}">
              <a16:creationId xmlns:a16="http://schemas.microsoft.com/office/drawing/2014/main" id="{00000000-0008-0000-1100-00005AF93300}"/>
            </a:ext>
          </a:extLst>
        </xdr:cNvPr>
        <xdr:cNvGrpSpPr>
          <a:grpSpLocks/>
        </xdr:cNvGrpSpPr>
      </xdr:nvGrpSpPr>
      <xdr:grpSpPr bwMode="auto">
        <a:xfrm>
          <a:off x="5298385" y="13420311"/>
          <a:ext cx="1473062" cy="1159151"/>
          <a:chOff x="1152526" y="14097000"/>
          <a:chExt cx="1476375" cy="1268942"/>
        </a:xfrm>
      </xdr:grpSpPr>
      <xdr:grpSp>
        <xdr:nvGrpSpPr>
          <xdr:cNvPr id="3406177" name="Agrupar 105">
            <a:extLst>
              <a:ext uri="{FF2B5EF4-FFF2-40B4-BE49-F238E27FC236}">
                <a16:creationId xmlns:a16="http://schemas.microsoft.com/office/drawing/2014/main" id="{00000000-0008-0000-1100-000061F93300}"/>
              </a:ext>
            </a:extLst>
          </xdr:cNvPr>
          <xdr:cNvGrpSpPr>
            <a:grpSpLocks/>
          </xdr:cNvGrpSpPr>
        </xdr:nvGrpSpPr>
        <xdr:grpSpPr bwMode="auto">
          <a:xfrm>
            <a:off x="1152526" y="14097000"/>
            <a:ext cx="1476375" cy="1268942"/>
            <a:chOff x="1019176" y="13830300"/>
            <a:chExt cx="1476375" cy="1268942"/>
          </a:xfrm>
        </xdr:grpSpPr>
        <xdr:sp macro="" textlink="">
          <xdr:nvSpPr>
            <xdr:cNvPr id="110" name="CaixaDeTexto 109">
              <a:extLst>
                <a:ext uri="{FF2B5EF4-FFF2-40B4-BE49-F238E27FC236}">
                  <a16:creationId xmlns:a16="http://schemas.microsoft.com/office/drawing/2014/main" id="{00000000-0008-0000-1100-00006E000000}"/>
                </a:ext>
              </a:extLst>
            </xdr:cNvPr>
            <xdr:cNvSpPr txBox="1"/>
          </xdr:nvSpPr>
          <xdr:spPr>
            <a:xfrm>
              <a:off x="2118821" y="14371161"/>
              <a:ext cx="376730" cy="2600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17</a:t>
              </a:r>
            </a:p>
          </xdr:txBody>
        </xdr:sp>
        <xdr:sp macro="" textlink="">
          <xdr:nvSpPr>
            <xdr:cNvPr id="111" name="CaixaDeTexto 110">
              <a:extLst>
                <a:ext uri="{FF2B5EF4-FFF2-40B4-BE49-F238E27FC236}">
                  <a16:creationId xmlns:a16="http://schemas.microsoft.com/office/drawing/2014/main" id="{00000000-0008-0000-1100-00006F000000}"/>
                </a:ext>
              </a:extLst>
            </xdr:cNvPr>
            <xdr:cNvSpPr txBox="1"/>
          </xdr:nvSpPr>
          <xdr:spPr>
            <a:xfrm>
              <a:off x="1019176" y="14360759"/>
              <a:ext cx="376730" cy="2600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17</a:t>
              </a:r>
            </a:p>
          </xdr:txBody>
        </xdr:sp>
        <xdr:sp macro="" textlink="">
          <xdr:nvSpPr>
            <xdr:cNvPr id="112" name="CaixaDeTexto 111">
              <a:extLst>
                <a:ext uri="{FF2B5EF4-FFF2-40B4-BE49-F238E27FC236}">
                  <a16:creationId xmlns:a16="http://schemas.microsoft.com/office/drawing/2014/main" id="{00000000-0008-0000-1100-000070000000}"/>
                </a:ext>
              </a:extLst>
            </xdr:cNvPr>
            <xdr:cNvSpPr txBox="1"/>
          </xdr:nvSpPr>
          <xdr:spPr>
            <a:xfrm>
              <a:off x="1589362" y="14839213"/>
              <a:ext cx="376730" cy="2600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15</a:t>
              </a:r>
            </a:p>
          </xdr:txBody>
        </xdr:sp>
        <xdr:sp macro="" textlink="">
          <xdr:nvSpPr>
            <xdr:cNvPr id="113" name="CaixaDeTexto 112">
              <a:extLst>
                <a:ext uri="{FF2B5EF4-FFF2-40B4-BE49-F238E27FC236}">
                  <a16:creationId xmlns:a16="http://schemas.microsoft.com/office/drawing/2014/main" id="{00000000-0008-0000-1100-000071000000}"/>
                </a:ext>
              </a:extLst>
            </xdr:cNvPr>
            <xdr:cNvSpPr txBox="1"/>
          </xdr:nvSpPr>
          <xdr:spPr>
            <a:xfrm>
              <a:off x="1843910" y="13830300"/>
              <a:ext cx="386912" cy="2600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6</a:t>
              </a:r>
            </a:p>
          </xdr:txBody>
        </xdr:sp>
        <xdr:sp macro="" textlink="">
          <xdr:nvSpPr>
            <xdr:cNvPr id="114" name="CaixaDeTexto 113">
              <a:extLst>
                <a:ext uri="{FF2B5EF4-FFF2-40B4-BE49-F238E27FC236}">
                  <a16:creationId xmlns:a16="http://schemas.microsoft.com/office/drawing/2014/main" id="{00000000-0008-0000-1100-000072000000}"/>
                </a:ext>
              </a:extLst>
            </xdr:cNvPr>
            <xdr:cNvSpPr txBox="1"/>
          </xdr:nvSpPr>
          <xdr:spPr>
            <a:xfrm>
              <a:off x="1070085" y="13851102"/>
              <a:ext cx="386912" cy="26002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8</a:t>
              </a:r>
            </a:p>
          </xdr:txBody>
        </xdr:sp>
        <xdr:grpSp>
          <xdr:nvGrpSpPr>
            <xdr:cNvPr id="3406186" name="Agrupar 114">
              <a:extLst>
                <a:ext uri="{FF2B5EF4-FFF2-40B4-BE49-F238E27FC236}">
                  <a16:creationId xmlns:a16="http://schemas.microsoft.com/office/drawing/2014/main" id="{00000000-0008-0000-1100-00006AF93300}"/>
                </a:ext>
              </a:extLst>
            </xdr:cNvPr>
            <xdr:cNvGrpSpPr>
              <a:grpSpLocks/>
            </xdr:cNvGrpSpPr>
          </xdr:nvGrpSpPr>
          <xdr:grpSpPr bwMode="auto">
            <a:xfrm>
              <a:off x="1028700" y="14077950"/>
              <a:ext cx="1104900" cy="771525"/>
              <a:chOff x="1038225" y="14116050"/>
              <a:chExt cx="1104900" cy="771525"/>
            </a:xfrm>
          </xdr:grpSpPr>
          <xdr:cxnSp macro="">
            <xdr:nvCxnSpPr>
              <xdr:cNvPr id="116" name="Conector reto 115">
                <a:extLst>
                  <a:ext uri="{FF2B5EF4-FFF2-40B4-BE49-F238E27FC236}">
                    <a16:creationId xmlns:a16="http://schemas.microsoft.com/office/drawing/2014/main" id="{00000000-0008-0000-1100-000074000000}"/>
                  </a:ext>
                </a:extLst>
              </xdr:cNvPr>
              <xdr:cNvCxnSpPr/>
            </xdr:nvCxnSpPr>
            <xdr:spPr>
              <a:xfrm flipH="1">
                <a:off x="1038882" y="14118028"/>
                <a:ext cx="336003"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17" name="Conector reto 116">
                <a:extLst>
                  <a:ext uri="{FF2B5EF4-FFF2-40B4-BE49-F238E27FC236}">
                    <a16:creationId xmlns:a16="http://schemas.microsoft.com/office/drawing/2014/main" id="{00000000-0008-0000-1100-000075000000}"/>
                  </a:ext>
                </a:extLst>
              </xdr:cNvPr>
              <xdr:cNvCxnSpPr/>
            </xdr:nvCxnSpPr>
            <xdr:spPr>
              <a:xfrm>
                <a:off x="1374885" y="14118028"/>
                <a:ext cx="0" cy="759285"/>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18" name="Conector reto 117">
                <a:extLst>
                  <a:ext uri="{FF2B5EF4-FFF2-40B4-BE49-F238E27FC236}">
                    <a16:creationId xmlns:a16="http://schemas.microsoft.com/office/drawing/2014/main" id="{00000000-0008-0000-1100-000076000000}"/>
                  </a:ext>
                </a:extLst>
              </xdr:cNvPr>
              <xdr:cNvCxnSpPr/>
            </xdr:nvCxnSpPr>
            <xdr:spPr>
              <a:xfrm>
                <a:off x="1364703" y="14877313"/>
                <a:ext cx="773824"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19" name="Conector reto 118">
                <a:extLst>
                  <a:ext uri="{FF2B5EF4-FFF2-40B4-BE49-F238E27FC236}">
                    <a16:creationId xmlns:a16="http://schemas.microsoft.com/office/drawing/2014/main" id="{00000000-0008-0000-1100-000077000000}"/>
                  </a:ext>
                </a:extLst>
              </xdr:cNvPr>
              <xdr:cNvCxnSpPr/>
            </xdr:nvCxnSpPr>
            <xdr:spPr>
              <a:xfrm flipV="1">
                <a:off x="2128345" y="14118028"/>
                <a:ext cx="0" cy="769686"/>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20" name="Conector reto 119">
                <a:extLst>
                  <a:ext uri="{FF2B5EF4-FFF2-40B4-BE49-F238E27FC236}">
                    <a16:creationId xmlns:a16="http://schemas.microsoft.com/office/drawing/2014/main" id="{00000000-0008-0000-1100-000078000000}"/>
                  </a:ext>
                </a:extLst>
              </xdr:cNvPr>
              <xdr:cNvCxnSpPr/>
            </xdr:nvCxnSpPr>
            <xdr:spPr>
              <a:xfrm>
                <a:off x="1782161" y="14118028"/>
                <a:ext cx="346185" cy="0"/>
              </a:xfrm>
              <a:prstGeom prst="line">
                <a:avLst/>
              </a:prstGeom>
            </xdr:spPr>
            <xdr:style>
              <a:lnRef idx="1">
                <a:schemeClr val="accent1"/>
              </a:lnRef>
              <a:fillRef idx="0">
                <a:schemeClr val="accent1"/>
              </a:fillRef>
              <a:effectRef idx="0">
                <a:schemeClr val="accent1"/>
              </a:effectRef>
              <a:fontRef idx="minor">
                <a:schemeClr val="tx1"/>
              </a:fontRef>
            </xdr:style>
          </xdr:cxnSp>
        </xdr:grpSp>
      </xdr:grpSp>
      <xdr:sp macro="" textlink="">
        <xdr:nvSpPr>
          <xdr:cNvPr id="107" name="Elipse 106">
            <a:extLst>
              <a:ext uri="{FF2B5EF4-FFF2-40B4-BE49-F238E27FC236}">
                <a16:creationId xmlns:a16="http://schemas.microsoft.com/office/drawing/2014/main" id="{00000000-0008-0000-1100-00006B000000}"/>
              </a:ext>
            </a:extLst>
          </xdr:cNvPr>
          <xdr:cNvSpPr/>
        </xdr:nvSpPr>
        <xdr:spPr>
          <a:xfrm>
            <a:off x="2150352" y="14357029"/>
            <a:ext cx="101819" cy="936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108" name="Elipse 107">
            <a:extLst>
              <a:ext uri="{FF2B5EF4-FFF2-40B4-BE49-F238E27FC236}">
                <a16:creationId xmlns:a16="http://schemas.microsoft.com/office/drawing/2014/main" id="{00000000-0008-0000-1100-00006C000000}"/>
              </a:ext>
            </a:extLst>
          </xdr:cNvPr>
          <xdr:cNvSpPr/>
        </xdr:nvSpPr>
        <xdr:spPr>
          <a:xfrm>
            <a:off x="1508892" y="15001901"/>
            <a:ext cx="91637" cy="936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sp macro="" textlink="">
        <xdr:nvSpPr>
          <xdr:cNvPr id="109" name="Elipse 108">
            <a:extLst>
              <a:ext uri="{FF2B5EF4-FFF2-40B4-BE49-F238E27FC236}">
                <a16:creationId xmlns:a16="http://schemas.microsoft.com/office/drawing/2014/main" id="{00000000-0008-0000-1100-00006D000000}"/>
              </a:ext>
            </a:extLst>
          </xdr:cNvPr>
          <xdr:cNvSpPr/>
        </xdr:nvSpPr>
        <xdr:spPr>
          <a:xfrm>
            <a:off x="2150352" y="15001901"/>
            <a:ext cx="101819" cy="9361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grpSp>
    <xdr:clientData/>
  </xdr:twoCellAnchor>
  <xdr:twoCellAnchor editAs="oneCell">
    <xdr:from>
      <xdr:col>0</xdr:col>
      <xdr:colOff>352425</xdr:colOff>
      <xdr:row>0</xdr:row>
      <xdr:rowOff>19050</xdr:rowOff>
    </xdr:from>
    <xdr:to>
      <xdr:col>2</xdr:col>
      <xdr:colOff>457200</xdr:colOff>
      <xdr:row>2</xdr:row>
      <xdr:rowOff>142875</xdr:rowOff>
    </xdr:to>
    <xdr:pic>
      <xdr:nvPicPr>
        <xdr:cNvPr id="3406171" name="Imagem 120">
          <a:extLst>
            <a:ext uri="{FF2B5EF4-FFF2-40B4-BE49-F238E27FC236}">
              <a16:creationId xmlns:a16="http://schemas.microsoft.com/office/drawing/2014/main" id="{00000000-0008-0000-1100-00005BF93300}"/>
            </a:ext>
          </a:extLst>
        </xdr:cNvPr>
        <xdr:cNvPicPr>
          <a:picLocks noChangeAspect="1" noChangeArrowheads="1"/>
        </xdr:cNvPicPr>
      </xdr:nvPicPr>
      <xdr:blipFill>
        <a:blip xmlns:r="http://schemas.openxmlformats.org/officeDocument/2006/relationships" cstate="print">
          <a:extLst>
            <a:ext uri="{28A0092B-C50C-407E-A947-70E740481C1C}">
              <a14:useLocalDpi xmlns:a14="http://schemas.microsoft.com/office/drawing/2010/main" val="0"/>
            </a:ext>
          </a:extLst>
        </a:blip>
        <a:srcRect/>
        <a:stretch>
          <a:fillRect/>
        </a:stretch>
      </xdr:blipFill>
      <xdr:spPr bwMode="auto">
        <a:xfrm>
          <a:off x="352425" y="19050"/>
          <a:ext cx="13239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66261</xdr:colOff>
      <xdr:row>20</xdr:row>
      <xdr:rowOff>124239</xdr:rowOff>
    </xdr:from>
    <xdr:to>
      <xdr:col>4</xdr:col>
      <xdr:colOff>215348</xdr:colOff>
      <xdr:row>28</xdr:row>
      <xdr:rowOff>57978</xdr:rowOff>
    </xdr:to>
    <xdr:cxnSp macro="">
      <xdr:nvCxnSpPr>
        <xdr:cNvPr id="7" name="Conector reto 6">
          <a:extLst>
            <a:ext uri="{FF2B5EF4-FFF2-40B4-BE49-F238E27FC236}">
              <a16:creationId xmlns:a16="http://schemas.microsoft.com/office/drawing/2014/main" id="{00000000-0008-0000-1100-000007000000}"/>
            </a:ext>
          </a:extLst>
        </xdr:cNvPr>
        <xdr:cNvCxnSpPr/>
      </xdr:nvCxnSpPr>
      <xdr:spPr>
        <a:xfrm>
          <a:off x="679174" y="3122543"/>
          <a:ext cx="2691848" cy="11347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281609</xdr:colOff>
      <xdr:row>21</xdr:row>
      <xdr:rowOff>82826</xdr:rowOff>
    </xdr:from>
    <xdr:to>
      <xdr:col>3</xdr:col>
      <xdr:colOff>811696</xdr:colOff>
      <xdr:row>25</xdr:row>
      <xdr:rowOff>16566</xdr:rowOff>
    </xdr:to>
    <xdr:cxnSp macro="">
      <xdr:nvCxnSpPr>
        <xdr:cNvPr id="124" name="Conector reto 123">
          <a:extLst>
            <a:ext uri="{FF2B5EF4-FFF2-40B4-BE49-F238E27FC236}">
              <a16:creationId xmlns:a16="http://schemas.microsoft.com/office/drawing/2014/main" id="{00000000-0008-0000-1100-00007C000000}"/>
            </a:ext>
          </a:extLst>
        </xdr:cNvPr>
        <xdr:cNvCxnSpPr/>
      </xdr:nvCxnSpPr>
      <xdr:spPr>
        <a:xfrm flipV="1">
          <a:off x="894522" y="3246783"/>
          <a:ext cx="2112065" cy="59634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76200</xdr:colOff>
      <xdr:row>256</xdr:row>
      <xdr:rowOff>123825</xdr:rowOff>
    </xdr:from>
    <xdr:to>
      <xdr:col>8</xdr:col>
      <xdr:colOff>228600</xdr:colOff>
      <xdr:row>310</xdr:row>
      <xdr:rowOff>19050</xdr:rowOff>
    </xdr:to>
    <xdr:pic>
      <xdr:nvPicPr>
        <xdr:cNvPr id="3406174" name="Imagem 125">
          <a:extLst>
            <a:ext uri="{FF2B5EF4-FFF2-40B4-BE49-F238E27FC236}">
              <a16:creationId xmlns:a16="http://schemas.microsoft.com/office/drawing/2014/main" id="{00000000-0008-0000-1100-00005EF93300}"/>
            </a:ext>
          </a:extLst>
        </xdr:cNvPr>
        <xdr:cNvPicPr>
          <a:picLocks noChangeAspect="1" noChangeArrowheads="1"/>
        </xdr:cNvPicPr>
      </xdr:nvPicPr>
      <xdr:blipFill>
        <a:blip xmlns:r="http://schemas.openxmlformats.org/officeDocument/2006/relationships">
          <a:extLst>
            <a:ext uri="{28A0092B-C50C-407E-A947-70E740481C1C}">
              <a14:useLocalDpi xmlns:a14="http://schemas.microsoft.com/office/drawing/2010/main" val="0"/>
            </a:ext>
          </a:extLst>
        </a:blip>
        <a:srcRect/>
        <a:stretch>
          <a:fillRect/>
        </a:stretch>
      </xdr:blipFill>
      <xdr:spPr bwMode="auto">
        <a:xfrm>
          <a:off x="76200" y="38795325"/>
          <a:ext cx="6324600" cy="863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38100</xdr:colOff>
      <xdr:row>190</xdr:row>
      <xdr:rowOff>95250</xdr:rowOff>
    </xdr:from>
    <xdr:to>
      <xdr:col>8</xdr:col>
      <xdr:colOff>219075</xdr:colOff>
      <xdr:row>249</xdr:row>
      <xdr:rowOff>0</xdr:rowOff>
    </xdr:to>
    <xdr:pic>
      <xdr:nvPicPr>
        <xdr:cNvPr id="3406175" name="Imagem 126">
          <a:extLst>
            <a:ext uri="{FF2B5EF4-FFF2-40B4-BE49-F238E27FC236}">
              <a16:creationId xmlns:a16="http://schemas.microsoft.com/office/drawing/2014/main" id="{00000000-0008-0000-1100-00005FF93300}"/>
            </a:ext>
          </a:extLst>
        </xdr:cNvPr>
        <xdr:cNvPicPr>
          <a:picLocks noChangeAspect="1" noChangeArrowheads="1"/>
        </xdr:cNvPicPr>
      </xdr:nvPicPr>
      <xdr:blipFill>
        <a:blip xmlns:r="http://schemas.openxmlformats.org/officeDocument/2006/relationships">
          <a:extLst>
            <a:ext uri="{28A0092B-C50C-407E-A947-70E740481C1C}">
              <a14:useLocalDpi xmlns:a14="http://schemas.microsoft.com/office/drawing/2010/main" val="0"/>
            </a:ext>
          </a:extLst>
        </a:blip>
        <a:srcRect/>
        <a:stretch>
          <a:fillRect/>
        </a:stretch>
      </xdr:blipFill>
      <xdr:spPr bwMode="auto">
        <a:xfrm>
          <a:off x="38100" y="28079700"/>
          <a:ext cx="6353175" cy="945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322</xdr:row>
      <xdr:rowOff>76200</xdr:rowOff>
    </xdr:from>
    <xdr:to>
      <xdr:col>8</xdr:col>
      <xdr:colOff>200025</xdr:colOff>
      <xdr:row>370</xdr:row>
      <xdr:rowOff>19050</xdr:rowOff>
    </xdr:to>
    <xdr:pic>
      <xdr:nvPicPr>
        <xdr:cNvPr id="3406176" name="Imagem 127">
          <a:extLst>
            <a:ext uri="{FF2B5EF4-FFF2-40B4-BE49-F238E27FC236}">
              <a16:creationId xmlns:a16="http://schemas.microsoft.com/office/drawing/2014/main" id="{00000000-0008-0000-1100-000060F93300}"/>
            </a:ext>
          </a:extLst>
        </xdr:cNvPr>
        <xdr:cNvPicPr>
          <a:picLocks noChangeAspect="1" noChangeArrowheads="1"/>
        </xdr:cNvPicPr>
      </xdr:nvPicPr>
      <xdr:blipFill>
        <a:blip xmlns:r="http://schemas.openxmlformats.org/officeDocument/2006/relationships">
          <a:extLst>
            <a:ext uri="{28A0092B-C50C-407E-A947-70E740481C1C}">
              <a14:useLocalDpi xmlns:a14="http://schemas.microsoft.com/office/drawing/2010/main" val="0"/>
            </a:ext>
          </a:extLst>
        </a:blip>
        <a:srcRect/>
        <a:stretch>
          <a:fillRect/>
        </a:stretch>
      </xdr:blipFill>
      <xdr:spPr bwMode="auto">
        <a:xfrm>
          <a:off x="76200" y="49434750"/>
          <a:ext cx="6296025" cy="7715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12.bin"/><Relationship Id="rId4"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13.bin"/><Relationship Id="rId4"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0">
    <tabColor rgb="FFFFFF00"/>
  </sheetPr>
  <dimension ref="A1:BT1446"/>
  <sheetViews>
    <sheetView showGridLines="0" showZeros="0" topLeftCell="A849" zoomScaleNormal="100" zoomScaleSheetLayoutView="85" workbookViewId="0">
      <selection activeCell="C737" sqref="C737:C742"/>
    </sheetView>
  </sheetViews>
  <sheetFormatPr defaultColWidth="9.1328125" defaultRowHeight="12.75" x14ac:dyDescent="0.35"/>
  <cols>
    <col min="1" max="1" width="1.3984375" style="182" customWidth="1"/>
    <col min="2" max="2" width="7.86328125" style="182" customWidth="1"/>
    <col min="3" max="3" width="11.1328125" style="182" customWidth="1"/>
    <col min="4" max="4" width="12.3984375" style="182" customWidth="1"/>
    <col min="5" max="5" width="10.86328125" style="182" customWidth="1"/>
    <col min="6" max="6" width="11.86328125" style="182" customWidth="1"/>
    <col min="7" max="7" width="8.3984375" style="182" customWidth="1"/>
    <col min="8" max="8" width="7.59765625" style="182" customWidth="1"/>
    <col min="9" max="9" width="9.3984375" style="182" customWidth="1"/>
    <col min="10" max="10" width="9.59765625" style="182" bestFit="1" customWidth="1"/>
    <col min="11" max="11" width="1.1328125" style="182" customWidth="1"/>
    <col min="12" max="12" width="10.86328125" style="182" customWidth="1"/>
    <col min="13" max="13" width="5.59765625" style="182" customWidth="1"/>
    <col min="14" max="14" width="6.86328125" style="182" customWidth="1"/>
    <col min="15" max="15" width="9.59765625" style="182" customWidth="1"/>
    <col min="16" max="16" width="2.1328125" style="182" customWidth="1"/>
    <col min="17" max="17" width="3" style="182" customWidth="1"/>
    <col min="18" max="18" width="5" style="182" customWidth="1"/>
    <col min="19" max="22" width="7.3984375" style="182" hidden="1" customWidth="1"/>
    <col min="23" max="23" width="18.59765625" style="182" hidden="1" customWidth="1"/>
    <col min="24" max="24" width="5" style="182" hidden="1" customWidth="1"/>
    <col min="25" max="25" width="28.3984375" style="182" hidden="1" customWidth="1"/>
    <col min="26" max="26" width="12.59765625" style="182" hidden="1" customWidth="1"/>
    <col min="27" max="27" width="19.3984375" style="182" hidden="1" customWidth="1"/>
    <col min="28" max="28" width="19.86328125" style="182" hidden="1" customWidth="1"/>
    <col min="29" max="29" width="14" style="182" hidden="1" customWidth="1"/>
    <col min="30" max="30" width="14.59765625" style="182" hidden="1" customWidth="1"/>
    <col min="31" max="31" width="10.59765625" style="182" hidden="1" customWidth="1"/>
    <col min="32" max="32" width="7" style="182" hidden="1" customWidth="1"/>
    <col min="33" max="33" width="16.86328125" style="182" hidden="1" customWidth="1"/>
    <col min="34" max="34" width="7" style="182" hidden="1" customWidth="1"/>
    <col min="35" max="35" width="30.3984375" style="182" hidden="1" customWidth="1"/>
    <col min="36" max="36" width="7" style="182" hidden="1" customWidth="1"/>
    <col min="37" max="37" width="38.86328125" style="182" hidden="1" customWidth="1"/>
    <col min="38" max="38" width="7" style="182" hidden="1" customWidth="1"/>
    <col min="39" max="39" width="5.3984375" style="182" hidden="1" customWidth="1"/>
    <col min="40" max="40" width="4.59765625" style="182" hidden="1" customWidth="1"/>
    <col min="41" max="41" width="7.1328125" style="182" hidden="1" customWidth="1"/>
    <col min="42" max="42" width="2" style="182" hidden="1" customWidth="1"/>
    <col min="43" max="43" width="7.3984375" style="182" hidden="1" customWidth="1"/>
    <col min="44" max="44" width="5.59765625" style="182" hidden="1" customWidth="1"/>
    <col min="45" max="45" width="3" style="182" hidden="1" customWidth="1"/>
    <col min="46" max="46" width="7" style="182" hidden="1" customWidth="1"/>
    <col min="47" max="47" width="5.86328125" style="182" hidden="1" customWidth="1"/>
    <col min="48" max="48" width="9" style="182" hidden="1" customWidth="1"/>
    <col min="49" max="49" width="5.1328125" style="182" hidden="1" customWidth="1"/>
    <col min="50" max="50" width="11.3984375" style="182" hidden="1" customWidth="1"/>
    <col min="51" max="51" width="7.1328125" style="182" hidden="1" customWidth="1"/>
    <col min="52" max="52" width="20.59765625" style="182" hidden="1" customWidth="1"/>
    <col min="53" max="53" width="5.86328125" style="182" hidden="1" customWidth="1"/>
    <col min="54" max="54" width="6" style="182" hidden="1" customWidth="1"/>
    <col min="55" max="55" width="6.3984375" style="182" hidden="1" customWidth="1"/>
    <col min="56" max="57" width="5.3984375" style="182" hidden="1" customWidth="1"/>
    <col min="58" max="58" width="128.3984375" style="182" hidden="1" customWidth="1"/>
    <col min="59" max="59" width="6.1328125" style="182" hidden="1" customWidth="1"/>
    <col min="60" max="60" width="9.1328125" style="182" hidden="1" customWidth="1"/>
    <col min="61" max="61" width="19.3984375" style="182" hidden="1" customWidth="1"/>
    <col min="62" max="62" width="9.1328125" style="182" hidden="1" customWidth="1"/>
    <col min="63" max="63" width="4.3984375" style="182" hidden="1" customWidth="1"/>
    <col min="64" max="64" width="7.3984375" style="182" hidden="1" customWidth="1"/>
    <col min="65" max="65" width="7.59765625" style="182" hidden="1" customWidth="1"/>
    <col min="66" max="67" width="9.1328125" style="182" hidden="1" customWidth="1"/>
    <col min="68" max="68" width="8.59765625" style="182" hidden="1" customWidth="1"/>
    <col min="69" max="70" width="9.1328125" style="182" hidden="1" customWidth="1"/>
    <col min="71" max="78" width="9.1328125" style="182" customWidth="1"/>
    <col min="79" max="16384" width="9.1328125" style="182"/>
  </cols>
  <sheetData>
    <row r="1" spans="1:62" ht="16.5" customHeight="1" x14ac:dyDescent="0.35">
      <c r="A1" s="1383">
        <v>46752</v>
      </c>
      <c r="B1" s="1384"/>
      <c r="C1" s="1384"/>
      <c r="D1" s="1385"/>
      <c r="E1" s="1392" t="s">
        <v>0</v>
      </c>
      <c r="F1" s="1392"/>
      <c r="G1" s="1392"/>
      <c r="H1" s="1392"/>
      <c r="I1" s="1392"/>
      <c r="J1" s="1392"/>
      <c r="K1" s="1392"/>
      <c r="L1" s="1392"/>
      <c r="M1" s="1394" t="s">
        <v>1</v>
      </c>
      <c r="N1" s="1395"/>
      <c r="O1" s="1375">
        <v>45638</v>
      </c>
      <c r="P1" s="1375"/>
      <c r="Q1" s="1376"/>
      <c r="R1" s="627"/>
      <c r="S1" s="627"/>
      <c r="T1" s="627"/>
      <c r="U1" s="627"/>
      <c r="V1" s="627"/>
      <c r="W1" s="627"/>
      <c r="X1" s="627"/>
      <c r="Y1" s="627"/>
      <c r="Z1" s="627"/>
      <c r="AA1" s="627"/>
      <c r="AB1" s="627"/>
      <c r="AC1" s="627"/>
      <c r="AD1" s="627"/>
      <c r="AE1" s="627"/>
      <c r="AF1" s="627"/>
      <c r="AG1" s="627"/>
      <c r="AH1" s="627"/>
      <c r="AI1" s="627"/>
      <c r="AJ1" s="627"/>
      <c r="AK1" s="627"/>
      <c r="AL1" s="627"/>
      <c r="AM1" s="627"/>
      <c r="AN1" s="627"/>
      <c r="AO1" s="627"/>
      <c r="AP1" s="627"/>
      <c r="AQ1" s="627"/>
      <c r="AR1" s="627"/>
      <c r="AS1" s="627"/>
      <c r="AT1" s="627"/>
      <c r="AU1" s="627"/>
      <c r="AV1" s="627"/>
      <c r="AW1" s="627"/>
      <c r="AX1" s="627"/>
      <c r="AY1" s="627"/>
      <c r="AZ1" s="627"/>
      <c r="BA1" s="627"/>
      <c r="BB1" s="627"/>
      <c r="BC1" s="627"/>
      <c r="BD1" s="627"/>
      <c r="BE1" s="627"/>
      <c r="BF1" s="627"/>
      <c r="BG1" s="627"/>
      <c r="BH1" s="627"/>
      <c r="BI1" s="627"/>
      <c r="BJ1" s="627" t="s">
        <v>2</v>
      </c>
    </row>
    <row r="2" spans="1:62" ht="15.75" customHeight="1" x14ac:dyDescent="0.35">
      <c r="A2" s="1386"/>
      <c r="B2" s="1387"/>
      <c r="C2" s="1387"/>
      <c r="D2" s="1388"/>
      <c r="E2" s="1393"/>
      <c r="F2" s="1393"/>
      <c r="G2" s="1393"/>
      <c r="H2" s="1393"/>
      <c r="I2" s="1393"/>
      <c r="J2" s="1393"/>
      <c r="K2" s="1393"/>
      <c r="L2" s="1393"/>
      <c r="M2" s="1373" t="s">
        <v>3</v>
      </c>
      <c r="N2" s="1377"/>
      <c r="O2" s="1378">
        <v>3</v>
      </c>
      <c r="P2" s="1378"/>
      <c r="Q2" s="1379"/>
      <c r="R2" s="627"/>
      <c r="S2" s="627"/>
      <c r="T2" s="627"/>
      <c r="U2" s="627"/>
      <c r="V2" s="627"/>
      <c r="W2" s="627"/>
      <c r="X2" s="627"/>
      <c r="Y2" s="627"/>
      <c r="Z2" s="627"/>
      <c r="AA2" s="627"/>
      <c r="AB2" s="627"/>
      <c r="AC2" s="627"/>
      <c r="AD2" s="627"/>
      <c r="AE2" s="627"/>
      <c r="AF2" s="627"/>
      <c r="AG2" s="627"/>
      <c r="AH2" s="627"/>
      <c r="AI2" s="627"/>
      <c r="AJ2" s="627"/>
      <c r="AK2" s="627"/>
      <c r="AL2" s="627"/>
      <c r="AM2" s="627"/>
      <c r="AN2" s="627"/>
      <c r="AO2" s="627"/>
      <c r="AP2" s="627"/>
      <c r="AQ2" s="627"/>
      <c r="AR2" s="627"/>
      <c r="AS2" s="627"/>
      <c r="AT2" s="627"/>
      <c r="AU2" s="627"/>
      <c r="AV2" s="627"/>
      <c r="AW2" s="627"/>
      <c r="AX2" s="627"/>
      <c r="AY2" s="627"/>
      <c r="AZ2" s="627"/>
      <c r="BA2" s="627"/>
      <c r="BB2" s="627"/>
      <c r="BC2" s="627"/>
      <c r="BD2" s="627"/>
      <c r="BE2" s="627"/>
      <c r="BF2" s="627"/>
      <c r="BG2" s="627"/>
      <c r="BH2" s="627"/>
      <c r="BI2" s="627"/>
      <c r="BJ2" s="627" t="s">
        <v>4</v>
      </c>
    </row>
    <row r="3" spans="1:62" ht="12.75" customHeight="1" x14ac:dyDescent="0.35">
      <c r="A3" s="1386"/>
      <c r="B3" s="1387"/>
      <c r="C3" s="1387"/>
      <c r="D3" s="1388"/>
      <c r="E3" s="985" t="s">
        <v>5</v>
      </c>
      <c r="F3" s="1500" t="s">
        <v>6</v>
      </c>
      <c r="G3" s="1500"/>
      <c r="H3" s="1500"/>
      <c r="I3" s="1500"/>
      <c r="J3" s="1500"/>
      <c r="K3" s="1500"/>
      <c r="L3" s="1501"/>
      <c r="M3" s="1373" t="str">
        <f>IF(H11=0,0,"LOCAL:")</f>
        <v>LOCAL:</v>
      </c>
      <c r="N3" s="1377"/>
      <c r="O3" s="1377"/>
      <c r="P3" s="1377"/>
      <c r="Q3" s="1380"/>
      <c r="R3" s="627"/>
      <c r="S3" s="627"/>
      <c r="T3" s="627"/>
      <c r="U3" s="627"/>
      <c r="V3" s="627"/>
      <c r="W3" s="627"/>
      <c r="X3" s="627"/>
      <c r="Y3" s="627"/>
      <c r="Z3" s="627"/>
      <c r="AA3" s="627"/>
      <c r="AB3" s="627"/>
      <c r="AC3" s="627"/>
      <c r="AD3" s="627"/>
      <c r="AE3" s="627"/>
      <c r="AF3" s="627"/>
      <c r="AG3" s="627"/>
      <c r="AH3" s="627"/>
      <c r="AI3" s="627"/>
      <c r="AJ3" s="627"/>
      <c r="AK3" s="627"/>
      <c r="AL3" s="627"/>
      <c r="AM3" s="627"/>
      <c r="AN3" s="627"/>
      <c r="AO3" s="627"/>
      <c r="AP3" s="627"/>
      <c r="AQ3" s="627"/>
      <c r="AR3" s="627"/>
      <c r="AS3" s="627"/>
      <c r="AT3" s="627"/>
      <c r="AU3" s="627"/>
      <c r="AV3" s="627"/>
      <c r="AW3" s="627"/>
      <c r="AX3" s="627"/>
      <c r="AY3" s="627"/>
      <c r="AZ3" s="627"/>
      <c r="BA3" s="627"/>
      <c r="BB3" s="627"/>
      <c r="BC3" s="627"/>
      <c r="BD3" s="627"/>
      <c r="BE3" s="627"/>
      <c r="BF3" s="627"/>
      <c r="BG3" s="627"/>
      <c r="BH3" s="627"/>
      <c r="BI3" s="627"/>
      <c r="BJ3" s="627"/>
    </row>
    <row r="4" spans="1:62" ht="12.75" customHeight="1" thickBot="1" x14ac:dyDescent="0.4">
      <c r="A4" s="1389"/>
      <c r="B4" s="1390"/>
      <c r="C4" s="1390"/>
      <c r="D4" s="1391"/>
      <c r="E4" s="986" t="s">
        <v>7</v>
      </c>
      <c r="F4" s="1502" t="s">
        <v>8</v>
      </c>
      <c r="G4" s="1502"/>
      <c r="H4" s="1502"/>
      <c r="I4" s="1502"/>
      <c r="J4" s="1502"/>
      <c r="K4" s="1502"/>
      <c r="L4" s="1503"/>
      <c r="M4" s="1397" t="str">
        <f>H11</f>
        <v>São Paulo - Tatuapé</v>
      </c>
      <c r="N4" s="1398"/>
      <c r="O4" s="1398"/>
      <c r="P4" s="1397" t="str">
        <f>IF(H11=0,0,VLOOKUP(E11,BI1292:BJ1318,2,0))</f>
        <v>SP</v>
      </c>
      <c r="Q4" s="1399"/>
      <c r="R4" s="627"/>
      <c r="S4" s="627"/>
      <c r="T4" s="627"/>
      <c r="U4" s="627"/>
      <c r="V4" s="627"/>
      <c r="W4" s="627"/>
      <c r="X4" s="627"/>
      <c r="Y4" s="627"/>
      <c r="Z4" s="627"/>
      <c r="AA4" s="627"/>
      <c r="AB4" s="627"/>
      <c r="AC4" s="627"/>
      <c r="AD4" s="627"/>
      <c r="AE4" s="627"/>
      <c r="AF4" s="627"/>
      <c r="AG4" s="627"/>
      <c r="AH4" s="627"/>
      <c r="AI4" s="627"/>
      <c r="AJ4" s="627"/>
      <c r="AK4" s="627"/>
      <c r="AL4" s="627"/>
      <c r="AM4" s="627"/>
      <c r="AN4" s="627"/>
      <c r="AO4" s="627"/>
      <c r="AP4" s="627"/>
      <c r="AQ4" s="627"/>
      <c r="AR4" s="627"/>
      <c r="AS4" s="627"/>
      <c r="AT4" s="627"/>
      <c r="AU4" s="627"/>
      <c r="AV4" s="627"/>
      <c r="AW4" s="627"/>
      <c r="AX4" s="627"/>
      <c r="AY4" s="627"/>
      <c r="AZ4" s="627"/>
      <c r="BA4" s="627"/>
      <c r="BB4" s="627"/>
      <c r="BC4" s="627"/>
      <c r="BD4" s="627"/>
      <c r="BE4" s="627"/>
      <c r="BF4" s="627"/>
      <c r="BG4" s="627"/>
      <c r="BH4" s="627"/>
      <c r="BI4" s="627"/>
      <c r="BJ4" s="627"/>
    </row>
    <row r="5" spans="1:62" ht="10.5" customHeight="1" x14ac:dyDescent="0.35">
      <c r="A5" s="627"/>
      <c r="B5" s="634"/>
      <c r="C5" s="634"/>
      <c r="D5" s="634"/>
      <c r="E5" s="818"/>
      <c r="F5" s="818"/>
      <c r="G5" s="818"/>
      <c r="H5" s="818"/>
      <c r="I5" s="818"/>
      <c r="J5" s="818"/>
      <c r="K5" s="818"/>
      <c r="L5" s="818"/>
      <c r="M5" s="818"/>
      <c r="N5" s="818"/>
      <c r="O5" s="818"/>
      <c r="P5" s="818"/>
      <c r="Q5" s="627"/>
      <c r="R5" s="627"/>
      <c r="S5" s="627"/>
      <c r="T5" s="627"/>
      <c r="U5" s="627"/>
      <c r="V5" s="627"/>
      <c r="W5" s="627"/>
      <c r="X5" s="627"/>
      <c r="Y5" s="627"/>
      <c r="Z5" s="627"/>
      <c r="AA5" s="627"/>
      <c r="AB5" s="627"/>
      <c r="AC5" s="627"/>
      <c r="AD5" s="627"/>
      <c r="AE5" s="627"/>
      <c r="AF5" s="627"/>
      <c r="AG5" s="627"/>
      <c r="AH5" s="627"/>
      <c r="AI5" s="627"/>
      <c r="AJ5" s="627"/>
      <c r="AK5" s="627"/>
      <c r="AL5" s="627"/>
      <c r="AM5" s="627"/>
      <c r="AN5" s="627"/>
      <c r="AO5" s="627"/>
      <c r="AP5" s="627"/>
      <c r="AQ5" s="627"/>
      <c r="AR5" s="627"/>
      <c r="AS5" s="627"/>
      <c r="AT5" s="627"/>
      <c r="AU5" s="627"/>
      <c r="AV5" s="627"/>
      <c r="AW5" s="627"/>
      <c r="AX5" s="627"/>
      <c r="AY5" s="627"/>
      <c r="AZ5" s="627"/>
      <c r="BA5" s="627"/>
      <c r="BB5" s="627"/>
      <c r="BC5" s="627"/>
      <c r="BD5" s="627"/>
      <c r="BE5" s="627"/>
      <c r="BF5" s="627"/>
      <c r="BG5" s="627"/>
      <c r="BH5" s="627"/>
      <c r="BI5" s="627"/>
      <c r="BJ5" s="627"/>
    </row>
    <row r="6" spans="1:62" ht="10.5" hidden="1" customHeight="1" x14ac:dyDescent="0.35">
      <c r="A6" s="627"/>
      <c r="B6" s="634"/>
      <c r="C6" s="634"/>
      <c r="D6" s="634"/>
      <c r="E6" s="818"/>
      <c r="F6" s="818"/>
      <c r="G6" s="818"/>
      <c r="H6" s="818"/>
      <c r="I6" s="818"/>
      <c r="J6" s="818"/>
      <c r="K6" s="818"/>
      <c r="L6" s="818"/>
      <c r="M6" s="818"/>
      <c r="N6" s="818"/>
      <c r="O6" s="818"/>
      <c r="P6" s="818"/>
      <c r="Q6" s="627"/>
      <c r="R6" s="627"/>
      <c r="S6" s="627"/>
      <c r="T6" s="627"/>
      <c r="U6" s="627"/>
      <c r="V6" s="627"/>
      <c r="W6" s="627"/>
      <c r="X6" s="627"/>
      <c r="Y6" s="627"/>
      <c r="Z6" s="627"/>
      <c r="AA6" s="627"/>
      <c r="AB6" s="627"/>
      <c r="AC6" s="627"/>
      <c r="AD6" s="627"/>
      <c r="AE6" s="627"/>
      <c r="AF6" s="627"/>
      <c r="AG6" s="627"/>
      <c r="AH6" s="627"/>
      <c r="AI6" s="627"/>
      <c r="AJ6" s="627"/>
      <c r="AK6" s="627"/>
      <c r="AL6" s="627"/>
      <c r="AM6" s="627"/>
      <c r="AN6" s="627"/>
      <c r="AO6" s="627"/>
      <c r="AP6" s="627"/>
      <c r="AQ6" s="627"/>
      <c r="AR6" s="627"/>
      <c r="AS6" s="627"/>
      <c r="AT6" s="627"/>
      <c r="AU6" s="627"/>
      <c r="AV6" s="627"/>
      <c r="AW6" s="627"/>
      <c r="AX6" s="627"/>
      <c r="AY6" s="627"/>
      <c r="AZ6" s="627"/>
      <c r="BA6" s="627"/>
      <c r="BB6" s="627"/>
      <c r="BC6" s="627"/>
      <c r="BD6" s="627"/>
      <c r="BE6" s="627"/>
      <c r="BF6" s="627"/>
      <c r="BG6" s="627"/>
      <c r="BH6" s="627"/>
      <c r="BI6" s="627"/>
      <c r="BJ6" s="627"/>
    </row>
    <row r="7" spans="1:62" ht="7.5" customHeight="1" thickBot="1" x14ac:dyDescent="0.4">
      <c r="A7" s="636"/>
      <c r="B7" s="652"/>
      <c r="C7" s="652"/>
      <c r="D7" s="652"/>
      <c r="E7" s="652"/>
      <c r="F7" s="652"/>
      <c r="G7" s="652"/>
      <c r="H7" s="652"/>
      <c r="I7" s="652"/>
      <c r="J7" s="652"/>
      <c r="K7" s="652"/>
      <c r="L7" s="652"/>
      <c r="M7" s="652"/>
      <c r="N7" s="652"/>
      <c r="O7" s="652"/>
      <c r="P7" s="652"/>
      <c r="Q7" s="987"/>
      <c r="R7" s="627"/>
      <c r="S7" s="627"/>
      <c r="T7" s="627"/>
      <c r="U7" s="627"/>
      <c r="V7" s="627"/>
      <c r="W7" s="627"/>
      <c r="X7" s="627"/>
      <c r="Y7" s="627"/>
      <c r="Z7" s="627"/>
      <c r="AA7" s="627"/>
      <c r="AB7" s="627"/>
      <c r="AC7" s="627"/>
      <c r="AD7" s="627"/>
      <c r="AE7" s="627"/>
      <c r="AF7" s="627"/>
      <c r="AG7" s="627"/>
      <c r="AH7" s="627"/>
      <c r="AI7" s="627"/>
      <c r="AJ7" s="627"/>
      <c r="AK7" s="627"/>
      <c r="AL7" s="627"/>
      <c r="AM7" s="627"/>
      <c r="AN7" s="627"/>
      <c r="AO7" s="627"/>
      <c r="AP7" s="627"/>
      <c r="AQ7" s="627"/>
      <c r="AR7" s="627"/>
      <c r="AS7" s="627"/>
      <c r="AT7" s="627"/>
      <c r="AU7" s="627"/>
      <c r="AV7" s="627"/>
      <c r="AW7" s="627"/>
      <c r="AX7" s="627"/>
      <c r="AY7" s="627"/>
      <c r="AZ7" s="627"/>
      <c r="BA7" s="627"/>
      <c r="BB7" s="627"/>
      <c r="BC7" s="627"/>
      <c r="BD7" s="627"/>
      <c r="BE7" s="627"/>
      <c r="BF7" s="627"/>
      <c r="BG7" s="627"/>
      <c r="BH7" s="627"/>
      <c r="BI7" s="627"/>
      <c r="BJ7" s="627"/>
    </row>
    <row r="8" spans="1:62" ht="21" customHeight="1" thickTop="1" thickBot="1" x14ac:dyDescent="0.4">
      <c r="A8" s="988"/>
      <c r="B8" s="989"/>
      <c r="C8" s="1382" t="s">
        <v>9</v>
      </c>
      <c r="D8" s="1382"/>
      <c r="E8" s="1382"/>
      <c r="F8" s="1382"/>
      <c r="G8" s="1382"/>
      <c r="H8" s="1382"/>
      <c r="I8" s="1382"/>
      <c r="J8" s="1382"/>
      <c r="K8" s="1382"/>
      <c r="L8" s="1382"/>
      <c r="M8" s="1382"/>
      <c r="N8" s="1382"/>
      <c r="O8" s="1382"/>
      <c r="P8" s="990"/>
      <c r="Q8" s="719"/>
      <c r="R8" s="627"/>
      <c r="S8" s="627"/>
      <c r="T8" s="627"/>
      <c r="U8" s="627"/>
      <c r="V8" s="627"/>
      <c r="W8" s="627"/>
      <c r="X8" s="627"/>
      <c r="Y8" s="627"/>
      <c r="Z8" s="627"/>
      <c r="AA8" s="627"/>
      <c r="AB8" s="627"/>
      <c r="AC8" s="627"/>
      <c r="AD8" s="627"/>
      <c r="AE8" s="627"/>
      <c r="AF8" s="627"/>
      <c r="AG8" s="627"/>
      <c r="AH8" s="627"/>
      <c r="AI8" s="627"/>
      <c r="AJ8" s="627"/>
      <c r="AK8" s="627"/>
      <c r="AL8" s="627"/>
      <c r="AM8" s="627"/>
      <c r="AN8" s="627"/>
      <c r="AO8" s="627"/>
      <c r="AP8" s="627"/>
      <c r="AQ8" s="627"/>
      <c r="AR8" s="627"/>
      <c r="AS8" s="627"/>
      <c r="AT8" s="627"/>
      <c r="AU8" s="627"/>
      <c r="AV8" s="627"/>
      <c r="AW8" s="627"/>
      <c r="AX8" s="627"/>
      <c r="AY8" s="627"/>
      <c r="AZ8" s="627"/>
      <c r="BA8" s="627"/>
      <c r="BB8" s="627"/>
      <c r="BC8" s="627"/>
      <c r="BD8" s="627"/>
      <c r="BE8" s="627"/>
      <c r="BF8" s="627"/>
      <c r="BG8" s="627"/>
      <c r="BH8" s="627"/>
      <c r="BI8" s="627"/>
      <c r="BJ8" s="627" t="s">
        <v>10</v>
      </c>
    </row>
    <row r="9" spans="1:62" ht="8.25" customHeight="1" thickTop="1" x14ac:dyDescent="0.4">
      <c r="A9" s="988"/>
      <c r="B9" s="627"/>
      <c r="C9" s="365"/>
      <c r="D9" s="627"/>
      <c r="E9" s="627"/>
      <c r="F9" s="627"/>
      <c r="G9" s="627"/>
      <c r="H9" s="627"/>
      <c r="I9" s="627"/>
      <c r="J9" s="627"/>
      <c r="K9" s="627"/>
      <c r="L9" s="627"/>
      <c r="M9" s="627"/>
      <c r="N9" s="627"/>
      <c r="O9" s="627"/>
      <c r="P9" s="991"/>
      <c r="Q9" s="719"/>
      <c r="R9" s="627"/>
      <c r="S9" s="627"/>
      <c r="T9" s="627"/>
      <c r="U9" s="627"/>
      <c r="V9" s="627"/>
      <c r="W9" s="627"/>
      <c r="X9" s="627"/>
      <c r="Y9" s="627"/>
      <c r="Z9" s="627"/>
      <c r="AA9" s="627"/>
      <c r="AB9" s="627"/>
      <c r="AC9" s="627"/>
      <c r="AD9" s="627"/>
      <c r="AE9" s="627"/>
      <c r="AF9" s="627"/>
      <c r="AG9" s="627"/>
      <c r="AH9" s="627"/>
      <c r="AI9" s="627"/>
      <c r="AJ9" s="627"/>
      <c r="AK9" s="627"/>
      <c r="AL9" s="627"/>
      <c r="AM9" s="627"/>
      <c r="AN9" s="627"/>
      <c r="AO9" s="627"/>
      <c r="AP9" s="627"/>
      <c r="AQ9" s="627"/>
      <c r="AR9" s="627"/>
      <c r="AS9" s="627"/>
      <c r="AT9" s="627"/>
      <c r="AU9" s="627"/>
      <c r="AV9" s="627"/>
      <c r="AW9" s="627"/>
      <c r="AX9" s="627"/>
      <c r="AY9" s="627"/>
      <c r="AZ9" s="627"/>
      <c r="BA9" s="627"/>
      <c r="BB9" s="627"/>
      <c r="BC9" s="627"/>
      <c r="BD9" s="627"/>
      <c r="BE9" s="627"/>
      <c r="BF9" s="627"/>
      <c r="BG9" s="627"/>
      <c r="BH9" s="627"/>
      <c r="BI9" s="627"/>
      <c r="BJ9" s="627"/>
    </row>
    <row r="10" spans="1:62" ht="15.75" customHeight="1" x14ac:dyDescent="0.35">
      <c r="A10" s="988"/>
      <c r="B10" s="1403" t="s">
        <v>11</v>
      </c>
      <c r="C10" s="1404"/>
      <c r="D10" s="1404"/>
      <c r="E10" s="1318" t="s">
        <v>12</v>
      </c>
      <c r="F10" s="1319"/>
      <c r="G10" s="1400"/>
      <c r="H10" s="1318" t="s">
        <v>13</v>
      </c>
      <c r="I10" s="1319"/>
      <c r="J10" s="1319"/>
      <c r="K10" s="1319"/>
      <c r="L10" s="1319"/>
      <c r="M10" s="1318" t="s">
        <v>14</v>
      </c>
      <c r="N10" s="1319"/>
      <c r="O10" s="1319"/>
      <c r="P10" s="1400"/>
      <c r="Q10" s="750"/>
      <c r="R10" s="627"/>
      <c r="S10" s="627"/>
      <c r="T10" s="627"/>
      <c r="U10" s="627"/>
      <c r="V10" s="627"/>
      <c r="W10" s="627"/>
      <c r="X10" s="627"/>
      <c r="Y10" s="627"/>
      <c r="Z10" s="627"/>
      <c r="AA10" s="627"/>
      <c r="AB10" s="627"/>
      <c r="AC10" s="627"/>
      <c r="AD10" s="627"/>
      <c r="AE10" s="627"/>
      <c r="AF10" s="627"/>
      <c r="AG10" s="627"/>
      <c r="AH10" s="627"/>
      <c r="AI10" s="627"/>
      <c r="AJ10" s="627"/>
      <c r="AK10" s="627"/>
      <c r="AL10" s="627"/>
      <c r="AM10" s="627"/>
      <c r="AN10" s="627"/>
      <c r="AO10" s="627"/>
      <c r="AP10" s="627"/>
      <c r="AQ10" s="627"/>
      <c r="AR10" s="627"/>
      <c r="AS10" s="627"/>
      <c r="AT10" s="627"/>
      <c r="AU10" s="627"/>
      <c r="AV10" s="627"/>
      <c r="AW10" s="627"/>
      <c r="AX10" s="627"/>
      <c r="AY10" s="627"/>
      <c r="AZ10" s="627"/>
      <c r="BA10" s="627"/>
      <c r="BB10" s="627"/>
      <c r="BC10" s="627"/>
      <c r="BD10" s="627"/>
      <c r="BE10" s="627"/>
      <c r="BF10" s="627"/>
      <c r="BG10" s="627"/>
      <c r="BH10" s="627"/>
      <c r="BI10" s="627"/>
      <c r="BJ10" s="627"/>
    </row>
    <row r="11" spans="1:62" ht="14.25" customHeight="1" x14ac:dyDescent="0.35">
      <c r="A11" s="988"/>
      <c r="B11" s="1405"/>
      <c r="C11" s="1406"/>
      <c r="D11" s="1406"/>
      <c r="E11" s="1320" t="s">
        <v>15</v>
      </c>
      <c r="F11" s="1321"/>
      <c r="G11" s="1407"/>
      <c r="H11" s="1320" t="s">
        <v>16</v>
      </c>
      <c r="I11" s="1321"/>
      <c r="J11" s="1321"/>
      <c r="K11" s="1321"/>
      <c r="L11" s="1321"/>
      <c r="M11" s="1401">
        <v>1000</v>
      </c>
      <c r="N11" s="1402"/>
      <c r="O11" s="993" t="s">
        <v>17</v>
      </c>
      <c r="P11" s="994"/>
      <c r="Q11" s="750"/>
      <c r="R11" s="627"/>
      <c r="S11" s="627"/>
      <c r="T11" s="627"/>
      <c r="U11" s="627"/>
      <c r="V11" s="627"/>
      <c r="W11" s="627"/>
      <c r="X11" s="627"/>
      <c r="Y11" s="627"/>
      <c r="Z11" s="627"/>
      <c r="AA11" s="627"/>
      <c r="AB11" s="627"/>
      <c r="AC11" s="627"/>
      <c r="AD11" s="627"/>
      <c r="AE11" s="627"/>
      <c r="AF11" s="627"/>
      <c r="AG11" s="627"/>
      <c r="AH11" s="627"/>
      <c r="AI11" s="627"/>
      <c r="AJ11" s="627"/>
      <c r="AK11" s="627"/>
      <c r="AL11" s="627"/>
      <c r="AM11" s="627"/>
      <c r="AN11" s="627"/>
      <c r="AO11" s="627"/>
      <c r="AP11" s="627"/>
      <c r="AQ11" s="627"/>
      <c r="AR11" s="627"/>
      <c r="AS11" s="627"/>
      <c r="AT11" s="627"/>
      <c r="AU11" s="627"/>
      <c r="AV11" s="627"/>
      <c r="AW11" s="627"/>
      <c r="AX11" s="627"/>
      <c r="AY11" s="627"/>
      <c r="AZ11" s="627"/>
      <c r="BA11" s="627"/>
      <c r="BB11" s="627"/>
      <c r="BC11" s="627"/>
      <c r="BD11" s="627"/>
      <c r="BE11" s="627"/>
      <c r="BF11" s="627"/>
      <c r="BG11" s="627"/>
      <c r="BH11" s="627"/>
      <c r="BI11" s="627"/>
      <c r="BJ11" s="627"/>
    </row>
    <row r="12" spans="1:62" ht="3.75" customHeight="1" x14ac:dyDescent="0.4">
      <c r="A12" s="988"/>
      <c r="B12" s="627"/>
      <c r="C12" s="365"/>
      <c r="D12" s="627"/>
      <c r="E12" s="627"/>
      <c r="F12" s="627"/>
      <c r="G12" s="627"/>
      <c r="H12" s="627"/>
      <c r="I12" s="627"/>
      <c r="J12" s="627"/>
      <c r="K12" s="627"/>
      <c r="L12" s="627"/>
      <c r="M12" s="627"/>
      <c r="N12" s="627"/>
      <c r="O12" s="627"/>
      <c r="P12" s="627"/>
      <c r="Q12" s="719"/>
      <c r="R12" s="627"/>
      <c r="S12" s="627"/>
      <c r="T12" s="627"/>
      <c r="U12" s="627"/>
      <c r="V12" s="627"/>
      <c r="W12" s="627"/>
      <c r="X12" s="627"/>
      <c r="Y12" s="627"/>
      <c r="Z12" s="627"/>
      <c r="AA12" s="627"/>
      <c r="AB12" s="627"/>
      <c r="AC12" s="627"/>
      <c r="AD12" s="627"/>
      <c r="AE12" s="627"/>
      <c r="AF12" s="627"/>
      <c r="AG12" s="627"/>
      <c r="AH12" s="627"/>
      <c r="AI12" s="627"/>
      <c r="AJ12" s="627"/>
      <c r="AK12" s="627"/>
      <c r="AL12" s="627"/>
      <c r="AM12" s="627"/>
      <c r="AN12" s="627"/>
      <c r="AO12" s="627"/>
      <c r="AP12" s="627"/>
      <c r="AQ12" s="627"/>
      <c r="AR12" s="627"/>
      <c r="AS12" s="627"/>
      <c r="AT12" s="627"/>
      <c r="AU12" s="627"/>
      <c r="AV12" s="627"/>
      <c r="AW12" s="627"/>
      <c r="AX12" s="627"/>
      <c r="AY12" s="627"/>
      <c r="AZ12" s="627"/>
      <c r="BA12" s="627"/>
      <c r="BB12" s="627"/>
      <c r="BC12" s="627"/>
      <c r="BD12" s="627"/>
      <c r="BE12" s="627"/>
      <c r="BF12" s="627"/>
      <c r="BG12" s="627"/>
      <c r="BH12" s="627"/>
      <c r="BI12" s="627"/>
      <c r="BJ12" s="627"/>
    </row>
    <row r="13" spans="1:62" ht="15" x14ac:dyDescent="0.4">
      <c r="A13" s="988"/>
      <c r="B13" s="627"/>
      <c r="C13" s="365"/>
      <c r="D13" s="12">
        <f>IF(E15&gt;14,"ALTURA DO PAINEL MAIOR QUE 14,00 m ! PLANILHA NÃO ATENDE !",0)</f>
        <v>0</v>
      </c>
      <c r="E13" s="627"/>
      <c r="F13" s="627"/>
      <c r="G13" s="627"/>
      <c r="H13" s="627"/>
      <c r="I13" s="627"/>
      <c r="J13" s="627"/>
      <c r="K13" s="627"/>
      <c r="L13" s="627"/>
      <c r="M13" s="627"/>
      <c r="N13" s="627"/>
      <c r="O13" s="627"/>
      <c r="P13" s="627"/>
      <c r="Q13" s="719"/>
      <c r="R13" s="627"/>
      <c r="S13" s="627"/>
      <c r="T13" s="627"/>
      <c r="U13" s="627"/>
      <c r="V13" s="627"/>
      <c r="W13" s="627"/>
      <c r="X13" s="627"/>
      <c r="Y13" s="627"/>
      <c r="Z13" s="627"/>
      <c r="AA13" s="627"/>
      <c r="AB13" s="627"/>
      <c r="AC13" s="627"/>
      <c r="AD13" s="627"/>
      <c r="AE13" s="627"/>
      <c r="AF13" s="627"/>
      <c r="AG13" s="627"/>
      <c r="AH13" s="627"/>
      <c r="AI13" s="627"/>
      <c r="AJ13" s="627"/>
      <c r="AK13" s="627"/>
      <c r="AL13" s="627"/>
      <c r="AM13" s="627"/>
      <c r="AN13" s="627"/>
      <c r="AO13" s="627"/>
      <c r="AP13" s="627"/>
      <c r="AQ13" s="627"/>
      <c r="AR13" s="627"/>
      <c r="AS13" s="627"/>
      <c r="AT13" s="627"/>
      <c r="AU13" s="627"/>
      <c r="AV13" s="627"/>
      <c r="AW13" s="627"/>
      <c r="AX13" s="627"/>
      <c r="AY13" s="627"/>
      <c r="AZ13" s="627"/>
      <c r="BA13" s="627"/>
      <c r="BB13" s="627"/>
      <c r="BC13" s="627"/>
      <c r="BD13" s="627"/>
      <c r="BE13" s="627"/>
      <c r="BF13" s="627"/>
      <c r="BG13" s="627"/>
      <c r="BH13" s="627"/>
      <c r="BI13" s="627"/>
      <c r="BJ13" s="627" t="s">
        <v>18</v>
      </c>
    </row>
    <row r="14" spans="1:62" ht="3.75" customHeight="1" x14ac:dyDescent="0.35">
      <c r="A14" s="988"/>
      <c r="B14" s="636"/>
      <c r="C14" s="652"/>
      <c r="D14" s="652"/>
      <c r="E14" s="652"/>
      <c r="F14" s="652"/>
      <c r="G14" s="652"/>
      <c r="H14" s="652"/>
      <c r="I14" s="652"/>
      <c r="J14" s="987"/>
      <c r="K14" s="627"/>
      <c r="L14" s="627"/>
      <c r="M14" s="627"/>
      <c r="N14" s="627"/>
      <c r="O14" s="627"/>
      <c r="P14" s="627"/>
      <c r="Q14" s="719"/>
      <c r="R14" s="627"/>
      <c r="S14" s="627"/>
      <c r="T14" s="627"/>
      <c r="U14" s="627"/>
      <c r="V14" s="627"/>
      <c r="W14" s="627"/>
      <c r="X14" s="627"/>
      <c r="Y14" s="627"/>
      <c r="Z14" s="627"/>
      <c r="AA14" s="627"/>
      <c r="AB14" s="627"/>
      <c r="AC14" s="627"/>
      <c r="AD14" s="627"/>
      <c r="AE14" s="627"/>
      <c r="AF14" s="627"/>
      <c r="AG14" s="627"/>
      <c r="AH14" s="627"/>
      <c r="AI14" s="627"/>
      <c r="AJ14" s="627"/>
      <c r="AK14" s="627"/>
      <c r="AL14" s="627"/>
      <c r="AM14" s="627"/>
      <c r="AN14" s="627"/>
      <c r="AO14" s="627"/>
      <c r="AP14" s="627"/>
      <c r="AQ14" s="627"/>
      <c r="AR14" s="627"/>
      <c r="AS14" s="627"/>
      <c r="AT14" s="627"/>
      <c r="AU14" s="627"/>
      <c r="AV14" s="627"/>
      <c r="AW14" s="627"/>
      <c r="AX14" s="627"/>
      <c r="AY14" s="627"/>
      <c r="AZ14" s="627"/>
      <c r="BA14" s="627"/>
      <c r="BB14" s="627"/>
      <c r="BC14" s="627"/>
      <c r="BD14" s="627"/>
      <c r="BE14" s="627"/>
      <c r="BF14" s="627"/>
      <c r="BG14" s="627"/>
      <c r="BH14" s="627"/>
      <c r="BI14" s="627"/>
      <c r="BJ14" s="627"/>
    </row>
    <row r="15" spans="1:62" x14ac:dyDescent="0.35">
      <c r="A15" s="988"/>
      <c r="B15" s="988"/>
      <c r="C15" s="627" t="s">
        <v>19</v>
      </c>
      <c r="D15" s="627"/>
      <c r="E15" s="898">
        <v>7.15</v>
      </c>
      <c r="F15" s="627" t="s">
        <v>20</v>
      </c>
      <c r="G15" s="183" t="str">
        <f>IF(G18=0,0,"altura do painel = ")</f>
        <v xml:space="preserve">altura do painel = </v>
      </c>
      <c r="H15" s="183"/>
      <c r="I15" s="184">
        <f>IF(E15=0,0,E15+G18)</f>
        <v>7.3000000000000007</v>
      </c>
      <c r="J15" s="185" t="str">
        <f>IF(E15=0,0,"m")</f>
        <v>m</v>
      </c>
      <c r="K15" s="183"/>
      <c r="L15" s="627"/>
      <c r="M15" s="627"/>
      <c r="N15" s="627"/>
      <c r="O15" s="627"/>
      <c r="P15" s="627"/>
      <c r="Q15" s="719"/>
      <c r="R15" s="627"/>
      <c r="S15" s="627"/>
      <c r="T15" s="627"/>
      <c r="U15" s="627"/>
      <c r="V15" s="627"/>
      <c r="W15" s="627"/>
      <c r="X15" s="627"/>
      <c r="Y15" s="627"/>
      <c r="Z15" s="627"/>
      <c r="AA15" s="627"/>
      <c r="AB15" s="627"/>
      <c r="AC15" s="627"/>
      <c r="AD15" s="627"/>
      <c r="AE15" s="627"/>
      <c r="AF15" s="627"/>
      <c r="AG15" s="627"/>
      <c r="AH15" s="627"/>
      <c r="AI15" s="627"/>
      <c r="AJ15" s="627"/>
      <c r="AK15" s="627"/>
      <c r="AL15" s="627"/>
      <c r="AM15" s="627"/>
      <c r="AN15" s="627"/>
      <c r="AO15" s="627"/>
      <c r="AP15" s="627"/>
      <c r="AQ15" s="627"/>
      <c r="AR15" s="627"/>
      <c r="AS15" s="627"/>
      <c r="AT15" s="627"/>
      <c r="AU15" s="627"/>
      <c r="AV15" s="627"/>
      <c r="AW15" s="627"/>
      <c r="AX15" s="627"/>
      <c r="AY15" s="627"/>
      <c r="AZ15" s="627"/>
      <c r="BA15" s="627"/>
      <c r="BB15" s="627"/>
      <c r="BC15" s="627"/>
      <c r="BD15" s="627"/>
      <c r="BE15" s="627"/>
      <c r="BF15" s="627"/>
      <c r="BG15" s="627"/>
      <c r="BH15" s="627"/>
      <c r="BI15" s="627"/>
      <c r="BJ15" s="627">
        <v>1</v>
      </c>
    </row>
    <row r="16" spans="1:62" x14ac:dyDescent="0.35">
      <c r="A16" s="988"/>
      <c r="B16" s="988"/>
      <c r="C16" s="627" t="s">
        <v>21</v>
      </c>
      <c r="D16" s="627"/>
      <c r="E16" s="898">
        <v>6.4</v>
      </c>
      <c r="F16" s="627" t="s">
        <v>22</v>
      </c>
      <c r="G16" s="627"/>
      <c r="H16" s="627"/>
      <c r="I16" s="627"/>
      <c r="J16" s="719"/>
      <c r="K16" s="627"/>
      <c r="L16" s="627"/>
      <c r="M16" s="627"/>
      <c r="N16" s="627"/>
      <c r="O16" s="627"/>
      <c r="P16" s="627"/>
      <c r="Q16" s="719"/>
      <c r="R16" s="627"/>
      <c r="S16" s="627"/>
      <c r="T16" s="627"/>
      <c r="U16" s="627"/>
      <c r="V16" s="627"/>
      <c r="W16" s="627"/>
      <c r="X16" s="627"/>
      <c r="Y16" s="627"/>
      <c r="Z16" s="627"/>
      <c r="AA16" s="627"/>
      <c r="AB16" s="627"/>
      <c r="AC16" s="627"/>
      <c r="AD16" s="627"/>
      <c r="AE16" s="627"/>
      <c r="AF16" s="627"/>
      <c r="AG16" s="627"/>
      <c r="AH16" s="627"/>
      <c r="AI16" s="627"/>
      <c r="AJ16" s="627"/>
      <c r="AK16" s="627"/>
      <c r="AL16" s="627"/>
      <c r="AM16" s="627"/>
      <c r="AN16" s="627"/>
      <c r="AO16" s="627"/>
      <c r="AP16" s="627"/>
      <c r="AQ16" s="627"/>
      <c r="AR16" s="627"/>
      <c r="AS16" s="627"/>
      <c r="AT16" s="627"/>
      <c r="AU16" s="627"/>
      <c r="AV16" s="627"/>
      <c r="AW16" s="627"/>
      <c r="AX16" s="627"/>
      <c r="AY16" s="627"/>
      <c r="AZ16" s="627"/>
      <c r="BA16" s="627"/>
      <c r="BB16" s="627"/>
      <c r="BC16" s="627"/>
      <c r="BD16" s="627"/>
      <c r="BE16" s="627"/>
      <c r="BF16" s="627"/>
      <c r="BG16" s="627"/>
      <c r="BH16" s="627"/>
      <c r="BI16" s="627"/>
      <c r="BJ16" s="627">
        <v>2</v>
      </c>
    </row>
    <row r="17" spans="1:62" x14ac:dyDescent="0.35">
      <c r="A17" s="988"/>
      <c r="B17" s="988"/>
      <c r="C17" s="1498" t="s">
        <v>23</v>
      </c>
      <c r="D17" s="1499"/>
      <c r="E17" s="914"/>
      <c r="F17" s="627" t="s">
        <v>24</v>
      </c>
      <c r="G17" s="627"/>
      <c r="H17" s="627"/>
      <c r="I17" s="627"/>
      <c r="J17" s="719"/>
      <c r="K17" s="627"/>
      <c r="L17" s="627"/>
      <c r="M17" s="627"/>
      <c r="N17" s="627"/>
      <c r="O17" s="627"/>
      <c r="P17" s="627"/>
      <c r="Q17" s="719"/>
      <c r="R17" s="627"/>
      <c r="S17" s="627"/>
      <c r="T17" s="627"/>
      <c r="U17" s="627"/>
      <c r="V17" s="627"/>
      <c r="W17" s="627"/>
      <c r="X17" s="627"/>
      <c r="Y17" s="627"/>
      <c r="Z17" s="627"/>
      <c r="AA17" s="627"/>
      <c r="AB17" s="627"/>
      <c r="AC17" s="627"/>
      <c r="AD17" s="627"/>
      <c r="AE17" s="627"/>
      <c r="AF17" s="627"/>
      <c r="AG17" s="627"/>
      <c r="AH17" s="627"/>
      <c r="AI17" s="627"/>
      <c r="AJ17" s="627"/>
      <c r="AK17" s="627"/>
      <c r="AL17" s="627"/>
      <c r="AM17" s="627"/>
      <c r="AN17" s="627"/>
      <c r="AO17" s="627"/>
      <c r="AP17" s="627"/>
      <c r="AQ17" s="627"/>
      <c r="AR17" s="627"/>
      <c r="AS17" s="627"/>
      <c r="AT17" s="627"/>
      <c r="AU17" s="627"/>
      <c r="AV17" s="627"/>
      <c r="AW17" s="627"/>
      <c r="AX17" s="627"/>
      <c r="AY17" s="627"/>
      <c r="AZ17" s="627"/>
      <c r="BA17" s="627"/>
      <c r="BB17" s="627"/>
      <c r="BC17" s="627"/>
      <c r="BD17" s="627"/>
      <c r="BE17" s="627"/>
      <c r="BF17" s="627"/>
      <c r="BG17" s="627"/>
      <c r="BH17" s="627"/>
      <c r="BI17" s="627"/>
      <c r="BJ17" s="627"/>
    </row>
    <row r="18" spans="1:62" x14ac:dyDescent="0.35">
      <c r="A18" s="988"/>
      <c r="B18" s="988"/>
      <c r="C18" s="627" t="s">
        <v>25</v>
      </c>
      <c r="D18" s="627"/>
      <c r="E18" s="627"/>
      <c r="F18" s="627"/>
      <c r="G18" s="660">
        <f>IF(J18=0,0.15,J18)</f>
        <v>0.15</v>
      </c>
      <c r="H18" s="627" t="s">
        <v>26</v>
      </c>
      <c r="I18" s="627"/>
      <c r="J18" s="660"/>
      <c r="K18" s="627"/>
      <c r="L18" s="627"/>
      <c r="M18" s="627"/>
      <c r="N18" s="627"/>
      <c r="O18" s="627"/>
      <c r="P18" s="627"/>
      <c r="Q18" s="719"/>
      <c r="R18" s="627"/>
      <c r="S18" s="627"/>
      <c r="T18" s="627"/>
      <c r="U18" s="627"/>
      <c r="V18" s="627"/>
      <c r="W18" s="627"/>
      <c r="X18" s="627"/>
      <c r="Y18" s="627"/>
      <c r="Z18" s="627"/>
      <c r="AA18" s="627"/>
      <c r="AB18" s="627"/>
      <c r="AC18" s="627"/>
      <c r="AD18" s="627"/>
      <c r="AE18" s="627"/>
      <c r="AF18" s="627"/>
      <c r="AG18" s="627"/>
      <c r="AH18" s="627"/>
      <c r="AI18" s="627"/>
      <c r="AJ18" s="627"/>
      <c r="AK18" s="627"/>
      <c r="AL18" s="627"/>
      <c r="AM18" s="627"/>
      <c r="AN18" s="627"/>
      <c r="AO18" s="627"/>
      <c r="AP18" s="627"/>
      <c r="AQ18" s="627"/>
      <c r="AR18" s="627"/>
      <c r="AS18" s="627"/>
      <c r="AT18" s="627"/>
      <c r="AU18" s="627"/>
      <c r="AV18" s="627"/>
      <c r="AW18" s="627"/>
      <c r="AX18" s="627"/>
      <c r="AY18" s="627"/>
      <c r="AZ18" s="627"/>
      <c r="BA18" s="627"/>
      <c r="BB18" s="627"/>
      <c r="BC18" s="627"/>
      <c r="BD18" s="627"/>
      <c r="BE18" s="627"/>
      <c r="BF18" s="627"/>
      <c r="BG18" s="627"/>
      <c r="BH18" s="627"/>
      <c r="BI18" s="627"/>
      <c r="BJ18" s="627">
        <v>3</v>
      </c>
    </row>
    <row r="19" spans="1:62" ht="4.5" customHeight="1" x14ac:dyDescent="0.35">
      <c r="A19" s="988"/>
      <c r="B19" s="637"/>
      <c r="C19" s="749"/>
      <c r="D19" s="749"/>
      <c r="E19" s="749"/>
      <c r="F19" s="749"/>
      <c r="G19" s="749"/>
      <c r="H19" s="749"/>
      <c r="I19" s="749"/>
      <c r="J19" s="748"/>
      <c r="K19" s="627"/>
      <c r="L19" s="627"/>
      <c r="M19" s="627"/>
      <c r="N19" s="627"/>
      <c r="O19" s="627"/>
      <c r="P19" s="627"/>
      <c r="Q19" s="719"/>
      <c r="R19" s="627"/>
      <c r="S19" s="627"/>
      <c r="T19" s="627"/>
      <c r="U19" s="627"/>
      <c r="V19" s="627"/>
      <c r="W19" s="627"/>
      <c r="X19" s="627"/>
      <c r="Y19" s="627"/>
      <c r="Z19" s="627"/>
      <c r="AA19" s="627"/>
      <c r="AB19" s="627"/>
      <c r="AC19" s="627"/>
      <c r="AD19" s="627"/>
      <c r="AE19" s="627"/>
      <c r="AF19" s="627"/>
      <c r="AG19" s="627"/>
      <c r="AH19" s="627"/>
      <c r="AI19" s="627"/>
      <c r="AJ19" s="627"/>
      <c r="AK19" s="627"/>
      <c r="AL19" s="627"/>
      <c r="AM19" s="627"/>
      <c r="AN19" s="627"/>
      <c r="AO19" s="627"/>
      <c r="AP19" s="627"/>
      <c r="AQ19" s="627"/>
      <c r="AR19" s="627"/>
      <c r="AS19" s="627"/>
      <c r="AT19" s="627"/>
      <c r="AU19" s="627"/>
      <c r="AV19" s="627"/>
      <c r="AW19" s="627"/>
      <c r="AX19" s="627"/>
      <c r="AY19" s="627"/>
      <c r="AZ19" s="627"/>
      <c r="BA19" s="627"/>
      <c r="BB19" s="627"/>
      <c r="BC19" s="627"/>
      <c r="BD19" s="627"/>
      <c r="BE19" s="627"/>
      <c r="BF19" s="627"/>
      <c r="BG19" s="627"/>
      <c r="BH19" s="627"/>
      <c r="BI19" s="627"/>
      <c r="BJ19" s="627">
        <v>4</v>
      </c>
    </row>
    <row r="20" spans="1:62" ht="5.25" customHeight="1" x14ac:dyDescent="0.35">
      <c r="A20" s="988"/>
      <c r="B20" s="627"/>
      <c r="C20" s="627"/>
      <c r="D20" s="627"/>
      <c r="E20" s="627"/>
      <c r="F20" s="463">
        <v>1</v>
      </c>
      <c r="G20" s="463">
        <v>2</v>
      </c>
      <c r="H20" s="463">
        <v>3</v>
      </c>
      <c r="I20" s="463"/>
      <c r="J20" s="627"/>
      <c r="K20" s="627"/>
      <c r="L20" s="627"/>
      <c r="M20" s="627"/>
      <c r="N20" s="627"/>
      <c r="O20" s="627"/>
      <c r="P20" s="627"/>
      <c r="Q20" s="719"/>
      <c r="R20" s="627"/>
      <c r="S20" s="627"/>
      <c r="T20" s="627"/>
      <c r="U20" s="627"/>
      <c r="V20" s="627"/>
      <c r="W20" s="688" t="s">
        <v>27</v>
      </c>
      <c r="X20" s="688"/>
      <c r="Y20" s="627"/>
      <c r="Z20" s="627"/>
      <c r="AA20" s="627"/>
      <c r="AB20" s="627"/>
      <c r="AC20" s="627"/>
      <c r="AD20" s="627"/>
      <c r="AE20" s="627"/>
      <c r="AF20" s="627"/>
      <c r="AG20" s="627"/>
      <c r="AH20" s="627"/>
      <c r="AI20" s="627"/>
      <c r="AJ20" s="627"/>
      <c r="AK20" s="627"/>
      <c r="AL20" s="627"/>
      <c r="AM20" s="627"/>
      <c r="AN20" s="627"/>
      <c r="AO20" s="627"/>
      <c r="AP20" s="627"/>
      <c r="AQ20" s="627"/>
      <c r="AR20" s="627"/>
      <c r="AS20" s="627"/>
      <c r="AT20" s="627"/>
      <c r="AU20" s="627"/>
      <c r="AV20" s="627"/>
      <c r="AW20" s="627"/>
      <c r="AX20" s="627"/>
      <c r="AY20" s="627"/>
      <c r="AZ20" s="627"/>
      <c r="BA20" s="627"/>
      <c r="BB20" s="627"/>
      <c r="BC20" s="627"/>
      <c r="BD20" s="627"/>
      <c r="BE20" s="627"/>
      <c r="BF20" s="627"/>
      <c r="BG20" s="627"/>
      <c r="BH20" s="627"/>
      <c r="BI20" s="627"/>
      <c r="BJ20" s="627">
        <v>5</v>
      </c>
    </row>
    <row r="21" spans="1:62" ht="17.100000000000001" customHeight="1" x14ac:dyDescent="0.35">
      <c r="A21" s="988"/>
      <c r="B21" s="633"/>
      <c r="C21" s="995" t="s">
        <v>28</v>
      </c>
      <c r="D21" s="995"/>
      <c r="E21" s="995"/>
      <c r="F21" s="996">
        <v>12</v>
      </c>
      <c r="G21" s="995" t="str">
        <f>IF(F21=1,"unidade","unidades")</f>
        <v>unidades</v>
      </c>
      <c r="H21" s="995"/>
      <c r="I21" s="995"/>
      <c r="J21" s="997"/>
      <c r="K21" s="627"/>
      <c r="L21" s="627"/>
      <c r="M21" s="627"/>
      <c r="N21" s="627"/>
      <c r="O21" s="627"/>
      <c r="P21" s="627"/>
      <c r="Q21" s="719"/>
      <c r="R21" s="627"/>
      <c r="S21" s="627"/>
      <c r="T21" s="627"/>
      <c r="U21" s="627"/>
      <c r="V21" s="627"/>
      <c r="W21" s="688"/>
      <c r="X21" s="688"/>
      <c r="Y21" s="627"/>
      <c r="Z21" s="627"/>
      <c r="AA21" s="627"/>
      <c r="AB21" s="627"/>
      <c r="AC21" s="627"/>
      <c r="AD21" s="627"/>
      <c r="AE21" s="627"/>
      <c r="AF21" s="627"/>
      <c r="AG21" s="627"/>
      <c r="AH21" s="627"/>
      <c r="AI21" s="627"/>
      <c r="AJ21" s="627"/>
      <c r="AK21" s="627"/>
      <c r="AL21" s="627"/>
      <c r="AM21" s="627"/>
      <c r="AN21" s="627"/>
      <c r="AO21" s="627"/>
      <c r="AP21" s="627"/>
      <c r="AQ21" s="627"/>
      <c r="AR21" s="627"/>
      <c r="AS21" s="627"/>
      <c r="AT21" s="627"/>
      <c r="AU21" s="627"/>
      <c r="AV21" s="627"/>
      <c r="AW21" s="627"/>
      <c r="AX21" s="627"/>
      <c r="AY21" s="627"/>
      <c r="AZ21" s="627"/>
      <c r="BA21" s="627"/>
      <c r="BB21" s="627"/>
      <c r="BC21" s="627"/>
      <c r="BD21" s="627"/>
      <c r="BE21" s="627"/>
      <c r="BF21" s="627"/>
      <c r="BG21" s="627"/>
      <c r="BH21" s="627"/>
      <c r="BI21" s="627"/>
      <c r="BJ21" s="627"/>
    </row>
    <row r="22" spans="1:62" ht="15.75" hidden="1" customHeight="1" x14ac:dyDescent="0.35">
      <c r="A22" s="988"/>
      <c r="B22" s="633"/>
      <c r="C22" s="995" t="s">
        <v>28</v>
      </c>
      <c r="D22" s="995"/>
      <c r="E22" s="995"/>
      <c r="F22" s="996">
        <f>IF(F21&gt;4,4,F21)</f>
        <v>4</v>
      </c>
      <c r="G22" s="995" t="str">
        <f>IF(F22=1,"unidade","unidades")</f>
        <v>unidades</v>
      </c>
      <c r="H22" s="995"/>
      <c r="I22" s="995"/>
      <c r="J22" s="997"/>
      <c r="K22" s="627"/>
      <c r="L22" s="627"/>
      <c r="M22" s="627"/>
      <c r="N22" s="627"/>
      <c r="O22" s="627"/>
      <c r="P22" s="627"/>
      <c r="Q22" s="719"/>
      <c r="R22" s="627"/>
      <c r="S22" s="627"/>
      <c r="T22" s="627"/>
      <c r="U22" s="627"/>
      <c r="V22" s="627"/>
      <c r="W22" s="688"/>
      <c r="X22" s="688"/>
      <c r="Y22" s="627"/>
      <c r="Z22" s="627"/>
      <c r="AA22" s="627"/>
      <c r="AB22" s="627"/>
      <c r="AC22" s="627"/>
      <c r="AD22" s="627"/>
      <c r="AE22" s="627"/>
      <c r="AF22" s="627"/>
      <c r="AG22" s="627"/>
      <c r="AH22" s="627"/>
      <c r="AI22" s="627"/>
      <c r="AJ22" s="627"/>
      <c r="AK22" s="627"/>
      <c r="AL22" s="627"/>
      <c r="AM22" s="627"/>
      <c r="AN22" s="627"/>
      <c r="AO22" s="627"/>
      <c r="AP22" s="627"/>
      <c r="AQ22" s="627"/>
      <c r="AR22" s="627"/>
      <c r="AS22" s="627"/>
      <c r="AT22" s="627"/>
      <c r="AU22" s="627"/>
      <c r="AV22" s="627"/>
      <c r="AW22" s="627"/>
      <c r="AX22" s="627"/>
      <c r="AY22" s="627"/>
      <c r="AZ22" s="627"/>
      <c r="BA22" s="627"/>
      <c r="BB22" s="627"/>
      <c r="BC22" s="627"/>
      <c r="BD22" s="627"/>
      <c r="BE22" s="627"/>
      <c r="BF22" s="627"/>
      <c r="BG22" s="627"/>
      <c r="BH22" s="627"/>
      <c r="BI22" s="627"/>
      <c r="BJ22" s="627"/>
    </row>
    <row r="23" spans="1:62" ht="3.75" customHeight="1" x14ac:dyDescent="0.35">
      <c r="A23" s="988"/>
      <c r="B23" s="627"/>
      <c r="C23" s="627"/>
      <c r="D23" s="627"/>
      <c r="E23" s="627"/>
      <c r="F23" s="627"/>
      <c r="G23" s="627"/>
      <c r="H23" s="627"/>
      <c r="I23" s="627"/>
      <c r="J23" s="627"/>
      <c r="K23" s="627"/>
      <c r="L23" s="627"/>
      <c r="M23" s="627"/>
      <c r="N23" s="627"/>
      <c r="O23" s="627"/>
      <c r="P23" s="627"/>
      <c r="Q23" s="719"/>
      <c r="R23" s="627"/>
      <c r="S23" s="627"/>
      <c r="T23" s="627"/>
      <c r="U23" s="627"/>
      <c r="V23" s="627"/>
      <c r="W23" s="688"/>
      <c r="X23" s="688"/>
      <c r="Y23" s="627"/>
      <c r="Z23" s="627"/>
      <c r="AA23" s="627"/>
      <c r="AB23" s="627"/>
      <c r="AC23" s="627"/>
      <c r="AD23" s="627"/>
      <c r="AE23" s="627"/>
      <c r="AF23" s="627"/>
      <c r="AG23" s="627"/>
      <c r="AH23" s="627"/>
      <c r="AI23" s="627"/>
      <c r="AJ23" s="627"/>
      <c r="AK23" s="627"/>
      <c r="AL23" s="627"/>
      <c r="AM23" s="627"/>
      <c r="AN23" s="627"/>
      <c r="AO23" s="627"/>
      <c r="AP23" s="627"/>
      <c r="AQ23" s="627"/>
      <c r="AR23" s="627"/>
      <c r="AS23" s="627"/>
      <c r="AT23" s="627"/>
      <c r="AU23" s="627"/>
      <c r="AV23" s="627"/>
      <c r="AW23" s="627"/>
      <c r="AX23" s="627"/>
      <c r="AY23" s="627"/>
      <c r="AZ23" s="627"/>
      <c r="BA23" s="627"/>
      <c r="BB23" s="627"/>
      <c r="BC23" s="627"/>
      <c r="BD23" s="627"/>
      <c r="BE23" s="627"/>
      <c r="BF23" s="627"/>
      <c r="BG23" s="627"/>
      <c r="BH23" s="627"/>
      <c r="BI23" s="627"/>
      <c r="BJ23" s="627"/>
    </row>
    <row r="24" spans="1:62" ht="5.25" customHeight="1" x14ac:dyDescent="0.35">
      <c r="A24" s="988"/>
      <c r="B24" s="636"/>
      <c r="C24" s="652"/>
      <c r="D24" s="652"/>
      <c r="E24" s="652"/>
      <c r="F24" s="652"/>
      <c r="G24" s="652"/>
      <c r="H24" s="652"/>
      <c r="I24" s="652"/>
      <c r="J24" s="652"/>
      <c r="K24" s="988"/>
      <c r="L24" s="627"/>
      <c r="M24" s="627"/>
      <c r="N24" s="627"/>
      <c r="O24" s="627"/>
      <c r="P24" s="627"/>
      <c r="Q24" s="719"/>
      <c r="R24" s="627"/>
      <c r="S24" s="627"/>
      <c r="T24" s="627"/>
      <c r="U24" s="627"/>
      <c r="V24" s="627"/>
      <c r="W24" s="688"/>
      <c r="X24" s="688"/>
      <c r="Y24" s="627"/>
      <c r="Z24" s="627"/>
      <c r="AA24" s="627"/>
      <c r="AB24" s="627"/>
      <c r="AC24" s="627"/>
      <c r="AD24" s="627"/>
      <c r="AE24" s="627"/>
      <c r="AF24" s="627"/>
      <c r="AG24" s="627"/>
      <c r="AH24" s="627"/>
      <c r="AI24" s="627"/>
      <c r="AJ24" s="627"/>
      <c r="AK24" s="627"/>
      <c r="AL24" s="627"/>
      <c r="AM24" s="627"/>
      <c r="AN24" s="627"/>
      <c r="AO24" s="627"/>
      <c r="AP24" s="627"/>
      <c r="AQ24" s="627"/>
      <c r="AR24" s="627"/>
      <c r="AS24" s="627"/>
      <c r="AT24" s="627"/>
      <c r="AU24" s="627"/>
      <c r="AV24" s="627"/>
      <c r="AW24" s="627"/>
      <c r="AX24" s="627"/>
      <c r="AY24" s="627"/>
      <c r="AZ24" s="627"/>
      <c r="BA24" s="627"/>
      <c r="BB24" s="627"/>
      <c r="BC24" s="627"/>
      <c r="BD24" s="627"/>
      <c r="BE24" s="627"/>
      <c r="BF24" s="627"/>
      <c r="BG24" s="627"/>
      <c r="BH24" s="627"/>
      <c r="BI24" s="627"/>
      <c r="BJ24" s="627"/>
    </row>
    <row r="25" spans="1:62" ht="13.15" x14ac:dyDescent="0.4">
      <c r="A25" s="988"/>
      <c r="B25" s="988"/>
      <c r="C25" s="627" t="s">
        <v>29</v>
      </c>
      <c r="D25" s="627"/>
      <c r="E25" s="627"/>
      <c r="F25" s="627"/>
      <c r="G25" s="713">
        <v>47</v>
      </c>
      <c r="H25" s="627" t="s">
        <v>20</v>
      </c>
      <c r="I25" s="12"/>
      <c r="J25" s="627"/>
      <c r="K25" s="988"/>
      <c r="L25" s="627"/>
      <c r="M25" s="627"/>
      <c r="N25" s="627"/>
      <c r="O25" s="627"/>
      <c r="P25" s="627"/>
      <c r="Q25" s="719"/>
      <c r="R25" s="627"/>
      <c r="S25" s="627"/>
      <c r="T25" s="627"/>
      <c r="U25" s="627"/>
      <c r="V25" s="627"/>
      <c r="W25" s="688"/>
      <c r="X25" s="688"/>
      <c r="Y25" s="627"/>
      <c r="Z25" s="627"/>
      <c r="AA25" s="627"/>
      <c r="AB25" s="627"/>
      <c r="AC25" s="627"/>
      <c r="AD25" s="627"/>
      <c r="AE25" s="627"/>
      <c r="AF25" s="627"/>
      <c r="AG25" s="627"/>
      <c r="AH25" s="627"/>
      <c r="AI25" s="627"/>
      <c r="AJ25" s="627"/>
      <c r="AK25" s="627"/>
      <c r="AL25" s="627"/>
      <c r="AM25" s="627"/>
      <c r="AN25" s="627"/>
      <c r="AO25" s="627"/>
      <c r="AP25" s="627"/>
      <c r="AQ25" s="627"/>
      <c r="AR25" s="627"/>
      <c r="AS25" s="627"/>
      <c r="AT25" s="627"/>
      <c r="AU25" s="627"/>
      <c r="AV25" s="627"/>
      <c r="AW25" s="627"/>
      <c r="AX25" s="627"/>
      <c r="AY25" s="627"/>
      <c r="AZ25" s="627"/>
      <c r="BA25" s="627"/>
      <c r="BB25" s="627"/>
      <c r="BC25" s="627"/>
      <c r="BD25" s="627"/>
      <c r="BE25" s="627"/>
      <c r="BF25" s="627"/>
      <c r="BG25" s="627"/>
      <c r="BH25" s="627"/>
      <c r="BI25" s="627"/>
      <c r="BJ25" s="627"/>
    </row>
    <row r="26" spans="1:62" ht="13.5" customHeight="1" x14ac:dyDescent="0.4">
      <c r="A26" s="988"/>
      <c r="B26" s="988"/>
      <c r="C26" s="627"/>
      <c r="D26" s="627"/>
      <c r="E26" s="627"/>
      <c r="F26" s="627"/>
      <c r="G26" s="584">
        <f>IF(C37+C41+C45=0,0,VLOOKUP(BJ8,D37:O45,11,0))</f>
        <v>47.041150642112115</v>
      </c>
      <c r="H26" s="36" t="str">
        <f>IF(G26=0,0,"m ( novo valor do diâmetro )")</f>
        <v>m ( novo valor do diâmetro )</v>
      </c>
      <c r="I26" s="357"/>
      <c r="J26" s="629"/>
      <c r="K26" s="988"/>
      <c r="L26" s="627"/>
      <c r="M26" s="627"/>
      <c r="N26" s="627"/>
      <c r="O26" s="627"/>
      <c r="P26" s="627"/>
      <c r="Q26" s="719"/>
      <c r="R26" s="627"/>
      <c r="S26" s="627"/>
      <c r="T26" s="627"/>
      <c r="U26" s="627"/>
      <c r="V26" s="627"/>
      <c r="W26" s="688"/>
      <c r="X26" s="688"/>
      <c r="Y26" s="627"/>
      <c r="Z26" s="627"/>
      <c r="AA26" s="627"/>
      <c r="AB26" s="627"/>
      <c r="AC26" s="627"/>
      <c r="AD26" s="627"/>
      <c r="AE26" s="627"/>
      <c r="AF26" s="627"/>
      <c r="AG26" s="627"/>
      <c r="AH26" s="627"/>
      <c r="AI26" s="627"/>
      <c r="AJ26" s="627"/>
      <c r="AK26" s="627"/>
      <c r="AL26" s="627"/>
      <c r="AM26" s="627"/>
      <c r="AN26" s="627"/>
      <c r="AO26" s="627"/>
      <c r="AP26" s="627"/>
      <c r="AQ26" s="627"/>
      <c r="AR26" s="627"/>
      <c r="AS26" s="627"/>
      <c r="AT26" s="627"/>
      <c r="AU26" s="627"/>
      <c r="AV26" s="627"/>
      <c r="AW26" s="627"/>
      <c r="AX26" s="627"/>
      <c r="AY26" s="627"/>
      <c r="AZ26" s="627"/>
      <c r="BA26" s="627"/>
      <c r="BB26" s="627"/>
      <c r="BC26" s="627"/>
      <c r="BD26" s="627"/>
      <c r="BE26" s="627"/>
      <c r="BF26" s="627"/>
      <c r="BG26" s="627"/>
      <c r="BH26" s="627"/>
      <c r="BI26" s="627"/>
      <c r="BJ26" s="627"/>
    </row>
    <row r="27" spans="1:62" ht="6" customHeight="1" x14ac:dyDescent="0.4">
      <c r="A27" s="988"/>
      <c r="B27" s="988"/>
      <c r="C27" s="627"/>
      <c r="D27" s="627"/>
      <c r="E27" s="627"/>
      <c r="F27" s="627"/>
      <c r="G27" s="627"/>
      <c r="H27" s="627"/>
      <c r="I27" s="12"/>
      <c r="J27" s="627"/>
      <c r="K27" s="988"/>
      <c r="L27" s="627"/>
      <c r="M27" s="627"/>
      <c r="N27" s="627"/>
      <c r="O27" s="627"/>
      <c r="P27" s="627"/>
      <c r="Q27" s="719"/>
      <c r="R27" s="627"/>
      <c r="S27" s="627"/>
      <c r="T27" s="627"/>
      <c r="U27" s="627"/>
      <c r="V27" s="627"/>
      <c r="W27" s="688"/>
      <c r="X27" s="688"/>
      <c r="Y27" s="627"/>
      <c r="Z27" s="627"/>
      <c r="AA27" s="627"/>
      <c r="AB27" s="627"/>
      <c r="AC27" s="627"/>
      <c r="AD27" s="627"/>
      <c r="AE27" s="627"/>
      <c r="AF27" s="627"/>
      <c r="AG27" s="627"/>
      <c r="AH27" s="627"/>
      <c r="AI27" s="627"/>
      <c r="AJ27" s="627"/>
      <c r="AK27" s="627"/>
      <c r="AL27" s="627"/>
      <c r="AM27" s="627"/>
      <c r="AN27" s="627"/>
      <c r="AO27" s="627"/>
      <c r="AP27" s="627"/>
      <c r="AQ27" s="627"/>
      <c r="AR27" s="627"/>
      <c r="AS27" s="627"/>
      <c r="AT27" s="627"/>
      <c r="AU27" s="627"/>
      <c r="AV27" s="627"/>
      <c r="AW27" s="627"/>
      <c r="AX27" s="627"/>
      <c r="AY27" s="627"/>
      <c r="AZ27" s="627"/>
      <c r="BA27" s="627"/>
      <c r="BB27" s="627"/>
      <c r="BC27" s="627"/>
      <c r="BD27" s="627"/>
      <c r="BE27" s="627"/>
      <c r="BF27" s="627"/>
      <c r="BG27" s="627"/>
      <c r="BH27" s="627"/>
      <c r="BI27" s="627"/>
      <c r="BJ27" s="627"/>
    </row>
    <row r="28" spans="1:62" x14ac:dyDescent="0.35">
      <c r="A28" s="988"/>
      <c r="B28" s="988"/>
      <c r="C28" s="627"/>
      <c r="D28" s="627" t="s">
        <v>30</v>
      </c>
      <c r="E28" s="627"/>
      <c r="F28" s="627"/>
      <c r="G28" s="627">
        <f>PI()*(G25/2)^2*E16</f>
        <v>11103.645074847765</v>
      </c>
      <c r="H28" s="627" t="s">
        <v>31</v>
      </c>
      <c r="I28" s="627"/>
      <c r="J28" s="627"/>
      <c r="K28" s="637"/>
      <c r="L28" s="749"/>
      <c r="M28" s="749"/>
      <c r="N28" s="749"/>
      <c r="O28" s="749"/>
      <c r="P28" s="749"/>
      <c r="Q28" s="619">
        <f>IF(OR(G25&gt;'TABELA SC-10 e 14'!B83,G25&gt;'TABELA SC-10 e 14'!C83),10,0)</f>
        <v>0</v>
      </c>
      <c r="R28" s="627"/>
      <c r="S28" s="627"/>
      <c r="T28" s="627"/>
      <c r="U28" s="627"/>
      <c r="V28" s="627"/>
      <c r="W28" s="688"/>
      <c r="X28" s="688"/>
      <c r="Y28" s="627"/>
      <c r="Z28" s="627"/>
      <c r="AA28" s="627"/>
      <c r="AB28" s="627"/>
      <c r="AC28" s="627"/>
      <c r="AD28" s="627"/>
      <c r="AE28" s="627"/>
      <c r="AF28" s="627"/>
      <c r="AG28" s="627"/>
      <c r="AH28" s="627"/>
      <c r="AI28" s="627"/>
      <c r="AJ28" s="627"/>
      <c r="AK28" s="627"/>
      <c r="AL28" s="627"/>
      <c r="AM28" s="627"/>
      <c r="AN28" s="627"/>
      <c r="AO28" s="627"/>
      <c r="AP28" s="627"/>
      <c r="AQ28" s="627"/>
      <c r="AR28" s="627"/>
      <c r="AS28" s="627"/>
      <c r="AT28" s="627"/>
      <c r="AU28" s="627"/>
      <c r="AV28" s="627"/>
      <c r="AW28" s="627"/>
      <c r="AX28" s="627"/>
      <c r="AY28" s="627"/>
      <c r="AZ28" s="627"/>
      <c r="BA28" s="627"/>
      <c r="BB28" s="627"/>
      <c r="BC28" s="627"/>
      <c r="BD28" s="627"/>
      <c r="BE28" s="627"/>
      <c r="BF28" s="627"/>
      <c r="BG28" s="627"/>
      <c r="BH28" s="627"/>
      <c r="BI28" s="627"/>
      <c r="BJ28" s="627"/>
    </row>
    <row r="29" spans="1:62" ht="4.5" customHeight="1" x14ac:dyDescent="0.35">
      <c r="A29" s="988"/>
      <c r="B29" s="988"/>
      <c r="C29" s="627"/>
      <c r="D29" s="627"/>
      <c r="E29" s="627"/>
      <c r="F29" s="627"/>
      <c r="G29" s="627"/>
      <c r="H29" s="627"/>
      <c r="I29" s="627"/>
      <c r="J29" s="627"/>
      <c r="K29" s="627"/>
      <c r="L29" s="627"/>
      <c r="M29" s="627"/>
      <c r="N29" s="627"/>
      <c r="O29" s="627"/>
      <c r="P29" s="987"/>
      <c r="Q29" s="619"/>
      <c r="R29" s="627"/>
      <c r="S29" s="627"/>
      <c r="T29" s="627"/>
      <c r="U29" s="627"/>
      <c r="V29" s="627"/>
      <c r="W29" s="688"/>
      <c r="X29" s="688"/>
      <c r="Y29" s="627"/>
      <c r="Z29" s="627"/>
      <c r="AA29" s="627"/>
      <c r="AB29" s="627"/>
      <c r="AC29" s="627"/>
      <c r="AD29" s="627"/>
      <c r="AE29" s="627"/>
      <c r="AF29" s="627"/>
      <c r="AG29" s="627"/>
      <c r="AH29" s="627"/>
      <c r="AI29" s="627"/>
      <c r="AJ29" s="627"/>
      <c r="AK29" s="627"/>
      <c r="AL29" s="627"/>
      <c r="AM29" s="627"/>
      <c r="AN29" s="627"/>
      <c r="AO29" s="627"/>
      <c r="AP29" s="627"/>
      <c r="AQ29" s="627"/>
      <c r="AR29" s="627"/>
      <c r="AS29" s="627"/>
      <c r="AT29" s="627"/>
      <c r="AU29" s="627"/>
      <c r="AV29" s="627"/>
      <c r="AW29" s="627"/>
      <c r="AX29" s="627"/>
      <c r="AY29" s="627"/>
      <c r="AZ29" s="627"/>
      <c r="BA29" s="627"/>
      <c r="BB29" s="627"/>
      <c r="BC29" s="627"/>
      <c r="BD29" s="627"/>
      <c r="BE29" s="627"/>
      <c r="BF29" s="627"/>
      <c r="BG29" s="627"/>
      <c r="BH29" s="627"/>
      <c r="BI29" s="627"/>
      <c r="BJ29" s="627"/>
    </row>
    <row r="30" spans="1:62" ht="13.15" x14ac:dyDescent="0.4">
      <c r="A30" s="988"/>
      <c r="B30" s="988"/>
      <c r="C30" s="627"/>
      <c r="D30" s="627" t="s">
        <v>32</v>
      </c>
      <c r="E30" s="627"/>
      <c r="F30" s="627"/>
      <c r="G30" s="627">
        <f ca="1">RELATÓRIO!W10</f>
        <v>11132.918115017466</v>
      </c>
      <c r="H30" s="627" t="s">
        <v>31</v>
      </c>
      <c r="I30" s="12">
        <f>IF(C32&lt;&gt;0,0,IF(I32&lt;&gt;0,"ALERTA !",0))</f>
        <v>0</v>
      </c>
      <c r="J30" s="627"/>
      <c r="K30" s="627"/>
      <c r="L30" s="627"/>
      <c r="M30" s="627"/>
      <c r="N30" s="627"/>
      <c r="O30" s="627"/>
      <c r="P30" s="719"/>
      <c r="Q30" s="686">
        <f>IF(OR(G25&gt;'TABELA SC-10 e 14'!B83,G25&gt;'TABELA SC-10 e 14'!C83),10,0)</f>
        <v>0</v>
      </c>
      <c r="R30" s="627"/>
      <c r="S30" s="627"/>
      <c r="T30" s="627"/>
      <c r="U30" s="627"/>
      <c r="V30" s="627"/>
      <c r="W30" s="688"/>
      <c r="X30" s="688"/>
      <c r="Y30" s="627"/>
      <c r="Z30" s="627"/>
      <c r="AA30" s="627"/>
      <c r="AB30" s="627"/>
      <c r="AC30" s="627"/>
      <c r="AD30" s="627"/>
      <c r="AE30" s="627"/>
      <c r="AF30" s="627"/>
      <c r="AG30" s="627"/>
      <c r="AH30" s="627"/>
      <c r="AI30" s="627"/>
      <c r="AJ30" s="627"/>
      <c r="AK30" s="627"/>
      <c r="AL30" s="627"/>
      <c r="AM30" s="627"/>
      <c r="AN30" s="627"/>
      <c r="AO30" s="627"/>
      <c r="AP30" s="627"/>
      <c r="AQ30" s="627"/>
      <c r="AR30" s="627"/>
      <c r="AS30" s="627"/>
      <c r="AT30" s="627"/>
      <c r="AU30" s="627"/>
      <c r="AV30" s="627"/>
      <c r="AW30" s="627"/>
      <c r="AX30" s="627"/>
      <c r="AY30" s="627"/>
      <c r="AZ30" s="627"/>
      <c r="BA30" s="627"/>
      <c r="BB30" s="627"/>
      <c r="BC30" s="627"/>
      <c r="BD30" s="627"/>
      <c r="BE30" s="627"/>
      <c r="BF30" s="627"/>
      <c r="BG30" s="627"/>
      <c r="BH30" s="627"/>
      <c r="BI30" s="627"/>
      <c r="BJ30" s="627"/>
    </row>
    <row r="31" spans="1:62" ht="2.25" customHeight="1" x14ac:dyDescent="0.35">
      <c r="A31" s="988"/>
      <c r="B31" s="988"/>
      <c r="C31" s="627"/>
      <c r="D31" s="627"/>
      <c r="E31" s="627"/>
      <c r="F31" s="627"/>
      <c r="G31" s="627"/>
      <c r="H31" s="627"/>
      <c r="I31" s="627"/>
      <c r="J31" s="627"/>
      <c r="K31" s="627"/>
      <c r="L31" s="627"/>
      <c r="M31" s="627"/>
      <c r="N31" s="627"/>
      <c r="O31" s="627"/>
      <c r="P31" s="719"/>
      <c r="Q31" s="687"/>
      <c r="R31" s="627"/>
      <c r="S31" s="627"/>
      <c r="T31" s="627"/>
      <c r="U31" s="627"/>
      <c r="V31" s="627"/>
      <c r="W31" s="688"/>
      <c r="X31" s="688"/>
      <c r="Y31" s="627"/>
      <c r="Z31" s="627"/>
      <c r="AA31" s="627"/>
      <c r="AB31" s="627"/>
      <c r="AC31" s="627"/>
      <c r="AD31" s="627"/>
      <c r="AE31" s="627"/>
      <c r="AF31" s="627"/>
      <c r="AG31" s="627"/>
      <c r="AH31" s="627"/>
      <c r="AI31" s="627"/>
      <c r="AJ31" s="627"/>
      <c r="AK31" s="627"/>
      <c r="AL31" s="627"/>
      <c r="AM31" s="627"/>
      <c r="AN31" s="627"/>
      <c r="AO31" s="627"/>
      <c r="AP31" s="627"/>
      <c r="AQ31" s="627"/>
      <c r="AR31" s="627"/>
      <c r="AS31" s="627"/>
      <c r="AT31" s="627"/>
      <c r="AU31" s="627"/>
      <c r="AV31" s="627"/>
      <c r="AW31" s="627"/>
      <c r="AX31" s="627"/>
      <c r="AY31" s="627"/>
      <c r="AZ31" s="627"/>
      <c r="BA31" s="627"/>
      <c r="BB31" s="627"/>
      <c r="BC31" s="627"/>
      <c r="BD31" s="627"/>
      <c r="BE31" s="627"/>
      <c r="BF31" s="627"/>
      <c r="BG31" s="627"/>
      <c r="BH31" s="627"/>
      <c r="BI31" s="627"/>
      <c r="BJ31" s="627"/>
    </row>
    <row r="32" spans="1:62" ht="13.15" x14ac:dyDescent="0.4">
      <c r="A32" s="988"/>
      <c r="B32" s="988"/>
      <c r="C32" s="1396">
        <f>IF(G25=0,0,IF(ENTRADAS!G25&lt;O32+O33+O35,"O DIÂMETRO MÍNIMO É "&amp;O32+O33+O35&amp;" m",0))</f>
        <v>0</v>
      </c>
      <c r="D32" s="1396"/>
      <c r="E32" s="1396"/>
      <c r="F32" s="1396"/>
      <c r="G32" s="1396"/>
      <c r="H32" s="627"/>
      <c r="I32" s="12">
        <f>IF(C32&lt;&gt;0,0,IF(AND(E15&lt;=6,G25&lt;='TABELA SC-10 e 14'!D33),0,IF(AND(E15&lt;=7,G25&lt;='TABELA SC-10 e 14'!B68),0,IF(AND(E15&lt;=8,G25&lt;='TABELA SC-10 e 14'!B83),0,IF(G25=0,0,IF(Q35=110,"OS CÁLCULOS ESTÃO SENDO FEITOS, PORÉM ",IF(AND(E15&lt;=6,G25&gt;'TABELA SC-10 e 14'!D33,G25&lt;='TABELA SC-10 e 14'!C126),0,IF('TABELA SC-10 e 14'!C2&gt;'TABELA SC-10 e 14'!A125,"EXCEDEU O LIMITE MÁXIMO PERMITIDO,",IF(OR('TABELA SC-10 e 14'!H84=0,'TABELA SC-10 e 14'!C2&gt;'TABELA SC-10 e 14'!A83),"OS CÁLCULOS ESTÃO SENDO FEITOS, PORÉM ",0)))))))))</f>
        <v>0</v>
      </c>
      <c r="J32" s="627"/>
      <c r="K32" s="627"/>
      <c r="L32" s="627"/>
      <c r="M32" s="627"/>
      <c r="N32" s="627"/>
      <c r="O32" s="195">
        <f>IF('TABELA SC-10 e 14'!A2="SC6",'TABELA SC-10 e 14'!D5,0)</f>
        <v>0</v>
      </c>
      <c r="P32" s="719"/>
      <c r="Q32" s="620">
        <f>IF(G25&lt;='TABELA SC-10 e 14'!C125,100,0)</f>
        <v>100</v>
      </c>
      <c r="R32" s="627"/>
      <c r="S32" s="627"/>
      <c r="T32" s="627"/>
      <c r="U32" s="627"/>
      <c r="V32" s="627"/>
      <c r="W32" s="688"/>
      <c r="X32" s="688"/>
      <c r="Y32" s="627"/>
      <c r="Z32" s="627"/>
      <c r="AA32" s="627"/>
      <c r="AB32" s="627"/>
      <c r="AC32" s="627"/>
      <c r="AD32" s="627"/>
      <c r="AE32" s="627"/>
      <c r="AF32" s="627"/>
      <c r="AG32" s="627"/>
      <c r="AH32" s="627"/>
      <c r="AI32" s="627"/>
      <c r="AJ32" s="627"/>
      <c r="AK32" s="627"/>
      <c r="AL32" s="627"/>
      <c r="AM32" s="627"/>
      <c r="AN32" s="627"/>
      <c r="AO32" s="627"/>
      <c r="AP32" s="627"/>
      <c r="AQ32" s="627"/>
      <c r="AR32" s="627"/>
      <c r="AS32" s="627"/>
      <c r="AT32" s="627"/>
      <c r="AU32" s="627"/>
      <c r="AV32" s="627"/>
      <c r="AW32" s="627"/>
      <c r="AX32" s="627"/>
      <c r="AY32" s="627"/>
      <c r="AZ32" s="627"/>
      <c r="BA32" s="627"/>
      <c r="BB32" s="627"/>
      <c r="BC32" s="627"/>
      <c r="BD32" s="627"/>
      <c r="BE32" s="627"/>
      <c r="BF32" s="627">
        <f>IF(AND(E15&lt;=8,G25&lt;='TABELA SC-10 e 14'!B83),0,I32)</f>
        <v>0</v>
      </c>
      <c r="BG32" s="627"/>
      <c r="BH32" s="627"/>
      <c r="BI32" s="627"/>
      <c r="BJ32" s="627"/>
    </row>
    <row r="33" spans="1:62" ht="8.25" hidden="1" customHeight="1" x14ac:dyDescent="0.4">
      <c r="A33" s="988"/>
      <c r="B33" s="988"/>
      <c r="C33" s="627"/>
      <c r="D33" s="1396"/>
      <c r="E33" s="1396"/>
      <c r="F33" s="1396"/>
      <c r="G33" s="627"/>
      <c r="H33" s="627"/>
      <c r="I33" s="12">
        <f>IF('TABELA SC-10 e 14'!C2&gt;'TABELA SC-10 e 14'!A103,"VERIFICAR COM ENGENHARIA",IF('TABELA SC-10 e 14'!C2&gt;'TABELA SC-10 e 14'!A83,"O DIÂMETRO ESTÁ ALÉM DA TABELA PADRÃO, ",0))</f>
        <v>0</v>
      </c>
      <c r="J33" s="627"/>
      <c r="K33" s="627"/>
      <c r="L33" s="627"/>
      <c r="M33" s="627"/>
      <c r="N33" s="627"/>
      <c r="O33" s="195">
        <f>IF('TABELA SC-10 e 14'!A2="SC10",'TABELA SC-10 e 14'!B5,0)</f>
        <v>8.5142424462409956</v>
      </c>
      <c r="P33" s="719"/>
      <c r="Q33" s="621"/>
      <c r="R33" s="627"/>
      <c r="S33" s="627"/>
      <c r="T33" s="627"/>
      <c r="U33" s="627"/>
      <c r="V33" s="627"/>
      <c r="W33" s="688"/>
      <c r="X33" s="688"/>
      <c r="Y33" s="627"/>
      <c r="Z33" s="627"/>
      <c r="AA33" s="627"/>
      <c r="AB33" s="627"/>
      <c r="AC33" s="627"/>
      <c r="AD33" s="627"/>
      <c r="AE33" s="627"/>
      <c r="AF33" s="627"/>
      <c r="AG33" s="627"/>
      <c r="AH33" s="627"/>
      <c r="AI33" s="627"/>
      <c r="AJ33" s="627"/>
      <c r="AK33" s="627"/>
      <c r="AL33" s="627"/>
      <c r="AM33" s="627"/>
      <c r="AN33" s="627"/>
      <c r="AO33" s="627"/>
      <c r="AP33" s="627"/>
      <c r="AQ33" s="627"/>
      <c r="AR33" s="627"/>
      <c r="AS33" s="627"/>
      <c r="AT33" s="627"/>
      <c r="AU33" s="627"/>
      <c r="AV33" s="627"/>
      <c r="AW33" s="627"/>
      <c r="AX33" s="627"/>
      <c r="AY33" s="627"/>
      <c r="AZ33" s="627"/>
      <c r="BA33" s="627"/>
      <c r="BB33" s="627"/>
      <c r="BC33" s="627"/>
      <c r="BD33" s="627"/>
      <c r="BE33" s="627"/>
      <c r="BF33" s="627"/>
      <c r="BG33" s="627"/>
      <c r="BH33" s="627"/>
      <c r="BI33" s="627"/>
      <c r="BJ33" s="627"/>
    </row>
    <row r="34" spans="1:62" ht="9" hidden="1" customHeight="1" x14ac:dyDescent="0.4">
      <c r="A34" s="988"/>
      <c r="B34" s="988"/>
      <c r="C34" s="627"/>
      <c r="D34" s="634"/>
      <c r="E34" s="634"/>
      <c r="F34" s="634"/>
      <c r="G34" s="627"/>
      <c r="H34" s="627"/>
      <c r="I34" s="12"/>
      <c r="J34" s="627"/>
      <c r="K34" s="627"/>
      <c r="L34" s="627"/>
      <c r="M34" s="627"/>
      <c r="N34" s="627"/>
      <c r="O34" s="195"/>
      <c r="P34" s="719"/>
      <c r="Q34" s="621"/>
      <c r="R34" s="627"/>
      <c r="S34" s="627"/>
      <c r="T34" s="627"/>
      <c r="U34" s="627"/>
      <c r="V34" s="627"/>
      <c r="W34" s="688"/>
      <c r="X34" s="688"/>
      <c r="Y34" s="627"/>
      <c r="Z34" s="627"/>
      <c r="AA34" s="627"/>
      <c r="AB34" s="627"/>
      <c r="AC34" s="627"/>
      <c r="AD34" s="627"/>
      <c r="AE34" s="627"/>
      <c r="AF34" s="627"/>
      <c r="AG34" s="627"/>
      <c r="AH34" s="627"/>
      <c r="AI34" s="627"/>
      <c r="AJ34" s="627"/>
      <c r="AK34" s="627"/>
      <c r="AL34" s="627"/>
      <c r="AM34" s="627"/>
      <c r="AN34" s="627"/>
      <c r="AO34" s="627"/>
      <c r="AP34" s="627"/>
      <c r="AQ34" s="627"/>
      <c r="AR34" s="627"/>
      <c r="AS34" s="627"/>
      <c r="AT34" s="627"/>
      <c r="AU34" s="627"/>
      <c r="AV34" s="627"/>
      <c r="AW34" s="627"/>
      <c r="AX34" s="627"/>
      <c r="AY34" s="627"/>
      <c r="AZ34" s="627"/>
      <c r="BA34" s="627"/>
      <c r="BB34" s="627"/>
      <c r="BC34" s="627"/>
      <c r="BD34" s="627"/>
      <c r="BE34" s="627"/>
      <c r="BF34" s="627"/>
      <c r="BG34" s="627"/>
      <c r="BH34" s="627"/>
      <c r="BI34" s="627"/>
      <c r="BJ34" s="627"/>
    </row>
    <row r="35" spans="1:62" ht="13.15" x14ac:dyDescent="0.4">
      <c r="A35" s="988"/>
      <c r="B35" s="988"/>
      <c r="C35" s="627" t="s">
        <v>33</v>
      </c>
      <c r="D35" s="627"/>
      <c r="E35" s="627"/>
      <c r="F35" s="627"/>
      <c r="G35" s="627"/>
      <c r="H35" s="627"/>
      <c r="I35" s="12">
        <f>IF(C32&lt;&gt;0,0,IF(AND(E15&lt;=6,G25&lt;='TABELA SC-10 e 14'!D33),0,IF(AND(E15&lt;=7,G25&lt;='TABELA SC-10 e 14'!B68),0,IF(AND(E15&lt;=8,G25&lt;='TABELA SC-10 e 14'!B83),0,IF(G25=0,0,IF(Q35=110,"CONFIRMAR COM ENGENHARIA SE É POSSÍVEL.",IF(AND(E15&lt;=6,G25&gt;'TABELA SC-10 e 14'!D33,G25&lt;='TABELA SC-10 e 14'!C126),0,IF('TABELA SC-10 e 14'!C2&gt;'TABELA SC-10 e 14'!A125,"",IF(OR('TABELA SC-10 e 14'!H84=0,'TABELA SC-10 e 14'!C2&gt;'TABELA SC-10 e 14'!A83),"CONFIRMAR COM ENGENHARIA SE É POSSÍVEL.",0)))))))))</f>
        <v>0</v>
      </c>
      <c r="J35" s="627"/>
      <c r="K35" s="627"/>
      <c r="L35" s="627"/>
      <c r="M35" s="627"/>
      <c r="N35" s="627"/>
      <c r="O35" s="623">
        <f>IF('TABELA SC-10 e 14'!A2="SC14",'TABELA SC-10 e 14'!C5,0)</f>
        <v>0</v>
      </c>
      <c r="P35" s="719"/>
      <c r="Q35" s="620">
        <f>Q30+Q32</f>
        <v>100</v>
      </c>
      <c r="R35" s="627"/>
      <c r="S35" s="627"/>
      <c r="T35" s="627"/>
      <c r="U35" s="627"/>
      <c r="V35" s="627"/>
      <c r="W35" s="688"/>
      <c r="X35" s="688"/>
      <c r="Y35" s="627"/>
      <c r="Z35" s="627"/>
      <c r="AA35" s="627"/>
      <c r="AB35" s="627"/>
      <c r="AC35" s="627"/>
      <c r="AD35" s="627"/>
      <c r="AE35" s="627"/>
      <c r="AF35" s="627"/>
      <c r="AG35" s="627"/>
      <c r="AH35" s="627"/>
      <c r="AI35" s="627"/>
      <c r="AJ35" s="627"/>
      <c r="AK35" s="627"/>
      <c r="AL35" s="627"/>
      <c r="AM35" s="627"/>
      <c r="AN35" s="627"/>
      <c r="AO35" s="627"/>
      <c r="AP35" s="627"/>
      <c r="AQ35" s="627"/>
      <c r="AR35" s="627"/>
      <c r="AS35" s="627"/>
      <c r="AT35" s="627"/>
      <c r="AU35" s="627"/>
      <c r="AV35" s="627"/>
      <c r="AW35" s="627"/>
      <c r="AX35" s="627"/>
      <c r="AY35" s="627"/>
      <c r="AZ35" s="627"/>
      <c r="BA35" s="627"/>
      <c r="BB35" s="627"/>
      <c r="BC35" s="627"/>
      <c r="BD35" s="627"/>
      <c r="BE35" s="627"/>
      <c r="BF35" s="627"/>
      <c r="BG35" s="627"/>
      <c r="BH35" s="627"/>
      <c r="BI35" s="627"/>
      <c r="BJ35" s="627"/>
    </row>
    <row r="36" spans="1:62" x14ac:dyDescent="0.35">
      <c r="A36" s="988"/>
      <c r="B36" s="988"/>
      <c r="C36" s="183" t="s">
        <v>34</v>
      </c>
      <c r="D36" s="627"/>
      <c r="E36" s="627"/>
      <c r="F36" s="627"/>
      <c r="G36" s="627"/>
      <c r="H36" s="627"/>
      <c r="I36" s="627"/>
      <c r="J36" s="627"/>
      <c r="K36" s="627"/>
      <c r="L36" s="627"/>
      <c r="M36" s="627"/>
      <c r="N36" s="627"/>
      <c r="O36" s="627"/>
      <c r="P36" s="719"/>
      <c r="Q36" s="620">
        <f>IF(G66="X","SC6",IF(G60="X","SC10",IF(I60="X","SC14",0)))</f>
        <v>0</v>
      </c>
      <c r="R36" s="627"/>
      <c r="S36" s="627"/>
      <c r="T36" s="627"/>
      <c r="U36" s="627"/>
      <c r="V36" s="627"/>
      <c r="W36" s="688"/>
      <c r="X36" s="688"/>
      <c r="Y36" s="627"/>
      <c r="Z36" s="627"/>
      <c r="AA36" s="627"/>
      <c r="AB36" s="627"/>
      <c r="AC36" s="627"/>
      <c r="AD36" s="627"/>
      <c r="AE36" s="627"/>
      <c r="AF36" s="627"/>
      <c r="AG36" s="627"/>
      <c r="AH36" s="627"/>
      <c r="AI36" s="627"/>
      <c r="AJ36" s="627"/>
      <c r="AK36" s="627"/>
      <c r="AL36" s="627"/>
      <c r="AM36" s="627"/>
      <c r="AN36" s="627"/>
      <c r="AO36" s="627"/>
      <c r="AP36" s="627"/>
      <c r="AQ36" s="627"/>
      <c r="AR36" s="627"/>
      <c r="AS36" s="627"/>
      <c r="AT36" s="627"/>
      <c r="AU36" s="627"/>
      <c r="AV36" s="627"/>
      <c r="AW36" s="627"/>
      <c r="AX36" s="627"/>
      <c r="AY36" s="627"/>
      <c r="AZ36" s="627"/>
      <c r="BA36" s="627"/>
      <c r="BB36" s="627"/>
      <c r="BC36" s="627"/>
      <c r="BD36" s="627"/>
      <c r="BE36" s="627"/>
      <c r="BF36" s="627"/>
      <c r="BG36" s="627"/>
      <c r="BH36" s="627"/>
      <c r="BI36" s="627"/>
      <c r="BJ36" s="627"/>
    </row>
    <row r="37" spans="1:62" x14ac:dyDescent="0.35">
      <c r="A37" s="988"/>
      <c r="B37" s="988"/>
      <c r="C37" s="195">
        <f>IF(D37="X",1,0)</f>
        <v>0</v>
      </c>
      <c r="D37" s="626"/>
      <c r="E37" s="998" t="str">
        <f>IF(O42=10,0,IF(G25=0,0,IF(N45=0,"  OPÇÃO 1  - - -   PARA MENOS - - -",0)))</f>
        <v xml:space="preserve">  OPÇÃO 1  - - -   PARA MENOS - - -</v>
      </c>
      <c r="F37" s="998"/>
      <c r="G37" s="999"/>
      <c r="H37" s="1000">
        <f>IF(O42=10,0,IF('TABELA SC-10 e 14'!D2=11,0,IF(G25=0,0,IF(N45=0,'TABELA SC-10 e 14'!D2,0))))</f>
        <v>61</v>
      </c>
      <c r="I37" s="1001" t="str">
        <f>IF(O42=10,0,IF(G25=0,0,IF('TABELA SC-10 e 14'!D2=11,0,IF(N45=0,"PAINÉIS E DIÂMETRO PASSA PARA =",0))))</f>
        <v>PAINÉIS E DIÂMETRO PASSA PARA =</v>
      </c>
      <c r="J37" s="1001"/>
      <c r="K37" s="1001"/>
      <c r="L37" s="1001"/>
      <c r="M37" s="1001"/>
      <c r="N37" s="732">
        <f>IF(O42=10,0,IF(N45=0,IF(G25=0,0,'TABELA SC-10 e 14'!K2),0))</f>
        <v>46.273356163324316</v>
      </c>
      <c r="O37" s="1002" t="str">
        <f>IF(O42=10,0,IF(G25=0,0,IF(N45=0,"m",0)))</f>
        <v>m</v>
      </c>
      <c r="P37" s="1003"/>
      <c r="Q37" s="619"/>
      <c r="R37" s="627"/>
      <c r="S37" s="627"/>
      <c r="T37" s="627"/>
      <c r="U37" s="627"/>
      <c r="V37" s="627"/>
      <c r="W37" s="688"/>
      <c r="X37" s="688"/>
      <c r="Y37" s="627"/>
      <c r="Z37" s="627"/>
      <c r="AA37" s="627"/>
      <c r="AB37" s="627"/>
      <c r="AC37" s="627"/>
      <c r="AD37" s="627"/>
      <c r="AE37" s="627"/>
      <c r="AF37" s="627"/>
      <c r="AG37" s="627"/>
      <c r="AH37" s="627"/>
      <c r="AI37" s="627"/>
      <c r="AJ37" s="627"/>
      <c r="AK37" s="627"/>
      <c r="AL37" s="627"/>
      <c r="AM37" s="627"/>
      <c r="AN37" s="627"/>
      <c r="AO37" s="627"/>
      <c r="AP37" s="627"/>
      <c r="AQ37" s="627"/>
      <c r="AR37" s="627"/>
      <c r="AS37" s="627"/>
      <c r="AT37" s="627"/>
      <c r="AU37" s="627"/>
      <c r="AV37" s="627"/>
      <c r="AW37" s="627"/>
      <c r="AX37" s="627"/>
      <c r="AY37" s="627"/>
      <c r="AZ37" s="627"/>
      <c r="BA37" s="627"/>
      <c r="BB37" s="627"/>
      <c r="BC37" s="627"/>
      <c r="BD37" s="627"/>
      <c r="BE37" s="627"/>
      <c r="BF37" s="627"/>
      <c r="BG37" s="627"/>
      <c r="BH37" s="627"/>
      <c r="BI37" s="627"/>
      <c r="BJ37" s="627"/>
    </row>
    <row r="38" spans="1:62" x14ac:dyDescent="0.35">
      <c r="A38" s="988"/>
      <c r="B38" s="988"/>
      <c r="C38" s="627"/>
      <c r="D38" s="634"/>
      <c r="E38" s="998"/>
      <c r="F38" s="998"/>
      <c r="G38" s="999"/>
      <c r="H38" s="998"/>
      <c r="I38" s="188" t="str">
        <f>IF(O42=10,0,IF(N37=0,0,"            O DIÂMETRO DIMINUI ="))</f>
        <v xml:space="preserve">            O DIÂMETRO DIMINUI =</v>
      </c>
      <c r="J38" s="188"/>
      <c r="K38" s="188"/>
      <c r="L38" s="188"/>
      <c r="M38" s="189">
        <f>IF(O42=10,0,IF(N37=0,0,G25-N37))</f>
        <v>0.72664383667568444</v>
      </c>
      <c r="N38" s="189" t="str">
        <f>IF(O42=10,0,IF(N37=0,0,"m"))</f>
        <v>m</v>
      </c>
      <c r="O38" s="998"/>
      <c r="P38" s="719"/>
      <c r="Q38" s="205"/>
      <c r="R38" s="627"/>
      <c r="S38" s="627"/>
      <c r="T38" s="627"/>
      <c r="U38" s="627"/>
      <c r="V38" s="627"/>
      <c r="W38" s="688"/>
      <c r="X38" s="688"/>
      <c r="Y38" s="627"/>
      <c r="Z38" s="627"/>
      <c r="AA38" s="627"/>
      <c r="AB38" s="627"/>
      <c r="AC38" s="627"/>
      <c r="AD38" s="627"/>
      <c r="AE38" s="627"/>
      <c r="AF38" s="627"/>
      <c r="AG38" s="627"/>
      <c r="AH38" s="627"/>
      <c r="AI38" s="627"/>
      <c r="AJ38" s="627"/>
      <c r="AK38" s="627"/>
      <c r="AL38" s="627"/>
      <c r="AM38" s="627"/>
      <c r="AN38" s="627"/>
      <c r="AO38" s="627"/>
      <c r="AP38" s="627"/>
      <c r="AQ38" s="627"/>
      <c r="AR38" s="627"/>
      <c r="AS38" s="627"/>
      <c r="AT38" s="627"/>
      <c r="AU38" s="627"/>
      <c r="AV38" s="627"/>
      <c r="AW38" s="627"/>
      <c r="AX38" s="627"/>
      <c r="AY38" s="627"/>
      <c r="AZ38" s="627"/>
      <c r="BA38" s="627"/>
      <c r="BB38" s="627"/>
      <c r="BC38" s="627"/>
      <c r="BD38" s="627"/>
      <c r="BE38" s="627"/>
      <c r="BF38" s="627"/>
      <c r="BG38" s="627"/>
      <c r="BH38" s="627"/>
      <c r="BI38" s="627"/>
      <c r="BJ38" s="627"/>
    </row>
    <row r="39" spans="1:62" x14ac:dyDescent="0.35">
      <c r="A39" s="988"/>
      <c r="B39" s="988"/>
      <c r="C39" s="627"/>
      <c r="D39" s="627"/>
      <c r="E39" s="241" t="str">
        <f>IF(E15=0,0,IF(O42=10,"esta não",IF(N37=0,"esta não",IF(M38=0,0,"marque 'X' somente na opção 1 e veja quanto -------"))))</f>
        <v>marque 'X' somente na opção 1 e veja quanto -------</v>
      </c>
      <c r="F39" s="241"/>
      <c r="G39" s="243"/>
      <c r="H39" s="241"/>
      <c r="I39" s="241" t="str">
        <f>IF(O42=10,0,IF(N37=0,0,"--------------- O VOLUME DIMINUI ="))</f>
        <v>--------------- O VOLUME DIMINUI =</v>
      </c>
      <c r="J39" s="241"/>
      <c r="K39" s="241"/>
      <c r="L39" s="241"/>
      <c r="M39" s="241">
        <f>IF(D37="x",IF(O42=10,0,IF(N37=0,0,G28-F131)),0)</f>
        <v>0</v>
      </c>
      <c r="N39" s="244" t="str">
        <f>IF(O42=10,0,IF(N37=0,0,"m³"))</f>
        <v>m³</v>
      </c>
      <c r="O39" s="998"/>
      <c r="P39" s="719"/>
      <c r="Q39" s="185"/>
      <c r="R39" s="627"/>
      <c r="S39" s="627"/>
      <c r="T39" s="627"/>
      <c r="U39" s="627"/>
      <c r="V39" s="627"/>
      <c r="W39" s="688"/>
      <c r="X39" s="688"/>
      <c r="Y39" s="627"/>
      <c r="Z39" s="627"/>
      <c r="AA39" s="627"/>
      <c r="AB39" s="627"/>
      <c r="AC39" s="627"/>
      <c r="AD39" s="627"/>
      <c r="AE39" s="627"/>
      <c r="AF39" s="627"/>
      <c r="AG39" s="627"/>
      <c r="AH39" s="627"/>
      <c r="AI39" s="627"/>
      <c r="AJ39" s="627"/>
      <c r="AK39" s="627"/>
      <c r="AL39" s="627"/>
      <c r="AM39" s="627"/>
      <c r="AN39" s="627"/>
      <c r="AO39" s="627"/>
      <c r="AP39" s="627"/>
      <c r="AQ39" s="627"/>
      <c r="AR39" s="627"/>
      <c r="AS39" s="627"/>
      <c r="AT39" s="627"/>
      <c r="AU39" s="627"/>
      <c r="AV39" s="627"/>
      <c r="AW39" s="627"/>
      <c r="AX39" s="627"/>
      <c r="AY39" s="627"/>
      <c r="AZ39" s="627"/>
      <c r="BA39" s="627"/>
      <c r="BB39" s="627"/>
      <c r="BC39" s="627"/>
      <c r="BD39" s="627"/>
      <c r="BE39" s="627"/>
      <c r="BF39" s="627"/>
      <c r="BG39" s="627"/>
      <c r="BH39" s="627"/>
      <c r="BI39" s="627"/>
      <c r="BJ39" s="627"/>
    </row>
    <row r="40" spans="1:62" x14ac:dyDescent="0.35">
      <c r="A40" s="988"/>
      <c r="B40" s="988"/>
      <c r="C40" s="627"/>
      <c r="D40" s="627"/>
      <c r="E40" s="998"/>
      <c r="F40" s="998"/>
      <c r="G40" s="999"/>
      <c r="H40" s="998"/>
      <c r="I40" s="188"/>
      <c r="J40" s="998"/>
      <c r="K40" s="998"/>
      <c r="L40" s="998"/>
      <c r="M40" s="188"/>
      <c r="N40" s="190"/>
      <c r="O40" s="998"/>
      <c r="P40" s="719"/>
      <c r="Q40" s="185"/>
      <c r="R40" s="627"/>
      <c r="S40" s="627"/>
      <c r="T40" s="627"/>
      <c r="U40" s="627"/>
      <c r="V40" s="627"/>
      <c r="W40" s="688"/>
      <c r="X40" s="688"/>
      <c r="Y40" s="627"/>
      <c r="Z40" s="627"/>
      <c r="AA40" s="627"/>
      <c r="AB40" s="627"/>
      <c r="AC40" s="627"/>
      <c r="AD40" s="627"/>
      <c r="AE40" s="627"/>
      <c r="AF40" s="627"/>
      <c r="AG40" s="627"/>
      <c r="AH40" s="627"/>
      <c r="AI40" s="627"/>
      <c r="AJ40" s="627"/>
      <c r="AK40" s="627"/>
      <c r="AL40" s="627"/>
      <c r="AM40" s="627"/>
      <c r="AN40" s="627"/>
      <c r="AO40" s="627"/>
      <c r="AP40" s="627"/>
      <c r="AQ40" s="627"/>
      <c r="AR40" s="627"/>
      <c r="AS40" s="627"/>
      <c r="AT40" s="627"/>
      <c r="AU40" s="627"/>
      <c r="AV40" s="627"/>
      <c r="AW40" s="627"/>
      <c r="AX40" s="627"/>
      <c r="AY40" s="627"/>
      <c r="AZ40" s="627"/>
      <c r="BA40" s="627"/>
      <c r="BB40" s="627"/>
      <c r="BC40" s="627"/>
      <c r="BD40" s="627"/>
      <c r="BE40" s="627"/>
      <c r="BF40" s="627"/>
      <c r="BG40" s="627"/>
      <c r="BH40" s="627"/>
      <c r="BI40" s="627"/>
      <c r="BJ40" s="627"/>
    </row>
    <row r="41" spans="1:62" x14ac:dyDescent="0.35">
      <c r="A41" s="988"/>
      <c r="B41" s="988"/>
      <c r="C41" s="195">
        <f>IF(D41="X",1,0)</f>
        <v>1</v>
      </c>
      <c r="D41" s="626" t="s">
        <v>35</v>
      </c>
      <c r="E41" s="998" t="str">
        <f>IF(E15=0,0,IF(O42=10," MARCAR ESTA OPÇÃO ---------------",IF(G25=0,0,IF(N45=0,"  OPÇÃO 2  - - -  PARA MAIS - - - - - -","  OPÇÃO 1  - - -  PARA MENOS - - - - - -"))))</f>
        <v xml:space="preserve">  OPÇÃO 2  - - -  PARA MAIS - - - - - -</v>
      </c>
      <c r="F41" s="998"/>
      <c r="G41" s="998"/>
      <c r="H41" s="1000">
        <f>IF(G25=0,0,'TABELA SC-10 e 14'!I2)</f>
        <v>62</v>
      </c>
      <c r="I41" s="1001" t="str">
        <f>IF(G25=0,0,"PAINÉIS E DIÂMETRO PASSA PARA =")</f>
        <v>PAINÉIS E DIÂMETRO PASSA PARA =</v>
      </c>
      <c r="J41" s="1001"/>
      <c r="K41" s="1001"/>
      <c r="L41" s="1001"/>
      <c r="M41" s="1001"/>
      <c r="N41" s="732">
        <f>IF(G25=0,0,'TABELA SC-10 e 14'!L2)</f>
        <v>47.041150642112115</v>
      </c>
      <c r="O41" s="1004" t="str">
        <f>IF(G25=0,0,"m")</f>
        <v>m</v>
      </c>
      <c r="P41" s="719"/>
      <c r="Q41" s="185"/>
      <c r="R41" s="627"/>
      <c r="S41" s="627"/>
      <c r="T41" s="627"/>
      <c r="U41" s="627"/>
      <c r="V41" s="627"/>
      <c r="W41" s="688"/>
      <c r="X41" s="688"/>
      <c r="Y41" s="627"/>
      <c r="Z41" s="627"/>
      <c r="AA41" s="627"/>
      <c r="AB41" s="627"/>
      <c r="AC41" s="627"/>
      <c r="AD41" s="627"/>
      <c r="AE41" s="627"/>
      <c r="AF41" s="627"/>
      <c r="AG41" s="627"/>
      <c r="AH41" s="627"/>
      <c r="AI41" s="627"/>
      <c r="AJ41" s="627"/>
      <c r="AK41" s="627"/>
      <c r="AL41" s="627"/>
      <c r="AM41" s="627"/>
      <c r="AN41" s="627"/>
      <c r="AO41" s="627"/>
      <c r="AP41" s="627"/>
      <c r="AQ41" s="627"/>
      <c r="AR41" s="627"/>
      <c r="AS41" s="627"/>
      <c r="AT41" s="627"/>
      <c r="AU41" s="627"/>
      <c r="AV41" s="627"/>
      <c r="AW41" s="627"/>
      <c r="AX41" s="627"/>
      <c r="AY41" s="627"/>
      <c r="AZ41" s="627"/>
      <c r="BA41" s="627"/>
      <c r="BB41" s="627"/>
      <c r="BC41" s="627"/>
      <c r="BD41" s="627"/>
      <c r="BE41" s="627"/>
      <c r="BF41" s="627"/>
      <c r="BG41" s="627"/>
      <c r="BH41" s="627"/>
      <c r="BI41" s="627"/>
      <c r="BJ41" s="627"/>
    </row>
    <row r="42" spans="1:62" x14ac:dyDescent="0.35">
      <c r="A42" s="988"/>
      <c r="B42" s="988"/>
      <c r="C42" s="627"/>
      <c r="D42" s="634"/>
      <c r="E42" s="998"/>
      <c r="F42" s="998"/>
      <c r="G42" s="998"/>
      <c r="H42" s="998"/>
      <c r="I42" s="191" t="str">
        <f>IF(G25=0,0,IF(N41=G25,"O DIÂMETRO ZEROU",IF(N41=0,0,IF(G25&gt;N41,"            O DIÂMETRO DIMINUI =","        O DIÂMETRO AUMENTA ="))))</f>
        <v xml:space="preserve">        O DIÂMETRO AUMENTA =</v>
      </c>
      <c r="J42" s="188"/>
      <c r="K42" s="188"/>
      <c r="L42" s="998"/>
      <c r="M42" s="189">
        <f>IF(N41=0,0,IF(G25-N41&lt;0,(G25-N41)*-1,G25-N41))</f>
        <v>4.115064211211461E-2</v>
      </c>
      <c r="N42" s="189" t="str">
        <f>IF(N41=0,0,"m")</f>
        <v>m</v>
      </c>
      <c r="O42" s="192">
        <f>IF(M42&lt;0.01,10,0)</f>
        <v>0</v>
      </c>
      <c r="P42" s="719"/>
      <c r="Q42" s="185"/>
      <c r="R42" s="627"/>
      <c r="S42" s="627"/>
      <c r="T42" s="627"/>
      <c r="U42" s="627"/>
      <c r="V42" s="627"/>
      <c r="W42" s="688"/>
      <c r="X42" s="688"/>
      <c r="Y42" s="627"/>
      <c r="Z42" s="627"/>
      <c r="AA42" s="627"/>
      <c r="AB42" s="627"/>
      <c r="AC42" s="627"/>
      <c r="AD42" s="627"/>
      <c r="AE42" s="627"/>
      <c r="AF42" s="627"/>
      <c r="AG42" s="627"/>
      <c r="AH42" s="627"/>
      <c r="AI42" s="627"/>
      <c r="AJ42" s="627"/>
      <c r="AK42" s="627"/>
      <c r="AL42" s="627"/>
      <c r="AM42" s="627"/>
      <c r="AN42" s="627"/>
      <c r="AO42" s="627"/>
      <c r="AP42" s="627"/>
      <c r="AQ42" s="627"/>
      <c r="AR42" s="627"/>
      <c r="AS42" s="627"/>
      <c r="AT42" s="627"/>
      <c r="AU42" s="627"/>
      <c r="AV42" s="627"/>
      <c r="AW42" s="627"/>
      <c r="AX42" s="627"/>
      <c r="AY42" s="627"/>
      <c r="AZ42" s="627"/>
      <c r="BA42" s="627"/>
      <c r="BB42" s="627"/>
      <c r="BC42" s="627"/>
      <c r="BD42" s="627"/>
      <c r="BE42" s="627"/>
      <c r="BF42" s="627"/>
      <c r="BG42" s="627"/>
      <c r="BH42" s="627"/>
      <c r="BI42" s="627"/>
      <c r="BJ42" s="627"/>
    </row>
    <row r="43" spans="1:62" x14ac:dyDescent="0.35">
      <c r="A43" s="988"/>
      <c r="B43" s="988"/>
      <c r="C43" s="627"/>
      <c r="D43" s="627"/>
      <c r="E43" s="241" t="str">
        <f>IF(E15=0,0,IF(N45=0,"marque 'X' somente na opção 2 e veja quanto","marque 'X' somente na opção 1 e veja quanto --------"))</f>
        <v>marque 'X' somente na opção 2 e veja quanto</v>
      </c>
      <c r="F43" s="241"/>
      <c r="G43" s="241"/>
      <c r="H43" s="241"/>
      <c r="I43" s="242" t="str">
        <f>IF(G25=0,0,IF(N41=G25,"O VOLUME ZEROU",IF(N41=0,0,IF(G25&gt;N41,"--------------- O VOLUME DIMINUI =","--------------- O VOLUME AUMENTA ="))))</f>
        <v>--------------- O VOLUME AUMENTA =</v>
      </c>
      <c r="J43" s="241"/>
      <c r="K43" s="241"/>
      <c r="L43" s="241"/>
      <c r="M43" s="240">
        <f ca="1">IF(D41="x",IF(N41=0,0,IF(G25-N41&lt;0,(G28-F131)*-1,G25-N41)),0)</f>
        <v>29.273040169700835</v>
      </c>
      <c r="N43" s="241" t="str">
        <f>IF(N41=0,0,"m³")</f>
        <v>m³</v>
      </c>
      <c r="O43" s="998"/>
      <c r="P43" s="719"/>
      <c r="Q43" s="185"/>
      <c r="R43" s="627"/>
      <c r="S43" s="627"/>
      <c r="T43" s="627"/>
      <c r="U43" s="627"/>
      <c r="V43" s="627"/>
      <c r="W43" s="688"/>
      <c r="X43" s="688"/>
      <c r="Y43" s="627"/>
      <c r="Z43" s="627"/>
      <c r="AA43" s="627"/>
      <c r="AB43" s="627"/>
      <c r="AC43" s="627"/>
      <c r="AD43" s="627"/>
      <c r="AE43" s="627"/>
      <c r="AF43" s="627"/>
      <c r="AG43" s="627"/>
      <c r="AH43" s="627"/>
      <c r="AI43" s="627"/>
      <c r="AJ43" s="627"/>
      <c r="AK43" s="627"/>
      <c r="AL43" s="627"/>
      <c r="AM43" s="627"/>
      <c r="AN43" s="627"/>
      <c r="AO43" s="627"/>
      <c r="AP43" s="627"/>
      <c r="AQ43" s="627"/>
      <c r="AR43" s="627"/>
      <c r="AS43" s="627"/>
      <c r="AT43" s="627"/>
      <c r="AU43" s="627"/>
      <c r="AV43" s="627"/>
      <c r="AW43" s="627"/>
      <c r="AX43" s="627"/>
      <c r="AY43" s="627"/>
      <c r="AZ43" s="627"/>
      <c r="BA43" s="627"/>
      <c r="BB43" s="627"/>
      <c r="BC43" s="627"/>
      <c r="BD43" s="627"/>
      <c r="BE43" s="627"/>
      <c r="BF43" s="627"/>
      <c r="BG43" s="627"/>
      <c r="BH43" s="627"/>
      <c r="BI43" s="627"/>
      <c r="BJ43" s="627"/>
    </row>
    <row r="44" spans="1:62" x14ac:dyDescent="0.35">
      <c r="A44" s="988"/>
      <c r="B44" s="988"/>
      <c r="C44" s="627"/>
      <c r="D44" s="627"/>
      <c r="E44" s="998"/>
      <c r="F44" s="998"/>
      <c r="G44" s="998"/>
      <c r="H44" s="998"/>
      <c r="I44" s="191"/>
      <c r="J44" s="998"/>
      <c r="K44" s="998"/>
      <c r="L44" s="998"/>
      <c r="M44" s="193"/>
      <c r="N44" s="188"/>
      <c r="O44" s="998"/>
      <c r="P44" s="719"/>
      <c r="Q44" s="185"/>
      <c r="R44" s="627"/>
      <c r="S44" s="627"/>
      <c r="T44" s="627"/>
      <c r="U44" s="627"/>
      <c r="V44" s="627"/>
      <c r="W44" s="688"/>
      <c r="X44" s="688"/>
      <c r="Y44" s="627"/>
      <c r="Z44" s="627"/>
      <c r="AA44" s="627"/>
      <c r="AB44" s="627"/>
      <c r="AC44" s="627"/>
      <c r="AD44" s="627"/>
      <c r="AE44" s="627"/>
      <c r="AF44" s="627"/>
      <c r="AG44" s="627"/>
      <c r="AH44" s="627"/>
      <c r="AI44" s="627"/>
      <c r="AJ44" s="627"/>
      <c r="AK44" s="627"/>
      <c r="AL44" s="627"/>
      <c r="AM44" s="627"/>
      <c r="AN44" s="627"/>
      <c r="AO44" s="627"/>
      <c r="AP44" s="627"/>
      <c r="AQ44" s="627"/>
      <c r="AR44" s="627"/>
      <c r="AS44" s="627"/>
      <c r="AT44" s="627"/>
      <c r="AU44" s="627"/>
      <c r="AV44" s="627"/>
      <c r="AW44" s="627"/>
      <c r="AX44" s="627"/>
      <c r="AY44" s="627"/>
      <c r="AZ44" s="627"/>
      <c r="BA44" s="627"/>
      <c r="BB44" s="627"/>
      <c r="BC44" s="627"/>
      <c r="BD44" s="627"/>
      <c r="BE44" s="627"/>
      <c r="BF44" s="627"/>
      <c r="BG44" s="627"/>
      <c r="BH44" s="627"/>
      <c r="BI44" s="627"/>
      <c r="BJ44" s="627"/>
    </row>
    <row r="45" spans="1:62" x14ac:dyDescent="0.35">
      <c r="A45" s="988"/>
      <c r="B45" s="988"/>
      <c r="C45" s="195">
        <f>IF(D45="X",1,0)</f>
        <v>0</v>
      </c>
      <c r="D45" s="626"/>
      <c r="E45" s="998">
        <f>IF(N45=0,0,"  OPÇÃO 2  - - -  PARA MAIS - - - - - -")</f>
        <v>0</v>
      </c>
      <c r="F45" s="998"/>
      <c r="G45" s="998"/>
      <c r="H45" s="1000">
        <f>IF(O42=10,0,IF(G25=0,0,'TABELA SC-10 e 14'!J2))</f>
        <v>0</v>
      </c>
      <c r="I45" s="1001">
        <f>IF(O42=10,0,IF(N45=0,0,"PAINÉIS E DIÂMETRO PASSA PARA ="))</f>
        <v>0</v>
      </c>
      <c r="J45" s="1001"/>
      <c r="K45" s="1001"/>
      <c r="L45" s="1001"/>
      <c r="M45" s="1001"/>
      <c r="N45" s="732">
        <f>IF(O42=10,0,IF(G25=0,0,'TABELA SC-10 e 14'!M2))</f>
        <v>0</v>
      </c>
      <c r="O45" s="1004">
        <f>IF(O42=10,0,IF(H45=0,0,"m"))</f>
        <v>0</v>
      </c>
      <c r="P45" s="719"/>
      <c r="Q45" s="719"/>
      <c r="R45" s="627"/>
      <c r="S45" s="627"/>
      <c r="T45" s="627"/>
      <c r="U45" s="627"/>
      <c r="V45" s="627"/>
      <c r="W45" s="688"/>
      <c r="X45" s="688"/>
      <c r="Y45" s="627"/>
      <c r="Z45" s="627"/>
      <c r="AA45" s="627"/>
      <c r="AB45" s="627"/>
      <c r="AC45" s="627"/>
      <c r="AD45" s="627"/>
      <c r="AE45" s="627"/>
      <c r="AF45" s="627"/>
      <c r="AG45" s="627"/>
      <c r="AH45" s="627"/>
      <c r="AI45" s="627"/>
      <c r="AJ45" s="627"/>
      <c r="AK45" s="627"/>
      <c r="AL45" s="627"/>
      <c r="AM45" s="627"/>
      <c r="AN45" s="627"/>
      <c r="AO45" s="627"/>
      <c r="AP45" s="627"/>
      <c r="AQ45" s="627"/>
      <c r="AR45" s="627"/>
      <c r="AS45" s="627"/>
      <c r="AT45" s="627"/>
      <c r="AU45" s="627"/>
      <c r="AV45" s="627"/>
      <c r="AW45" s="627"/>
      <c r="AX45" s="627"/>
      <c r="AY45" s="627"/>
      <c r="AZ45" s="627"/>
      <c r="BA45" s="627"/>
      <c r="BB45" s="627"/>
      <c r="BC45" s="627"/>
      <c r="BD45" s="627"/>
      <c r="BE45" s="627"/>
      <c r="BF45" s="627"/>
      <c r="BG45" s="627"/>
      <c r="BH45" s="627"/>
      <c r="BI45" s="627"/>
      <c r="BJ45" s="627"/>
    </row>
    <row r="46" spans="1:62" x14ac:dyDescent="0.35">
      <c r="A46" s="988"/>
      <c r="B46" s="988"/>
      <c r="C46" s="627"/>
      <c r="D46" s="634"/>
      <c r="E46" s="627"/>
      <c r="F46" s="627"/>
      <c r="G46" s="627"/>
      <c r="H46" s="627"/>
      <c r="I46" s="183">
        <f>IF(O42=10,0,IF(N45=0,0,"        O DIÂMETRO AUMENTA ="))</f>
        <v>0</v>
      </c>
      <c r="J46" s="183"/>
      <c r="K46" s="183"/>
      <c r="L46" s="183"/>
      <c r="M46" s="194">
        <f>IF(O42=10,0,IF(N45=0,0,N45-G25))</f>
        <v>0</v>
      </c>
      <c r="N46" s="194">
        <f>IF(O42=10,0,IF(N45=0,0,"m"))</f>
        <v>0</v>
      </c>
      <c r="O46" s="627"/>
      <c r="P46" s="719"/>
      <c r="Q46" s="719"/>
      <c r="R46" s="627"/>
      <c r="S46" s="627"/>
      <c r="T46" s="627"/>
      <c r="U46" s="627"/>
      <c r="V46" s="627"/>
      <c r="W46" s="688"/>
      <c r="X46" s="688"/>
      <c r="Y46" s="627"/>
      <c r="Z46" s="627"/>
      <c r="AA46" s="627"/>
      <c r="AB46" s="627"/>
      <c r="AC46" s="627"/>
      <c r="AD46" s="627"/>
      <c r="AE46" s="627"/>
      <c r="AF46" s="627"/>
      <c r="AG46" s="627"/>
      <c r="AH46" s="627"/>
      <c r="AI46" s="627"/>
      <c r="AJ46" s="627"/>
      <c r="AK46" s="627"/>
      <c r="AL46" s="627"/>
      <c r="AM46" s="627"/>
      <c r="AN46" s="627"/>
      <c r="AO46" s="627"/>
      <c r="AP46" s="627"/>
      <c r="AQ46" s="627"/>
      <c r="AR46" s="627"/>
      <c r="AS46" s="627"/>
      <c r="AT46" s="627"/>
      <c r="AU46" s="627"/>
      <c r="AV46" s="627"/>
      <c r="AW46" s="627"/>
      <c r="AX46" s="627"/>
      <c r="AY46" s="627"/>
      <c r="AZ46" s="627"/>
      <c r="BA46" s="627"/>
      <c r="BB46" s="627"/>
      <c r="BC46" s="627"/>
      <c r="BD46" s="627"/>
      <c r="BE46" s="627"/>
      <c r="BF46" s="627"/>
      <c r="BG46" s="627"/>
      <c r="BH46" s="627"/>
      <c r="BI46" s="627"/>
      <c r="BJ46" s="627"/>
    </row>
    <row r="47" spans="1:62" x14ac:dyDescent="0.35">
      <c r="A47" s="988"/>
      <c r="B47" s="637"/>
      <c r="C47" s="749"/>
      <c r="D47" s="983"/>
      <c r="E47" s="245" t="str">
        <f>IF(E15=0,0,IF(M46=0,"esta não","marque 'X' somente na opção 2 e veja quanto"))</f>
        <v>esta não</v>
      </c>
      <c r="F47" s="245"/>
      <c r="G47" s="245"/>
      <c r="H47" s="245"/>
      <c r="I47" s="245">
        <f>IF(O42=10,0,IF(N45=0,0,"        O VOLUME AUMENTA ="))</f>
        <v>0</v>
      </c>
      <c r="J47" s="245"/>
      <c r="K47" s="245"/>
      <c r="L47" s="245"/>
      <c r="M47" s="246">
        <f>IF(D45="x",IF(O42=10,0,IF(N45=0,0,(G28-F131)*-1)),0)</f>
        <v>0</v>
      </c>
      <c r="N47" s="247">
        <f>IF(O42=10,0,IF(N45=0,0,"m³"))</f>
        <v>0</v>
      </c>
      <c r="O47" s="749"/>
      <c r="P47" s="748"/>
      <c r="Q47" s="719"/>
      <c r="R47" s="627"/>
      <c r="S47" s="627"/>
      <c r="T47" s="627"/>
      <c r="U47" s="627"/>
      <c r="V47" s="627"/>
      <c r="W47" s="688"/>
      <c r="X47" s="688"/>
      <c r="Y47" s="627"/>
      <c r="Z47" s="627"/>
      <c r="AA47" s="627"/>
      <c r="AB47" s="627"/>
      <c r="AC47" s="627"/>
      <c r="AD47" s="627"/>
      <c r="AE47" s="627"/>
      <c r="AF47" s="627"/>
      <c r="AG47" s="627"/>
      <c r="AH47" s="627"/>
      <c r="AI47" s="627"/>
      <c r="AJ47" s="627"/>
      <c r="AK47" s="627"/>
      <c r="AL47" s="627"/>
      <c r="AM47" s="627"/>
      <c r="AN47" s="627"/>
      <c r="AO47" s="627"/>
      <c r="AP47" s="627"/>
      <c r="AQ47" s="627"/>
      <c r="AR47" s="627"/>
      <c r="AS47" s="627"/>
      <c r="AT47" s="627"/>
      <c r="AU47" s="627"/>
      <c r="AV47" s="627"/>
      <c r="AW47" s="627"/>
      <c r="AX47" s="627"/>
      <c r="AY47" s="627"/>
      <c r="AZ47" s="627"/>
      <c r="BA47" s="627"/>
      <c r="BB47" s="627"/>
      <c r="BC47" s="627"/>
      <c r="BD47" s="627"/>
      <c r="BE47" s="627"/>
      <c r="BF47" s="627"/>
      <c r="BG47" s="627"/>
      <c r="BH47" s="627"/>
      <c r="BI47" s="627"/>
      <c r="BJ47" s="627"/>
    </row>
    <row r="48" spans="1:62" ht="5.25" customHeight="1" thickBot="1" x14ac:dyDescent="0.4">
      <c r="A48" s="988"/>
      <c r="B48" s="627"/>
      <c r="C48" s="627"/>
      <c r="D48" s="627"/>
      <c r="E48" s="627"/>
      <c r="F48" s="627"/>
      <c r="G48" s="627"/>
      <c r="H48" s="627"/>
      <c r="I48" s="627"/>
      <c r="J48" s="627"/>
      <c r="K48" s="627"/>
      <c r="L48" s="627"/>
      <c r="M48" s="627"/>
      <c r="N48" s="627"/>
      <c r="O48" s="627"/>
      <c r="P48" s="627"/>
      <c r="Q48" s="719"/>
      <c r="R48" s="627"/>
      <c r="S48" s="627"/>
      <c r="T48" s="627"/>
      <c r="U48" s="627"/>
      <c r="V48" s="627"/>
      <c r="W48" s="688"/>
      <c r="X48" s="688"/>
      <c r="Y48" s="627"/>
      <c r="Z48" s="627"/>
      <c r="AA48" s="627"/>
      <c r="AB48" s="627"/>
      <c r="AC48" s="627"/>
      <c r="AD48" s="627"/>
      <c r="AE48" s="627"/>
      <c r="AF48" s="627"/>
      <c r="AG48" s="627"/>
      <c r="AH48" s="627"/>
      <c r="AI48" s="627"/>
      <c r="AJ48" s="627"/>
      <c r="AK48" s="627"/>
      <c r="AL48" s="627"/>
      <c r="AM48" s="627"/>
      <c r="AN48" s="627"/>
      <c r="AO48" s="627"/>
      <c r="AP48" s="627"/>
      <c r="AQ48" s="627"/>
      <c r="AR48" s="627"/>
      <c r="AS48" s="627"/>
      <c r="AT48" s="627"/>
      <c r="AU48" s="627"/>
      <c r="AV48" s="627"/>
      <c r="AW48" s="627"/>
      <c r="AX48" s="627"/>
      <c r="AY48" s="627"/>
      <c r="AZ48" s="627"/>
      <c r="BA48" s="627"/>
      <c r="BB48" s="627"/>
      <c r="BC48" s="627"/>
      <c r="BD48" s="627"/>
      <c r="BE48" s="627"/>
      <c r="BF48" s="627"/>
      <c r="BG48" s="627"/>
      <c r="BH48" s="627"/>
      <c r="BI48" s="627"/>
      <c r="BJ48" s="627"/>
    </row>
    <row r="49" spans="1:62" ht="5.25" hidden="1" customHeight="1" x14ac:dyDescent="0.35">
      <c r="A49" s="988"/>
      <c r="B49" s="627"/>
      <c r="C49" s="627"/>
      <c r="D49" s="627"/>
      <c r="E49" s="627"/>
      <c r="F49" s="627"/>
      <c r="G49" s="627"/>
      <c r="H49" s="627"/>
      <c r="I49" s="627"/>
      <c r="J49" s="627"/>
      <c r="K49" s="627"/>
      <c r="L49" s="627"/>
      <c r="M49" s="627"/>
      <c r="N49" s="627"/>
      <c r="O49" s="627"/>
      <c r="P49" s="627"/>
      <c r="Q49" s="719"/>
      <c r="R49" s="627"/>
      <c r="S49" s="627"/>
      <c r="T49" s="627"/>
      <c r="U49" s="627"/>
      <c r="V49" s="627"/>
      <c r="W49" s="688"/>
      <c r="X49" s="688"/>
      <c r="Y49" s="627"/>
      <c r="Z49" s="627"/>
      <c r="AA49" s="627"/>
      <c r="AB49" s="627"/>
      <c r="AC49" s="627"/>
      <c r="AD49" s="627"/>
      <c r="AE49" s="627"/>
      <c r="AF49" s="627"/>
      <c r="AG49" s="627"/>
      <c r="AH49" s="627"/>
      <c r="AI49" s="627"/>
      <c r="AJ49" s="627"/>
      <c r="AK49" s="627"/>
      <c r="AL49" s="627"/>
      <c r="AM49" s="627"/>
      <c r="AN49" s="627"/>
      <c r="AO49" s="627"/>
      <c r="AP49" s="627"/>
      <c r="AQ49" s="627"/>
      <c r="AR49" s="627"/>
      <c r="AS49" s="627"/>
      <c r="AT49" s="627"/>
      <c r="AU49" s="627"/>
      <c r="AV49" s="627"/>
      <c r="AW49" s="627"/>
      <c r="AX49" s="627"/>
      <c r="AY49" s="627"/>
      <c r="AZ49" s="627"/>
      <c r="BA49" s="627"/>
      <c r="BB49" s="627"/>
      <c r="BC49" s="627"/>
      <c r="BD49" s="627"/>
      <c r="BE49" s="627"/>
      <c r="BF49" s="627"/>
      <c r="BG49" s="627"/>
      <c r="BH49" s="627"/>
      <c r="BI49" s="627"/>
      <c r="BJ49" s="627"/>
    </row>
    <row r="50" spans="1:62" ht="21.75" customHeight="1" thickTop="1" thickBot="1" x14ac:dyDescent="0.4">
      <c r="A50" s="988"/>
      <c r="B50" s="989"/>
      <c r="C50" s="1382" t="str">
        <f>IF(F21&lt;&gt;4,"PAREDES DO TANQUE --------- AS QUANTIDADES NA PLANILHA INSUMOS SÃO PARA 4 TANQUES","PAREDES DO TANQUE")</f>
        <v>PAREDES DO TANQUE --------- AS QUANTIDADES NA PLANILHA INSUMOS SÃO PARA 4 TANQUES</v>
      </c>
      <c r="D50" s="1382"/>
      <c r="E50" s="1382"/>
      <c r="F50" s="1382"/>
      <c r="G50" s="1382"/>
      <c r="H50" s="1382"/>
      <c r="I50" s="1382"/>
      <c r="J50" s="1382"/>
      <c r="K50" s="1382"/>
      <c r="L50" s="1382"/>
      <c r="M50" s="1382"/>
      <c r="N50" s="1382"/>
      <c r="O50" s="1382"/>
      <c r="P50" s="990"/>
      <c r="Q50" s="719"/>
      <c r="R50" s="627"/>
      <c r="S50" s="627"/>
      <c r="T50" s="627"/>
      <c r="U50" s="627"/>
      <c r="V50" s="627"/>
      <c r="W50" s="688"/>
      <c r="X50" s="688"/>
      <c r="Y50" s="627"/>
      <c r="Z50" s="627"/>
      <c r="AA50" s="627"/>
      <c r="AB50" s="627"/>
      <c r="AC50" s="627"/>
      <c r="AD50" s="627"/>
      <c r="AE50" s="627"/>
      <c r="AF50" s="627"/>
      <c r="AG50" s="627"/>
      <c r="AH50" s="627"/>
      <c r="AI50" s="627"/>
      <c r="AJ50" s="627"/>
      <c r="AK50" s="627"/>
      <c r="AL50" s="627"/>
      <c r="AM50" s="627"/>
      <c r="AN50" s="627"/>
      <c r="AO50" s="627"/>
      <c r="AP50" s="627"/>
      <c r="AQ50" s="627"/>
      <c r="AR50" s="627"/>
      <c r="AS50" s="627"/>
      <c r="AT50" s="627"/>
      <c r="AU50" s="627"/>
      <c r="AV50" s="627"/>
      <c r="AW50" s="627"/>
      <c r="AX50" s="627"/>
      <c r="AY50" s="627"/>
      <c r="AZ50" s="627"/>
      <c r="BA50" s="627"/>
      <c r="BB50" s="627"/>
      <c r="BC50" s="627"/>
      <c r="BD50" s="627"/>
      <c r="BE50" s="627"/>
      <c r="BF50" s="627"/>
      <c r="BG50" s="627"/>
      <c r="BH50" s="627"/>
      <c r="BI50" s="627"/>
      <c r="BJ50" s="627"/>
    </row>
    <row r="51" spans="1:62" ht="5.25" customHeight="1" thickTop="1" x14ac:dyDescent="0.35">
      <c r="A51" s="988"/>
      <c r="B51" s="627"/>
      <c r="C51" s="627"/>
      <c r="D51" s="627"/>
      <c r="E51" s="627"/>
      <c r="F51" s="627"/>
      <c r="G51" s="627"/>
      <c r="H51" s="627"/>
      <c r="I51" s="627"/>
      <c r="J51" s="627"/>
      <c r="K51" s="627"/>
      <c r="L51" s="627"/>
      <c r="M51" s="627"/>
      <c r="N51" s="627"/>
      <c r="O51" s="627"/>
      <c r="P51" s="627"/>
      <c r="Q51" s="719"/>
      <c r="R51" s="627"/>
      <c r="S51" s="627"/>
      <c r="T51" s="627"/>
      <c r="U51" s="627"/>
      <c r="V51" s="627"/>
      <c r="W51" s="688"/>
      <c r="X51" s="688"/>
      <c r="Y51" s="627"/>
      <c r="Z51" s="627"/>
      <c r="AA51" s="627"/>
      <c r="AB51" s="627"/>
      <c r="AC51" s="627"/>
      <c r="AD51" s="627"/>
      <c r="AE51" s="627"/>
      <c r="AF51" s="627"/>
      <c r="AG51" s="627"/>
      <c r="AH51" s="627"/>
      <c r="AI51" s="627"/>
      <c r="AJ51" s="627"/>
      <c r="AK51" s="627"/>
      <c r="AL51" s="627"/>
      <c r="AM51" s="627"/>
      <c r="AN51" s="627"/>
      <c r="AO51" s="627"/>
      <c r="AP51" s="627"/>
      <c r="AQ51" s="627"/>
      <c r="AR51" s="627"/>
      <c r="AS51" s="627"/>
      <c r="AT51" s="627"/>
      <c r="AU51" s="627"/>
      <c r="AV51" s="627"/>
      <c r="AW51" s="627"/>
      <c r="AX51" s="627"/>
      <c r="AY51" s="627"/>
      <c r="AZ51" s="627"/>
      <c r="BA51" s="627"/>
      <c r="BB51" s="627"/>
      <c r="BC51" s="627"/>
      <c r="BD51" s="627"/>
      <c r="BE51" s="627"/>
      <c r="BF51" s="627"/>
      <c r="BG51" s="627"/>
      <c r="BH51" s="627"/>
      <c r="BI51" s="627"/>
      <c r="BJ51" s="627"/>
    </row>
    <row r="52" spans="1:62" ht="5.25" customHeight="1" x14ac:dyDescent="0.35">
      <c r="A52" s="988"/>
      <c r="B52" s="636"/>
      <c r="C52" s="652"/>
      <c r="D52" s="652"/>
      <c r="E52" s="652"/>
      <c r="F52" s="652"/>
      <c r="G52" s="652"/>
      <c r="H52" s="652"/>
      <c r="I52" s="652"/>
      <c r="J52" s="652"/>
      <c r="K52" s="987"/>
      <c r="L52" s="1318" t="s">
        <v>36</v>
      </c>
      <c r="M52" s="1319"/>
      <c r="N52" s="1319"/>
      <c r="O52" s="1319"/>
      <c r="P52" s="1400"/>
      <c r="Q52" s="719"/>
      <c r="R52" s="627"/>
      <c r="S52" s="627"/>
      <c r="T52" s="627"/>
      <c r="U52" s="627"/>
      <c r="V52" s="627"/>
      <c r="W52" s="688"/>
      <c r="X52" s="688"/>
      <c r="Y52" s="627"/>
      <c r="Z52" s="627"/>
      <c r="AA52" s="627"/>
      <c r="AB52" s="627"/>
      <c r="AC52" s="627"/>
      <c r="AD52" s="627"/>
      <c r="AE52" s="627"/>
      <c r="AF52" s="627"/>
      <c r="AG52" s="627"/>
      <c r="AH52" s="627"/>
      <c r="AI52" s="627"/>
      <c r="AJ52" s="627"/>
      <c r="AK52" s="627"/>
      <c r="AL52" s="627"/>
      <c r="AM52" s="627"/>
      <c r="AN52" s="627"/>
      <c r="AO52" s="627"/>
      <c r="AP52" s="627"/>
      <c r="AQ52" s="627"/>
      <c r="AR52" s="627"/>
      <c r="AS52" s="627"/>
      <c r="AT52" s="627"/>
      <c r="AU52" s="627"/>
      <c r="AV52" s="627"/>
      <c r="AW52" s="627"/>
      <c r="AX52" s="627"/>
      <c r="AY52" s="627"/>
      <c r="AZ52" s="627"/>
      <c r="BA52" s="627"/>
      <c r="BB52" s="627"/>
      <c r="BC52" s="627"/>
      <c r="BD52" s="627"/>
      <c r="BE52" s="627"/>
      <c r="BF52" s="627"/>
      <c r="BG52" s="627"/>
      <c r="BH52" s="627"/>
      <c r="BI52" s="627"/>
      <c r="BJ52" s="627">
        <v>6</v>
      </c>
    </row>
    <row r="53" spans="1:62" ht="19.5" customHeight="1" x14ac:dyDescent="0.35">
      <c r="A53" s="988"/>
      <c r="B53" s="988"/>
      <c r="C53" s="627" t="s">
        <v>37</v>
      </c>
      <c r="D53" s="627"/>
      <c r="E53" s="627"/>
      <c r="F53" s="627"/>
      <c r="G53" s="627"/>
      <c r="H53" s="627"/>
      <c r="I53" s="627"/>
      <c r="J53" s="627"/>
      <c r="K53" s="719"/>
      <c r="L53" s="1418"/>
      <c r="M53" s="1482"/>
      <c r="N53" s="1482"/>
      <c r="O53" s="1482"/>
      <c r="P53" s="1419"/>
      <c r="Q53" s="719"/>
      <c r="R53" s="627"/>
      <c r="S53" s="627"/>
      <c r="T53" s="627"/>
      <c r="U53" s="627"/>
      <c r="V53" s="627"/>
      <c r="W53" s="688"/>
      <c r="X53" s="688"/>
      <c r="Y53" s="627"/>
      <c r="Z53" s="627"/>
      <c r="AA53" s="627"/>
      <c r="AB53" s="627"/>
      <c r="AC53" s="627"/>
      <c r="AD53" s="627"/>
      <c r="AE53" s="627"/>
      <c r="AF53" s="627"/>
      <c r="AG53" s="627"/>
      <c r="AH53" s="627"/>
      <c r="AI53" s="627"/>
      <c r="AJ53" s="627"/>
      <c r="AK53" s="627"/>
      <c r="AL53" s="627"/>
      <c r="AM53" s="627"/>
      <c r="AN53" s="627"/>
      <c r="AO53" s="627"/>
      <c r="AP53" s="627"/>
      <c r="AQ53" s="627"/>
      <c r="AR53" s="627"/>
      <c r="AS53" s="627"/>
      <c r="AT53" s="627"/>
      <c r="AU53" s="627"/>
      <c r="AV53" s="627"/>
      <c r="AW53" s="627"/>
      <c r="AX53" s="627"/>
      <c r="AY53" s="627"/>
      <c r="AZ53" s="627"/>
      <c r="BA53" s="627"/>
      <c r="BB53" s="627"/>
      <c r="BC53" s="627"/>
      <c r="BD53" s="627"/>
      <c r="BE53" s="627"/>
      <c r="BF53" s="627"/>
      <c r="BG53" s="627"/>
      <c r="BH53" s="627"/>
      <c r="BI53" s="627"/>
      <c r="BJ53" s="627"/>
    </row>
    <row r="54" spans="1:62" x14ac:dyDescent="0.35">
      <c r="A54" s="988"/>
      <c r="B54" s="988"/>
      <c r="C54" s="183">
        <f>IF(I15=0,0,IF(AND(E15&lt;=4,G25&gt;'TABELA SC-10 e 14'!B83,G25&lt;='TABELA SC-10 e 14'!B89),0,IF(OR('TABELA SC-10 e 14'!AB12&lt;&gt;0,'TABELA SC-10 e 14'!AB13&lt;&gt;0,'TABELA SC-10 e 14'!AC13&lt;&gt;0),"X",0)))</f>
        <v>0</v>
      </c>
      <c r="D54" s="1408">
        <f>IF(AND(E15&lt;=4,G25&gt;'TABELA SC-10 e 14'!B83,G25&lt;='TABELA SC-10 e 14'!B89),0,IF('TABELA SC-10 e 14'!AB12="SC10","PELA TABELA SOPLACAS ESTE DÂMETRO E ESSA ALTURA NÃO PERMITEM O SC-6 !",IF('TABELA SC-10 e 14'!AB13="SC14","PELA TABELA SOPLACAS ESTE DÂMETRO E ESSA ALTURA NÃO PERMITEM O SC-10 !",IF('TABELA SC-10 e 14'!AC13="SC14","PELA TABELA SOPLACAS ESTE DÂMETRO E ESSA ALTURA NÃO PERMITEM O SC-10 !",0))))</f>
        <v>0</v>
      </c>
      <c r="E54" s="1408"/>
      <c r="F54" s="1408"/>
      <c r="G54" s="1408"/>
      <c r="H54" s="1408"/>
      <c r="I54" s="1408"/>
      <c r="J54" s="1408"/>
      <c r="K54" s="627"/>
      <c r="L54" s="1483"/>
      <c r="M54" s="1484"/>
      <c r="N54" s="1484"/>
      <c r="O54" s="1484"/>
      <c r="P54" s="1485"/>
      <c r="Q54" s="719"/>
      <c r="R54" s="627"/>
      <c r="S54" s="627"/>
      <c r="T54" s="627"/>
      <c r="U54" s="627"/>
      <c r="V54" s="627"/>
      <c r="W54" s="688"/>
      <c r="X54" s="688"/>
      <c r="Y54" s="627"/>
      <c r="Z54" s="627"/>
      <c r="AA54" s="627"/>
      <c r="AB54" s="627"/>
      <c r="AC54" s="627"/>
      <c r="AD54" s="627"/>
      <c r="AE54" s="627"/>
      <c r="AF54" s="627"/>
      <c r="AG54" s="627"/>
      <c r="AH54" s="627"/>
      <c r="AI54" s="627"/>
      <c r="AJ54" s="627"/>
      <c r="AK54" s="627"/>
      <c r="AL54" s="627"/>
      <c r="AM54" s="627"/>
      <c r="AN54" s="627"/>
      <c r="AO54" s="627"/>
      <c r="AP54" s="627"/>
      <c r="AQ54" s="627"/>
      <c r="AR54" s="627"/>
      <c r="AS54" s="627"/>
      <c r="AT54" s="627"/>
      <c r="AU54" s="627"/>
      <c r="AV54" s="627"/>
      <c r="AW54" s="627"/>
      <c r="AX54" s="627"/>
      <c r="AY54" s="627"/>
      <c r="AZ54" s="627"/>
      <c r="BA54" s="627"/>
      <c r="BB54" s="627"/>
      <c r="BC54" s="627"/>
      <c r="BD54" s="627"/>
      <c r="BE54" s="627"/>
      <c r="BF54" s="627"/>
      <c r="BG54" s="627"/>
      <c r="BH54" s="627"/>
      <c r="BI54" s="627"/>
      <c r="BJ54" s="627"/>
    </row>
    <row r="55" spans="1:62" x14ac:dyDescent="0.35">
      <c r="A55" s="988"/>
      <c r="B55" s="988"/>
      <c r="C55" s="627"/>
      <c r="D55" s="1408">
        <f>IF(AND(E15&lt;=4,G25&gt;'TABELA SC-10 e 14'!B83,G25&lt;='TABELA SC-10 e 14'!B89),0,IF('TABELA SC-10 e 14'!AB12="SC10","LOGO, MARQUE 'X' NA CAIXA À DIREITA ( SC-10)",IF('TABELA SC-10 e 14'!AB13="SC14","LOGO, MARQUE 'X' NA CAIXA À DIREITA ( SC-14)",IF('TABELA SC-10 e 14'!AC13="SC14","LOGO, MARQUE 'X' NA CAIXA À DIREITA ( SC-14)",0))))</f>
        <v>0</v>
      </c>
      <c r="E55" s="1408"/>
      <c r="F55" s="1408"/>
      <c r="G55" s="1408"/>
      <c r="H55" s="1408"/>
      <c r="I55" s="1408"/>
      <c r="J55" s="1408"/>
      <c r="K55" s="627"/>
      <c r="L55" s="1483"/>
      <c r="M55" s="1484"/>
      <c r="N55" s="1484"/>
      <c r="O55" s="1484"/>
      <c r="P55" s="1485"/>
      <c r="Q55" s="719"/>
      <c r="R55" s="627"/>
      <c r="S55" s="627"/>
      <c r="T55" s="627"/>
      <c r="U55" s="627"/>
      <c r="V55" s="627"/>
      <c r="W55" s="688"/>
      <c r="X55" s="688"/>
      <c r="Y55" s="627"/>
      <c r="Z55" s="627"/>
      <c r="AA55" s="627"/>
      <c r="AB55" s="627"/>
      <c r="AC55" s="627"/>
      <c r="AD55" s="627"/>
      <c r="AE55" s="627"/>
      <c r="AF55" s="627"/>
      <c r="AG55" s="627"/>
      <c r="AH55" s="627"/>
      <c r="AI55" s="627"/>
      <c r="AJ55" s="627"/>
      <c r="AK55" s="627"/>
      <c r="AL55" s="627"/>
      <c r="AM55" s="627"/>
      <c r="AN55" s="627"/>
      <c r="AO55" s="627"/>
      <c r="AP55" s="627"/>
      <c r="AQ55" s="627"/>
      <c r="AR55" s="627"/>
      <c r="AS55" s="627"/>
      <c r="AT55" s="627"/>
      <c r="AU55" s="627"/>
      <c r="AV55" s="627"/>
      <c r="AW55" s="627"/>
      <c r="AX55" s="627"/>
      <c r="AY55" s="627"/>
      <c r="AZ55" s="627"/>
      <c r="BA55" s="627"/>
      <c r="BB55" s="627"/>
      <c r="BC55" s="627"/>
      <c r="BD55" s="627"/>
      <c r="BE55" s="627"/>
      <c r="BF55" s="627"/>
      <c r="BG55" s="627"/>
      <c r="BH55" s="627"/>
      <c r="BI55" s="627"/>
      <c r="BJ55" s="627"/>
    </row>
    <row r="56" spans="1:62" x14ac:dyDescent="0.35">
      <c r="A56" s="988"/>
      <c r="B56" s="988"/>
      <c r="C56" s="627"/>
      <c r="D56" s="685">
        <f>IF(AND(E15&lt;=4,G25&gt;'TABELA SC-10 e 14'!B83,G25&lt;='TABELA SC-10 e 14'!B89),0,IF('TABELA SC-10 e 14'!AB12="SC10","MAS, SE QUISER CONTINUAR COM O SISTEMA DA REGRA AUTOMÁTICA, ",IF('TABELA SC-10 e 14'!AB13="SC14","MAS, SE QUISER CONTINUAR COM O SISTEMA DA REGRA AUTOMÁTICA, ",IF('TABELA SC-10 e 14'!AC13="SC14","MAS, SE QUISER CONTINUAR COM O SISTEMA DA REGRA AUTOMÁTICA, ",0))))</f>
        <v>0</v>
      </c>
      <c r="E56" s="685"/>
      <c r="F56" s="685"/>
      <c r="G56" s="685"/>
      <c r="H56" s="685"/>
      <c r="I56" s="685"/>
      <c r="J56" s="685"/>
      <c r="K56" s="627"/>
      <c r="L56" s="1483"/>
      <c r="M56" s="1484"/>
      <c r="N56" s="1484"/>
      <c r="O56" s="1484"/>
      <c r="P56" s="1485"/>
      <c r="Q56" s="719"/>
      <c r="R56" s="627"/>
      <c r="S56" s="627"/>
      <c r="T56" s="627"/>
      <c r="U56" s="627"/>
      <c r="V56" s="627"/>
      <c r="W56" s="688"/>
      <c r="X56" s="688"/>
      <c r="Y56" s="627"/>
      <c r="Z56" s="627"/>
      <c r="AA56" s="627"/>
      <c r="AB56" s="627"/>
      <c r="AC56" s="627"/>
      <c r="AD56" s="627"/>
      <c r="AE56" s="627"/>
      <c r="AF56" s="627"/>
      <c r="AG56" s="627"/>
      <c r="AH56" s="627"/>
      <c r="AI56" s="627"/>
      <c r="AJ56" s="627"/>
      <c r="AK56" s="627"/>
      <c r="AL56" s="627"/>
      <c r="AM56" s="627"/>
      <c r="AN56" s="627"/>
      <c r="AO56" s="627"/>
      <c r="AP56" s="627"/>
      <c r="AQ56" s="627"/>
      <c r="AR56" s="627"/>
      <c r="AS56" s="627"/>
      <c r="AT56" s="627"/>
      <c r="AU56" s="627"/>
      <c r="AV56" s="627"/>
      <c r="AW56" s="627"/>
      <c r="AX56" s="627"/>
      <c r="AY56" s="627"/>
      <c r="AZ56" s="627"/>
      <c r="BA56" s="627"/>
      <c r="BB56" s="627"/>
      <c r="BC56" s="627"/>
      <c r="BD56" s="627"/>
      <c r="BE56" s="627"/>
      <c r="BF56" s="627"/>
      <c r="BG56" s="627"/>
      <c r="BH56" s="627"/>
      <c r="BI56" s="627"/>
      <c r="BJ56" s="627"/>
    </row>
    <row r="57" spans="1:62" x14ac:dyDescent="0.35">
      <c r="A57" s="988"/>
      <c r="B57" s="988"/>
      <c r="C57" s="627"/>
      <c r="D57" s="685">
        <f>IF(AND(E15&lt;=4,G25&gt;'TABELA SC-10 e 14'!B83,G25&lt;='TABELA SC-10 e 14'!B89),0,IF('TABELA SC-10 e 14'!AB12="SC10"," ENTÃO MARQUE 'X' NA CAIXA À DIREITA ( SC-10) CONFIRMANDO ESTE SISTEMA",IF('TABELA SC-10 e 14'!AB13="SC14"," ENTÃO MARQUE 'X' NA CAIXA À DIREITA ( SC-10) CONFIRMANDO ESTE SISTEMA",IF('TABELA SC-10 e 14'!AC13="SC14"," ENTÃO MARQUE 'X' NA CAIXA À DIREITA ( SC-10) CONFIRMANDO ESTE SISTEMA",0))))</f>
        <v>0</v>
      </c>
      <c r="E57" s="685"/>
      <c r="F57" s="685"/>
      <c r="G57" s="685"/>
      <c r="H57" s="685"/>
      <c r="I57" s="685"/>
      <c r="J57" s="685"/>
      <c r="K57" s="627"/>
      <c r="L57" s="1483"/>
      <c r="M57" s="1484"/>
      <c r="N57" s="1484"/>
      <c r="O57" s="1484"/>
      <c r="P57" s="1485"/>
      <c r="Q57" s="719"/>
      <c r="R57" s="627"/>
      <c r="S57" s="627"/>
      <c r="T57" s="627"/>
      <c r="U57" s="627"/>
      <c r="V57" s="627"/>
      <c r="W57" s="688"/>
      <c r="X57" s="688"/>
      <c r="Y57" s="627"/>
      <c r="Z57" s="627"/>
      <c r="AA57" s="627"/>
      <c r="AB57" s="627"/>
      <c r="AC57" s="627"/>
      <c r="AD57" s="627"/>
      <c r="AE57" s="627"/>
      <c r="AF57" s="627"/>
      <c r="AG57" s="627"/>
      <c r="AH57" s="627"/>
      <c r="AI57" s="627"/>
      <c r="AJ57" s="627"/>
      <c r="AK57" s="627"/>
      <c r="AL57" s="627"/>
      <c r="AM57" s="627"/>
      <c r="AN57" s="627"/>
      <c r="AO57" s="627"/>
      <c r="AP57" s="627"/>
      <c r="AQ57" s="627"/>
      <c r="AR57" s="627"/>
      <c r="AS57" s="627"/>
      <c r="AT57" s="627"/>
      <c r="AU57" s="627"/>
      <c r="AV57" s="627"/>
      <c r="AW57" s="627"/>
      <c r="AX57" s="627"/>
      <c r="AY57" s="627"/>
      <c r="AZ57" s="627"/>
      <c r="BA57" s="627"/>
      <c r="BB57" s="627"/>
      <c r="BC57" s="627"/>
      <c r="BD57" s="627"/>
      <c r="BE57" s="627"/>
      <c r="BF57" s="627"/>
      <c r="BG57" s="627"/>
      <c r="BH57" s="627"/>
      <c r="BI57" s="627"/>
      <c r="BJ57" s="627"/>
    </row>
    <row r="58" spans="1:62" ht="17.25" x14ac:dyDescent="0.35">
      <c r="A58" s="988"/>
      <c r="B58" s="988"/>
      <c r="C58" s="627"/>
      <c r="D58" s="627"/>
      <c r="E58" s="627"/>
      <c r="F58" s="627"/>
      <c r="G58" s="627" t="s">
        <v>38</v>
      </c>
      <c r="H58" s="627"/>
      <c r="I58" s="627"/>
      <c r="J58" s="627"/>
      <c r="K58" s="627"/>
      <c r="L58" s="1483"/>
      <c r="M58" s="1484"/>
      <c r="N58" s="1484"/>
      <c r="O58" s="1484"/>
      <c r="P58" s="1485"/>
      <c r="Q58" s="719"/>
      <c r="R58" s="627"/>
      <c r="S58" s="627"/>
      <c r="T58" s="627"/>
      <c r="U58" s="627"/>
      <c r="V58" s="627"/>
      <c r="W58" s="627"/>
      <c r="X58" s="627"/>
      <c r="Y58" s="627"/>
      <c r="Z58" s="627"/>
      <c r="AA58" s="627"/>
      <c r="AB58" s="627"/>
      <c r="AC58" s="627"/>
      <c r="AD58" s="627"/>
      <c r="AE58" s="627"/>
      <c r="AF58" s="627"/>
      <c r="AG58" s="627"/>
      <c r="AH58" s="627"/>
      <c r="AI58" s="627"/>
      <c r="AJ58" s="627"/>
      <c r="AK58" s="627"/>
      <c r="AL58" s="627"/>
      <c r="AM58" s="627"/>
      <c r="AN58" s="627"/>
      <c r="AO58" s="627"/>
      <c r="AP58" s="627"/>
      <c r="AQ58" s="627"/>
      <c r="AR58" s="627"/>
      <c r="AS58" s="627"/>
      <c r="AT58" s="627"/>
      <c r="AU58" s="627"/>
      <c r="AV58" s="186"/>
      <c r="AW58" s="627"/>
      <c r="AX58" s="627"/>
      <c r="AY58" s="627"/>
      <c r="AZ58" s="627"/>
      <c r="BA58" s="627"/>
      <c r="BB58" s="627"/>
      <c r="BC58" s="627"/>
      <c r="BD58" s="627"/>
      <c r="BE58" s="627"/>
      <c r="BF58" s="627"/>
      <c r="BG58" s="627"/>
      <c r="BH58" s="627"/>
      <c r="BI58" s="627"/>
      <c r="BJ58" s="627">
        <v>7</v>
      </c>
    </row>
    <row r="59" spans="1:62" x14ac:dyDescent="0.35">
      <c r="A59" s="988"/>
      <c r="B59" s="988"/>
      <c r="C59" s="19" t="s">
        <v>39</v>
      </c>
      <c r="D59" s="627"/>
      <c r="E59" s="627"/>
      <c r="F59" s="627"/>
      <c r="G59" s="19" t="s">
        <v>40</v>
      </c>
      <c r="H59" s="627"/>
      <c r="I59" s="627"/>
      <c r="J59" s="627"/>
      <c r="K59" s="627"/>
      <c r="L59" s="1483"/>
      <c r="M59" s="1484"/>
      <c r="N59" s="1484"/>
      <c r="O59" s="1484"/>
      <c r="P59" s="1485"/>
      <c r="Q59" s="719"/>
      <c r="R59" s="627"/>
      <c r="S59" s="627"/>
      <c r="T59" s="627"/>
      <c r="U59" s="627"/>
      <c r="V59" s="627"/>
      <c r="W59" s="627"/>
      <c r="X59" s="627"/>
      <c r="Y59" s="627"/>
      <c r="Z59" s="627"/>
      <c r="AA59" s="627"/>
      <c r="AB59" s="627"/>
      <c r="AC59" s="627"/>
      <c r="AD59" s="627"/>
      <c r="AE59" s="627"/>
      <c r="AF59" s="627"/>
      <c r="AG59" s="627"/>
      <c r="AH59" s="627"/>
      <c r="AI59" s="627"/>
      <c r="AJ59" s="627"/>
      <c r="AK59" s="627"/>
      <c r="AL59" s="627"/>
      <c r="AM59" s="627"/>
      <c r="AN59" s="627"/>
      <c r="AO59" s="627"/>
      <c r="AP59" s="627"/>
      <c r="AQ59" s="627"/>
      <c r="AR59" s="627"/>
      <c r="AS59" s="627"/>
      <c r="AT59" s="627"/>
      <c r="AU59" s="627"/>
      <c r="AV59" s="187"/>
      <c r="AW59" s="627"/>
      <c r="AX59" s="627"/>
      <c r="AY59" s="627"/>
      <c r="AZ59" s="627"/>
      <c r="BA59" s="627"/>
      <c r="BB59" s="627"/>
      <c r="BC59" s="627"/>
      <c r="BD59" s="627"/>
      <c r="BE59" s="627"/>
      <c r="BF59" s="627"/>
      <c r="BG59" s="627"/>
      <c r="BH59" s="627"/>
      <c r="BI59" s="627"/>
      <c r="BJ59" s="627">
        <v>8</v>
      </c>
    </row>
    <row r="60" spans="1:62" x14ac:dyDescent="0.35">
      <c r="A60" s="988"/>
      <c r="B60" s="988"/>
      <c r="C60" s="1007" t="str">
        <f>IF(I15=0,0,IF(G66="X",0,IF(I60="X",0,IF(G65="X",0,IF(G60="X","X",IF(E15&lt;=10,"X",0))))))</f>
        <v>X</v>
      </c>
      <c r="D60" s="627" t="s">
        <v>41</v>
      </c>
      <c r="E60" s="1007">
        <f>IF(I15=0,0,IF(G60="X",0,IF(G65="X",0,IF(I60="X","X",IF(E15&gt;10,"X",0)))))</f>
        <v>0</v>
      </c>
      <c r="F60" s="627" t="s">
        <v>42</v>
      </c>
      <c r="G60" s="626"/>
      <c r="H60" s="627" t="s">
        <v>41</v>
      </c>
      <c r="I60" s="626"/>
      <c r="J60" s="627" t="s">
        <v>42</v>
      </c>
      <c r="K60" s="627"/>
      <c r="L60" s="1483"/>
      <c r="M60" s="1484"/>
      <c r="N60" s="1484"/>
      <c r="O60" s="1484"/>
      <c r="P60" s="1485"/>
      <c r="Q60" s="719"/>
      <c r="R60" s="627"/>
      <c r="S60" s="627"/>
      <c r="T60" s="627"/>
      <c r="U60" s="627"/>
      <c r="V60" s="627"/>
      <c r="W60" s="627"/>
      <c r="X60" s="627"/>
      <c r="Y60" s="627"/>
      <c r="Z60" s="627"/>
      <c r="AA60" s="627"/>
      <c r="AB60" s="627"/>
      <c r="AC60" s="627"/>
      <c r="AD60" s="627"/>
      <c r="AE60" s="627"/>
      <c r="AF60" s="627"/>
      <c r="AG60" s="627"/>
      <c r="AH60" s="627"/>
      <c r="AI60" s="627"/>
      <c r="AJ60" s="627"/>
      <c r="AK60" s="627"/>
      <c r="AL60" s="627"/>
      <c r="AM60" s="627"/>
      <c r="AN60" s="627"/>
      <c r="AO60" s="627"/>
      <c r="AP60" s="627"/>
      <c r="AQ60" s="627"/>
      <c r="AR60" s="627"/>
      <c r="AS60" s="627"/>
      <c r="AT60" s="627"/>
      <c r="AU60" s="627"/>
      <c r="AV60" s="627"/>
      <c r="AW60" s="627"/>
      <c r="AX60" s="627"/>
      <c r="AY60" s="627"/>
      <c r="AZ60" s="627"/>
      <c r="BA60" s="627"/>
      <c r="BB60" s="627"/>
      <c r="BC60" s="627"/>
      <c r="BD60" s="627"/>
      <c r="BE60" s="627"/>
      <c r="BF60" s="627"/>
      <c r="BG60" s="627"/>
      <c r="BH60" s="627"/>
      <c r="BI60" s="627"/>
      <c r="BJ60" s="627">
        <v>9</v>
      </c>
    </row>
    <row r="61" spans="1:62" ht="5.25" customHeight="1" x14ac:dyDescent="0.35">
      <c r="A61" s="988"/>
      <c r="B61" s="988"/>
      <c r="C61" s="627"/>
      <c r="D61" s="627"/>
      <c r="E61" s="627"/>
      <c r="F61" s="627"/>
      <c r="G61" s="627"/>
      <c r="H61" s="627"/>
      <c r="I61" s="627"/>
      <c r="J61" s="627"/>
      <c r="K61" s="627"/>
      <c r="L61" s="1483"/>
      <c r="M61" s="1484"/>
      <c r="N61" s="1484"/>
      <c r="O61" s="1484"/>
      <c r="P61" s="1485"/>
      <c r="Q61" s="719"/>
      <c r="R61" s="627"/>
      <c r="S61" s="627"/>
      <c r="T61" s="627"/>
      <c r="U61" s="627"/>
      <c r="V61" s="627"/>
      <c r="W61" s="627"/>
      <c r="X61" s="627"/>
      <c r="Y61" s="627"/>
      <c r="Z61" s="627"/>
      <c r="AA61" s="627"/>
      <c r="AB61" s="627"/>
      <c r="AC61" s="627"/>
      <c r="AD61" s="627"/>
      <c r="AE61" s="627"/>
      <c r="AF61" s="627"/>
      <c r="AG61" s="627"/>
      <c r="AH61" s="627"/>
      <c r="AI61" s="627"/>
      <c r="AJ61" s="627"/>
      <c r="AK61" s="627"/>
      <c r="AL61" s="627"/>
      <c r="AM61" s="627"/>
      <c r="AN61" s="627"/>
      <c r="AO61" s="627"/>
      <c r="AP61" s="627"/>
      <c r="AQ61" s="627"/>
      <c r="AR61" s="627"/>
      <c r="AS61" s="627"/>
      <c r="AT61" s="627"/>
      <c r="AU61" s="627"/>
      <c r="AV61" s="627"/>
      <c r="AW61" s="627"/>
      <c r="AX61" s="627"/>
      <c r="AY61" s="627"/>
      <c r="AZ61" s="627"/>
      <c r="BA61" s="627"/>
      <c r="BB61" s="627"/>
      <c r="BC61" s="627"/>
      <c r="BD61" s="627"/>
      <c r="BE61" s="627"/>
      <c r="BF61" s="627"/>
      <c r="BG61" s="627"/>
      <c r="BH61" s="627"/>
      <c r="BI61" s="627"/>
      <c r="BJ61" s="627">
        <v>10</v>
      </c>
    </row>
    <row r="62" spans="1:62" ht="12.75" hidden="1" customHeight="1" x14ac:dyDescent="0.35">
      <c r="A62" s="988"/>
      <c r="B62" s="627"/>
      <c r="C62" s="627"/>
      <c r="D62" s="627"/>
      <c r="E62" s="627"/>
      <c r="F62" s="627"/>
      <c r="G62" s="627"/>
      <c r="H62" s="627"/>
      <c r="I62" s="627"/>
      <c r="J62" s="627"/>
      <c r="K62" s="627"/>
      <c r="L62" s="1483"/>
      <c r="M62" s="1484"/>
      <c r="N62" s="1484"/>
      <c r="O62" s="1484"/>
      <c r="P62" s="1485"/>
      <c r="Q62" s="719"/>
      <c r="R62" s="627"/>
      <c r="S62" s="627"/>
      <c r="T62" s="627"/>
      <c r="U62" s="627"/>
      <c r="V62" s="627"/>
      <c r="W62" s="627"/>
      <c r="X62" s="627"/>
      <c r="Y62" s="627"/>
      <c r="Z62" s="627"/>
      <c r="AA62" s="627"/>
      <c r="AB62" s="627"/>
      <c r="AC62" s="627"/>
      <c r="AD62" s="627"/>
      <c r="AE62" s="627"/>
      <c r="AF62" s="627"/>
      <c r="AG62" s="627"/>
      <c r="AH62" s="627"/>
      <c r="AI62" s="627"/>
      <c r="AJ62" s="627"/>
      <c r="AK62" s="627"/>
      <c r="AL62" s="627"/>
      <c r="AM62" s="627"/>
      <c r="AN62" s="627"/>
      <c r="AO62" s="627"/>
      <c r="AP62" s="627"/>
      <c r="AQ62" s="627"/>
      <c r="AR62" s="627"/>
      <c r="AS62" s="627"/>
      <c r="AT62" s="627"/>
      <c r="AU62" s="627"/>
      <c r="AV62" s="627"/>
      <c r="AW62" s="627"/>
      <c r="AX62" s="627"/>
      <c r="AY62" s="627"/>
      <c r="AZ62" s="627"/>
      <c r="BA62" s="627"/>
      <c r="BB62" s="627"/>
      <c r="BC62" s="627"/>
      <c r="BD62" s="627"/>
      <c r="BE62" s="627"/>
      <c r="BF62" s="627"/>
      <c r="BG62" s="627"/>
      <c r="BH62" s="627"/>
      <c r="BI62" s="627"/>
      <c r="BJ62" s="627"/>
    </row>
    <row r="63" spans="1:62" ht="12.75" hidden="1" customHeight="1" x14ac:dyDescent="0.35">
      <c r="A63" s="988"/>
      <c r="B63" s="988"/>
      <c r="C63" s="627"/>
      <c r="D63" s="627"/>
      <c r="E63" s="627"/>
      <c r="F63" s="627"/>
      <c r="G63" s="627"/>
      <c r="H63" s="627"/>
      <c r="I63" s="627"/>
      <c r="J63" s="627"/>
      <c r="K63" s="627"/>
      <c r="L63" s="1483"/>
      <c r="M63" s="1484"/>
      <c r="N63" s="1484"/>
      <c r="O63" s="1484"/>
      <c r="P63" s="1485"/>
      <c r="Q63" s="719"/>
      <c r="R63" s="627"/>
      <c r="S63" s="627"/>
      <c r="T63" s="627"/>
      <c r="U63" s="627"/>
      <c r="V63" s="627"/>
      <c r="W63" s="627"/>
      <c r="X63" s="627"/>
      <c r="Y63" s="627"/>
      <c r="Z63" s="627"/>
      <c r="AA63" s="627"/>
      <c r="AB63" s="627"/>
      <c r="AC63" s="627"/>
      <c r="AD63" s="627"/>
      <c r="AE63" s="627"/>
      <c r="AF63" s="627"/>
      <c r="AG63" s="627"/>
      <c r="AH63" s="627"/>
      <c r="AI63" s="627"/>
      <c r="AJ63" s="627"/>
      <c r="AK63" s="627"/>
      <c r="AL63" s="627"/>
      <c r="AM63" s="627"/>
      <c r="AN63" s="627"/>
      <c r="AO63" s="627"/>
      <c r="AP63" s="627"/>
      <c r="AQ63" s="627"/>
      <c r="AR63" s="627"/>
      <c r="AS63" s="627"/>
      <c r="AT63" s="627"/>
      <c r="AU63" s="627"/>
      <c r="AV63" s="627"/>
      <c r="AW63" s="627"/>
      <c r="AX63" s="627"/>
      <c r="AY63" s="627"/>
      <c r="AZ63" s="627"/>
      <c r="BA63" s="627"/>
      <c r="BB63" s="627"/>
      <c r="BC63" s="627"/>
      <c r="BD63" s="627"/>
      <c r="BE63" s="627"/>
      <c r="BF63" s="627"/>
      <c r="BG63" s="627"/>
      <c r="BH63" s="627"/>
      <c r="BI63" s="627"/>
      <c r="BJ63" s="627"/>
    </row>
    <row r="64" spans="1:62" ht="12.75" hidden="1" customHeight="1" x14ac:dyDescent="0.35">
      <c r="A64" s="988"/>
      <c r="B64" s="988"/>
      <c r="C64" s="627"/>
      <c r="D64" s="627"/>
      <c r="E64" s="627"/>
      <c r="F64" s="627"/>
      <c r="G64" s="627"/>
      <c r="H64" s="627"/>
      <c r="I64" s="627"/>
      <c r="J64" s="627"/>
      <c r="K64" s="627"/>
      <c r="L64" s="1483"/>
      <c r="M64" s="1484"/>
      <c r="N64" s="1484"/>
      <c r="O64" s="1484"/>
      <c r="P64" s="1485"/>
      <c r="Q64" s="719"/>
      <c r="R64" s="627"/>
      <c r="S64" s="627"/>
      <c r="T64" s="627"/>
      <c r="U64" s="627"/>
      <c r="V64" s="627"/>
      <c r="W64" s="627"/>
      <c r="X64" s="627"/>
      <c r="Y64" s="627"/>
      <c r="Z64" s="627"/>
      <c r="AA64" s="627"/>
      <c r="AB64" s="627"/>
      <c r="AC64" s="627"/>
      <c r="AD64" s="627"/>
      <c r="AE64" s="627"/>
      <c r="AF64" s="627"/>
      <c r="AG64" s="627"/>
      <c r="AH64" s="627"/>
      <c r="AI64" s="627"/>
      <c r="AJ64" s="627"/>
      <c r="AK64" s="627"/>
      <c r="AL64" s="627"/>
      <c r="AM64" s="627"/>
      <c r="AN64" s="627"/>
      <c r="AO64" s="627"/>
      <c r="AP64" s="627"/>
      <c r="AQ64" s="627"/>
      <c r="AR64" s="627"/>
      <c r="AS64" s="627"/>
      <c r="AT64" s="627"/>
      <c r="AU64" s="627"/>
      <c r="AV64" s="627"/>
      <c r="AW64" s="627"/>
      <c r="AX64" s="627"/>
      <c r="AY64" s="627"/>
      <c r="AZ64" s="627"/>
      <c r="BA64" s="627"/>
      <c r="BB64" s="627"/>
      <c r="BC64" s="627"/>
      <c r="BD64" s="627"/>
      <c r="BE64" s="627"/>
      <c r="BF64" s="627"/>
      <c r="BG64" s="627"/>
      <c r="BH64" s="627"/>
      <c r="BI64" s="627"/>
      <c r="BJ64" s="627"/>
    </row>
    <row r="65" spans="1:62" x14ac:dyDescent="0.35">
      <c r="A65" s="988"/>
      <c r="B65" s="988"/>
      <c r="C65" s="1007">
        <f>IF(I15=0,0,IF(G60="X",0,IF(I60="X",0,IF(G65="X","X",IF(AND(E15&lt;=6,G25&lt;='TABELA SC-10 e 14'!D33),"X",0)))))</f>
        <v>0</v>
      </c>
      <c r="D65" s="627" t="s">
        <v>43</v>
      </c>
      <c r="E65" s="627"/>
      <c r="F65" s="627"/>
      <c r="G65" s="626"/>
      <c r="H65" s="627" t="s">
        <v>43</v>
      </c>
      <c r="I65" s="627"/>
      <c r="J65" s="627"/>
      <c r="K65" s="627"/>
      <c r="L65" s="1483"/>
      <c r="M65" s="1484"/>
      <c r="N65" s="1484"/>
      <c r="O65" s="1484"/>
      <c r="P65" s="1485"/>
      <c r="Q65" s="719"/>
      <c r="R65" s="627"/>
      <c r="S65" s="627"/>
      <c r="T65" s="627"/>
      <c r="U65" s="627"/>
      <c r="V65" s="627"/>
      <c r="W65" s="627"/>
      <c r="X65" s="627"/>
      <c r="Y65" s="627"/>
      <c r="Z65" s="627"/>
      <c r="AA65" s="627"/>
      <c r="AB65" s="627"/>
      <c r="AC65" s="627"/>
      <c r="AD65" s="627"/>
      <c r="AE65" s="627"/>
      <c r="AF65" s="627"/>
      <c r="AG65" s="627"/>
      <c r="AH65" s="627"/>
      <c r="AI65" s="627"/>
      <c r="AJ65" s="627"/>
      <c r="AK65" s="627"/>
      <c r="AL65" s="627"/>
      <c r="AM65" s="627"/>
      <c r="AN65" s="627"/>
      <c r="AO65" s="627"/>
      <c r="AP65" s="627"/>
      <c r="AQ65" s="627"/>
      <c r="AR65" s="627"/>
      <c r="AS65" s="627"/>
      <c r="AT65" s="627"/>
      <c r="AU65" s="627"/>
      <c r="AV65" s="627"/>
      <c r="AW65" s="627"/>
      <c r="AX65" s="627"/>
      <c r="AY65" s="627"/>
      <c r="AZ65" s="627"/>
      <c r="BA65" s="627"/>
      <c r="BB65" s="627"/>
      <c r="BC65" s="627"/>
      <c r="BD65" s="627"/>
      <c r="BE65" s="627"/>
      <c r="BF65" s="627"/>
      <c r="BG65" s="627"/>
      <c r="BH65" s="627"/>
      <c r="BI65" s="627"/>
      <c r="BJ65" s="627"/>
    </row>
    <row r="66" spans="1:62" ht="24" hidden="1" customHeight="1" x14ac:dyDescent="0.35">
      <c r="A66" s="988"/>
      <c r="B66" s="988"/>
      <c r="C66" s="627"/>
      <c r="D66" s="627"/>
      <c r="E66" s="627"/>
      <c r="F66" s="627"/>
      <c r="G66" s="1007">
        <f>IF(G65="X","X",C65)</f>
        <v>0</v>
      </c>
      <c r="H66" s="627">
        <f>IF(I15&lt;=6,"SIM",0)</f>
        <v>0</v>
      </c>
      <c r="I66" s="1007">
        <f>IF(M23=0,0,IF(K66="X",0,IF(M66="X","X",IF(M23&gt;10,"X",0))))</f>
        <v>0</v>
      </c>
      <c r="J66" s="627">
        <f>IF(I15&lt;=6,"NÃO",0)</f>
        <v>0</v>
      </c>
      <c r="K66" s="627"/>
      <c r="L66" s="1483"/>
      <c r="M66" s="1484"/>
      <c r="N66" s="1484"/>
      <c r="O66" s="1484"/>
      <c r="P66" s="1485"/>
      <c r="Q66" s="719"/>
      <c r="R66" s="627"/>
      <c r="S66" s="627"/>
      <c r="T66" s="627"/>
      <c r="U66" s="627"/>
      <c r="V66" s="627"/>
      <c r="W66" s="627"/>
      <c r="X66" s="627"/>
      <c r="Y66" s="627"/>
      <c r="Z66" s="627"/>
      <c r="AA66" s="627"/>
      <c r="AB66" s="627"/>
      <c r="AC66" s="627"/>
      <c r="AD66" s="627"/>
      <c r="AE66" s="627"/>
      <c r="AF66" s="627"/>
      <c r="AG66" s="627"/>
      <c r="AH66" s="627"/>
      <c r="AI66" s="627"/>
      <c r="AJ66" s="627"/>
      <c r="AK66" s="627"/>
      <c r="AL66" s="627"/>
      <c r="AM66" s="627"/>
      <c r="AN66" s="627"/>
      <c r="AO66" s="627"/>
      <c r="AP66" s="627"/>
      <c r="AQ66" s="627"/>
      <c r="AR66" s="627"/>
      <c r="AS66" s="627"/>
      <c r="AT66" s="627"/>
      <c r="AU66" s="627"/>
      <c r="AV66" s="627"/>
      <c r="AW66" s="627"/>
      <c r="AX66" s="627"/>
      <c r="AY66" s="627"/>
      <c r="AZ66" s="627"/>
      <c r="BA66" s="627"/>
      <c r="BB66" s="627"/>
      <c r="BC66" s="627"/>
      <c r="BD66" s="627"/>
      <c r="BE66" s="627"/>
      <c r="BF66" s="627"/>
      <c r="BG66" s="627"/>
      <c r="BH66" s="627"/>
      <c r="BI66" s="627"/>
      <c r="BJ66" s="627"/>
    </row>
    <row r="67" spans="1:62" ht="5.25" customHeight="1" x14ac:dyDescent="0.35">
      <c r="A67" s="988"/>
      <c r="B67" s="637"/>
      <c r="C67" s="749"/>
      <c r="D67" s="749"/>
      <c r="E67" s="749"/>
      <c r="F67" s="749"/>
      <c r="G67" s="624" t="s">
        <v>41</v>
      </c>
      <c r="H67" s="749"/>
      <c r="I67" s="749"/>
      <c r="J67" s="749"/>
      <c r="K67" s="749"/>
      <c r="L67" s="1486"/>
      <c r="M67" s="1487"/>
      <c r="N67" s="1487"/>
      <c r="O67" s="1487"/>
      <c r="P67" s="1488"/>
      <c r="Q67" s="719"/>
      <c r="R67" s="627"/>
      <c r="S67" s="627"/>
      <c r="T67" s="627"/>
      <c r="U67" s="627"/>
      <c r="V67" s="627"/>
      <c r="W67" s="627"/>
      <c r="X67" s="627"/>
      <c r="Y67" s="627"/>
      <c r="Z67" s="627"/>
      <c r="AA67" s="627"/>
      <c r="AB67" s="627"/>
      <c r="AC67" s="627"/>
      <c r="AD67" s="627"/>
      <c r="AE67" s="627"/>
      <c r="AF67" s="627"/>
      <c r="AG67" s="627"/>
      <c r="AH67" s="627"/>
      <c r="AI67" s="627"/>
      <c r="AJ67" s="627"/>
      <c r="AK67" s="627"/>
      <c r="AL67" s="627"/>
      <c r="AM67" s="627"/>
      <c r="AN67" s="627"/>
      <c r="AO67" s="627"/>
      <c r="AP67" s="627"/>
      <c r="AQ67" s="627"/>
      <c r="AR67" s="627"/>
      <c r="AS67" s="627"/>
      <c r="AT67" s="627"/>
      <c r="AU67" s="627"/>
      <c r="AV67" s="627"/>
      <c r="AW67" s="627"/>
      <c r="AX67" s="627"/>
      <c r="AY67" s="627"/>
      <c r="AZ67" s="627"/>
      <c r="BA67" s="627"/>
      <c r="BB67" s="627"/>
      <c r="BC67" s="627"/>
      <c r="BD67" s="627"/>
      <c r="BE67" s="627"/>
      <c r="BF67" s="627"/>
      <c r="BG67" s="627"/>
      <c r="BH67" s="627"/>
      <c r="BI67" s="627"/>
      <c r="BJ67" s="627">
        <v>11</v>
      </c>
    </row>
    <row r="68" spans="1:62" ht="12.75" hidden="1" customHeight="1" x14ac:dyDescent="0.35">
      <c r="A68" s="988"/>
      <c r="B68" s="627"/>
      <c r="C68" s="627"/>
      <c r="D68" s="627"/>
      <c r="E68" s="627"/>
      <c r="F68" s="627"/>
      <c r="G68" s="627"/>
      <c r="H68" s="627"/>
      <c r="I68" s="627"/>
      <c r="J68" s="627"/>
      <c r="K68" s="627"/>
      <c r="L68" s="627"/>
      <c r="M68" s="627"/>
      <c r="N68" s="627"/>
      <c r="O68" s="627"/>
      <c r="P68" s="627"/>
      <c r="Q68" s="627"/>
      <c r="R68" s="627"/>
      <c r="S68" s="627"/>
      <c r="T68" s="627"/>
      <c r="U68" s="627"/>
      <c r="V68" s="627"/>
      <c r="W68" s="627"/>
      <c r="X68" s="627"/>
      <c r="Y68" s="627"/>
      <c r="Z68" s="627"/>
      <c r="AA68" s="627"/>
      <c r="AB68" s="627"/>
      <c r="AC68" s="627"/>
      <c r="AD68" s="627"/>
      <c r="AE68" s="627"/>
      <c r="AF68" s="627"/>
      <c r="AG68" s="627"/>
      <c r="AH68" s="627"/>
      <c r="AI68" s="627"/>
      <c r="AJ68" s="627"/>
      <c r="AK68" s="627"/>
      <c r="AL68" s="627"/>
      <c r="AM68" s="627"/>
      <c r="AN68" s="627"/>
      <c r="AO68" s="627"/>
      <c r="AP68" s="627"/>
      <c r="AQ68" s="627"/>
      <c r="AR68" s="627"/>
      <c r="AS68" s="627"/>
      <c r="AT68" s="627"/>
      <c r="AU68" s="627"/>
      <c r="AV68" s="627"/>
      <c r="AW68" s="627"/>
      <c r="AX68" s="627"/>
      <c r="AY68" s="627"/>
      <c r="AZ68" s="627"/>
      <c r="BA68" s="627"/>
      <c r="BB68" s="627"/>
      <c r="BC68" s="627"/>
      <c r="BD68" s="627"/>
      <c r="BE68" s="627"/>
      <c r="BF68" s="627"/>
      <c r="BG68" s="627"/>
      <c r="BH68" s="627"/>
      <c r="BI68" s="627"/>
      <c r="BJ68" s="627">
        <v>12</v>
      </c>
    </row>
    <row r="69" spans="1:62" hidden="1" x14ac:dyDescent="0.35">
      <c r="A69" s="988"/>
      <c r="B69" s="627"/>
      <c r="C69" s="627"/>
      <c r="D69" s="627"/>
      <c r="E69" s="627"/>
      <c r="F69" s="627"/>
      <c r="G69" s="627"/>
      <c r="H69" s="627"/>
      <c r="I69" s="627"/>
      <c r="J69" s="627"/>
      <c r="K69" s="627"/>
      <c r="L69" s="627"/>
      <c r="M69" s="627"/>
      <c r="N69" s="627"/>
      <c r="O69" s="627"/>
      <c r="P69" s="627"/>
      <c r="Q69" s="627"/>
      <c r="R69" s="627"/>
      <c r="S69" s="627"/>
      <c r="T69" s="627"/>
      <c r="U69" s="627"/>
      <c r="V69" s="627"/>
      <c r="W69" s="627"/>
      <c r="X69" s="627"/>
      <c r="Y69" s="627"/>
      <c r="Z69" s="627"/>
      <c r="AA69" s="627"/>
      <c r="AB69" s="627"/>
      <c r="AC69" s="627"/>
      <c r="AD69" s="627"/>
      <c r="AE69" s="627"/>
      <c r="AF69" s="627"/>
      <c r="AG69" s="627"/>
      <c r="AH69" s="627"/>
      <c r="AI69" s="627"/>
      <c r="AJ69" s="627"/>
      <c r="AK69" s="627"/>
      <c r="AL69" s="627"/>
      <c r="AM69" s="627"/>
      <c r="AN69" s="627"/>
      <c r="AO69" s="627"/>
      <c r="AP69" s="627"/>
      <c r="AQ69" s="627"/>
      <c r="AR69" s="627"/>
      <c r="AS69" s="627"/>
      <c r="AT69" s="627"/>
      <c r="AU69" s="627"/>
      <c r="AV69" s="627"/>
      <c r="AW69" s="627"/>
      <c r="AX69" s="627"/>
      <c r="AY69" s="627"/>
      <c r="AZ69" s="627"/>
      <c r="BA69" s="627"/>
      <c r="BB69" s="627"/>
      <c r="BC69" s="627"/>
      <c r="BD69" s="627"/>
      <c r="BE69" s="627"/>
      <c r="BF69" s="627"/>
      <c r="BG69" s="627"/>
      <c r="BH69" s="627"/>
      <c r="BI69" s="627"/>
      <c r="BJ69" s="627">
        <v>13</v>
      </c>
    </row>
    <row r="70" spans="1:62" hidden="1" x14ac:dyDescent="0.35">
      <c r="A70" s="988"/>
      <c r="B70" s="627"/>
      <c r="C70" s="627"/>
      <c r="D70" s="627"/>
      <c r="E70" s="627"/>
      <c r="F70" s="627"/>
      <c r="G70" s="627"/>
      <c r="H70" s="627"/>
      <c r="I70" s="627"/>
      <c r="J70" s="627"/>
      <c r="K70" s="627"/>
      <c r="L70" s="627"/>
      <c r="M70" s="627"/>
      <c r="N70" s="627"/>
      <c r="O70" s="627"/>
      <c r="P70" s="627"/>
      <c r="Q70" s="627"/>
      <c r="R70" s="627"/>
      <c r="S70" s="627"/>
      <c r="T70" s="627"/>
      <c r="U70" s="627"/>
      <c r="V70" s="627"/>
      <c r="W70" s="627"/>
      <c r="X70" s="627"/>
      <c r="Y70" s="627"/>
      <c r="Z70" s="627"/>
      <c r="AA70" s="627"/>
      <c r="AB70" s="627"/>
      <c r="AC70" s="627"/>
      <c r="AD70" s="627"/>
      <c r="AE70" s="627"/>
      <c r="AF70" s="627"/>
      <c r="AG70" s="627"/>
      <c r="AH70" s="627"/>
      <c r="AI70" s="627"/>
      <c r="AJ70" s="627"/>
      <c r="AK70" s="627"/>
      <c r="AL70" s="627"/>
      <c r="AM70" s="627"/>
      <c r="AN70" s="627"/>
      <c r="AO70" s="627"/>
      <c r="AP70" s="627"/>
      <c r="AQ70" s="627"/>
      <c r="AR70" s="627"/>
      <c r="AS70" s="627"/>
      <c r="AT70" s="627"/>
      <c r="AU70" s="627"/>
      <c r="AV70" s="627"/>
      <c r="AW70" s="627"/>
      <c r="AX70" s="627"/>
      <c r="AY70" s="627"/>
      <c r="AZ70" s="627"/>
      <c r="BA70" s="627"/>
      <c r="BB70" s="627"/>
      <c r="BC70" s="627"/>
      <c r="BD70" s="627"/>
      <c r="BE70" s="627"/>
      <c r="BF70" s="627"/>
      <c r="BG70" s="627"/>
      <c r="BH70" s="627"/>
      <c r="BI70" s="627"/>
      <c r="BJ70" s="627"/>
    </row>
    <row r="71" spans="1:62" ht="12.75" hidden="1" customHeight="1" x14ac:dyDescent="0.35">
      <c r="A71" s="988"/>
      <c r="B71" s="627"/>
      <c r="C71" s="627"/>
      <c r="D71" s="627"/>
      <c r="E71" s="627"/>
      <c r="F71" s="627"/>
      <c r="G71" s="627"/>
      <c r="H71" s="627"/>
      <c r="I71" s="627"/>
      <c r="J71" s="627"/>
      <c r="K71" s="627"/>
      <c r="L71" s="627"/>
      <c r="M71" s="627"/>
      <c r="N71" s="627"/>
      <c r="O71" s="627"/>
      <c r="P71" s="627"/>
      <c r="Q71" s="627"/>
      <c r="R71" s="627"/>
      <c r="S71" s="627"/>
      <c r="T71" s="627"/>
      <c r="U71" s="627"/>
      <c r="V71" s="627"/>
      <c r="W71" s="627"/>
      <c r="X71" s="627"/>
      <c r="Y71" s="627"/>
      <c r="Z71" s="627"/>
      <c r="AA71" s="627"/>
      <c r="AB71" s="627"/>
      <c r="AC71" s="627"/>
      <c r="AD71" s="627"/>
      <c r="AE71" s="627"/>
      <c r="AF71" s="627"/>
      <c r="AG71" s="627"/>
      <c r="AH71" s="627"/>
      <c r="AI71" s="627"/>
      <c r="AJ71" s="627"/>
      <c r="AK71" s="627"/>
      <c r="AL71" s="627"/>
      <c r="AM71" s="627"/>
      <c r="AN71" s="627"/>
      <c r="AO71" s="627"/>
      <c r="AP71" s="627"/>
      <c r="AQ71" s="627"/>
      <c r="AR71" s="627"/>
      <c r="AS71" s="627"/>
      <c r="AT71" s="627"/>
      <c r="AU71" s="627"/>
      <c r="AV71" s="627"/>
      <c r="AW71" s="627"/>
      <c r="AX71" s="627"/>
      <c r="AY71" s="627"/>
      <c r="AZ71" s="627"/>
      <c r="BA71" s="627"/>
      <c r="BB71" s="627"/>
      <c r="BC71" s="627"/>
      <c r="BD71" s="627"/>
      <c r="BE71" s="627"/>
      <c r="BF71" s="627"/>
      <c r="BG71" s="627"/>
      <c r="BH71" s="627"/>
      <c r="BI71" s="627"/>
      <c r="BJ71" s="627"/>
    </row>
    <row r="72" spans="1:62" hidden="1" x14ac:dyDescent="0.35">
      <c r="A72" s="988"/>
      <c r="B72" s="627"/>
      <c r="C72" s="627"/>
      <c r="D72" s="627"/>
      <c r="E72" s="627"/>
      <c r="F72" s="627"/>
      <c r="G72" s="627"/>
      <c r="H72" s="627"/>
      <c r="I72" s="627"/>
      <c r="J72" s="627"/>
      <c r="K72" s="627"/>
      <c r="L72" s="627"/>
      <c r="M72" s="627"/>
      <c r="N72" s="627"/>
      <c r="O72" s="627"/>
      <c r="P72" s="627"/>
      <c r="Q72" s="627"/>
      <c r="R72" s="627"/>
      <c r="S72" s="627"/>
      <c r="T72" s="627"/>
      <c r="U72" s="627"/>
      <c r="V72" s="627"/>
      <c r="W72" s="627"/>
      <c r="X72" s="627"/>
      <c r="Y72" s="627"/>
      <c r="Z72" s="627"/>
      <c r="AA72" s="627"/>
      <c r="AB72" s="627"/>
      <c r="AC72" s="627"/>
      <c r="AD72" s="627"/>
      <c r="AE72" s="627"/>
      <c r="AF72" s="627"/>
      <c r="AG72" s="627"/>
      <c r="AH72" s="627"/>
      <c r="AI72" s="627"/>
      <c r="AJ72" s="627"/>
      <c r="AK72" s="627"/>
      <c r="AL72" s="627"/>
      <c r="AM72" s="627"/>
      <c r="AN72" s="627"/>
      <c r="AO72" s="627"/>
      <c r="AP72" s="627"/>
      <c r="AQ72" s="627"/>
      <c r="AR72" s="627"/>
      <c r="AS72" s="627"/>
      <c r="AT72" s="627"/>
      <c r="AU72" s="627"/>
      <c r="AV72" s="627"/>
      <c r="AW72" s="627"/>
      <c r="AX72" s="627"/>
      <c r="AY72" s="627"/>
      <c r="AZ72" s="627"/>
      <c r="BA72" s="627"/>
      <c r="BB72" s="627"/>
      <c r="BC72" s="627"/>
      <c r="BD72" s="627"/>
      <c r="BE72" s="627"/>
      <c r="BF72" s="627"/>
      <c r="BG72" s="627"/>
      <c r="BH72" s="627"/>
      <c r="BI72" s="627"/>
      <c r="BJ72" s="627"/>
    </row>
    <row r="73" spans="1:62" hidden="1" x14ac:dyDescent="0.35">
      <c r="A73" s="988"/>
      <c r="B73" s="627"/>
      <c r="C73" s="627"/>
      <c r="D73" s="627"/>
      <c r="E73" s="627"/>
      <c r="F73" s="627"/>
      <c r="G73" s="627"/>
      <c r="H73" s="627"/>
      <c r="I73" s="627"/>
      <c r="J73" s="627"/>
      <c r="K73" s="627"/>
      <c r="L73" s="627"/>
      <c r="M73" s="627"/>
      <c r="N73" s="627"/>
      <c r="O73" s="627"/>
      <c r="P73" s="627"/>
      <c r="Q73" s="627"/>
      <c r="R73" s="627"/>
      <c r="S73" s="627"/>
      <c r="T73" s="627"/>
      <c r="U73" s="627"/>
      <c r="V73" s="627"/>
      <c r="W73" s="627"/>
      <c r="X73" s="627"/>
      <c r="Y73" s="627"/>
      <c r="Z73" s="627"/>
      <c r="AA73" s="627"/>
      <c r="AB73" s="627"/>
      <c r="AC73" s="627"/>
      <c r="AD73" s="627"/>
      <c r="AE73" s="627"/>
      <c r="AF73" s="627"/>
      <c r="AG73" s="627"/>
      <c r="AH73" s="627"/>
      <c r="AI73" s="627"/>
      <c r="AJ73" s="627"/>
      <c r="AK73" s="627"/>
      <c r="AL73" s="627"/>
      <c r="AM73" s="627"/>
      <c r="AN73" s="627"/>
      <c r="AO73" s="627"/>
      <c r="AP73" s="627"/>
      <c r="AQ73" s="627"/>
      <c r="AR73" s="627"/>
      <c r="AS73" s="627"/>
      <c r="AT73" s="627"/>
      <c r="AU73" s="627"/>
      <c r="AV73" s="627"/>
      <c r="AW73" s="627"/>
      <c r="AX73" s="627"/>
      <c r="AY73" s="627"/>
      <c r="AZ73" s="627"/>
      <c r="BA73" s="627"/>
      <c r="BB73" s="627"/>
      <c r="BC73" s="627"/>
      <c r="BD73" s="627"/>
      <c r="BE73" s="627"/>
      <c r="BF73" s="627"/>
      <c r="BG73" s="627"/>
      <c r="BH73" s="627"/>
      <c r="BI73" s="627"/>
      <c r="BJ73" s="627">
        <v>14</v>
      </c>
    </row>
    <row r="74" spans="1:62" hidden="1" x14ac:dyDescent="0.35">
      <c r="A74" s="988"/>
      <c r="B74" s="627"/>
      <c r="C74" s="627"/>
      <c r="D74" s="627"/>
      <c r="E74" s="627"/>
      <c r="F74" s="627"/>
      <c r="G74" s="627"/>
      <c r="H74" s="627"/>
      <c r="I74" s="627"/>
      <c r="J74" s="627"/>
      <c r="K74" s="627"/>
      <c r="L74" s="627"/>
      <c r="M74" s="627"/>
      <c r="N74" s="627"/>
      <c r="O74" s="627"/>
      <c r="P74" s="627"/>
      <c r="Q74" s="627"/>
      <c r="R74" s="627"/>
      <c r="S74" s="627"/>
      <c r="T74" s="627"/>
      <c r="U74" s="627"/>
      <c r="V74" s="627"/>
      <c r="W74" s="627"/>
      <c r="X74" s="627"/>
      <c r="Y74" s="627"/>
      <c r="Z74" s="627"/>
      <c r="AA74" s="627"/>
      <c r="AB74" s="627"/>
      <c r="AC74" s="627"/>
      <c r="AD74" s="627"/>
      <c r="AE74" s="627"/>
      <c r="AF74" s="627"/>
      <c r="AG74" s="627"/>
      <c r="AH74" s="627"/>
      <c r="AI74" s="627"/>
      <c r="AJ74" s="627"/>
      <c r="AK74" s="627"/>
      <c r="AL74" s="627"/>
      <c r="AM74" s="627"/>
      <c r="AN74" s="627"/>
      <c r="AO74" s="627"/>
      <c r="AP74" s="627"/>
      <c r="AQ74" s="627"/>
      <c r="AR74" s="627"/>
      <c r="AS74" s="627"/>
      <c r="AT74" s="627"/>
      <c r="AU74" s="627"/>
      <c r="AV74" s="627"/>
      <c r="AW74" s="627"/>
      <c r="AX74" s="627"/>
      <c r="AY74" s="627"/>
      <c r="AZ74" s="627"/>
      <c r="BA74" s="627"/>
      <c r="BB74" s="627"/>
      <c r="BC74" s="627"/>
      <c r="BD74" s="627"/>
      <c r="BE74" s="627"/>
      <c r="BF74" s="627"/>
      <c r="BG74" s="627"/>
      <c r="BH74" s="627"/>
      <c r="BI74" s="627"/>
      <c r="BJ74" s="627">
        <v>15</v>
      </c>
    </row>
    <row r="75" spans="1:62" hidden="1" x14ac:dyDescent="0.35">
      <c r="A75" s="988"/>
      <c r="B75" s="627"/>
      <c r="C75" s="627"/>
      <c r="D75" s="627"/>
      <c r="E75" s="627"/>
      <c r="F75" s="627"/>
      <c r="G75" s="627"/>
      <c r="H75" s="627"/>
      <c r="I75" s="627"/>
      <c r="J75" s="627"/>
      <c r="K75" s="627"/>
      <c r="L75" s="627"/>
      <c r="M75" s="627"/>
      <c r="N75" s="627"/>
      <c r="O75" s="627"/>
      <c r="P75" s="627"/>
      <c r="Q75" s="627"/>
      <c r="R75" s="627"/>
      <c r="S75" s="627"/>
      <c r="T75" s="627"/>
      <c r="U75" s="627"/>
      <c r="V75" s="627"/>
      <c r="W75" s="627"/>
      <c r="X75" s="627"/>
      <c r="Y75" s="627"/>
      <c r="Z75" s="627"/>
      <c r="AA75" s="627"/>
      <c r="AB75" s="627"/>
      <c r="AC75" s="627"/>
      <c r="AD75" s="627"/>
      <c r="AE75" s="627"/>
      <c r="AF75" s="627"/>
      <c r="AG75" s="627"/>
      <c r="AH75" s="627"/>
      <c r="AI75" s="627"/>
      <c r="AJ75" s="627"/>
      <c r="AK75" s="627"/>
      <c r="AL75" s="627"/>
      <c r="AM75" s="627"/>
      <c r="AN75" s="627"/>
      <c r="AO75" s="627"/>
      <c r="AP75" s="627"/>
      <c r="AQ75" s="627"/>
      <c r="AR75" s="627"/>
      <c r="AS75" s="627"/>
      <c r="AT75" s="627"/>
      <c r="AU75" s="627"/>
      <c r="AV75" s="627"/>
      <c r="AW75" s="627"/>
      <c r="AX75" s="627"/>
      <c r="AY75" s="627"/>
      <c r="AZ75" s="627"/>
      <c r="BA75" s="627"/>
      <c r="BB75" s="627"/>
      <c r="BC75" s="627"/>
      <c r="BD75" s="627"/>
      <c r="BE75" s="627"/>
      <c r="BF75" s="627"/>
      <c r="BG75" s="627"/>
      <c r="BH75" s="627"/>
      <c r="BI75" s="627"/>
      <c r="BJ75" s="627">
        <v>16</v>
      </c>
    </row>
    <row r="76" spans="1:62" hidden="1" x14ac:dyDescent="0.35">
      <c r="A76" s="988"/>
      <c r="B76" s="627"/>
      <c r="C76" s="627"/>
      <c r="D76" s="627"/>
      <c r="E76" s="627"/>
      <c r="F76" s="627"/>
      <c r="G76" s="627"/>
      <c r="H76" s="627"/>
      <c r="I76" s="627"/>
      <c r="J76" s="627"/>
      <c r="K76" s="627"/>
      <c r="L76" s="627"/>
      <c r="M76" s="627"/>
      <c r="N76" s="627"/>
      <c r="O76" s="627"/>
      <c r="P76" s="627"/>
      <c r="Q76" s="627"/>
      <c r="R76" s="627"/>
      <c r="S76" s="627"/>
      <c r="T76" s="627"/>
      <c r="U76" s="627"/>
      <c r="V76" s="627"/>
      <c r="W76" s="627"/>
      <c r="X76" s="627"/>
      <c r="Y76" s="627"/>
      <c r="Z76" s="627"/>
      <c r="AA76" s="627"/>
      <c r="AB76" s="627"/>
      <c r="AC76" s="627"/>
      <c r="AD76" s="627"/>
      <c r="AE76" s="627"/>
      <c r="AF76" s="627"/>
      <c r="AG76" s="627"/>
      <c r="AH76" s="627"/>
      <c r="AI76" s="627"/>
      <c r="AJ76" s="627"/>
      <c r="AK76" s="627"/>
      <c r="AL76" s="627"/>
      <c r="AM76" s="627"/>
      <c r="AN76" s="627"/>
      <c r="AO76" s="627"/>
      <c r="AP76" s="627"/>
      <c r="AQ76" s="627"/>
      <c r="AR76" s="627"/>
      <c r="AS76" s="627"/>
      <c r="AT76" s="627"/>
      <c r="AU76" s="627"/>
      <c r="AV76" s="627"/>
      <c r="AW76" s="627"/>
      <c r="AX76" s="627"/>
      <c r="AY76" s="627"/>
      <c r="AZ76" s="627"/>
      <c r="BA76" s="627"/>
      <c r="BB76" s="627"/>
      <c r="BC76" s="627"/>
      <c r="BD76" s="627"/>
      <c r="BE76" s="627"/>
      <c r="BF76" s="627"/>
      <c r="BG76" s="627"/>
      <c r="BH76" s="627"/>
      <c r="BI76" s="627"/>
      <c r="BJ76" s="627"/>
    </row>
    <row r="77" spans="1:62" hidden="1" x14ac:dyDescent="0.35">
      <c r="A77" s="988"/>
      <c r="B77" s="627"/>
      <c r="C77" s="627"/>
      <c r="D77" s="627"/>
      <c r="E77" s="627"/>
      <c r="F77" s="627"/>
      <c r="G77" s="627"/>
      <c r="H77" s="627"/>
      <c r="I77" s="627"/>
      <c r="J77" s="627"/>
      <c r="K77" s="627"/>
      <c r="L77" s="627"/>
      <c r="M77" s="627"/>
      <c r="N77" s="627"/>
      <c r="O77" s="627"/>
      <c r="P77" s="627"/>
      <c r="Q77" s="627"/>
      <c r="R77" s="627"/>
      <c r="S77" s="627"/>
      <c r="T77" s="627"/>
      <c r="U77" s="627"/>
      <c r="V77" s="627"/>
      <c r="W77" s="627"/>
      <c r="X77" s="627"/>
      <c r="Y77" s="627"/>
      <c r="Z77" s="627"/>
      <c r="AA77" s="627"/>
      <c r="AB77" s="627"/>
      <c r="AC77" s="688" t="s">
        <v>27</v>
      </c>
      <c r="AD77" s="627"/>
      <c r="AE77" s="627"/>
      <c r="AF77" s="627"/>
      <c r="AG77" s="627"/>
      <c r="AH77" s="627"/>
      <c r="AI77" s="627"/>
      <c r="AJ77" s="627"/>
      <c r="AK77" s="627"/>
      <c r="AL77" s="627"/>
      <c r="AM77" s="627"/>
      <c r="AN77" s="627"/>
      <c r="AO77" s="627"/>
      <c r="AP77" s="627"/>
      <c r="AQ77" s="627"/>
      <c r="AR77" s="627"/>
      <c r="AS77" s="627"/>
      <c r="AT77" s="627"/>
      <c r="AU77" s="627"/>
      <c r="AV77" s="627"/>
      <c r="AW77" s="627"/>
      <c r="AX77" s="627"/>
      <c r="AY77" s="627"/>
      <c r="AZ77" s="627"/>
      <c r="BA77" s="627"/>
      <c r="BB77" s="627"/>
      <c r="BC77" s="627"/>
      <c r="BD77" s="627"/>
      <c r="BE77" s="627"/>
      <c r="BF77" s="627"/>
      <c r="BG77" s="627"/>
      <c r="BH77" s="627"/>
      <c r="BI77" s="627"/>
      <c r="BJ77" s="627"/>
    </row>
    <row r="78" spans="1:62" hidden="1" x14ac:dyDescent="0.35">
      <c r="A78" s="988"/>
      <c r="B78" s="627"/>
      <c r="C78" s="627"/>
      <c r="D78" s="627"/>
      <c r="E78" s="627"/>
      <c r="F78" s="627"/>
      <c r="G78" s="627"/>
      <c r="H78" s="627"/>
      <c r="I78" s="627"/>
      <c r="J78" s="627"/>
      <c r="K78" s="627"/>
      <c r="L78" s="627"/>
      <c r="M78" s="627"/>
      <c r="N78" s="627"/>
      <c r="O78" s="627"/>
      <c r="P78" s="627"/>
      <c r="Q78" s="627"/>
      <c r="R78" s="627"/>
      <c r="S78" s="627"/>
      <c r="T78" s="627"/>
      <c r="U78" s="627"/>
      <c r="V78" s="627"/>
      <c r="W78" s="627"/>
      <c r="X78" s="627"/>
      <c r="Y78" s="627"/>
      <c r="Z78" s="627"/>
      <c r="AA78" s="627"/>
      <c r="AB78" s="627"/>
      <c r="AC78" s="627"/>
      <c r="AD78" s="627"/>
      <c r="AE78" s="627"/>
      <c r="AF78" s="627"/>
      <c r="AG78" s="627"/>
      <c r="AH78" s="627"/>
      <c r="AI78" s="627"/>
      <c r="AJ78" s="627"/>
      <c r="AK78" s="627"/>
      <c r="AL78" s="627"/>
      <c r="AM78" s="627"/>
      <c r="AN78" s="627"/>
      <c r="AO78" s="627"/>
      <c r="AP78" s="627"/>
      <c r="AQ78" s="627"/>
      <c r="AR78" s="627"/>
      <c r="AS78" s="627"/>
      <c r="AT78" s="627"/>
      <c r="AU78" s="627"/>
      <c r="AV78" s="627"/>
      <c r="AW78" s="627"/>
      <c r="AX78" s="627"/>
      <c r="AY78" s="627"/>
      <c r="AZ78" s="627"/>
      <c r="BA78" s="627"/>
      <c r="BB78" s="627"/>
      <c r="BC78" s="627"/>
      <c r="BD78" s="627"/>
      <c r="BE78" s="627"/>
      <c r="BF78" s="627"/>
      <c r="BG78" s="627"/>
      <c r="BH78" s="627"/>
      <c r="BI78" s="627"/>
      <c r="BJ78" s="627"/>
    </row>
    <row r="79" spans="1:62" hidden="1" x14ac:dyDescent="0.35">
      <c r="A79" s="988"/>
      <c r="B79" s="627"/>
      <c r="C79" s="627"/>
      <c r="D79" s="627"/>
      <c r="E79" s="627"/>
      <c r="F79" s="627"/>
      <c r="G79" s="627"/>
      <c r="H79" s="627"/>
      <c r="I79" s="627"/>
      <c r="J79" s="627"/>
      <c r="K79" s="627"/>
      <c r="L79" s="627"/>
      <c r="M79" s="627"/>
      <c r="N79" s="627"/>
      <c r="O79" s="627"/>
      <c r="P79" s="627"/>
      <c r="Q79" s="627"/>
      <c r="R79" s="627"/>
      <c r="S79" s="627"/>
      <c r="T79" s="627"/>
      <c r="U79" s="627"/>
      <c r="V79" s="627"/>
      <c r="W79" s="627"/>
      <c r="X79" s="627"/>
      <c r="Y79" s="627"/>
      <c r="Z79" s="627"/>
      <c r="AA79" s="627"/>
      <c r="AB79" s="627"/>
      <c r="AC79" s="627"/>
      <c r="AD79" s="627"/>
      <c r="AE79" s="627"/>
      <c r="AF79" s="627"/>
      <c r="AG79" s="627"/>
      <c r="AH79" s="627"/>
      <c r="AI79" s="627"/>
      <c r="AJ79" s="627"/>
      <c r="AK79" s="627"/>
      <c r="AL79" s="627"/>
      <c r="AM79" s="627"/>
      <c r="AN79" s="627"/>
      <c r="AO79" s="627"/>
      <c r="AP79" s="627"/>
      <c r="AQ79" s="627"/>
      <c r="AR79" s="627"/>
      <c r="AS79" s="627"/>
      <c r="AT79" s="627"/>
      <c r="AU79" s="627"/>
      <c r="AV79" s="627"/>
      <c r="AW79" s="627"/>
      <c r="AX79" s="627"/>
      <c r="AY79" s="627"/>
      <c r="AZ79" s="627"/>
      <c r="BA79" s="627"/>
      <c r="BB79" s="627"/>
      <c r="BC79" s="627"/>
      <c r="BD79" s="627"/>
      <c r="BE79" s="627"/>
      <c r="BF79" s="627"/>
      <c r="BG79" s="627"/>
      <c r="BH79" s="627"/>
      <c r="BI79" s="627"/>
      <c r="BJ79" s="627"/>
    </row>
    <row r="80" spans="1:62" ht="12.75" hidden="1" customHeight="1" x14ac:dyDescent="0.35">
      <c r="A80" s="988"/>
      <c r="B80" s="627"/>
      <c r="C80" s="627"/>
      <c r="D80" s="627"/>
      <c r="E80" s="627"/>
      <c r="F80" s="627"/>
      <c r="G80" s="627"/>
      <c r="H80" s="627"/>
      <c r="I80" s="627"/>
      <c r="J80" s="627"/>
      <c r="K80" s="627"/>
      <c r="L80" s="627"/>
      <c r="M80" s="627"/>
      <c r="N80" s="627"/>
      <c r="O80" s="627"/>
      <c r="P80" s="627"/>
      <c r="Q80" s="627"/>
      <c r="R80" s="627"/>
      <c r="S80" s="627"/>
      <c r="T80" s="627"/>
      <c r="U80" s="627"/>
      <c r="V80" s="627"/>
      <c r="W80" s="627"/>
      <c r="X80" s="627"/>
      <c r="Y80" s="627"/>
      <c r="Z80" s="627"/>
      <c r="AA80" s="627"/>
      <c r="AB80" s="627"/>
      <c r="AC80" s="627"/>
      <c r="AD80" s="627"/>
      <c r="AE80" s="627"/>
      <c r="AF80" s="627"/>
      <c r="AG80" s="627"/>
      <c r="AH80" s="627"/>
      <c r="AI80" s="627"/>
      <c r="AJ80" s="627"/>
      <c r="AK80" s="627"/>
      <c r="AL80" s="627"/>
      <c r="AM80" s="627"/>
      <c r="AN80" s="627"/>
      <c r="AO80" s="627"/>
      <c r="AP80" s="627"/>
      <c r="AQ80" s="627"/>
      <c r="AR80" s="627"/>
      <c r="AS80" s="627"/>
      <c r="AT80" s="627"/>
      <c r="AU80" s="627"/>
      <c r="AV80" s="627"/>
      <c r="AW80" s="627"/>
      <c r="AX80" s="627"/>
      <c r="AY80" s="627"/>
      <c r="AZ80" s="627"/>
      <c r="BA80" s="627"/>
      <c r="BB80" s="627"/>
      <c r="BC80" s="627"/>
      <c r="BD80" s="627"/>
      <c r="BE80" s="627"/>
      <c r="BF80" s="627"/>
      <c r="BG80" s="627"/>
      <c r="BH80" s="627"/>
      <c r="BI80" s="627"/>
      <c r="BJ80" s="627"/>
    </row>
    <row r="81" spans="1:62" hidden="1" x14ac:dyDescent="0.35">
      <c r="A81" s="988"/>
      <c r="B81" s="627"/>
      <c r="C81" s="627"/>
      <c r="D81" s="627"/>
      <c r="E81" s="627"/>
      <c r="F81" s="627"/>
      <c r="G81" s="627"/>
      <c r="H81" s="627"/>
      <c r="I81" s="627"/>
      <c r="J81" s="627"/>
      <c r="K81" s="627"/>
      <c r="L81" s="627"/>
      <c r="M81" s="627"/>
      <c r="N81" s="627"/>
      <c r="O81" s="627"/>
      <c r="P81" s="627"/>
      <c r="Q81" s="627"/>
      <c r="R81" s="627"/>
      <c r="S81" s="627"/>
      <c r="T81" s="627"/>
      <c r="U81" s="627"/>
      <c r="V81" s="627"/>
      <c r="W81" s="627"/>
      <c r="X81" s="627"/>
      <c r="Y81" s="627"/>
      <c r="Z81" s="627"/>
      <c r="AA81" s="627"/>
      <c r="AB81" s="627"/>
      <c r="AC81" s="627"/>
      <c r="AD81" s="627"/>
      <c r="AE81" s="627"/>
      <c r="AF81" s="627"/>
      <c r="AG81" s="627"/>
      <c r="AH81" s="627"/>
      <c r="AI81" s="627"/>
      <c r="AJ81" s="627"/>
      <c r="AK81" s="627"/>
      <c r="AL81" s="627"/>
      <c r="AM81" s="627"/>
      <c r="AN81" s="627"/>
      <c r="AO81" s="627"/>
      <c r="AP81" s="627"/>
      <c r="AQ81" s="627"/>
      <c r="AR81" s="627"/>
      <c r="AS81" s="627"/>
      <c r="AT81" s="627"/>
      <c r="AU81" s="627"/>
      <c r="AV81" s="627"/>
      <c r="AW81" s="627"/>
      <c r="AX81" s="627"/>
      <c r="AY81" s="627"/>
      <c r="AZ81" s="627"/>
      <c r="BA81" s="627"/>
      <c r="BB81" s="627"/>
      <c r="BC81" s="627"/>
      <c r="BD81" s="627"/>
      <c r="BE81" s="627"/>
      <c r="BF81" s="627"/>
      <c r="BG81" s="627"/>
      <c r="BH81" s="627"/>
      <c r="BI81" s="627"/>
      <c r="BJ81" s="627"/>
    </row>
    <row r="82" spans="1:62" hidden="1" x14ac:dyDescent="0.35">
      <c r="A82" s="988"/>
      <c r="B82" s="627"/>
      <c r="C82" s="627"/>
      <c r="D82" s="627"/>
      <c r="E82" s="627"/>
      <c r="F82" s="627"/>
      <c r="G82" s="627"/>
      <c r="H82" s="627"/>
      <c r="I82" s="627"/>
      <c r="J82" s="627"/>
      <c r="K82" s="627"/>
      <c r="L82" s="627"/>
      <c r="M82" s="627"/>
      <c r="N82" s="627"/>
      <c r="O82" s="627"/>
      <c r="P82" s="627"/>
      <c r="Q82" s="627"/>
      <c r="R82" s="627"/>
      <c r="S82" s="627"/>
      <c r="T82" s="627"/>
      <c r="U82" s="627"/>
      <c r="V82" s="627"/>
      <c r="W82" s="627"/>
      <c r="X82" s="627"/>
      <c r="Y82" s="627"/>
      <c r="Z82" s="627"/>
      <c r="AA82" s="688" t="s">
        <v>27</v>
      </c>
      <c r="AB82" s="627"/>
      <c r="AC82" s="627"/>
      <c r="AD82" s="627"/>
      <c r="AE82" s="627"/>
      <c r="AF82" s="627"/>
      <c r="AG82" s="627"/>
      <c r="AH82" s="627"/>
      <c r="AI82" s="627"/>
      <c r="AJ82" s="627"/>
      <c r="AK82" s="627"/>
      <c r="AL82" s="627"/>
      <c r="AM82" s="627"/>
      <c r="AN82" s="627"/>
      <c r="AO82" s="627"/>
      <c r="AP82" s="627"/>
      <c r="AQ82" s="627"/>
      <c r="AR82" s="627"/>
      <c r="AS82" s="627"/>
      <c r="AT82" s="627"/>
      <c r="AU82" s="627"/>
      <c r="AV82" s="627"/>
      <c r="AW82" s="627"/>
      <c r="AX82" s="627"/>
      <c r="AY82" s="627"/>
      <c r="AZ82" s="627"/>
      <c r="BA82" s="627"/>
      <c r="BB82" s="627"/>
      <c r="BC82" s="627"/>
      <c r="BD82" s="627"/>
      <c r="BE82" s="627"/>
      <c r="BF82" s="627"/>
      <c r="BG82" s="627"/>
      <c r="BH82" s="627"/>
      <c r="BI82" s="627"/>
      <c r="BJ82" s="627"/>
    </row>
    <row r="83" spans="1:62" hidden="1" x14ac:dyDescent="0.35">
      <c r="A83" s="988"/>
      <c r="B83" s="627"/>
      <c r="C83" s="627"/>
      <c r="D83" s="627"/>
      <c r="E83" s="627"/>
      <c r="F83" s="627"/>
      <c r="G83" s="627"/>
      <c r="H83" s="627"/>
      <c r="I83" s="627"/>
      <c r="J83" s="627"/>
      <c r="K83" s="627"/>
      <c r="L83" s="627"/>
      <c r="M83" s="627"/>
      <c r="N83" s="627"/>
      <c r="O83" s="627"/>
      <c r="P83" s="627"/>
      <c r="Q83" s="627"/>
      <c r="R83" s="627"/>
      <c r="S83" s="627"/>
      <c r="T83" s="627"/>
      <c r="U83" s="627"/>
      <c r="V83" s="627"/>
      <c r="W83" s="627"/>
      <c r="X83" s="627"/>
      <c r="Y83" s="627"/>
      <c r="Z83" s="627"/>
      <c r="AA83" s="627"/>
      <c r="AB83" s="627"/>
      <c r="AC83" s="627"/>
      <c r="AD83" s="627"/>
      <c r="AE83" s="627"/>
      <c r="AF83" s="627"/>
      <c r="AG83" s="627"/>
      <c r="AH83" s="627"/>
      <c r="AI83" s="627"/>
      <c r="AJ83" s="627"/>
      <c r="AK83" s="627"/>
      <c r="AL83" s="627"/>
      <c r="AM83" s="627"/>
      <c r="AN83" s="627"/>
      <c r="AO83" s="627"/>
      <c r="AP83" s="627"/>
      <c r="AQ83" s="627"/>
      <c r="AR83" s="627"/>
      <c r="AS83" s="627"/>
      <c r="AT83" s="627"/>
      <c r="AU83" s="627"/>
      <c r="AV83" s="627"/>
      <c r="AW83" s="627"/>
      <c r="AX83" s="627"/>
      <c r="AY83" s="627"/>
      <c r="AZ83" s="627"/>
      <c r="BA83" s="627"/>
      <c r="BB83" s="627"/>
      <c r="BC83" s="627"/>
      <c r="BD83" s="627"/>
      <c r="BE83" s="627"/>
      <c r="BF83" s="627"/>
      <c r="BG83" s="627"/>
      <c r="BH83" s="627"/>
      <c r="BI83" s="627"/>
      <c r="BJ83" s="627"/>
    </row>
    <row r="84" spans="1:62" ht="12.75" hidden="1" customHeight="1" x14ac:dyDescent="0.35">
      <c r="A84" s="988"/>
      <c r="B84" s="627"/>
      <c r="C84" s="627"/>
      <c r="D84" s="627"/>
      <c r="E84" s="627"/>
      <c r="F84" s="627"/>
      <c r="G84" s="627"/>
      <c r="H84" s="627"/>
      <c r="I84" s="627"/>
      <c r="J84" s="627"/>
      <c r="K84" s="627"/>
      <c r="L84" s="627"/>
      <c r="M84" s="627"/>
      <c r="N84" s="627"/>
      <c r="O84" s="627"/>
      <c r="P84" s="627"/>
      <c r="Q84" s="627"/>
      <c r="R84" s="627"/>
      <c r="S84" s="627"/>
      <c r="T84" s="627"/>
      <c r="U84" s="627"/>
      <c r="V84" s="627"/>
      <c r="W84" s="627"/>
      <c r="X84" s="627"/>
      <c r="Y84" s="627"/>
      <c r="Z84" s="627"/>
      <c r="AA84" s="627"/>
      <c r="AB84" s="627"/>
      <c r="AC84" s="627"/>
      <c r="AD84" s="627"/>
      <c r="AE84" s="627"/>
      <c r="AF84" s="627"/>
      <c r="AG84" s="627"/>
      <c r="AH84" s="627"/>
      <c r="AI84" s="627"/>
      <c r="AJ84" s="627"/>
      <c r="AK84" s="627"/>
      <c r="AL84" s="627"/>
      <c r="AM84" s="627"/>
      <c r="AN84" s="627"/>
      <c r="AO84" s="627"/>
      <c r="AP84" s="627"/>
      <c r="AQ84" s="627"/>
      <c r="AR84" s="627"/>
      <c r="AS84" s="627"/>
      <c r="AT84" s="627"/>
      <c r="AU84" s="627"/>
      <c r="AV84" s="627"/>
      <c r="AW84" s="627"/>
      <c r="AX84" s="627"/>
      <c r="AY84" s="627"/>
      <c r="AZ84" s="627"/>
      <c r="BA84" s="627"/>
      <c r="BB84" s="627"/>
      <c r="BC84" s="627"/>
      <c r="BD84" s="627"/>
      <c r="BE84" s="627"/>
      <c r="BF84" s="627"/>
      <c r="BG84" s="627"/>
      <c r="BH84" s="627"/>
      <c r="BI84" s="627"/>
      <c r="BJ84" s="627"/>
    </row>
    <row r="85" spans="1:62" hidden="1" x14ac:dyDescent="0.35">
      <c r="A85" s="988"/>
      <c r="B85" s="627"/>
      <c r="C85" s="627"/>
      <c r="D85" s="627"/>
      <c r="E85" s="627"/>
      <c r="F85" s="627"/>
      <c r="G85" s="627"/>
      <c r="H85" s="627"/>
      <c r="I85" s="627"/>
      <c r="J85" s="627"/>
      <c r="K85" s="627"/>
      <c r="L85" s="627"/>
      <c r="M85" s="627"/>
      <c r="N85" s="627"/>
      <c r="O85" s="627"/>
      <c r="P85" s="627"/>
      <c r="Q85" s="627"/>
      <c r="R85" s="627"/>
      <c r="S85" s="627"/>
      <c r="T85" s="627"/>
      <c r="U85" s="627"/>
      <c r="V85" s="627"/>
      <c r="W85" s="627"/>
      <c r="X85" s="627"/>
      <c r="Y85" s="627"/>
      <c r="Z85" s="627"/>
      <c r="AA85" s="627"/>
      <c r="AB85" s="627"/>
      <c r="AC85" s="627"/>
      <c r="AD85" s="627"/>
      <c r="AE85" s="627"/>
      <c r="AF85" s="627"/>
      <c r="AG85" s="627"/>
      <c r="AH85" s="627"/>
      <c r="AI85" s="627"/>
      <c r="AJ85" s="627"/>
      <c r="AK85" s="627"/>
      <c r="AL85" s="627"/>
      <c r="AM85" s="627"/>
      <c r="AN85" s="627"/>
      <c r="AO85" s="627"/>
      <c r="AP85" s="627"/>
      <c r="AQ85" s="627"/>
      <c r="AR85" s="627"/>
      <c r="AS85" s="627"/>
      <c r="AT85" s="627"/>
      <c r="AU85" s="627"/>
      <c r="AV85" s="627"/>
      <c r="AW85" s="627"/>
      <c r="AX85" s="627"/>
      <c r="AY85" s="627"/>
      <c r="AZ85" s="627"/>
      <c r="BA85" s="627"/>
      <c r="BB85" s="627"/>
      <c r="BC85" s="627"/>
      <c r="BD85" s="627"/>
      <c r="BE85" s="627"/>
      <c r="BF85" s="627"/>
      <c r="BG85" s="627"/>
      <c r="BH85" s="627"/>
      <c r="BI85" s="627"/>
      <c r="BJ85" s="627"/>
    </row>
    <row r="86" spans="1:62" ht="3.95" customHeight="1" x14ac:dyDescent="0.35">
      <c r="A86" s="988"/>
      <c r="B86" s="627"/>
      <c r="C86" s="627"/>
      <c r="D86" s="627"/>
      <c r="E86" s="627"/>
      <c r="F86" s="627"/>
      <c r="G86" s="627"/>
      <c r="H86" s="627"/>
      <c r="I86" s="627"/>
      <c r="J86" s="627"/>
      <c r="K86" s="627"/>
      <c r="L86" s="627"/>
      <c r="M86" s="627"/>
      <c r="N86" s="627"/>
      <c r="O86" s="627"/>
      <c r="P86" s="627"/>
      <c r="Q86" s="719"/>
      <c r="R86" s="627"/>
      <c r="S86" s="627"/>
      <c r="T86" s="627"/>
      <c r="U86" s="627"/>
      <c r="V86" s="627"/>
      <c r="W86" s="627"/>
      <c r="X86" s="627"/>
      <c r="Y86" s="627"/>
      <c r="Z86" s="627"/>
      <c r="AA86" s="627"/>
      <c r="AB86" s="627"/>
      <c r="AC86" s="627"/>
      <c r="AD86" s="627"/>
      <c r="AE86" s="627"/>
      <c r="AF86" s="627"/>
      <c r="AG86" s="627"/>
      <c r="AH86" s="627"/>
      <c r="AI86" s="627"/>
      <c r="AJ86" s="627"/>
      <c r="AK86" s="627"/>
      <c r="AL86" s="627"/>
      <c r="AM86" s="627"/>
      <c r="AN86" s="627"/>
      <c r="AO86" s="627"/>
      <c r="AP86" s="627"/>
      <c r="AQ86" s="627"/>
      <c r="AR86" s="627"/>
      <c r="AS86" s="627"/>
      <c r="AT86" s="627"/>
      <c r="AU86" s="627"/>
      <c r="AV86" s="627"/>
      <c r="AW86" s="627"/>
      <c r="AX86" s="627"/>
      <c r="AY86" s="627"/>
      <c r="AZ86" s="627"/>
      <c r="BA86" s="627"/>
      <c r="BB86" s="627"/>
      <c r="BC86" s="627"/>
      <c r="BD86" s="627"/>
      <c r="BE86" s="627"/>
      <c r="BF86" s="627"/>
      <c r="BG86" s="627"/>
      <c r="BH86" s="627"/>
      <c r="BI86" s="627"/>
      <c r="BJ86" s="627"/>
    </row>
    <row r="87" spans="1:62" ht="18.600000000000001" customHeight="1" x14ac:dyDescent="0.35">
      <c r="A87" s="988"/>
      <c r="B87" s="627"/>
      <c r="C87" s="816" t="str">
        <f>IF(I15=0,0,"O DIÂMETRO ATUAL  ESTÁ NO SISTEMA "&amp;'TABELA SC-10 e 14'!A2&amp;" SE NÃO FOR ESTE MARQUE X E MUDE")</f>
        <v>O DIÂMETRO ATUAL  ESTÁ NO SISTEMA SC10 SE NÃO FOR ESTE MARQUE X E MUDE</v>
      </c>
      <c r="D87" s="627"/>
      <c r="E87" s="627"/>
      <c r="F87" s="627"/>
      <c r="G87" s="627"/>
      <c r="H87" s="627"/>
      <c r="I87" s="627"/>
      <c r="J87" s="627"/>
      <c r="K87" s="627"/>
      <c r="L87" s="627"/>
      <c r="M87" s="627"/>
      <c r="N87" s="627"/>
      <c r="O87" s="627"/>
      <c r="P87" s="627"/>
      <c r="Q87" s="719"/>
      <c r="R87" s="627"/>
      <c r="S87" s="627"/>
      <c r="T87" s="627"/>
      <c r="U87" s="627"/>
      <c r="V87" s="627"/>
      <c r="W87" s="627"/>
      <c r="X87" s="627"/>
      <c r="Y87" s="627"/>
      <c r="Z87" s="627"/>
      <c r="AA87" s="627"/>
      <c r="AB87" s="627"/>
      <c r="AC87" s="627"/>
      <c r="AD87" s="627"/>
      <c r="AE87" s="627"/>
      <c r="AF87" s="627"/>
      <c r="AG87" s="627"/>
      <c r="AH87" s="627"/>
      <c r="AI87" s="627"/>
      <c r="AJ87" s="627"/>
      <c r="AK87" s="627"/>
      <c r="AL87" s="627"/>
      <c r="AM87" s="627"/>
      <c r="AN87" s="627"/>
      <c r="AO87" s="627"/>
      <c r="AP87" s="627"/>
      <c r="AQ87" s="627"/>
      <c r="AR87" s="627"/>
      <c r="AS87" s="627"/>
      <c r="AT87" s="627"/>
      <c r="AU87" s="627"/>
      <c r="AV87" s="627"/>
      <c r="AW87" s="627"/>
      <c r="AX87" s="627"/>
      <c r="AY87" s="627"/>
      <c r="AZ87" s="627"/>
      <c r="BA87" s="627"/>
      <c r="BB87" s="627"/>
      <c r="BC87" s="627"/>
      <c r="BD87" s="627"/>
      <c r="BE87" s="627"/>
      <c r="BF87" s="627"/>
      <c r="BG87" s="627"/>
      <c r="BH87" s="627"/>
      <c r="BI87" s="627"/>
      <c r="BJ87" s="627"/>
    </row>
    <row r="88" spans="1:62" ht="3.95" customHeight="1" x14ac:dyDescent="0.35">
      <c r="A88" s="988"/>
      <c r="B88" s="627"/>
      <c r="C88" s="627"/>
      <c r="D88" s="627"/>
      <c r="E88" s="627"/>
      <c r="F88" s="627"/>
      <c r="G88" s="627"/>
      <c r="H88" s="627"/>
      <c r="I88" s="627"/>
      <c r="J88" s="627"/>
      <c r="K88" s="627"/>
      <c r="L88" s="627"/>
      <c r="M88" s="627"/>
      <c r="N88" s="627"/>
      <c r="O88" s="627"/>
      <c r="P88" s="627"/>
      <c r="Q88" s="719"/>
      <c r="R88" s="627"/>
      <c r="S88" s="627"/>
      <c r="T88" s="627"/>
      <c r="U88" s="627"/>
      <c r="V88" s="627"/>
      <c r="W88" s="627"/>
      <c r="X88" s="627"/>
      <c r="Y88" s="627"/>
      <c r="Z88" s="627"/>
      <c r="AA88" s="627"/>
      <c r="AB88" s="627"/>
      <c r="AC88" s="627"/>
      <c r="AD88" s="627"/>
      <c r="AE88" s="627"/>
      <c r="AF88" s="627"/>
      <c r="AG88" s="627"/>
      <c r="AH88" s="627"/>
      <c r="AI88" s="627"/>
      <c r="AJ88" s="627"/>
      <c r="AK88" s="627"/>
      <c r="AL88" s="627"/>
      <c r="AM88" s="627"/>
      <c r="AN88" s="627"/>
      <c r="AO88" s="627"/>
      <c r="AP88" s="627"/>
      <c r="AQ88" s="627"/>
      <c r="AR88" s="627"/>
      <c r="AS88" s="627"/>
      <c r="AT88" s="627"/>
      <c r="AU88" s="627"/>
      <c r="AV88" s="627"/>
      <c r="AW88" s="627"/>
      <c r="AX88" s="627"/>
      <c r="AY88" s="627"/>
      <c r="AZ88" s="627"/>
      <c r="BA88" s="627"/>
      <c r="BB88" s="627"/>
      <c r="BC88" s="627"/>
      <c r="BD88" s="627"/>
      <c r="BE88" s="627"/>
      <c r="BF88" s="627"/>
      <c r="BG88" s="627"/>
      <c r="BH88" s="627"/>
      <c r="BI88" s="627"/>
      <c r="BJ88" s="627"/>
    </row>
    <row r="89" spans="1:62" ht="6" customHeight="1" x14ac:dyDescent="0.35">
      <c r="A89" s="988"/>
      <c r="B89" s="636"/>
      <c r="C89" s="652"/>
      <c r="D89" s="652"/>
      <c r="E89" s="652"/>
      <c r="F89" s="652"/>
      <c r="G89" s="652"/>
      <c r="H89" s="652"/>
      <c r="I89" s="652"/>
      <c r="J89" s="652"/>
      <c r="K89" s="987"/>
      <c r="L89" s="627"/>
      <c r="M89" s="627"/>
      <c r="N89" s="627"/>
      <c r="O89" s="627"/>
      <c r="P89" s="627"/>
      <c r="Q89" s="719"/>
      <c r="R89" s="627"/>
      <c r="S89" s="627"/>
      <c r="T89" s="627"/>
      <c r="U89" s="627"/>
      <c r="V89" s="627"/>
      <c r="W89" s="627"/>
      <c r="X89" s="627"/>
      <c r="Y89" s="627"/>
      <c r="Z89" s="627"/>
      <c r="AA89" s="627"/>
      <c r="AB89" s="627"/>
      <c r="AC89" s="627"/>
      <c r="AD89" s="627"/>
      <c r="AE89" s="627"/>
      <c r="AF89" s="627"/>
      <c r="AG89" s="627"/>
      <c r="AH89" s="627"/>
      <c r="AI89" s="627"/>
      <c r="AJ89" s="627"/>
      <c r="AK89" s="627"/>
      <c r="AL89" s="627"/>
      <c r="AM89" s="627"/>
      <c r="AN89" s="627"/>
      <c r="AO89" s="627"/>
      <c r="AP89" s="627"/>
      <c r="AQ89" s="627"/>
      <c r="AR89" s="627"/>
      <c r="AS89" s="627"/>
      <c r="AT89" s="627"/>
      <c r="AU89" s="627"/>
      <c r="AV89" s="627"/>
      <c r="AW89" s="627"/>
      <c r="AX89" s="627"/>
      <c r="AY89" s="627"/>
      <c r="AZ89" s="627"/>
      <c r="BA89" s="627"/>
      <c r="BB89" s="627"/>
      <c r="BC89" s="627"/>
      <c r="BD89" s="627"/>
      <c r="BE89" s="627"/>
      <c r="BF89" s="627"/>
      <c r="BG89" s="627"/>
      <c r="BH89" s="627"/>
      <c r="BI89" s="627"/>
      <c r="BJ89" s="627"/>
    </row>
    <row r="90" spans="1:62" x14ac:dyDescent="0.35">
      <c r="A90" s="988"/>
      <c r="B90" s="988"/>
      <c r="C90" s="627" t="s">
        <v>44</v>
      </c>
      <c r="D90" s="627"/>
      <c r="E90" s="627"/>
      <c r="F90" s="627"/>
      <c r="G90" s="627"/>
      <c r="H90" s="627"/>
      <c r="I90" s="627"/>
      <c r="J90" s="627"/>
      <c r="K90" s="719"/>
      <c r="L90" s="627"/>
      <c r="M90" s="627"/>
      <c r="N90" s="627"/>
      <c r="O90" s="627"/>
      <c r="P90" s="627"/>
      <c r="Q90" s="719"/>
      <c r="R90" s="627"/>
      <c r="S90" s="627"/>
      <c r="T90" s="627"/>
      <c r="U90" s="627"/>
      <c r="V90" s="627"/>
      <c r="W90" s="627"/>
      <c r="X90" s="627"/>
      <c r="Y90" s="627"/>
      <c r="Z90" s="627"/>
      <c r="AA90" s="627"/>
      <c r="AB90" s="627"/>
      <c r="AC90" s="627"/>
      <c r="AD90" s="627"/>
      <c r="AE90" s="627"/>
      <c r="AF90" s="627"/>
      <c r="AG90" s="627"/>
      <c r="AH90" s="627"/>
      <c r="AI90" s="627"/>
      <c r="AJ90" s="627"/>
      <c r="AK90" s="627"/>
      <c r="AL90" s="627"/>
      <c r="AM90" s="627"/>
      <c r="AN90" s="627"/>
      <c r="AO90" s="627"/>
      <c r="AP90" s="627"/>
      <c r="AQ90" s="627"/>
      <c r="AR90" s="627"/>
      <c r="AS90" s="627"/>
      <c r="AT90" s="627"/>
      <c r="AU90" s="627"/>
      <c r="AV90" s="627"/>
      <c r="AW90" s="627"/>
      <c r="AX90" s="627"/>
      <c r="AY90" s="627"/>
      <c r="AZ90" s="627"/>
      <c r="BA90" s="627"/>
      <c r="BB90" s="627"/>
      <c r="BC90" s="627"/>
      <c r="BD90" s="627"/>
      <c r="BE90" s="627"/>
      <c r="BF90" s="627"/>
      <c r="BG90" s="627"/>
      <c r="BH90" s="627"/>
      <c r="BI90" s="627"/>
      <c r="BJ90" s="627"/>
    </row>
    <row r="91" spans="1:62" x14ac:dyDescent="0.35">
      <c r="A91" s="988"/>
      <c r="B91" s="988"/>
      <c r="C91" s="626"/>
      <c r="D91" s="627" t="s">
        <v>45</v>
      </c>
      <c r="E91" s="627"/>
      <c r="F91" s="627"/>
      <c r="G91" s="1008"/>
      <c r="H91" s="627" t="s">
        <v>46</v>
      </c>
      <c r="I91" s="627"/>
      <c r="J91" s="627"/>
      <c r="K91" s="719"/>
      <c r="L91" s="627"/>
      <c r="M91" s="627"/>
      <c r="N91" s="627"/>
      <c r="O91" s="627"/>
      <c r="P91" s="627"/>
      <c r="Q91" s="719"/>
      <c r="R91" s="627"/>
      <c r="S91" s="627"/>
      <c r="T91" s="627"/>
      <c r="U91" s="627"/>
      <c r="V91" s="627"/>
      <c r="W91" s="627"/>
      <c r="X91" s="627"/>
      <c r="Y91" s="627"/>
      <c r="Z91" s="627"/>
      <c r="AA91" s="627"/>
      <c r="AB91" s="627"/>
      <c r="AC91" s="627"/>
      <c r="AD91" s="627"/>
      <c r="AE91" s="627"/>
      <c r="AF91" s="627"/>
      <c r="AG91" s="627"/>
      <c r="AH91" s="627"/>
      <c r="AI91" s="627"/>
      <c r="AJ91" s="627"/>
      <c r="AK91" s="627"/>
      <c r="AL91" s="627"/>
      <c r="AM91" s="627"/>
      <c r="AN91" s="627"/>
      <c r="AO91" s="627"/>
      <c r="AP91" s="627"/>
      <c r="AQ91" s="627"/>
      <c r="AR91" s="627"/>
      <c r="AS91" s="627"/>
      <c r="AT91" s="627"/>
      <c r="AU91" s="627"/>
      <c r="AV91" s="627"/>
      <c r="AW91" s="627"/>
      <c r="AX91" s="627"/>
      <c r="AY91" s="627"/>
      <c r="AZ91" s="627"/>
      <c r="BA91" s="627"/>
      <c r="BB91" s="627"/>
      <c r="BC91" s="627"/>
      <c r="BD91" s="627"/>
      <c r="BE91" s="627"/>
      <c r="BF91" s="627"/>
      <c r="BG91" s="627"/>
      <c r="BH91" s="627"/>
      <c r="BI91" s="627"/>
      <c r="BJ91" s="627"/>
    </row>
    <row r="92" spans="1:62" ht="6" customHeight="1" x14ac:dyDescent="0.35">
      <c r="A92" s="988"/>
      <c r="B92" s="988"/>
      <c r="C92" s="627"/>
      <c r="D92" s="627"/>
      <c r="E92" s="627"/>
      <c r="F92" s="627"/>
      <c r="G92" s="627"/>
      <c r="H92" s="627"/>
      <c r="I92" s="627"/>
      <c r="J92" s="627"/>
      <c r="K92" s="719"/>
      <c r="L92" s="627"/>
      <c r="M92" s="627"/>
      <c r="N92" s="627"/>
      <c r="O92" s="627"/>
      <c r="P92" s="627"/>
      <c r="Q92" s="719"/>
      <c r="R92" s="627"/>
      <c r="S92" s="627"/>
      <c r="T92" s="627"/>
      <c r="U92" s="627"/>
      <c r="V92" s="627"/>
      <c r="W92" s="627"/>
      <c r="X92" s="627"/>
      <c r="Y92" s="627"/>
      <c r="Z92" s="627"/>
      <c r="AA92" s="627"/>
      <c r="AB92" s="627"/>
      <c r="AC92" s="627"/>
      <c r="AD92" s="627"/>
      <c r="AE92" s="627"/>
      <c r="AF92" s="627"/>
      <c r="AG92" s="627"/>
      <c r="AH92" s="627"/>
      <c r="AI92" s="627"/>
      <c r="AJ92" s="627"/>
      <c r="AK92" s="627"/>
      <c r="AL92" s="627"/>
      <c r="AM92" s="627"/>
      <c r="AN92" s="627"/>
      <c r="AO92" s="627"/>
      <c r="AP92" s="627"/>
      <c r="AQ92" s="627"/>
      <c r="AR92" s="627"/>
      <c r="AS92" s="627"/>
      <c r="AT92" s="627"/>
      <c r="AU92" s="627"/>
      <c r="AV92" s="627"/>
      <c r="AW92" s="627"/>
      <c r="AX92" s="627"/>
      <c r="AY92" s="627"/>
      <c r="AZ92" s="627"/>
      <c r="BA92" s="627"/>
      <c r="BB92" s="627"/>
      <c r="BC92" s="627"/>
      <c r="BD92" s="627"/>
      <c r="BE92" s="627"/>
      <c r="BF92" s="627"/>
      <c r="BG92" s="627"/>
      <c r="BH92" s="627"/>
      <c r="BI92" s="627"/>
      <c r="BJ92" s="627"/>
    </row>
    <row r="93" spans="1:62" x14ac:dyDescent="0.35">
      <c r="A93" s="988"/>
      <c r="B93" s="988"/>
      <c r="C93" s="626" t="s">
        <v>10</v>
      </c>
      <c r="D93" s="627" t="s">
        <v>47</v>
      </c>
      <c r="E93" s="627"/>
      <c r="F93" s="627"/>
      <c r="G93" s="1009">
        <f>CÁLCULOS!G46</f>
        <v>2</v>
      </c>
      <c r="H93" s="627" t="s">
        <v>46</v>
      </c>
      <c r="I93" s="627"/>
      <c r="J93" s="627"/>
      <c r="K93" s="719"/>
      <c r="L93" s="627"/>
      <c r="M93" s="627"/>
      <c r="N93" s="627"/>
      <c r="O93" s="627"/>
      <c r="P93" s="627"/>
      <c r="Q93" s="719"/>
      <c r="R93" s="627"/>
      <c r="S93" s="627"/>
      <c r="T93" s="627"/>
      <c r="U93" s="627"/>
      <c r="V93" s="627"/>
      <c r="W93" s="627"/>
      <c r="X93" s="627"/>
      <c r="Y93" s="627"/>
      <c r="Z93" s="627"/>
      <c r="AA93" s="627"/>
      <c r="AB93" s="627"/>
      <c r="AC93" s="627"/>
      <c r="AD93" s="627"/>
      <c r="AE93" s="627"/>
      <c r="AF93" s="627"/>
      <c r="AG93" s="627"/>
      <c r="AH93" s="627"/>
      <c r="AI93" s="627"/>
      <c r="AJ93" s="627"/>
      <c r="AK93" s="627"/>
      <c r="AL93" s="627"/>
      <c r="AM93" s="627"/>
      <c r="AN93" s="627"/>
      <c r="AO93" s="627"/>
      <c r="AP93" s="627"/>
      <c r="AQ93" s="627"/>
      <c r="AR93" s="627"/>
      <c r="AS93" s="627"/>
      <c r="AT93" s="627"/>
      <c r="AU93" s="627"/>
      <c r="AV93" s="627"/>
      <c r="AW93" s="627"/>
      <c r="AX93" s="627"/>
      <c r="AY93" s="627"/>
      <c r="AZ93" s="627"/>
      <c r="BA93" s="627"/>
      <c r="BB93" s="627"/>
      <c r="BC93" s="627"/>
      <c r="BD93" s="627"/>
      <c r="BE93" s="627"/>
      <c r="BF93" s="627"/>
      <c r="BG93" s="627"/>
      <c r="BH93" s="627"/>
      <c r="BI93" s="627"/>
      <c r="BJ93" s="627"/>
    </row>
    <row r="94" spans="1:62" ht="5.25" customHeight="1" x14ac:dyDescent="0.35">
      <c r="A94" s="988"/>
      <c r="B94" s="637"/>
      <c r="C94" s="749"/>
      <c r="D94" s="749"/>
      <c r="E94" s="749"/>
      <c r="F94" s="749"/>
      <c r="G94" s="749"/>
      <c r="H94" s="749"/>
      <c r="I94" s="749"/>
      <c r="J94" s="749"/>
      <c r="K94" s="748"/>
      <c r="L94" s="627"/>
      <c r="M94" s="627"/>
      <c r="N94" s="627"/>
      <c r="O94" s="627"/>
      <c r="P94" s="627"/>
      <c r="Q94" s="719"/>
      <c r="R94" s="627"/>
      <c r="S94" s="627"/>
      <c r="T94" s="627"/>
      <c r="U94" s="627"/>
      <c r="V94" s="627"/>
      <c r="W94" s="627"/>
      <c r="X94" s="627"/>
      <c r="Y94" s="627"/>
      <c r="Z94" s="627"/>
      <c r="AA94" s="627"/>
      <c r="AB94" s="627"/>
      <c r="AC94" s="627"/>
      <c r="AD94" s="627"/>
      <c r="AE94" s="627"/>
      <c r="AF94" s="627"/>
      <c r="AG94" s="627"/>
      <c r="AH94" s="627"/>
      <c r="AI94" s="627"/>
      <c r="AJ94" s="627"/>
      <c r="AK94" s="627"/>
      <c r="AL94" s="627"/>
      <c r="AM94" s="627"/>
      <c r="AN94" s="627"/>
      <c r="AO94" s="627"/>
      <c r="AP94" s="627"/>
      <c r="AQ94" s="627"/>
      <c r="AR94" s="627"/>
      <c r="AS94" s="627"/>
      <c r="AT94" s="627"/>
      <c r="AU94" s="627"/>
      <c r="AV94" s="627"/>
      <c r="AW94" s="627"/>
      <c r="AX94" s="627"/>
      <c r="AY94" s="627"/>
      <c r="AZ94" s="627"/>
      <c r="BA94" s="627"/>
      <c r="BB94" s="627"/>
      <c r="BC94" s="627"/>
      <c r="BD94" s="627"/>
      <c r="BE94" s="627"/>
      <c r="BF94" s="627"/>
      <c r="BG94" s="627"/>
      <c r="BH94" s="627"/>
      <c r="BI94" s="627"/>
      <c r="BJ94" s="627"/>
    </row>
    <row r="95" spans="1:62" ht="5.25" customHeight="1" x14ac:dyDescent="0.35">
      <c r="A95" s="988"/>
      <c r="B95" s="627"/>
      <c r="C95" s="627"/>
      <c r="D95" s="627"/>
      <c r="E95" s="627"/>
      <c r="F95" s="627"/>
      <c r="G95" s="627"/>
      <c r="H95" s="627"/>
      <c r="I95" s="627"/>
      <c r="J95" s="627"/>
      <c r="K95" s="627"/>
      <c r="L95" s="627"/>
      <c r="M95" s="627"/>
      <c r="N95" s="627"/>
      <c r="O95" s="627"/>
      <c r="P95" s="627"/>
      <c r="Q95" s="719"/>
      <c r="R95" s="627"/>
      <c r="S95" s="627"/>
      <c r="T95" s="627"/>
      <c r="U95" s="627"/>
      <c r="V95" s="627"/>
      <c r="W95" s="627"/>
      <c r="X95" s="627"/>
      <c r="Y95" s="627"/>
      <c r="Z95" s="627"/>
      <c r="AA95" s="627"/>
      <c r="AB95" s="627"/>
      <c r="AC95" s="627"/>
      <c r="AD95" s="627"/>
      <c r="AE95" s="627"/>
      <c r="AF95" s="627"/>
      <c r="AG95" s="627"/>
      <c r="AH95" s="627"/>
      <c r="AI95" s="627"/>
      <c r="AJ95" s="627"/>
      <c r="AK95" s="627"/>
      <c r="AL95" s="627"/>
      <c r="AM95" s="627"/>
      <c r="AN95" s="627"/>
      <c r="AO95" s="627"/>
      <c r="AP95" s="627"/>
      <c r="AQ95" s="627"/>
      <c r="AR95" s="627"/>
      <c r="AS95" s="627"/>
      <c r="AT95" s="627"/>
      <c r="AU95" s="627"/>
      <c r="AV95" s="627"/>
      <c r="AW95" s="627"/>
      <c r="AX95" s="627"/>
      <c r="AY95" s="627"/>
      <c r="AZ95" s="627"/>
      <c r="BA95" s="627"/>
      <c r="BB95" s="627"/>
      <c r="BC95" s="627"/>
      <c r="BD95" s="627"/>
      <c r="BE95" s="627"/>
      <c r="BF95" s="627"/>
      <c r="BG95" s="627"/>
      <c r="BH95" s="627"/>
      <c r="BI95" s="627"/>
      <c r="BJ95" s="627"/>
    </row>
    <row r="96" spans="1:62" ht="5.25" customHeight="1" x14ac:dyDescent="0.35">
      <c r="A96" s="988"/>
      <c r="B96" s="636"/>
      <c r="C96" s="652"/>
      <c r="D96" s="652"/>
      <c r="E96" s="652"/>
      <c r="F96" s="652"/>
      <c r="G96" s="652"/>
      <c r="H96" s="652"/>
      <c r="I96" s="652"/>
      <c r="J96" s="652"/>
      <c r="K96" s="987"/>
      <c r="L96" s="627"/>
      <c r="M96" s="627"/>
      <c r="N96" s="627"/>
      <c r="O96" s="627"/>
      <c r="P96" s="627"/>
      <c r="Q96" s="719"/>
      <c r="R96" s="627"/>
      <c r="S96" s="627"/>
      <c r="T96" s="627"/>
      <c r="U96" s="627"/>
      <c r="V96" s="627"/>
      <c r="W96" s="627"/>
      <c r="X96" s="627"/>
      <c r="Y96" s="627"/>
      <c r="Z96" s="627"/>
      <c r="AA96" s="627"/>
      <c r="AB96" s="627"/>
      <c r="AC96" s="627"/>
      <c r="AD96" s="627"/>
      <c r="AE96" s="627"/>
      <c r="AF96" s="627"/>
      <c r="AG96" s="627"/>
      <c r="AH96" s="627"/>
      <c r="AI96" s="627"/>
      <c r="AJ96" s="627"/>
      <c r="AK96" s="627"/>
      <c r="AL96" s="627"/>
      <c r="AM96" s="627"/>
      <c r="AN96" s="627"/>
      <c r="AO96" s="627"/>
      <c r="AP96" s="627"/>
      <c r="AQ96" s="627"/>
      <c r="AR96" s="627"/>
      <c r="AS96" s="627"/>
      <c r="AT96" s="627"/>
      <c r="AU96" s="627"/>
      <c r="AV96" s="627"/>
      <c r="AW96" s="627"/>
      <c r="AX96" s="627"/>
      <c r="AY96" s="627"/>
      <c r="AZ96" s="627"/>
      <c r="BA96" s="627"/>
      <c r="BB96" s="627"/>
      <c r="BC96" s="627"/>
      <c r="BD96" s="627"/>
      <c r="BE96" s="627"/>
      <c r="BF96" s="627"/>
      <c r="BG96" s="627"/>
      <c r="BH96" s="627"/>
      <c r="BI96" s="627"/>
      <c r="BJ96" s="627"/>
    </row>
    <row r="97" spans="1:27" x14ac:dyDescent="0.35">
      <c r="A97" s="988"/>
      <c r="B97" s="988"/>
      <c r="C97" s="1010" t="s">
        <v>48</v>
      </c>
      <c r="D97" s="1010"/>
      <c r="E97" s="1010"/>
      <c r="F97" s="1010"/>
      <c r="G97" s="1011">
        <f>IF(G25=0,0,(VLOOKUP(BJ8,D37:H45,5,0))-(G91+G93))</f>
        <v>60</v>
      </c>
      <c r="H97" s="1010" t="s">
        <v>46</v>
      </c>
      <c r="I97" s="627"/>
      <c r="J97" s="627"/>
      <c r="K97" s="719"/>
      <c r="L97" s="627"/>
      <c r="M97" s="627"/>
      <c r="N97" s="627"/>
      <c r="O97" s="627"/>
      <c r="P97" s="627"/>
      <c r="Q97" s="719"/>
      <c r="R97" s="627"/>
      <c r="S97" s="627"/>
      <c r="T97" s="627"/>
      <c r="U97" s="627"/>
      <c r="V97" s="627"/>
      <c r="W97" s="627"/>
      <c r="X97" s="627"/>
      <c r="Y97" s="627"/>
      <c r="Z97" s="627"/>
      <c r="AA97" s="627"/>
    </row>
    <row r="98" spans="1:27" ht="4.5" customHeight="1" x14ac:dyDescent="0.35">
      <c r="A98" s="988"/>
      <c r="B98" s="637"/>
      <c r="C98" s="749"/>
      <c r="D98" s="749"/>
      <c r="E98" s="749"/>
      <c r="F98" s="749"/>
      <c r="G98" s="749"/>
      <c r="H98" s="749"/>
      <c r="I98" s="749"/>
      <c r="J98" s="749"/>
      <c r="K98" s="748"/>
      <c r="L98" s="627"/>
      <c r="M98" s="627"/>
      <c r="N98" s="627"/>
      <c r="O98" s="627"/>
      <c r="P98" s="627"/>
      <c r="Q98" s="719"/>
      <c r="R98" s="627"/>
      <c r="S98" s="627"/>
      <c r="T98" s="627"/>
      <c r="U98" s="627"/>
      <c r="V98" s="627"/>
      <c r="W98" s="627"/>
      <c r="X98" s="627"/>
      <c r="Y98" s="627"/>
      <c r="Z98" s="627"/>
      <c r="AA98" s="627"/>
    </row>
    <row r="99" spans="1:27" ht="5.25" customHeight="1" x14ac:dyDescent="0.35">
      <c r="A99" s="988"/>
      <c r="B99" s="627"/>
      <c r="C99" s="627"/>
      <c r="D99" s="627"/>
      <c r="E99" s="627"/>
      <c r="F99" s="627"/>
      <c r="G99" s="627"/>
      <c r="H99" s="627"/>
      <c r="I99" s="627"/>
      <c r="J99" s="627"/>
      <c r="K99" s="627"/>
      <c r="L99" s="627"/>
      <c r="M99" s="627"/>
      <c r="N99" s="627"/>
      <c r="O99" s="627"/>
      <c r="P99" s="627"/>
      <c r="Q99" s="719"/>
      <c r="R99" s="627"/>
      <c r="S99" s="627"/>
      <c r="T99" s="627"/>
      <c r="U99" s="627"/>
      <c r="V99" s="627"/>
      <c r="W99" s="627"/>
      <c r="X99" s="627"/>
      <c r="Y99" s="627"/>
      <c r="Z99" s="627"/>
      <c r="AA99" s="627"/>
    </row>
    <row r="100" spans="1:27" ht="4.5" customHeight="1" x14ac:dyDescent="0.35">
      <c r="A100" s="988"/>
      <c r="B100" s="636"/>
      <c r="C100" s="652"/>
      <c r="D100" s="652"/>
      <c r="E100" s="652"/>
      <c r="F100" s="652"/>
      <c r="G100" s="652"/>
      <c r="H100" s="652"/>
      <c r="I100" s="652"/>
      <c r="J100" s="652"/>
      <c r="K100" s="987"/>
      <c r="L100" s="627"/>
      <c r="M100" s="627"/>
      <c r="N100" s="627"/>
      <c r="O100" s="627"/>
      <c r="P100" s="627"/>
      <c r="Q100" s="719"/>
      <c r="R100" s="627"/>
      <c r="S100" s="627"/>
      <c r="T100" s="627"/>
      <c r="U100" s="627"/>
      <c r="V100" s="627"/>
      <c r="W100" s="627"/>
      <c r="X100" s="627"/>
      <c r="Y100" s="627"/>
      <c r="Z100" s="627"/>
      <c r="AA100" s="627"/>
    </row>
    <row r="101" spans="1:27" ht="15.75" customHeight="1" x14ac:dyDescent="0.35">
      <c r="A101" s="988"/>
      <c r="B101" s="988"/>
      <c r="C101" s="1323" t="s">
        <v>49</v>
      </c>
      <c r="D101" s="1323"/>
      <c r="E101" s="1323"/>
      <c r="F101" s="1323"/>
      <c r="G101" s="1323"/>
      <c r="H101" s="1323"/>
      <c r="I101" s="1323"/>
      <c r="J101" s="1323"/>
      <c r="K101" s="719"/>
      <c r="L101" s="627"/>
      <c r="M101" s="627"/>
      <c r="N101" s="627"/>
      <c r="O101" s="627"/>
      <c r="P101" s="627"/>
      <c r="Q101" s="719"/>
      <c r="R101" s="627"/>
      <c r="S101" s="627"/>
      <c r="T101" s="627"/>
      <c r="U101" s="627"/>
      <c r="V101" s="627"/>
      <c r="W101" s="627"/>
      <c r="X101" s="627"/>
      <c r="Y101" s="627"/>
      <c r="Z101" s="627"/>
      <c r="AA101" s="627"/>
    </row>
    <row r="102" spans="1:27" ht="4.5" customHeight="1" x14ac:dyDescent="0.35">
      <c r="A102" s="988"/>
      <c r="B102" s="988"/>
      <c r="C102" s="627"/>
      <c r="D102" s="627"/>
      <c r="E102" s="627"/>
      <c r="F102" s="627"/>
      <c r="G102" s="627"/>
      <c r="H102" s="627"/>
      <c r="I102" s="627"/>
      <c r="J102" s="627"/>
      <c r="K102" s="719"/>
      <c r="L102" s="627"/>
      <c r="M102" s="627"/>
      <c r="N102" s="627"/>
      <c r="O102" s="627"/>
      <c r="P102" s="627"/>
      <c r="Q102" s="719"/>
      <c r="R102" s="627"/>
      <c r="S102" s="627"/>
      <c r="T102" s="627"/>
      <c r="U102" s="627"/>
      <c r="V102" s="627"/>
      <c r="W102" s="627"/>
      <c r="X102" s="627"/>
      <c r="Y102" s="627"/>
      <c r="Z102" s="627"/>
      <c r="AA102" s="627"/>
    </row>
    <row r="103" spans="1:27" x14ac:dyDescent="0.35">
      <c r="A103" s="988"/>
      <c r="B103" s="988"/>
      <c r="C103" s="627" t="s">
        <v>50</v>
      </c>
      <c r="D103" s="627"/>
      <c r="E103" s="627"/>
      <c r="F103" s="627"/>
      <c r="G103" s="627" t="s">
        <v>51</v>
      </c>
      <c r="H103" s="627"/>
      <c r="I103" s="627"/>
      <c r="J103" s="627"/>
      <c r="K103" s="719"/>
      <c r="L103" s="627"/>
      <c r="M103" s="627"/>
      <c r="N103" s="627"/>
      <c r="O103" s="627"/>
      <c r="P103" s="627"/>
      <c r="Q103" s="719"/>
      <c r="R103" s="627"/>
      <c r="S103" s="627"/>
      <c r="T103" s="627"/>
      <c r="U103" s="627"/>
      <c r="V103" s="627"/>
      <c r="W103" s="627"/>
      <c r="X103" s="627"/>
      <c r="Y103" s="627"/>
      <c r="Z103" s="627"/>
      <c r="AA103" s="627"/>
    </row>
    <row r="104" spans="1:27" x14ac:dyDescent="0.35">
      <c r="A104" s="988"/>
      <c r="B104" s="988"/>
      <c r="C104" s="626"/>
      <c r="D104" s="627" t="s">
        <v>52</v>
      </c>
      <c r="E104" s="626" t="s">
        <v>10</v>
      </c>
      <c r="F104" s="627" t="s">
        <v>53</v>
      </c>
      <c r="G104" s="674" t="s">
        <v>54</v>
      </c>
      <c r="H104" s="674" t="s">
        <v>55</v>
      </c>
      <c r="I104" s="674" t="s">
        <v>56</v>
      </c>
      <c r="J104" s="674" t="s">
        <v>57</v>
      </c>
      <c r="K104" s="751"/>
      <c r="L104" s="627"/>
      <c r="M104" s="627"/>
      <c r="N104" s="627"/>
      <c r="O104" s="627"/>
      <c r="P104" s="627"/>
      <c r="Q104" s="719"/>
      <c r="R104" s="627"/>
      <c r="S104" s="627"/>
      <c r="T104" s="627"/>
      <c r="U104" s="627"/>
      <c r="V104" s="627"/>
      <c r="W104" s="627"/>
      <c r="X104" s="627"/>
      <c r="Y104" s="627"/>
      <c r="Z104" s="627"/>
      <c r="AA104" s="627"/>
    </row>
    <row r="105" spans="1:27" x14ac:dyDescent="0.35">
      <c r="A105" s="988"/>
      <c r="B105" s="988"/>
      <c r="C105" s="195">
        <f>IF(F248="X",1000,0)</f>
        <v>0</v>
      </c>
      <c r="D105" s="627"/>
      <c r="E105" s="627"/>
      <c r="F105" s="627"/>
      <c r="G105" s="660"/>
      <c r="H105" s="660"/>
      <c r="I105" s="660"/>
      <c r="J105" s="660"/>
      <c r="K105" s="751"/>
      <c r="L105" s="627"/>
      <c r="M105" s="627"/>
      <c r="N105" s="627"/>
      <c r="O105" s="627"/>
      <c r="P105" s="627"/>
      <c r="Q105" s="719"/>
      <c r="R105" s="627"/>
      <c r="S105" s="627"/>
      <c r="T105" s="627"/>
      <c r="U105" s="627"/>
      <c r="V105" s="627"/>
      <c r="W105" s="627"/>
      <c r="X105" s="627"/>
      <c r="Y105" s="627"/>
      <c r="Z105" s="627"/>
      <c r="AA105" s="627"/>
    </row>
    <row r="106" spans="1:27" ht="6" customHeight="1" x14ac:dyDescent="0.35">
      <c r="A106" s="988"/>
      <c r="B106" s="637"/>
      <c r="C106" s="749"/>
      <c r="D106" s="749"/>
      <c r="E106" s="749"/>
      <c r="F106" s="749"/>
      <c r="G106" s="749"/>
      <c r="H106" s="749"/>
      <c r="I106" s="749"/>
      <c r="J106" s="749"/>
      <c r="K106" s="748"/>
      <c r="L106" s="627"/>
      <c r="M106" s="627"/>
      <c r="N106" s="627"/>
      <c r="O106" s="627"/>
      <c r="P106" s="627"/>
      <c r="Q106" s="719"/>
      <c r="R106" s="627"/>
      <c r="S106" s="627"/>
      <c r="T106" s="627"/>
      <c r="U106" s="627"/>
      <c r="V106" s="627"/>
      <c r="W106" s="627"/>
      <c r="X106" s="627"/>
      <c r="Y106" s="627"/>
      <c r="Z106" s="627"/>
      <c r="AA106" s="627"/>
    </row>
    <row r="107" spans="1:27" ht="5.25" customHeight="1" x14ac:dyDescent="0.35">
      <c r="A107" s="988"/>
      <c r="B107" s="627"/>
      <c r="C107" s="627"/>
      <c r="D107" s="627"/>
      <c r="E107" s="627"/>
      <c r="F107" s="627"/>
      <c r="G107" s="627"/>
      <c r="H107" s="627"/>
      <c r="I107" s="627"/>
      <c r="J107" s="627"/>
      <c r="K107" s="627"/>
      <c r="L107" s="627"/>
      <c r="M107" s="627"/>
      <c r="N107" s="627"/>
      <c r="O107" s="627"/>
      <c r="P107" s="627"/>
      <c r="Q107" s="719"/>
      <c r="R107" s="627"/>
      <c r="S107" s="627"/>
      <c r="T107" s="627"/>
      <c r="U107" s="627"/>
      <c r="V107" s="627"/>
      <c r="W107" s="627"/>
      <c r="X107" s="627"/>
      <c r="Y107" s="627"/>
      <c r="Z107" s="627"/>
      <c r="AA107" s="627"/>
    </row>
    <row r="108" spans="1:27" ht="5.25" customHeight="1" x14ac:dyDescent="0.35">
      <c r="A108" s="988"/>
      <c r="B108" s="636"/>
      <c r="C108" s="652"/>
      <c r="D108" s="652"/>
      <c r="E108" s="652"/>
      <c r="F108" s="652"/>
      <c r="G108" s="652"/>
      <c r="H108" s="652"/>
      <c r="I108" s="652"/>
      <c r="J108" s="652"/>
      <c r="K108" s="987"/>
      <c r="L108" s="627"/>
      <c r="M108" s="627"/>
      <c r="N108" s="627"/>
      <c r="O108" s="627"/>
      <c r="P108" s="627"/>
      <c r="Q108" s="719"/>
      <c r="R108" s="627"/>
      <c r="S108" s="627"/>
      <c r="T108" s="627"/>
      <c r="U108" s="627"/>
      <c r="V108" s="627"/>
      <c r="W108" s="627"/>
      <c r="X108" s="627"/>
      <c r="Y108" s="627"/>
      <c r="Z108" s="627"/>
      <c r="AA108" s="627"/>
    </row>
    <row r="109" spans="1:27" x14ac:dyDescent="0.35">
      <c r="A109" s="988"/>
      <c r="B109" s="988"/>
      <c r="C109" s="627" t="s">
        <v>58</v>
      </c>
      <c r="D109" s="627"/>
      <c r="E109" s="627"/>
      <c r="F109" s="627"/>
      <c r="G109" s="627"/>
      <c r="H109" s="627" t="s">
        <v>59</v>
      </c>
      <c r="I109" s="627"/>
      <c r="J109" s="627"/>
      <c r="K109" s="719"/>
      <c r="L109" s="627"/>
      <c r="M109" s="627"/>
      <c r="N109" s="627"/>
      <c r="O109" s="627"/>
      <c r="P109" s="627"/>
      <c r="Q109" s="719"/>
      <c r="R109" s="627"/>
      <c r="S109" s="627"/>
      <c r="T109" s="627"/>
      <c r="U109" s="627"/>
      <c r="V109" s="627"/>
      <c r="W109" s="627"/>
      <c r="X109" s="627"/>
      <c r="Y109" s="627"/>
      <c r="Z109" s="627"/>
      <c r="AA109" s="627"/>
    </row>
    <row r="110" spans="1:27" x14ac:dyDescent="0.35">
      <c r="A110" s="988"/>
      <c r="B110" s="988"/>
      <c r="C110" s="626"/>
      <c r="D110" s="627" t="s">
        <v>52</v>
      </c>
      <c r="E110" s="626" t="s">
        <v>10</v>
      </c>
      <c r="F110" s="627" t="s">
        <v>53</v>
      </c>
      <c r="G110" s="627"/>
      <c r="H110" s="674" t="s">
        <v>60</v>
      </c>
      <c r="I110" s="674" t="s">
        <v>61</v>
      </c>
      <c r="J110" s="674" t="s">
        <v>62</v>
      </c>
      <c r="K110" s="751"/>
      <c r="L110" s="627"/>
      <c r="M110" s="627"/>
      <c r="N110" s="627"/>
      <c r="O110" s="627"/>
      <c r="P110" s="627"/>
      <c r="Q110" s="719"/>
      <c r="R110" s="627"/>
      <c r="S110" s="627"/>
      <c r="T110" s="627"/>
      <c r="U110" s="627"/>
      <c r="V110" s="627"/>
      <c r="W110" s="627"/>
      <c r="X110" s="627"/>
      <c r="Y110" s="627"/>
      <c r="Z110" s="627"/>
      <c r="AA110" s="627"/>
    </row>
    <row r="111" spans="1:27" x14ac:dyDescent="0.35">
      <c r="A111" s="988"/>
      <c r="B111" s="988"/>
      <c r="C111" s="195">
        <f>IF(C110="X",1000,0)</f>
        <v>0</v>
      </c>
      <c r="D111" s="627"/>
      <c r="E111" s="627"/>
      <c r="F111" s="627"/>
      <c r="G111" s="627"/>
      <c r="H111" s="660"/>
      <c r="I111" s="660"/>
      <c r="J111" s="660"/>
      <c r="K111" s="751"/>
      <c r="L111" s="627"/>
      <c r="M111" s="627"/>
      <c r="N111" s="627"/>
      <c r="O111" s="627"/>
      <c r="P111" s="627"/>
      <c r="Q111" s="719"/>
      <c r="R111" s="627"/>
      <c r="S111" s="627"/>
      <c r="T111" s="627"/>
      <c r="U111" s="627"/>
      <c r="V111" s="627"/>
      <c r="W111" s="627"/>
      <c r="X111" s="627"/>
      <c r="Y111" s="627"/>
      <c r="Z111" s="627"/>
      <c r="AA111" s="627"/>
    </row>
    <row r="112" spans="1:27" ht="6.75" customHeight="1" x14ac:dyDescent="0.35">
      <c r="A112" s="988"/>
      <c r="B112" s="637"/>
      <c r="C112" s="749"/>
      <c r="D112" s="749"/>
      <c r="E112" s="749"/>
      <c r="F112" s="749"/>
      <c r="G112" s="749"/>
      <c r="H112" s="749"/>
      <c r="I112" s="749"/>
      <c r="J112" s="749"/>
      <c r="K112" s="748"/>
      <c r="L112" s="627"/>
      <c r="M112" s="627"/>
      <c r="N112" s="627"/>
      <c r="O112" s="627"/>
      <c r="P112" s="627"/>
      <c r="Q112" s="719"/>
      <c r="R112" s="627"/>
      <c r="S112" s="627"/>
      <c r="T112" s="627"/>
      <c r="U112" s="627"/>
      <c r="V112" s="627"/>
      <c r="W112" s="627"/>
      <c r="X112" s="627"/>
      <c r="Y112" s="627"/>
      <c r="Z112" s="627"/>
      <c r="AA112" s="627"/>
    </row>
    <row r="113" spans="1:17" ht="6" customHeight="1" x14ac:dyDescent="0.35">
      <c r="A113" s="988"/>
      <c r="B113" s="627"/>
      <c r="C113" s="627"/>
      <c r="D113" s="627"/>
      <c r="E113" s="627"/>
      <c r="F113" s="627"/>
      <c r="G113" s="627"/>
      <c r="H113" s="627"/>
      <c r="I113" s="627"/>
      <c r="J113" s="627"/>
      <c r="K113" s="627"/>
      <c r="L113" s="627"/>
      <c r="M113" s="627"/>
      <c r="N113" s="627"/>
      <c r="O113" s="627"/>
      <c r="P113" s="627"/>
      <c r="Q113" s="719"/>
    </row>
    <row r="114" spans="1:17" ht="6" customHeight="1" x14ac:dyDescent="0.35">
      <c r="A114" s="988"/>
      <c r="B114" s="636"/>
      <c r="C114" s="652"/>
      <c r="D114" s="652"/>
      <c r="E114" s="652"/>
      <c r="F114" s="652"/>
      <c r="G114" s="652"/>
      <c r="H114" s="987"/>
      <c r="I114" s="627"/>
      <c r="J114" s="627"/>
      <c r="K114" s="627"/>
      <c r="L114" s="627"/>
      <c r="M114" s="627"/>
      <c r="N114" s="627"/>
      <c r="O114" s="627"/>
      <c r="P114" s="627"/>
      <c r="Q114" s="719"/>
    </row>
    <row r="115" spans="1:17" x14ac:dyDescent="0.35">
      <c r="A115" s="988"/>
      <c r="B115" s="988"/>
      <c r="C115" s="627" t="s">
        <v>63</v>
      </c>
      <c r="D115" s="627"/>
      <c r="E115" s="627"/>
      <c r="F115" s="1009">
        <f>((G105*H105)+(I105*J105))*2.4*2500</f>
        <v>0</v>
      </c>
      <c r="G115" s="627" t="s">
        <v>64</v>
      </c>
      <c r="H115" s="719"/>
      <c r="I115" s="627"/>
      <c r="J115" s="627"/>
      <c r="K115" s="627"/>
      <c r="L115" s="627"/>
      <c r="M115" s="627"/>
      <c r="N115" s="627"/>
      <c r="O115" s="627"/>
      <c r="P115" s="627"/>
      <c r="Q115" s="719"/>
    </row>
    <row r="116" spans="1:17" x14ac:dyDescent="0.35">
      <c r="A116" s="988"/>
      <c r="B116" s="988"/>
      <c r="C116" s="627"/>
      <c r="D116" s="627"/>
      <c r="E116" s="627"/>
      <c r="F116" s="627"/>
      <c r="G116" s="627"/>
      <c r="H116" s="719"/>
      <c r="I116" s="627"/>
      <c r="J116" s="627"/>
      <c r="K116" s="627"/>
      <c r="L116" s="627"/>
      <c r="M116" s="627"/>
      <c r="N116" s="627"/>
      <c r="O116" s="627"/>
      <c r="P116" s="627"/>
      <c r="Q116" s="719"/>
    </row>
    <row r="117" spans="1:17" x14ac:dyDescent="0.35">
      <c r="A117" s="988"/>
      <c r="B117" s="988"/>
      <c r="C117" s="627" t="s">
        <v>65</v>
      </c>
      <c r="D117" s="627"/>
      <c r="E117" s="627"/>
      <c r="F117" s="1009">
        <f>((H111*I111)+(H111*J111/2))*2.4*2500</f>
        <v>0</v>
      </c>
      <c r="G117" s="627" t="s">
        <v>64</v>
      </c>
      <c r="H117" s="719"/>
      <c r="I117" s="627"/>
      <c r="J117" s="627"/>
      <c r="K117" s="627"/>
      <c r="L117" s="627"/>
      <c r="M117" s="627"/>
      <c r="N117" s="627"/>
      <c r="O117" s="627"/>
      <c r="P117" s="627"/>
      <c r="Q117" s="719"/>
    </row>
    <row r="118" spans="1:17" ht="5.25" customHeight="1" x14ac:dyDescent="0.35">
      <c r="A118" s="988"/>
      <c r="B118" s="637"/>
      <c r="C118" s="749"/>
      <c r="D118" s="749"/>
      <c r="E118" s="749"/>
      <c r="F118" s="749"/>
      <c r="G118" s="749"/>
      <c r="H118" s="748"/>
      <c r="I118" s="627"/>
      <c r="J118" s="627"/>
      <c r="K118" s="627"/>
      <c r="L118" s="627"/>
      <c r="M118" s="627"/>
      <c r="N118" s="627"/>
      <c r="O118" s="627"/>
      <c r="P118" s="627"/>
      <c r="Q118" s="719"/>
    </row>
    <row r="119" spans="1:17" ht="12.75" hidden="1" customHeight="1" x14ac:dyDescent="0.35">
      <c r="A119" s="988"/>
      <c r="B119" s="627"/>
      <c r="C119" s="646"/>
      <c r="D119" s="627"/>
      <c r="E119" s="627"/>
      <c r="F119" s="627"/>
      <c r="G119" s="627"/>
      <c r="H119" s="627"/>
      <c r="I119" s="627"/>
      <c r="J119" s="627"/>
      <c r="K119" s="627"/>
      <c r="L119" s="627"/>
      <c r="M119" s="627"/>
      <c r="N119" s="627"/>
      <c r="O119" s="627"/>
      <c r="P119" s="627"/>
      <c r="Q119" s="719"/>
    </row>
    <row r="120" spans="1:17" ht="12.75" hidden="1" customHeight="1" x14ac:dyDescent="0.35">
      <c r="A120" s="988"/>
      <c r="B120" s="636"/>
      <c r="C120" s="652"/>
      <c r="D120" s="652"/>
      <c r="E120" s="652"/>
      <c r="F120" s="652"/>
      <c r="G120" s="652"/>
      <c r="H120" s="987"/>
      <c r="I120" s="627"/>
      <c r="J120" s="627"/>
      <c r="K120" s="627"/>
      <c r="L120" s="627"/>
      <c r="M120" s="627"/>
      <c r="N120" s="627"/>
      <c r="O120" s="627"/>
      <c r="P120" s="627"/>
      <c r="Q120" s="719"/>
    </row>
    <row r="121" spans="1:17" hidden="1" x14ac:dyDescent="0.35">
      <c r="A121" s="988"/>
      <c r="B121" s="988"/>
      <c r="C121" s="627" t="s">
        <v>66</v>
      </c>
      <c r="D121" s="627"/>
      <c r="E121" s="627"/>
      <c r="F121" s="627"/>
      <c r="G121" s="627"/>
      <c r="H121" s="719"/>
      <c r="I121" s="627"/>
      <c r="J121" s="627"/>
      <c r="K121" s="627"/>
      <c r="L121" s="627"/>
      <c r="M121" s="627"/>
      <c r="N121" s="627"/>
      <c r="O121" s="627"/>
      <c r="P121" s="627"/>
      <c r="Q121" s="719"/>
    </row>
    <row r="122" spans="1:17" hidden="1" x14ac:dyDescent="0.35">
      <c r="A122" s="988"/>
      <c r="B122" s="988"/>
      <c r="C122" s="626"/>
      <c r="D122" s="627" t="s">
        <v>52</v>
      </c>
      <c r="E122" s="626"/>
      <c r="F122" s="627" t="s">
        <v>53</v>
      </c>
      <c r="G122" s="627"/>
      <c r="H122" s="719"/>
      <c r="I122" s="627"/>
      <c r="J122" s="627"/>
      <c r="K122" s="627"/>
      <c r="L122" s="627"/>
      <c r="M122" s="627"/>
      <c r="N122" s="627"/>
      <c r="O122" s="627"/>
      <c r="P122" s="627"/>
      <c r="Q122" s="719"/>
    </row>
    <row r="123" spans="1:17" ht="12.75" hidden="1" customHeight="1" x14ac:dyDescent="0.35">
      <c r="A123" s="988"/>
      <c r="B123" s="637"/>
      <c r="C123" s="749"/>
      <c r="D123" s="749"/>
      <c r="E123" s="749"/>
      <c r="F123" s="749"/>
      <c r="G123" s="749"/>
      <c r="H123" s="748"/>
      <c r="I123" s="192"/>
      <c r="J123" s="196" t="s">
        <v>67</v>
      </c>
      <c r="K123" s="196"/>
      <c r="L123" s="196" t="s">
        <v>68</v>
      </c>
      <c r="M123" s="627"/>
      <c r="N123" s="627"/>
      <c r="O123" s="627"/>
      <c r="P123" s="627"/>
      <c r="Q123" s="719"/>
    </row>
    <row r="124" spans="1:17" ht="12.75" hidden="1" customHeight="1" x14ac:dyDescent="0.35">
      <c r="A124" s="988"/>
      <c r="B124" s="627"/>
      <c r="C124" s="627"/>
      <c r="D124" s="627"/>
      <c r="E124" s="627"/>
      <c r="F124" s="627"/>
      <c r="G124" s="627"/>
      <c r="H124" s="627"/>
      <c r="I124" s="192"/>
      <c r="J124" s="196"/>
      <c r="K124" s="196"/>
      <c r="L124" s="196"/>
      <c r="M124" s="627"/>
      <c r="N124" s="627"/>
      <c r="O124" s="627"/>
      <c r="P124" s="627"/>
      <c r="Q124" s="719"/>
    </row>
    <row r="125" spans="1:17" ht="15" hidden="1" x14ac:dyDescent="0.4">
      <c r="A125" s="988"/>
      <c r="B125" s="627"/>
      <c r="C125" s="365" t="s">
        <v>69</v>
      </c>
      <c r="D125" s="627"/>
      <c r="E125" s="627"/>
      <c r="F125" s="627"/>
      <c r="G125" s="627"/>
      <c r="H125" s="627"/>
      <c r="I125" s="192" t="s">
        <v>70</v>
      </c>
      <c r="J125" s="197">
        <f>IF(C60="x",(VLOOKUP(BJ8,D37:H45,5,0)),0)</f>
        <v>62</v>
      </c>
      <c r="K125" s="197"/>
      <c r="L125" s="197">
        <f>IF(E60="x",VLOOKUP(BJ8,D37:H45,5,0),0)</f>
        <v>0</v>
      </c>
      <c r="M125" s="627"/>
      <c r="N125" s="627"/>
      <c r="O125" s="627"/>
      <c r="P125" s="627"/>
      <c r="Q125" s="719"/>
    </row>
    <row r="126" spans="1:17" hidden="1" x14ac:dyDescent="0.35">
      <c r="A126" s="988"/>
      <c r="B126" s="633"/>
      <c r="C126" s="646" t="s">
        <v>71</v>
      </c>
      <c r="D126" s="646"/>
      <c r="E126" s="646"/>
      <c r="F126" s="1381">
        <f ca="1">CÁLCULOS!F77</f>
        <v>23.55111104147047</v>
      </c>
      <c r="G126" s="1381"/>
      <c r="H126" s="629" t="s">
        <v>20</v>
      </c>
      <c r="I126" s="192" t="s">
        <v>72</v>
      </c>
      <c r="J126" s="197">
        <f>IF(C60="x",1.205/SIN(PI()/(VLOOKUP(BJ8,D37:H45,5,0)))-0.24,0)</f>
        <v>23.55111104147047</v>
      </c>
      <c r="K126" s="197"/>
      <c r="L126" s="197">
        <f>IF(E60="x",1.205/SIN(PI()/(VLOOKUP(BJ8,D37:H45,5,0)))-0.3,0)</f>
        <v>0</v>
      </c>
      <c r="M126" s="627"/>
      <c r="N126" s="627"/>
      <c r="O126" s="627"/>
      <c r="P126" s="627"/>
      <c r="Q126" s="719"/>
    </row>
    <row r="127" spans="1:17" hidden="1" x14ac:dyDescent="0.35">
      <c r="A127" s="988"/>
      <c r="B127" s="633"/>
      <c r="C127" s="646" t="s">
        <v>73</v>
      </c>
      <c r="D127" s="646"/>
      <c r="E127" s="646"/>
      <c r="F127" s="1381">
        <f ca="1">CÁLCULOS!F78</f>
        <v>23.520883359335002</v>
      </c>
      <c r="G127" s="1381"/>
      <c r="H127" s="629" t="s">
        <v>20</v>
      </c>
      <c r="I127" s="192" t="s">
        <v>74</v>
      </c>
      <c r="J127" s="197">
        <f>IF(C60="x",J126*COS(PI()/J125),0)</f>
        <v>23.520883359335002</v>
      </c>
      <c r="K127" s="197"/>
      <c r="L127" s="197">
        <f>IF(E60="x",L126*COS(PI()/L125),0)</f>
        <v>0</v>
      </c>
      <c r="M127" s="627"/>
      <c r="N127" s="627"/>
      <c r="O127" s="627"/>
      <c r="P127" s="627"/>
      <c r="Q127" s="719"/>
    </row>
    <row r="128" spans="1:17" hidden="1" x14ac:dyDescent="0.35">
      <c r="A128" s="988"/>
      <c r="B128" s="633"/>
      <c r="C128" s="646" t="s">
        <v>75</v>
      </c>
      <c r="D128" s="646"/>
      <c r="E128" s="646"/>
      <c r="F128" s="1381">
        <f ca="1">CÁLCULOS!F79</f>
        <v>2.3856883989574178</v>
      </c>
      <c r="G128" s="1381"/>
      <c r="H128" s="629" t="s">
        <v>20</v>
      </c>
      <c r="I128" s="192" t="s">
        <v>76</v>
      </c>
      <c r="J128" s="197">
        <f>IF(C60="X",2*J127*TAN(PI()/J125),0)</f>
        <v>2.3856883989574178</v>
      </c>
      <c r="K128" s="197"/>
      <c r="L128" s="197">
        <f>IF(E60="X",2*L127*TAN(PI()/L125),0)</f>
        <v>0</v>
      </c>
      <c r="M128" s="627"/>
      <c r="N128" s="627"/>
      <c r="O128" s="627"/>
      <c r="P128" s="627"/>
      <c r="Q128" s="719"/>
    </row>
    <row r="129" spans="1:17" hidden="1" x14ac:dyDescent="0.35">
      <c r="A129" s="988"/>
      <c r="B129" s="633"/>
      <c r="C129" s="646" t="s">
        <v>77</v>
      </c>
      <c r="D129" s="646"/>
      <c r="E129" s="646"/>
      <c r="F129" s="1322">
        <f ca="1">CÁLCULOS!F80</f>
        <v>1739.518455471479</v>
      </c>
      <c r="G129" s="1322"/>
      <c r="H129" s="629" t="s">
        <v>78</v>
      </c>
      <c r="I129" s="192" t="s">
        <v>79</v>
      </c>
      <c r="J129" s="197">
        <f>J125*J128*J127/2</f>
        <v>1739.518455471479</v>
      </c>
      <c r="K129" s="197"/>
      <c r="L129" s="197">
        <f>L125*L128*L127/2</f>
        <v>0</v>
      </c>
      <c r="M129" s="627"/>
      <c r="N129" s="627"/>
      <c r="O129" s="627"/>
      <c r="P129" s="627"/>
      <c r="Q129" s="719"/>
    </row>
    <row r="130" spans="1:17" hidden="1" x14ac:dyDescent="0.35">
      <c r="A130" s="988"/>
      <c r="B130" s="633"/>
      <c r="C130" s="646" t="s">
        <v>80</v>
      </c>
      <c r="D130" s="646"/>
      <c r="E130" s="646"/>
      <c r="F130" s="1322">
        <f ca="1">CÁLCULOS!F81</f>
        <v>12437.556956621076</v>
      </c>
      <c r="G130" s="1322"/>
      <c r="H130" s="629" t="s">
        <v>31</v>
      </c>
      <c r="I130" s="192" t="s">
        <v>81</v>
      </c>
      <c r="J130" s="197">
        <f>J129*E15</f>
        <v>12437.556956621076</v>
      </c>
      <c r="K130" s="197"/>
      <c r="L130" s="197">
        <f>L129*E15</f>
        <v>0</v>
      </c>
      <c r="M130" s="627"/>
      <c r="N130" s="627"/>
      <c r="O130" s="627"/>
      <c r="P130" s="627"/>
      <c r="Q130" s="719"/>
    </row>
    <row r="131" spans="1:17" hidden="1" x14ac:dyDescent="0.35">
      <c r="A131" s="988"/>
      <c r="B131" s="633"/>
      <c r="C131" s="646" t="s">
        <v>82</v>
      </c>
      <c r="D131" s="646"/>
      <c r="E131" s="646"/>
      <c r="F131" s="1322">
        <f ca="1">CÁLCULOS!F82</f>
        <v>11132.918115017466</v>
      </c>
      <c r="G131" s="1322"/>
      <c r="H131" s="629" t="s">
        <v>31</v>
      </c>
      <c r="I131" s="192" t="s">
        <v>83</v>
      </c>
      <c r="J131" s="197">
        <f>J129*E16</f>
        <v>11132.918115017466</v>
      </c>
      <c r="K131" s="197"/>
      <c r="L131" s="197">
        <f>L129*E16</f>
        <v>0</v>
      </c>
      <c r="M131" s="627"/>
      <c r="N131" s="627"/>
      <c r="O131" s="627"/>
      <c r="P131" s="627"/>
      <c r="Q131" s="719"/>
    </row>
    <row r="132" spans="1:17" hidden="1" x14ac:dyDescent="0.35">
      <c r="A132" s="988"/>
      <c r="B132" s="633"/>
      <c r="C132" s="646" t="s">
        <v>84</v>
      </c>
      <c r="D132" s="646"/>
      <c r="E132" s="646"/>
      <c r="F132" s="1322">
        <f ca="1">CÁLCULOS!F83</f>
        <v>4344.96</v>
      </c>
      <c r="G132" s="1322"/>
      <c r="H132" s="629" t="s">
        <v>78</v>
      </c>
      <c r="I132" s="192" t="s">
        <v>85</v>
      </c>
      <c r="J132" s="192">
        <f>J125*I15*2.4</f>
        <v>1086.24</v>
      </c>
      <c r="K132" s="192"/>
      <c r="L132" s="197">
        <f>L125*I15*2.4</f>
        <v>0</v>
      </c>
      <c r="M132" s="627"/>
      <c r="N132" s="627"/>
      <c r="O132" s="627"/>
      <c r="P132" s="627"/>
      <c r="Q132" s="719"/>
    </row>
    <row r="133" spans="1:17" hidden="1" x14ac:dyDescent="0.35">
      <c r="A133" s="988"/>
      <c r="B133" s="652"/>
      <c r="C133" s="652"/>
      <c r="D133" s="652"/>
      <c r="E133" s="652"/>
      <c r="F133" s="1012"/>
      <c r="G133" s="652"/>
      <c r="H133" s="627"/>
      <c r="I133" s="192"/>
      <c r="J133" s="192"/>
      <c r="K133" s="192"/>
      <c r="L133" s="197"/>
      <c r="M133" s="627"/>
      <c r="N133" s="627"/>
      <c r="O133" s="627"/>
      <c r="P133" s="627"/>
      <c r="Q133" s="719"/>
    </row>
    <row r="134" spans="1:17" hidden="1" x14ac:dyDescent="0.35">
      <c r="A134" s="988"/>
      <c r="B134" s="627"/>
      <c r="C134" s="627"/>
      <c r="D134" s="627"/>
      <c r="E134" s="627"/>
      <c r="F134" s="627"/>
      <c r="G134" s="627"/>
      <c r="H134" s="627"/>
      <c r="I134" s="627"/>
      <c r="J134" s="627"/>
      <c r="K134" s="627"/>
      <c r="L134" s="627"/>
      <c r="M134" s="627"/>
      <c r="N134" s="627"/>
      <c r="O134" s="627"/>
      <c r="P134" s="627"/>
      <c r="Q134" s="719"/>
    </row>
    <row r="135" spans="1:17" ht="8.25" customHeight="1" x14ac:dyDescent="0.35">
      <c r="A135" s="637"/>
      <c r="B135" s="749"/>
      <c r="C135" s="749"/>
      <c r="D135" s="749"/>
      <c r="E135" s="749"/>
      <c r="F135" s="749"/>
      <c r="G135" s="749"/>
      <c r="H135" s="749"/>
      <c r="I135" s="749"/>
      <c r="J135" s="749"/>
      <c r="K135" s="749"/>
      <c r="L135" s="749"/>
      <c r="M135" s="749"/>
      <c r="N135" s="749"/>
      <c r="O135" s="749"/>
      <c r="P135" s="749"/>
      <c r="Q135" s="748"/>
    </row>
    <row r="136" spans="1:17" ht="12" hidden="1" customHeight="1" x14ac:dyDescent="0.35">
      <c r="A136" s="646"/>
      <c r="B136" s="646"/>
      <c r="C136" s="646"/>
      <c r="D136" s="646"/>
      <c r="E136" s="646"/>
      <c r="F136" s="646"/>
      <c r="G136" s="646"/>
      <c r="H136" s="646"/>
      <c r="I136" s="646"/>
      <c r="J136" s="646"/>
      <c r="K136" s="646"/>
      <c r="L136" s="646"/>
      <c r="M136" s="646"/>
      <c r="N136" s="646"/>
      <c r="O136" s="646"/>
      <c r="P136" s="646"/>
      <c r="Q136" s="646"/>
    </row>
    <row r="137" spans="1:17" hidden="1" x14ac:dyDescent="0.35">
      <c r="A137" s="988"/>
      <c r="B137" s="627"/>
      <c r="C137" s="627"/>
      <c r="D137" s="627"/>
      <c r="E137" s="627"/>
      <c r="F137" s="627"/>
      <c r="G137" s="627"/>
      <c r="H137" s="627"/>
      <c r="I137" s="627"/>
      <c r="J137" s="1013" t="s">
        <v>86</v>
      </c>
      <c r="K137" s="719"/>
      <c r="L137" s="1014" t="s">
        <v>87</v>
      </c>
      <c r="M137" s="627"/>
      <c r="N137" s="627"/>
      <c r="O137" s="627"/>
      <c r="P137" s="627"/>
      <c r="Q137" s="719"/>
    </row>
    <row r="138" spans="1:17" hidden="1" x14ac:dyDescent="0.35">
      <c r="A138" s="988"/>
      <c r="B138" s="627"/>
      <c r="C138" s="1359" t="s">
        <v>88</v>
      </c>
      <c r="D138" s="1360"/>
      <c r="E138" s="1360"/>
      <c r="F138" s="1360"/>
      <c r="G138" s="1360"/>
      <c r="H138" s="1360"/>
      <c r="I138" s="1361"/>
      <c r="J138" s="949" t="s">
        <v>89</v>
      </c>
      <c r="K138" s="748"/>
      <c r="L138" s="975" t="s">
        <v>90</v>
      </c>
      <c r="M138" s="627"/>
      <c r="N138" s="627"/>
      <c r="O138" s="627"/>
      <c r="P138" s="627"/>
      <c r="Q138" s="719"/>
    </row>
    <row r="139" spans="1:17" hidden="1" x14ac:dyDescent="0.35">
      <c r="A139" s="988"/>
      <c r="B139" s="627"/>
      <c r="C139" s="740" t="s">
        <v>91</v>
      </c>
      <c r="D139" s="1015"/>
      <c r="E139" s="1016"/>
      <c r="F139" s="1015"/>
      <c r="G139" s="1015"/>
      <c r="H139" s="1015"/>
      <c r="I139" s="1015"/>
      <c r="J139" s="1017">
        <f ca="1">C738*9*(L878)</f>
        <v>1545.3</v>
      </c>
      <c r="K139" s="629"/>
      <c r="L139" s="661">
        <f ca="1">J139+(C738*9*(L878)*L797/100)</f>
        <v>1931.625</v>
      </c>
      <c r="M139" s="627" t="s">
        <v>92</v>
      </c>
      <c r="N139" s="761"/>
      <c r="O139" s="761"/>
      <c r="P139" s="627"/>
      <c r="Q139" s="719"/>
    </row>
    <row r="140" spans="1:17" hidden="1" x14ac:dyDescent="0.35">
      <c r="A140" s="988"/>
      <c r="B140" s="627"/>
      <c r="C140" s="740" t="s">
        <v>93</v>
      </c>
      <c r="D140" s="1015"/>
      <c r="E140" s="1016"/>
      <c r="F140" s="1015"/>
      <c r="G140" s="1015"/>
      <c r="H140" s="1015"/>
      <c r="I140" s="1015"/>
      <c r="J140" s="1017">
        <f ca="1">C739*9*(L878)</f>
        <v>909</v>
      </c>
      <c r="K140" s="748"/>
      <c r="L140" s="661">
        <f ca="1">J140+(C739*9*(L878)*L797/100)</f>
        <v>1136.25</v>
      </c>
      <c r="M140" s="627" t="s">
        <v>92</v>
      </c>
      <c r="N140" s="627"/>
      <c r="O140" s="761"/>
      <c r="P140" s="627"/>
      <c r="Q140" s="719"/>
    </row>
    <row r="141" spans="1:17" hidden="1" x14ac:dyDescent="0.35">
      <c r="A141" s="988"/>
      <c r="B141" s="627"/>
      <c r="C141" s="740" t="s">
        <v>94</v>
      </c>
      <c r="D141" s="1015"/>
      <c r="E141" s="1016"/>
      <c r="F141" s="1015"/>
      <c r="G141" s="1015"/>
      <c r="H141" s="1015"/>
      <c r="I141" s="1015"/>
      <c r="J141" s="1017">
        <f ca="1">C740*9*(L878)</f>
        <v>0</v>
      </c>
      <c r="K141" s="748"/>
      <c r="L141" s="661">
        <f ca="1">J141+(C740*9*(L878)*L797/100)</f>
        <v>0</v>
      </c>
      <c r="M141" s="627" t="s">
        <v>92</v>
      </c>
      <c r="N141" s="627"/>
      <c r="O141" s="761"/>
      <c r="P141" s="627"/>
      <c r="Q141" s="719"/>
    </row>
    <row r="142" spans="1:17" hidden="1" x14ac:dyDescent="0.35">
      <c r="A142" s="988"/>
      <c r="B142" s="627"/>
      <c r="C142" s="740" t="s">
        <v>95</v>
      </c>
      <c r="D142" s="1015"/>
      <c r="E142" s="1016"/>
      <c r="F142" s="1015"/>
      <c r="G142" s="1015"/>
      <c r="H142" s="1015"/>
      <c r="I142" s="1015"/>
      <c r="J142" s="1018">
        <f ca="1">C741*9*C734*(L878)</f>
        <v>7272</v>
      </c>
      <c r="K142" s="1019"/>
      <c r="L142" s="661">
        <f ca="1">J142+(C741*9*(L878)*L797/100)</f>
        <v>9090</v>
      </c>
      <c r="M142" s="627" t="s">
        <v>92</v>
      </c>
      <c r="N142" s="761"/>
      <c r="O142" s="627"/>
      <c r="P142" s="627"/>
      <c r="Q142" s="719"/>
    </row>
    <row r="143" spans="1:17" hidden="1" x14ac:dyDescent="0.35">
      <c r="A143" s="988"/>
      <c r="B143" s="627"/>
      <c r="C143" s="740" t="s">
        <v>96</v>
      </c>
      <c r="D143" s="1015"/>
      <c r="E143" s="1016"/>
      <c r="F143" s="1015"/>
      <c r="G143" s="1015"/>
      <c r="H143" s="1015"/>
      <c r="I143" s="1015"/>
      <c r="J143" s="1018">
        <f ca="1">C742*C734*9*C734*(L878)</f>
        <v>909</v>
      </c>
      <c r="K143" s="1019"/>
      <c r="L143" s="661">
        <f ca="1">J143+(C742*9*(L878)*L797/100)</f>
        <v>1136.25</v>
      </c>
      <c r="M143" s="627" t="s">
        <v>92</v>
      </c>
      <c r="N143" s="627"/>
      <c r="O143" s="627"/>
      <c r="P143" s="627"/>
      <c r="Q143" s="719"/>
    </row>
    <row r="144" spans="1:17" hidden="1" x14ac:dyDescent="0.35">
      <c r="A144" s="988"/>
      <c r="B144" s="627"/>
      <c r="C144" s="627"/>
      <c r="D144" s="627"/>
      <c r="E144" s="688"/>
      <c r="F144" s="627"/>
      <c r="G144" s="627"/>
      <c r="H144" s="627"/>
      <c r="I144" s="627"/>
      <c r="J144" s="999"/>
      <c r="K144" s="627"/>
      <c r="L144" s="761"/>
      <c r="M144" s="627"/>
      <c r="N144" s="627"/>
      <c r="O144" s="627"/>
      <c r="P144" s="627"/>
      <c r="Q144" s="719"/>
    </row>
    <row r="145" spans="1:17" hidden="1" x14ac:dyDescent="0.35">
      <c r="A145" s="988"/>
      <c r="B145" s="627"/>
      <c r="C145" s="1324" t="s">
        <v>97</v>
      </c>
      <c r="D145" s="1325"/>
      <c r="E145" s="1325"/>
      <c r="F145" s="1325"/>
      <c r="G145" s="1325"/>
      <c r="H145" s="1325"/>
      <c r="I145" s="1326"/>
      <c r="J145" s="948" t="s">
        <v>86</v>
      </c>
      <c r="K145" s="987"/>
      <c r="L145" s="739" t="s">
        <v>87</v>
      </c>
      <c r="M145" s="627"/>
      <c r="N145" s="627"/>
      <c r="O145" s="627"/>
      <c r="P145" s="627"/>
      <c r="Q145" s="719"/>
    </row>
    <row r="146" spans="1:17" hidden="1" x14ac:dyDescent="0.35">
      <c r="A146" s="988"/>
      <c r="B146" s="627"/>
      <c r="C146" s="1327"/>
      <c r="D146" s="1328"/>
      <c r="E146" s="1328"/>
      <c r="F146" s="1328"/>
      <c r="G146" s="1328"/>
      <c r="H146" s="1328"/>
      <c r="I146" s="1329"/>
      <c r="J146" s="949" t="s">
        <v>89</v>
      </c>
      <c r="K146" s="748"/>
      <c r="L146" s="975" t="s">
        <v>90</v>
      </c>
      <c r="M146" s="627"/>
      <c r="N146" s="627"/>
      <c r="O146" s="627"/>
      <c r="P146" s="627"/>
      <c r="Q146" s="719"/>
    </row>
    <row r="147" spans="1:17" hidden="1" x14ac:dyDescent="0.35">
      <c r="A147" s="988"/>
      <c r="B147" s="627"/>
      <c r="C147" s="740" t="s">
        <v>91</v>
      </c>
      <c r="D147" s="1015"/>
      <c r="E147" s="1016"/>
      <c r="F147" s="1015"/>
      <c r="G147" s="1015"/>
      <c r="H147" s="1015"/>
      <c r="I147" s="1015"/>
      <c r="J147" s="1020">
        <f ca="1">IF(I15=0,0,J139/($F$132))</f>
        <v>0.35565344675209898</v>
      </c>
      <c r="K147" s="973"/>
      <c r="L147" s="1021">
        <f ca="1">IF(I15=0,0,L139/$F$132)</f>
        <v>0.44456680844012375</v>
      </c>
      <c r="M147" s="627" t="s">
        <v>98</v>
      </c>
      <c r="N147" s="627"/>
      <c r="O147" s="627"/>
      <c r="P147" s="627"/>
      <c r="Q147" s="719"/>
    </row>
    <row r="148" spans="1:17" hidden="1" x14ac:dyDescent="0.35">
      <c r="A148" s="988"/>
      <c r="B148" s="627"/>
      <c r="C148" s="740" t="s">
        <v>93</v>
      </c>
      <c r="D148" s="1015"/>
      <c r="E148" s="1016"/>
      <c r="F148" s="1015"/>
      <c r="G148" s="1015"/>
      <c r="H148" s="1015"/>
      <c r="I148" s="1015"/>
      <c r="J148" s="1020">
        <f ca="1">J140/($F$132)</f>
        <v>0.20920790985417587</v>
      </c>
      <c r="K148" s="984"/>
      <c r="L148" s="1021">
        <f ca="1">L140/$F$132</f>
        <v>0.26150988731771985</v>
      </c>
      <c r="M148" s="627" t="s">
        <v>98</v>
      </c>
      <c r="N148" s="627"/>
      <c r="O148" s="627"/>
      <c r="P148" s="627"/>
      <c r="Q148" s="719"/>
    </row>
    <row r="149" spans="1:17" hidden="1" x14ac:dyDescent="0.35">
      <c r="A149" s="988"/>
      <c r="B149" s="627"/>
      <c r="C149" s="740" t="s">
        <v>94</v>
      </c>
      <c r="D149" s="1015"/>
      <c r="E149" s="1016"/>
      <c r="F149" s="1015"/>
      <c r="G149" s="1015"/>
      <c r="H149" s="1015"/>
      <c r="I149" s="1015"/>
      <c r="J149" s="1020">
        <f ca="1">J141/($F$132)</f>
        <v>0</v>
      </c>
      <c r="K149" s="984"/>
      <c r="L149" s="1021">
        <f ca="1">L141/$F$132</f>
        <v>0</v>
      </c>
      <c r="M149" s="627" t="s">
        <v>98</v>
      </c>
      <c r="N149" s="627"/>
      <c r="O149" s="627"/>
      <c r="P149" s="627"/>
      <c r="Q149" s="719"/>
    </row>
    <row r="150" spans="1:17" hidden="1" x14ac:dyDescent="0.35">
      <c r="A150" s="988"/>
      <c r="B150" s="627"/>
      <c r="C150" s="740" t="s">
        <v>95</v>
      </c>
      <c r="D150" s="1015"/>
      <c r="E150" s="1016"/>
      <c r="F150" s="1015"/>
      <c r="G150" s="1015"/>
      <c r="H150" s="1015"/>
      <c r="I150" s="1015"/>
      <c r="J150" s="1020">
        <f ca="1">IF(I15=0,0,J142/($F$132))</f>
        <v>1.6736632788334069</v>
      </c>
      <c r="K150" s="1019"/>
      <c r="L150" s="1021">
        <f ca="1">IF(I15=0,0,L142/$F$132)</f>
        <v>2.0920790985417588</v>
      </c>
      <c r="M150" s="627" t="s">
        <v>98</v>
      </c>
      <c r="N150" s="627"/>
      <c r="O150" s="627"/>
      <c r="P150" s="627"/>
      <c r="Q150" s="719"/>
    </row>
    <row r="151" spans="1:17" hidden="1" x14ac:dyDescent="0.35">
      <c r="A151" s="988"/>
      <c r="B151" s="627"/>
      <c r="C151" s="740" t="s">
        <v>96</v>
      </c>
      <c r="D151" s="1015"/>
      <c r="E151" s="1016"/>
      <c r="F151" s="1015"/>
      <c r="G151" s="1015"/>
      <c r="H151" s="1015"/>
      <c r="I151" s="1015"/>
      <c r="J151" s="1020">
        <f ca="1">IF(I15=0,0,J143/($F$132))</f>
        <v>0.20920790985417587</v>
      </c>
      <c r="K151" s="1019"/>
      <c r="L151" s="1021">
        <f ca="1">IF(I15=0,0,L143/$F$132)</f>
        <v>0.26150988731771985</v>
      </c>
      <c r="M151" s="627" t="s">
        <v>98</v>
      </c>
      <c r="N151" s="627"/>
      <c r="O151" s="627"/>
      <c r="P151" s="627"/>
      <c r="Q151" s="719"/>
    </row>
    <row r="152" spans="1:17" hidden="1" x14ac:dyDescent="0.35">
      <c r="A152" s="988"/>
      <c r="B152" s="627"/>
      <c r="C152" s="627"/>
      <c r="D152" s="627"/>
      <c r="E152" s="1022"/>
      <c r="F152" s="627"/>
      <c r="G152" s="627"/>
      <c r="H152" s="627"/>
      <c r="I152" s="1023" t="s">
        <v>99</v>
      </c>
      <c r="J152" s="1024">
        <f ca="1">IF(I15=0,0,SUM(J148:J151))</f>
        <v>2.0920790985417588</v>
      </c>
      <c r="K152" s="1025"/>
      <c r="L152" s="1026">
        <f ca="1">IF(I15=0,0,SUM(L148:L151))</f>
        <v>2.6150988731771987</v>
      </c>
      <c r="M152" s="1027" t="s">
        <v>98</v>
      </c>
      <c r="N152" s="1027"/>
      <c r="O152" s="627"/>
      <c r="P152" s="627"/>
      <c r="Q152" s="719"/>
    </row>
    <row r="153" spans="1:17" hidden="1" x14ac:dyDescent="0.35">
      <c r="A153" s="988"/>
      <c r="B153" s="627"/>
      <c r="C153" s="627"/>
      <c r="D153" s="627"/>
      <c r="E153" s="1022"/>
      <c r="F153" s="627"/>
      <c r="G153" s="627"/>
      <c r="H153" s="627"/>
      <c r="I153" s="627"/>
      <c r="J153" s="627"/>
      <c r="K153" s="627"/>
      <c r="L153" s="761"/>
      <c r="M153" s="627"/>
      <c r="N153" s="627"/>
      <c r="O153" s="627"/>
      <c r="P153" s="627"/>
      <c r="Q153" s="719"/>
    </row>
    <row r="154" spans="1:17" hidden="1" x14ac:dyDescent="0.35">
      <c r="A154" s="988"/>
      <c r="B154" s="627"/>
      <c r="C154" s="1324" t="s">
        <v>100</v>
      </c>
      <c r="D154" s="1325"/>
      <c r="E154" s="1325"/>
      <c r="F154" s="1325"/>
      <c r="G154" s="1325"/>
      <c r="H154" s="1325"/>
      <c r="I154" s="1325"/>
      <c r="J154" s="1325"/>
      <c r="K154" s="1326"/>
      <c r="L154" s="739" t="s">
        <v>101</v>
      </c>
      <c r="M154" s="627"/>
      <c r="N154" s="627"/>
      <c r="O154" s="627"/>
      <c r="P154" s="627"/>
      <c r="Q154" s="719"/>
    </row>
    <row r="155" spans="1:17" hidden="1" x14ac:dyDescent="0.35">
      <c r="A155" s="988"/>
      <c r="B155" s="627"/>
      <c r="C155" s="1327"/>
      <c r="D155" s="1328"/>
      <c r="E155" s="1328"/>
      <c r="F155" s="1328"/>
      <c r="G155" s="1328"/>
      <c r="H155" s="1328"/>
      <c r="I155" s="1328"/>
      <c r="J155" s="1328"/>
      <c r="K155" s="1329"/>
      <c r="L155" s="975" t="s">
        <v>102</v>
      </c>
      <c r="M155" s="627"/>
      <c r="N155" s="627"/>
      <c r="O155" s="627"/>
      <c r="P155" s="627"/>
      <c r="Q155" s="719"/>
    </row>
    <row r="156" spans="1:17" hidden="1" x14ac:dyDescent="0.35">
      <c r="A156" s="988"/>
      <c r="B156" s="627"/>
      <c r="C156" s="1028" t="s">
        <v>91</v>
      </c>
      <c r="D156" s="1029"/>
      <c r="E156" s="1030"/>
      <c r="F156" s="1029"/>
      <c r="G156" s="1029"/>
      <c r="H156" s="1029"/>
      <c r="I156" s="1031"/>
      <c r="J156" s="1032"/>
      <c r="K156" s="1033"/>
      <c r="L156" s="1034">
        <f ca="1">$L$885*$C$734*C738</f>
        <v>193.79999999999998</v>
      </c>
      <c r="M156" s="1035" t="s">
        <v>103</v>
      </c>
      <c r="N156" s="1035"/>
      <c r="O156" s="627"/>
      <c r="P156" s="627"/>
      <c r="Q156" s="719"/>
    </row>
    <row r="157" spans="1:17" hidden="1" x14ac:dyDescent="0.35">
      <c r="A157" s="988"/>
      <c r="B157" s="627"/>
      <c r="C157" s="1028" t="s">
        <v>93</v>
      </c>
      <c r="D157" s="1029"/>
      <c r="E157" s="1030"/>
      <c r="F157" s="1029"/>
      <c r="G157" s="1029"/>
      <c r="H157" s="1029"/>
      <c r="I157" s="1036"/>
      <c r="J157" s="1032"/>
      <c r="K157" s="1037"/>
      <c r="L157" s="1034">
        <f ca="1">$L$885*$C$734*C739</f>
        <v>114</v>
      </c>
      <c r="M157" s="1035" t="s">
        <v>103</v>
      </c>
      <c r="N157" s="1035"/>
      <c r="O157" s="627"/>
      <c r="P157" s="627"/>
      <c r="Q157" s="719"/>
    </row>
    <row r="158" spans="1:17" hidden="1" x14ac:dyDescent="0.35">
      <c r="A158" s="988"/>
      <c r="B158" s="627"/>
      <c r="C158" s="1028" t="s">
        <v>94</v>
      </c>
      <c r="D158" s="1029"/>
      <c r="E158" s="1030"/>
      <c r="F158" s="1029"/>
      <c r="G158" s="1029"/>
      <c r="H158" s="1029"/>
      <c r="I158" s="1036"/>
      <c r="J158" s="1032"/>
      <c r="K158" s="1037"/>
      <c r="L158" s="1034">
        <f ca="1">$L$885*$C$734*C740</f>
        <v>0</v>
      </c>
      <c r="M158" s="1035" t="s">
        <v>103</v>
      </c>
      <c r="N158" s="1035"/>
      <c r="O158" s="627"/>
      <c r="P158" s="627"/>
      <c r="Q158" s="719"/>
    </row>
    <row r="159" spans="1:17" hidden="1" x14ac:dyDescent="0.35">
      <c r="A159" s="988"/>
      <c r="B159" s="627"/>
      <c r="C159" s="1028" t="s">
        <v>95</v>
      </c>
      <c r="D159" s="1029"/>
      <c r="E159" s="1030"/>
      <c r="F159" s="1029"/>
      <c r="G159" s="1029"/>
      <c r="H159" s="1029"/>
      <c r="I159" s="1029"/>
      <c r="J159" s="1032"/>
      <c r="K159" s="1038"/>
      <c r="L159" s="1034">
        <f ca="1">$L$885*$C$734*C741</f>
        <v>912</v>
      </c>
      <c r="M159" s="1035" t="s">
        <v>103</v>
      </c>
      <c r="N159" s="1035"/>
      <c r="O159" s="627"/>
      <c r="P159" s="627"/>
      <c r="Q159" s="719"/>
    </row>
    <row r="160" spans="1:17" hidden="1" x14ac:dyDescent="0.35">
      <c r="A160" s="988"/>
      <c r="B160" s="627"/>
      <c r="C160" s="1028" t="s">
        <v>96</v>
      </c>
      <c r="D160" s="1029"/>
      <c r="E160" s="1030"/>
      <c r="F160" s="1029"/>
      <c r="G160" s="1029"/>
      <c r="H160" s="1029"/>
      <c r="I160" s="1029"/>
      <c r="J160" s="1032"/>
      <c r="K160" s="1038"/>
      <c r="L160" s="1034">
        <f ca="1">$L$885*$C$734*C742</f>
        <v>114</v>
      </c>
      <c r="M160" s="1035" t="s">
        <v>103</v>
      </c>
      <c r="N160" s="1035"/>
      <c r="O160" s="627"/>
      <c r="P160" s="627"/>
      <c r="Q160" s="719"/>
    </row>
    <row r="161" spans="1:17" hidden="1" x14ac:dyDescent="0.35">
      <c r="A161" s="988"/>
      <c r="B161" s="627"/>
      <c r="C161" s="627"/>
      <c r="D161" s="627"/>
      <c r="E161" s="627"/>
      <c r="F161" s="627"/>
      <c r="G161" s="627"/>
      <c r="H161" s="627"/>
      <c r="I161" s="627"/>
      <c r="J161" s="627"/>
      <c r="K161" s="627"/>
      <c r="L161" s="627"/>
      <c r="M161" s="627"/>
      <c r="N161" s="627"/>
      <c r="O161" s="627"/>
      <c r="P161" s="627"/>
      <c r="Q161" s="719"/>
    </row>
    <row r="162" spans="1:17" hidden="1" x14ac:dyDescent="0.35">
      <c r="A162" s="988"/>
      <c r="B162" s="627"/>
      <c r="C162" s="1359" t="s">
        <v>104</v>
      </c>
      <c r="D162" s="1360"/>
      <c r="E162" s="1360"/>
      <c r="F162" s="1360"/>
      <c r="G162" s="1360"/>
      <c r="H162" s="1360"/>
      <c r="I162" s="1360"/>
      <c r="J162" s="1360"/>
      <c r="K162" s="1360"/>
      <c r="L162" s="1361"/>
      <c r="M162" s="627"/>
      <c r="N162" s="627"/>
      <c r="O162" s="627"/>
      <c r="P162" s="627"/>
      <c r="Q162" s="719"/>
    </row>
    <row r="163" spans="1:17" hidden="1" x14ac:dyDescent="0.35">
      <c r="A163" s="988"/>
      <c r="B163" s="627"/>
      <c r="C163" s="1039" t="s">
        <v>105</v>
      </c>
      <c r="D163" s="1031"/>
      <c r="E163" s="1031"/>
      <c r="F163" s="1031"/>
      <c r="G163" s="1031"/>
      <c r="H163" s="1031"/>
      <c r="I163" s="1031"/>
      <c r="J163" s="1032"/>
      <c r="K163" s="1033"/>
      <c r="L163" s="1040">
        <f>ROUND(SUM($C$738:$C$742)*$C$734/200*($G$91+$G$93+$G$97),0)</f>
        <v>4</v>
      </c>
      <c r="M163" s="1035" t="s">
        <v>46</v>
      </c>
      <c r="N163" s="627"/>
      <c r="O163" s="627"/>
      <c r="P163" s="627"/>
      <c r="Q163" s="719"/>
    </row>
    <row r="164" spans="1:17" hidden="1" x14ac:dyDescent="0.35">
      <c r="A164" s="988"/>
      <c r="B164" s="627"/>
      <c r="C164" s="1039" t="s">
        <v>106</v>
      </c>
      <c r="D164" s="1031"/>
      <c r="E164" s="1031"/>
      <c r="F164" s="1031"/>
      <c r="G164" s="1031"/>
      <c r="H164" s="1031"/>
      <c r="I164" s="1031"/>
      <c r="J164" s="1032"/>
      <c r="K164" s="1033"/>
      <c r="L164" s="1040">
        <f>ROUND(SUM($C$738:$C$742)*$C$734/200*($G$91+$G$93+$G$97),0)</f>
        <v>4</v>
      </c>
      <c r="M164" s="1035" t="s">
        <v>46</v>
      </c>
      <c r="N164" s="627"/>
      <c r="O164" s="627"/>
      <c r="P164" s="627"/>
      <c r="Q164" s="719"/>
    </row>
    <row r="165" spans="1:17" hidden="1" x14ac:dyDescent="0.35">
      <c r="A165" s="988"/>
      <c r="B165" s="627"/>
      <c r="C165" s="1039" t="s">
        <v>107</v>
      </c>
      <c r="D165" s="1031"/>
      <c r="E165" s="1031"/>
      <c r="F165" s="1031"/>
      <c r="G165" s="1031"/>
      <c r="H165" s="1031"/>
      <c r="I165" s="1031"/>
      <c r="J165" s="1032"/>
      <c r="K165" s="1033"/>
      <c r="L165" s="1040">
        <f>ROUND(SUM($C$738:$C$742)*$C$734/150*($G$91+$G$93+$G$97),0)</f>
        <v>5</v>
      </c>
      <c r="M165" s="1035" t="s">
        <v>46</v>
      </c>
      <c r="N165" s="627"/>
      <c r="O165" s="627"/>
      <c r="P165" s="627"/>
      <c r="Q165" s="719"/>
    </row>
    <row r="166" spans="1:17" hidden="1" x14ac:dyDescent="0.35">
      <c r="A166" s="988"/>
      <c r="B166" s="627"/>
      <c r="C166" s="1039" t="s">
        <v>108</v>
      </c>
      <c r="D166" s="1031"/>
      <c r="E166" s="1031"/>
      <c r="F166" s="1031"/>
      <c r="G166" s="1031"/>
      <c r="H166" s="1031"/>
      <c r="I166" s="1031"/>
      <c r="J166" s="1032"/>
      <c r="K166" s="1033"/>
      <c r="L166" s="1040">
        <f>ROUND(SUM($C$738:$C$742)*$C$734/100*($G$91+$G$93+$G$97),0)</f>
        <v>7</v>
      </c>
      <c r="M166" s="1035" t="s">
        <v>46</v>
      </c>
      <c r="N166" s="627"/>
      <c r="O166" s="627"/>
      <c r="P166" s="627"/>
      <c r="Q166" s="719"/>
    </row>
    <row r="167" spans="1:17" hidden="1" x14ac:dyDescent="0.35">
      <c r="A167" s="988"/>
      <c r="B167" s="627"/>
      <c r="C167" s="1039" t="s">
        <v>109</v>
      </c>
      <c r="D167" s="1031"/>
      <c r="E167" s="1031"/>
      <c r="F167" s="1031"/>
      <c r="G167" s="1031"/>
      <c r="H167" s="1031"/>
      <c r="I167" s="1031"/>
      <c r="J167" s="1032"/>
      <c r="K167" s="1033"/>
      <c r="L167" s="1040">
        <f>ROUND(SUM($C$738:$C$742)*$C$734/400*($G$91+$G$93+$G$97),0)</f>
        <v>2</v>
      </c>
      <c r="M167" s="1035" t="s">
        <v>46</v>
      </c>
      <c r="N167" s="627"/>
      <c r="O167" s="627"/>
      <c r="P167" s="627"/>
      <c r="Q167" s="719"/>
    </row>
    <row r="168" spans="1:17" hidden="1" x14ac:dyDescent="0.35">
      <c r="A168" s="988"/>
      <c r="B168" s="627"/>
      <c r="C168" s="1039" t="s">
        <v>110</v>
      </c>
      <c r="D168" s="1031"/>
      <c r="E168" s="1031"/>
      <c r="F168" s="1031"/>
      <c r="G168" s="1031"/>
      <c r="H168" s="1031"/>
      <c r="I168" s="1031"/>
      <c r="J168" s="1032"/>
      <c r="K168" s="1033"/>
      <c r="L168" s="1040">
        <f>ROUND(SUM($C$738:$C$742)*$C$734/60*($G$91+$G$93+$G$97),0)</f>
        <v>12</v>
      </c>
      <c r="M168" s="1035" t="s">
        <v>46</v>
      </c>
      <c r="N168" s="627"/>
      <c r="O168" s="627"/>
      <c r="P168" s="627"/>
      <c r="Q168" s="719"/>
    </row>
    <row r="169" spans="1:17" hidden="1" x14ac:dyDescent="0.35">
      <c r="A169" s="988"/>
      <c r="B169" s="627"/>
      <c r="C169" s="1039" t="s">
        <v>111</v>
      </c>
      <c r="D169" s="1031"/>
      <c r="E169" s="1031"/>
      <c r="F169" s="1031"/>
      <c r="G169" s="1031"/>
      <c r="H169" s="1031"/>
      <c r="I169" s="1031"/>
      <c r="J169" s="1032"/>
      <c r="K169" s="1033"/>
      <c r="L169" s="1040">
        <f>ROUND(SUM($C$738:$C$742)*$C$734/60*($G$91+$G$93+$G$97),0)</f>
        <v>12</v>
      </c>
      <c r="M169" s="1035" t="s">
        <v>46</v>
      </c>
      <c r="N169" s="627"/>
      <c r="O169" s="627"/>
      <c r="P169" s="627"/>
      <c r="Q169" s="719"/>
    </row>
    <row r="170" spans="1:17" hidden="1" x14ac:dyDescent="0.35">
      <c r="A170" s="988"/>
      <c r="B170" s="627"/>
      <c r="C170" s="1039" t="s">
        <v>112</v>
      </c>
      <c r="D170" s="1031"/>
      <c r="E170" s="1031"/>
      <c r="F170" s="1031"/>
      <c r="G170" s="1031"/>
      <c r="H170" s="1031"/>
      <c r="I170" s="1031"/>
      <c r="J170" s="1032"/>
      <c r="K170" s="1033"/>
      <c r="L170" s="1040">
        <f>ROUND(SUM($C$738:$C$742)*$C$734/100*($G$91+$G$93+$G$97),0)</f>
        <v>7</v>
      </c>
      <c r="M170" s="1035" t="s">
        <v>46</v>
      </c>
      <c r="N170" s="627"/>
      <c r="O170" s="627"/>
      <c r="P170" s="627"/>
      <c r="Q170" s="719"/>
    </row>
    <row r="171" spans="1:17" hidden="1" x14ac:dyDescent="0.35">
      <c r="A171" s="988"/>
      <c r="B171" s="627"/>
      <c r="C171" s="1039" t="s">
        <v>113</v>
      </c>
      <c r="D171" s="1031"/>
      <c r="E171" s="1031"/>
      <c r="F171" s="1031"/>
      <c r="G171" s="1031"/>
      <c r="H171" s="1031"/>
      <c r="I171" s="1031"/>
      <c r="J171" s="1032"/>
      <c r="K171" s="1033"/>
      <c r="L171" s="1040">
        <f>ROUND(SUM($C$738:$C$742)*$C$734/100*($G$91+$G$93+$G$97),0)</f>
        <v>7</v>
      </c>
      <c r="M171" s="1035" t="s">
        <v>46</v>
      </c>
      <c r="N171" s="627"/>
      <c r="O171" s="627"/>
      <c r="P171" s="627"/>
      <c r="Q171" s="719"/>
    </row>
    <row r="172" spans="1:17" hidden="1" x14ac:dyDescent="0.35">
      <c r="A172" s="988"/>
      <c r="B172" s="627"/>
      <c r="C172" s="1039" t="s">
        <v>114</v>
      </c>
      <c r="D172" s="1031"/>
      <c r="E172" s="1031"/>
      <c r="F172" s="1031"/>
      <c r="G172" s="1031"/>
      <c r="H172" s="1031"/>
      <c r="I172" s="1031"/>
      <c r="J172" s="1032"/>
      <c r="K172" s="1033"/>
      <c r="L172" s="1040">
        <f>ROUND(SUM($C$738:$C$742)*$C$734/100*($G$91+$G$93+$G$97),0)</f>
        <v>7</v>
      </c>
      <c r="M172" s="1035" t="s">
        <v>46</v>
      </c>
      <c r="N172" s="627"/>
      <c r="O172" s="627"/>
      <c r="P172" s="627"/>
      <c r="Q172" s="719"/>
    </row>
    <row r="173" spans="1:17" hidden="1" x14ac:dyDescent="0.35">
      <c r="A173" s="988"/>
      <c r="B173" s="627"/>
      <c r="C173" s="1039" t="s">
        <v>115</v>
      </c>
      <c r="D173" s="1031"/>
      <c r="E173" s="1031"/>
      <c r="F173" s="1031"/>
      <c r="G173" s="1031"/>
      <c r="H173" s="1031"/>
      <c r="I173" s="1031"/>
      <c r="J173" s="1032"/>
      <c r="K173" s="1033"/>
      <c r="L173" s="1040">
        <f>ROUND(SUM($C$738:$C$742)*$C$734/200*($G$91+$G$93+$G$97),0)</f>
        <v>4</v>
      </c>
      <c r="M173" s="1035" t="s">
        <v>46</v>
      </c>
      <c r="N173" s="627"/>
      <c r="O173" s="627"/>
      <c r="P173" s="627"/>
      <c r="Q173" s="719"/>
    </row>
    <row r="174" spans="1:17" ht="12.75" hidden="1" customHeight="1" x14ac:dyDescent="0.35">
      <c r="A174" s="988"/>
      <c r="B174" s="627"/>
      <c r="C174" s="1039" t="s">
        <v>116</v>
      </c>
      <c r="D174" s="1031"/>
      <c r="E174" s="1031"/>
      <c r="F174" s="1031"/>
      <c r="G174" s="1031"/>
      <c r="H174" s="1031"/>
      <c r="I174" s="1031"/>
      <c r="J174" s="1032"/>
      <c r="K174" s="1033"/>
      <c r="L174" s="1040">
        <f>ROUND(SUM($C$738:$C$742)*$C$734/30*($G$91+$G$93+$G$97),0)</f>
        <v>24</v>
      </c>
      <c r="M174" s="1035" t="s">
        <v>46</v>
      </c>
      <c r="N174" s="627"/>
      <c r="O174" s="627"/>
      <c r="P174" s="627"/>
      <c r="Q174" s="719"/>
    </row>
    <row r="175" spans="1:17" ht="9" hidden="1" customHeight="1" x14ac:dyDescent="0.35">
      <c r="A175" s="988"/>
      <c r="B175" s="627"/>
      <c r="C175" s="1039" t="s">
        <v>117</v>
      </c>
      <c r="D175" s="1031"/>
      <c r="E175" s="1031"/>
      <c r="F175" s="1031"/>
      <c r="G175" s="1031"/>
      <c r="H175" s="1031"/>
      <c r="I175" s="1031"/>
      <c r="J175" s="1032"/>
      <c r="K175" s="1033"/>
      <c r="L175" s="1040">
        <f>ROUND(SUM($C$738:$C$742)*$C$734/200*($G$91+$G$93+$G$97),0)</f>
        <v>4</v>
      </c>
      <c r="M175" s="1035" t="s">
        <v>46</v>
      </c>
      <c r="N175" s="627"/>
      <c r="O175" s="627"/>
      <c r="P175" s="627"/>
      <c r="Q175" s="719"/>
    </row>
    <row r="176" spans="1:17" ht="9" hidden="1" customHeight="1" x14ac:dyDescent="0.35">
      <c r="A176" s="988"/>
      <c r="B176" s="627"/>
      <c r="C176" s="1039" t="s">
        <v>118</v>
      </c>
      <c r="D176" s="1031"/>
      <c r="E176" s="1031"/>
      <c r="F176" s="1031"/>
      <c r="G176" s="1031"/>
      <c r="H176" s="1031"/>
      <c r="I176" s="1031"/>
      <c r="J176" s="1032"/>
      <c r="K176" s="1033"/>
      <c r="L176" s="1040">
        <f>ROUND(SUM($C$738:$C$742)*$C$734/400*($G$91+$G$93+$G$97),0)</f>
        <v>2</v>
      </c>
      <c r="M176" s="1035" t="s">
        <v>46</v>
      </c>
      <c r="N176" s="627"/>
      <c r="O176" s="627"/>
      <c r="P176" s="627"/>
      <c r="Q176" s="719"/>
    </row>
    <row r="177" spans="1:17" ht="10.5" hidden="1" customHeight="1" x14ac:dyDescent="0.35">
      <c r="A177" s="988"/>
      <c r="B177" s="627"/>
      <c r="C177" s="1039" t="s">
        <v>119</v>
      </c>
      <c r="D177" s="1031"/>
      <c r="E177" s="1031"/>
      <c r="F177" s="1031"/>
      <c r="G177" s="1031"/>
      <c r="H177" s="1031"/>
      <c r="I177" s="1031"/>
      <c r="J177" s="1032"/>
      <c r="K177" s="1033"/>
      <c r="L177" s="1040">
        <f>ROUND(SUM($C$738:$C$742)*$C$734/800*($G$91+$G$93+$G$97),0)</f>
        <v>1</v>
      </c>
      <c r="M177" s="1035" t="s">
        <v>46</v>
      </c>
      <c r="N177" s="627"/>
      <c r="O177" s="627"/>
      <c r="P177" s="627"/>
      <c r="Q177" s="719"/>
    </row>
    <row r="178" spans="1:17" ht="9" hidden="1" customHeight="1" x14ac:dyDescent="0.35">
      <c r="A178" s="988"/>
      <c r="B178" s="627"/>
      <c r="C178" s="1039" t="s">
        <v>120</v>
      </c>
      <c r="D178" s="1031"/>
      <c r="E178" s="1031"/>
      <c r="F178" s="1031"/>
      <c r="G178" s="1031"/>
      <c r="H178" s="1031"/>
      <c r="I178" s="1031"/>
      <c r="J178" s="1031"/>
      <c r="K178" s="1033"/>
      <c r="L178" s="1040">
        <f>(G91+G93+G97)*2.4*2</f>
        <v>297.59999999999997</v>
      </c>
      <c r="M178" s="1035" t="s">
        <v>78</v>
      </c>
      <c r="N178" s="627"/>
      <c r="O178" s="627"/>
      <c r="P178" s="627"/>
      <c r="Q178" s="719"/>
    </row>
    <row r="179" spans="1:17" ht="9" hidden="1" customHeight="1" x14ac:dyDescent="0.35">
      <c r="A179" s="988"/>
      <c r="B179" s="627"/>
      <c r="C179" s="627"/>
      <c r="D179" s="627"/>
      <c r="E179" s="627"/>
      <c r="F179" s="627"/>
      <c r="G179" s="627"/>
      <c r="H179" s="627"/>
      <c r="I179" s="627"/>
      <c r="J179" s="627"/>
      <c r="K179" s="627"/>
      <c r="L179" s="627"/>
      <c r="M179" s="627"/>
      <c r="N179" s="627"/>
      <c r="O179" s="627"/>
      <c r="P179" s="627"/>
      <c r="Q179" s="719"/>
    </row>
    <row r="180" spans="1:17" ht="16.5" hidden="1" customHeight="1" x14ac:dyDescent="0.35">
      <c r="A180" s="637"/>
      <c r="B180" s="749"/>
      <c r="C180" s="749"/>
      <c r="D180" s="749"/>
      <c r="E180" s="749"/>
      <c r="F180" s="749"/>
      <c r="G180" s="749"/>
      <c r="H180" s="749"/>
      <c r="I180" s="749"/>
      <c r="J180" s="749"/>
      <c r="K180" s="749"/>
      <c r="L180" s="749"/>
      <c r="M180" s="749"/>
      <c r="N180" s="749"/>
      <c r="O180" s="749"/>
      <c r="P180" s="749"/>
      <c r="Q180" s="748"/>
    </row>
    <row r="181" spans="1:17" ht="13.15" thickBot="1" x14ac:dyDescent="0.4">
      <c r="A181" s="636"/>
      <c r="B181" s="652"/>
      <c r="C181" s="652"/>
      <c r="D181" s="652"/>
      <c r="E181" s="652"/>
      <c r="F181" s="652"/>
      <c r="G181" s="652"/>
      <c r="H181" s="652"/>
      <c r="I181" s="652"/>
      <c r="J181" s="652"/>
      <c r="K181" s="652"/>
      <c r="L181" s="652"/>
      <c r="M181" s="652"/>
      <c r="N181" s="652"/>
      <c r="O181" s="652"/>
      <c r="P181" s="652"/>
      <c r="Q181" s="987"/>
    </row>
    <row r="182" spans="1:17" ht="15.4" thickBot="1" x14ac:dyDescent="0.45">
      <c r="A182" s="988"/>
      <c r="B182" s="692"/>
      <c r="C182" s="24" t="s">
        <v>121</v>
      </c>
      <c r="D182" s="1041"/>
      <c r="E182" s="1041"/>
      <c r="F182" s="1041"/>
      <c r="G182" s="1041"/>
      <c r="H182" s="1041"/>
      <c r="I182" s="1041"/>
      <c r="J182" s="1041"/>
      <c r="K182" s="1041"/>
      <c r="L182" s="1041"/>
      <c r="M182" s="1041"/>
      <c r="N182" s="1041"/>
      <c r="O182" s="1041"/>
      <c r="P182" s="691"/>
      <c r="Q182" s="719"/>
    </row>
    <row r="183" spans="1:17" x14ac:dyDescent="0.35">
      <c r="A183" s="988"/>
      <c r="B183" s="627"/>
      <c r="C183" s="627"/>
      <c r="D183" s="627"/>
      <c r="E183" s="627"/>
      <c r="F183" s="627"/>
      <c r="G183" s="627"/>
      <c r="H183" s="627"/>
      <c r="I183" s="627"/>
      <c r="J183" s="627"/>
      <c r="K183" s="627"/>
      <c r="L183" s="627"/>
      <c r="M183" s="627"/>
      <c r="N183" s="627"/>
      <c r="O183" s="627"/>
      <c r="P183" s="627"/>
      <c r="Q183" s="719"/>
    </row>
    <row r="184" spans="1:17" hidden="1" x14ac:dyDescent="0.35">
      <c r="A184" s="988"/>
      <c r="B184" s="627"/>
      <c r="C184" s="627" t="s">
        <v>122</v>
      </c>
      <c r="D184" s="627"/>
      <c r="E184" s="627"/>
      <c r="F184" s="627"/>
      <c r="G184" s="627"/>
      <c r="H184" s="627" t="str">
        <f>IF(I15=0,0,IF(C60="x",D60,IF(E60="x",F60)))</f>
        <v>SC-10</v>
      </c>
      <c r="I184" s="627"/>
      <c r="J184" s="630">
        <f>IF(I15=0,0,IF(H184="SC-10",0.48,IF(H184="SC-14",0.63)))</f>
        <v>0.48</v>
      </c>
      <c r="K184" s="627" t="s">
        <v>123</v>
      </c>
      <c r="L184" s="627"/>
      <c r="M184" s="627"/>
      <c r="N184" s="627"/>
      <c r="O184" s="627"/>
      <c r="P184" s="627"/>
      <c r="Q184" s="719"/>
    </row>
    <row r="185" spans="1:17" hidden="1" x14ac:dyDescent="0.35">
      <c r="A185" s="988"/>
      <c r="B185" s="627"/>
      <c r="C185" s="627"/>
      <c r="D185" s="627"/>
      <c r="E185" s="627"/>
      <c r="F185" s="627"/>
      <c r="G185" s="627"/>
      <c r="H185" s="627"/>
      <c r="I185" s="627"/>
      <c r="J185" s="627"/>
      <c r="K185" s="627"/>
      <c r="L185" s="627"/>
      <c r="M185" s="627"/>
      <c r="N185" s="627"/>
      <c r="O185" s="627"/>
      <c r="P185" s="627"/>
      <c r="Q185" s="719"/>
    </row>
    <row r="186" spans="1:17" hidden="1" x14ac:dyDescent="0.35">
      <c r="A186" s="988"/>
      <c r="B186" s="627"/>
      <c r="C186" s="627" t="s">
        <v>124</v>
      </c>
      <c r="D186" s="627"/>
      <c r="E186" s="627"/>
      <c r="F186" s="627"/>
      <c r="G186" s="627"/>
      <c r="H186" s="627" t="str">
        <f>IF(I15=0,0,IF(C60="x",D60,IF(E60="x",F60)))</f>
        <v>SC-10</v>
      </c>
      <c r="I186" s="627"/>
      <c r="J186" s="630">
        <f>IF(I15=0,0,IF(H184="SC-10",0.65,IF(H184="SC-14",0.8)))</f>
        <v>0.65</v>
      </c>
      <c r="K186" s="627" t="s">
        <v>123</v>
      </c>
      <c r="L186" s="627"/>
      <c r="M186" s="627"/>
      <c r="N186" s="627"/>
      <c r="O186" s="627"/>
      <c r="P186" s="627"/>
      <c r="Q186" s="719"/>
    </row>
    <row r="187" spans="1:17" hidden="1" x14ac:dyDescent="0.35">
      <c r="A187" s="988"/>
      <c r="B187" s="627"/>
      <c r="C187" s="627"/>
      <c r="D187" s="627"/>
      <c r="E187" s="627"/>
      <c r="F187" s="627"/>
      <c r="G187" s="627"/>
      <c r="H187" s="627"/>
      <c r="I187" s="627"/>
      <c r="J187" s="627"/>
      <c r="K187" s="627"/>
      <c r="L187" s="627"/>
      <c r="M187" s="627"/>
      <c r="N187" s="627"/>
      <c r="O187" s="627"/>
      <c r="P187" s="627"/>
      <c r="Q187" s="719"/>
    </row>
    <row r="188" spans="1:17" hidden="1" x14ac:dyDescent="0.35">
      <c r="A188" s="988"/>
      <c r="B188" s="627"/>
      <c r="C188" s="627" t="s">
        <v>125</v>
      </c>
      <c r="D188" s="627"/>
      <c r="E188" s="627"/>
      <c r="F188" s="627"/>
      <c r="G188" s="627"/>
      <c r="H188" s="627"/>
      <c r="I188" s="627"/>
      <c r="J188" s="660">
        <f>F115/2500</f>
        <v>0</v>
      </c>
      <c r="K188" s="627" t="s">
        <v>126</v>
      </c>
      <c r="L188" s="627"/>
      <c r="M188" s="627"/>
      <c r="N188" s="627"/>
      <c r="O188" s="627"/>
      <c r="P188" s="627"/>
      <c r="Q188" s="719"/>
    </row>
    <row r="189" spans="1:17" hidden="1" x14ac:dyDescent="0.35">
      <c r="A189" s="988"/>
      <c r="B189" s="627"/>
      <c r="C189" s="627"/>
      <c r="D189" s="627"/>
      <c r="E189" s="627"/>
      <c r="F189" s="627"/>
      <c r="G189" s="627"/>
      <c r="H189" s="627"/>
      <c r="I189" s="627"/>
      <c r="J189" s="627"/>
      <c r="K189" s="627"/>
      <c r="L189" s="627"/>
      <c r="M189" s="627"/>
      <c r="N189" s="627"/>
      <c r="O189" s="627"/>
      <c r="P189" s="627"/>
      <c r="Q189" s="719"/>
    </row>
    <row r="190" spans="1:17" hidden="1" x14ac:dyDescent="0.35">
      <c r="A190" s="988"/>
      <c r="B190" s="627"/>
      <c r="C190" s="627" t="s">
        <v>127</v>
      </c>
      <c r="D190" s="627"/>
      <c r="E190" s="627"/>
      <c r="F190" s="627"/>
      <c r="G190" s="627"/>
      <c r="H190" s="627"/>
      <c r="I190" s="627"/>
      <c r="J190" s="660">
        <f>F117/2500</f>
        <v>0</v>
      </c>
      <c r="K190" s="627" t="s">
        <v>128</v>
      </c>
      <c r="L190" s="627"/>
      <c r="M190" s="627"/>
      <c r="N190" s="627"/>
      <c r="O190" s="627"/>
      <c r="P190" s="627"/>
      <c r="Q190" s="719"/>
    </row>
    <row r="191" spans="1:17" hidden="1" x14ac:dyDescent="0.35">
      <c r="A191" s="988"/>
      <c r="B191" s="627"/>
      <c r="C191" s="627"/>
      <c r="D191" s="627"/>
      <c r="E191" s="627"/>
      <c r="F191" s="627"/>
      <c r="G191" s="627"/>
      <c r="H191" s="627"/>
      <c r="I191" s="627"/>
      <c r="J191" s="761"/>
      <c r="K191" s="627"/>
      <c r="L191" s="627"/>
      <c r="M191" s="627"/>
      <c r="N191" s="627"/>
      <c r="O191" s="627"/>
      <c r="P191" s="627"/>
      <c r="Q191" s="719"/>
    </row>
    <row r="192" spans="1:17" hidden="1" x14ac:dyDescent="0.35">
      <c r="A192" s="988"/>
      <c r="B192" s="627"/>
      <c r="C192" s="627" t="s">
        <v>129</v>
      </c>
      <c r="D192" s="627"/>
      <c r="E192" s="627"/>
      <c r="F192" s="627"/>
      <c r="G192" s="627"/>
      <c r="H192" s="627"/>
      <c r="I192" s="627"/>
      <c r="J192" s="660">
        <v>3</v>
      </c>
      <c r="K192" s="627" t="s">
        <v>130</v>
      </c>
      <c r="L192" s="627"/>
      <c r="M192" s="627"/>
      <c r="N192" s="627"/>
      <c r="O192" s="627"/>
      <c r="P192" s="627"/>
      <c r="Q192" s="719"/>
    </row>
    <row r="193" spans="1:36" hidden="1" x14ac:dyDescent="0.35">
      <c r="A193" s="988"/>
      <c r="B193" s="627"/>
      <c r="C193" s="627"/>
      <c r="D193" s="627"/>
      <c r="E193" s="627"/>
      <c r="F193" s="627"/>
      <c r="G193" s="627"/>
      <c r="H193" s="627"/>
      <c r="I193" s="627"/>
      <c r="J193" s="627"/>
      <c r="K193" s="627"/>
      <c r="L193" s="627"/>
      <c r="M193" s="627"/>
      <c r="N193" s="627"/>
      <c r="O193" s="627"/>
      <c r="P193" s="627"/>
      <c r="Q193" s="719"/>
      <c r="R193" s="627"/>
      <c r="S193" s="627"/>
      <c r="T193" s="627"/>
      <c r="U193" s="627"/>
      <c r="V193" s="627"/>
      <c r="W193" s="627"/>
      <c r="X193" s="627"/>
      <c r="Y193" s="627"/>
      <c r="Z193" s="627"/>
      <c r="AA193" s="627"/>
      <c r="AB193" s="627"/>
      <c r="AC193" s="627"/>
      <c r="AD193" s="627"/>
      <c r="AE193" s="627"/>
      <c r="AF193" s="627"/>
      <c r="AG193" s="627"/>
      <c r="AH193" s="627"/>
      <c r="AI193" s="627"/>
      <c r="AJ193" s="627"/>
    </row>
    <row r="194" spans="1:36" hidden="1" x14ac:dyDescent="0.35">
      <c r="A194" s="988"/>
      <c r="B194" s="627"/>
      <c r="C194" s="627" t="s">
        <v>131</v>
      </c>
      <c r="D194" s="627"/>
      <c r="E194" s="627"/>
      <c r="F194" s="627"/>
      <c r="G194" s="627"/>
      <c r="H194" s="627"/>
      <c r="I194" s="627"/>
      <c r="J194" s="660">
        <v>80</v>
      </c>
      <c r="K194" s="627" t="s">
        <v>132</v>
      </c>
      <c r="L194" s="627"/>
      <c r="M194" s="627"/>
      <c r="N194" s="627"/>
      <c r="O194" s="627"/>
      <c r="P194" s="627"/>
      <c r="Q194" s="719"/>
      <c r="R194" s="627"/>
      <c r="S194" s="627"/>
      <c r="T194" s="627"/>
      <c r="U194" s="627"/>
      <c r="V194" s="627"/>
      <c r="W194" s="627"/>
      <c r="X194" s="745"/>
      <c r="Y194" s="745"/>
      <c r="Z194" s="745"/>
      <c r="AA194" s="745"/>
      <c r="AB194" s="745"/>
      <c r="AC194" s="745"/>
      <c r="AD194" s="745"/>
      <c r="AE194" s="745"/>
      <c r="AF194" s="745"/>
      <c r="AG194" s="745"/>
      <c r="AH194" s="745"/>
      <c r="AI194" s="745"/>
      <c r="AJ194" s="745"/>
    </row>
    <row r="195" spans="1:36" hidden="1" x14ac:dyDescent="0.35">
      <c r="A195" s="988"/>
      <c r="B195" s="627"/>
      <c r="C195" s="627" t="s">
        <v>133</v>
      </c>
      <c r="D195" s="627"/>
      <c r="E195" s="627"/>
      <c r="F195" s="627"/>
      <c r="G195" s="627"/>
      <c r="H195" s="627"/>
      <c r="I195" s="627"/>
      <c r="J195" s="660">
        <v>80</v>
      </c>
      <c r="K195" s="627" t="s">
        <v>132</v>
      </c>
      <c r="L195" s="627"/>
      <c r="M195" s="627"/>
      <c r="N195" s="627"/>
      <c r="O195" s="627"/>
      <c r="P195" s="627"/>
      <c r="Q195" s="719"/>
      <c r="R195" s="627"/>
      <c r="S195" s="627"/>
      <c r="T195" s="627"/>
      <c r="U195" s="627"/>
      <c r="V195" s="627"/>
      <c r="W195" s="627"/>
      <c r="X195" s="745"/>
      <c r="Y195" s="772" t="s">
        <v>134</v>
      </c>
      <c r="Z195" s="1042"/>
      <c r="AA195" s="1043" t="s">
        <v>135</v>
      </c>
      <c r="AB195" s="745"/>
      <c r="AC195" s="745"/>
      <c r="AD195" s="745"/>
      <c r="AE195" s="745"/>
      <c r="AF195" s="745"/>
      <c r="AG195" s="745"/>
      <c r="AH195" s="745"/>
      <c r="AI195" s="745"/>
      <c r="AJ195" s="745"/>
    </row>
    <row r="196" spans="1:36" hidden="1" x14ac:dyDescent="0.35">
      <c r="A196" s="988"/>
      <c r="B196" s="627"/>
      <c r="C196" s="627" t="s">
        <v>136</v>
      </c>
      <c r="D196" s="627"/>
      <c r="E196" s="627"/>
      <c r="F196" s="627"/>
      <c r="G196" s="627"/>
      <c r="H196" s="627"/>
      <c r="I196" s="627"/>
      <c r="J196" s="660">
        <v>50</v>
      </c>
      <c r="K196" s="627" t="s">
        <v>132</v>
      </c>
      <c r="L196" s="627"/>
      <c r="M196" s="627"/>
      <c r="N196" s="627"/>
      <c r="O196" s="627"/>
      <c r="P196" s="627"/>
      <c r="Q196" s="719"/>
      <c r="R196" s="627"/>
      <c r="S196" s="627"/>
      <c r="T196" s="627"/>
      <c r="U196" s="627"/>
      <c r="V196" s="627"/>
      <c r="W196" s="627"/>
      <c r="X196" s="745"/>
      <c r="Y196" s="772" t="s">
        <v>137</v>
      </c>
      <c r="Z196" s="1044"/>
      <c r="AA196" s="1043" t="s">
        <v>35</v>
      </c>
      <c r="AB196" s="745"/>
      <c r="AC196" s="745"/>
      <c r="AD196" s="745"/>
      <c r="AE196" s="745"/>
      <c r="AF196" s="745"/>
      <c r="AG196" s="745"/>
      <c r="AH196" s="745"/>
      <c r="AI196" s="745"/>
      <c r="AJ196" s="745"/>
    </row>
    <row r="197" spans="1:36" hidden="1" x14ac:dyDescent="0.35">
      <c r="A197" s="988"/>
      <c r="B197" s="627"/>
      <c r="C197" s="627" t="s">
        <v>138</v>
      </c>
      <c r="D197" s="627"/>
      <c r="E197" s="627"/>
      <c r="F197" s="627"/>
      <c r="G197" s="627"/>
      <c r="H197" s="627"/>
      <c r="I197" s="627"/>
      <c r="J197" s="660">
        <v>30</v>
      </c>
      <c r="K197" s="627" t="s">
        <v>132</v>
      </c>
      <c r="L197" s="627"/>
      <c r="M197" s="627"/>
      <c r="N197" s="627"/>
      <c r="O197" s="627"/>
      <c r="P197" s="627"/>
      <c r="Q197" s="719"/>
      <c r="R197" s="627"/>
      <c r="S197" s="627"/>
      <c r="T197" s="627"/>
      <c r="U197" s="627"/>
      <c r="V197" s="627"/>
      <c r="W197" s="627"/>
      <c r="X197" s="745"/>
      <c r="Y197" s="745"/>
      <c r="Z197" s="745"/>
      <c r="AA197" s="1043"/>
      <c r="AB197" s="745"/>
      <c r="AC197" s="745"/>
      <c r="AD197" s="745"/>
      <c r="AE197" s="745"/>
      <c r="AF197" s="745"/>
      <c r="AG197" s="745"/>
      <c r="AH197" s="745"/>
      <c r="AI197" s="745"/>
      <c r="AJ197" s="745"/>
    </row>
    <row r="198" spans="1:36" hidden="1" x14ac:dyDescent="0.35">
      <c r="A198" s="988"/>
      <c r="B198" s="627"/>
      <c r="C198" s="627" t="s">
        <v>139</v>
      </c>
      <c r="D198" s="627"/>
      <c r="E198" s="627"/>
      <c r="F198" s="627"/>
      <c r="G198" s="627"/>
      <c r="H198" s="627"/>
      <c r="I198" s="627"/>
      <c r="J198" s="660">
        <v>35</v>
      </c>
      <c r="K198" s="627" t="s">
        <v>132</v>
      </c>
      <c r="L198" s="627"/>
      <c r="M198" s="627"/>
      <c r="N198" s="627"/>
      <c r="O198" s="627"/>
      <c r="P198" s="627"/>
      <c r="Q198" s="719"/>
      <c r="R198" s="627"/>
      <c r="S198" s="627"/>
      <c r="T198" s="627"/>
      <c r="U198" s="627"/>
      <c r="V198" s="627"/>
      <c r="W198" s="627"/>
      <c r="X198" s="745"/>
      <c r="Y198" s="745"/>
      <c r="Z198" s="745"/>
      <c r="AA198" s="1043"/>
      <c r="AB198" s="745"/>
      <c r="AC198" s="745"/>
      <c r="AD198" s="745"/>
      <c r="AE198" s="745"/>
      <c r="AF198" s="745"/>
      <c r="AG198" s="745"/>
      <c r="AH198" s="745"/>
      <c r="AI198" s="745"/>
      <c r="AJ198" s="745"/>
    </row>
    <row r="199" spans="1:36" hidden="1" x14ac:dyDescent="0.35">
      <c r="A199" s="988"/>
      <c r="B199" s="627"/>
      <c r="C199" s="627" t="s">
        <v>140</v>
      </c>
      <c r="D199" s="627"/>
      <c r="E199" s="627"/>
      <c r="F199" s="627"/>
      <c r="G199" s="627"/>
      <c r="H199" s="627"/>
      <c r="I199" s="627"/>
      <c r="J199" s="660">
        <v>5</v>
      </c>
      <c r="K199" s="627" t="s">
        <v>141</v>
      </c>
      <c r="L199" s="627"/>
      <c r="M199" s="627"/>
      <c r="N199" s="627"/>
      <c r="O199" s="627"/>
      <c r="P199" s="627"/>
      <c r="Q199" s="719"/>
      <c r="R199" s="627"/>
      <c r="S199" s="627"/>
      <c r="T199" s="627"/>
      <c r="U199" s="627"/>
      <c r="V199" s="627"/>
      <c r="W199" s="627"/>
      <c r="X199" s="745"/>
      <c r="Y199" s="772" t="s">
        <v>142</v>
      </c>
      <c r="Z199" s="1044"/>
      <c r="AA199" s="1043"/>
      <c r="AB199" s="745"/>
      <c r="AC199" s="1433" t="s">
        <v>143</v>
      </c>
      <c r="AD199" s="1433"/>
      <c r="AE199" s="745"/>
      <c r="AF199" s="745"/>
      <c r="AG199" s="745"/>
      <c r="AH199" s="745"/>
      <c r="AI199" s="745"/>
      <c r="AJ199" s="745"/>
    </row>
    <row r="200" spans="1:36" hidden="1" x14ac:dyDescent="0.35">
      <c r="A200" s="988"/>
      <c r="B200" s="627"/>
      <c r="C200" s="627"/>
      <c r="D200" s="627"/>
      <c r="E200" s="627"/>
      <c r="F200" s="627"/>
      <c r="G200" s="627"/>
      <c r="H200" s="627"/>
      <c r="I200" s="627"/>
      <c r="J200" s="627"/>
      <c r="K200" s="627"/>
      <c r="L200" s="627"/>
      <c r="M200" s="627"/>
      <c r="N200" s="627"/>
      <c r="O200" s="627"/>
      <c r="P200" s="627"/>
      <c r="Q200" s="719"/>
      <c r="R200" s="627"/>
      <c r="S200" s="627"/>
      <c r="T200" s="627"/>
      <c r="U200" s="627"/>
      <c r="V200" s="627"/>
      <c r="W200" s="627"/>
      <c r="X200" s="745"/>
      <c r="Y200" s="745"/>
      <c r="Z200" s="745"/>
      <c r="AA200" s="745"/>
      <c r="AB200" s="745"/>
      <c r="AC200" s="745"/>
      <c r="AD200" s="745"/>
      <c r="AE200" s="745"/>
      <c r="AF200" s="745"/>
      <c r="AG200" s="745"/>
      <c r="AH200" s="745"/>
      <c r="AI200" s="745"/>
      <c r="AJ200" s="745"/>
    </row>
    <row r="201" spans="1:36" hidden="1" x14ac:dyDescent="0.35">
      <c r="A201" s="988"/>
      <c r="B201" s="627"/>
      <c r="C201" s="627"/>
      <c r="D201" s="627"/>
      <c r="E201" s="627"/>
      <c r="F201" s="627"/>
      <c r="G201" s="627"/>
      <c r="H201" s="627"/>
      <c r="I201" s="627"/>
      <c r="J201" s="627"/>
      <c r="K201" s="627"/>
      <c r="L201" s="627"/>
      <c r="M201" s="627"/>
      <c r="N201" s="627"/>
      <c r="O201" s="627"/>
      <c r="P201" s="627"/>
      <c r="Q201" s="719"/>
      <c r="R201" s="627"/>
      <c r="S201" s="627"/>
      <c r="T201" s="627"/>
      <c r="U201" s="627"/>
      <c r="V201" s="627"/>
      <c r="W201" s="627"/>
      <c r="X201" s="745"/>
      <c r="Y201" s="745"/>
      <c r="Z201" s="745"/>
      <c r="AA201" s="745"/>
      <c r="AB201" s="745"/>
      <c r="AC201" s="745"/>
      <c r="AD201" s="745"/>
      <c r="AE201" s="745"/>
      <c r="AF201" s="745"/>
      <c r="AG201" s="745"/>
      <c r="AH201" s="745"/>
      <c r="AI201" s="745"/>
      <c r="AJ201" s="745"/>
    </row>
    <row r="202" spans="1:36" hidden="1" x14ac:dyDescent="0.35">
      <c r="A202" s="988"/>
      <c r="B202" s="627"/>
      <c r="C202" s="1359" t="s">
        <v>144</v>
      </c>
      <c r="D202" s="1360"/>
      <c r="E202" s="1360"/>
      <c r="F202" s="1360"/>
      <c r="G202" s="1360"/>
      <c r="H202" s="1360"/>
      <c r="I202" s="1360"/>
      <c r="J202" s="1360"/>
      <c r="K202" s="1360"/>
      <c r="L202" s="1361"/>
      <c r="M202" s="627"/>
      <c r="N202" s="627"/>
      <c r="O202" s="627"/>
      <c r="P202" s="627"/>
      <c r="Q202" s="719"/>
      <c r="R202" s="627"/>
      <c r="S202" s="627"/>
      <c r="T202" s="627"/>
      <c r="U202" s="627"/>
      <c r="V202" s="627"/>
      <c r="W202" s="627"/>
      <c r="X202" s="745"/>
      <c r="Y202" s="1043" t="s">
        <v>145</v>
      </c>
      <c r="Z202" s="1431" t="s">
        <v>146</v>
      </c>
      <c r="AA202" s="1431"/>
      <c r="AB202" s="1431"/>
      <c r="AC202" s="1429" t="s">
        <v>41</v>
      </c>
      <c r="AD202" s="1432"/>
      <c r="AE202" s="1430"/>
      <c r="AF202" s="1429" t="s">
        <v>42</v>
      </c>
      <c r="AG202" s="1432"/>
      <c r="AH202" s="1432"/>
      <c r="AI202" s="1430"/>
      <c r="AJ202" s="745"/>
    </row>
    <row r="203" spans="1:36" hidden="1" x14ac:dyDescent="0.35">
      <c r="A203" s="988"/>
      <c r="B203" s="627"/>
      <c r="C203" s="633" t="s">
        <v>147</v>
      </c>
      <c r="D203" s="646"/>
      <c r="E203" s="646"/>
      <c r="F203" s="646"/>
      <c r="G203" s="646">
        <f>IF(I15=0,0,AH231/1000)</f>
        <v>2E-3</v>
      </c>
      <c r="H203" s="646" t="str">
        <f>IF(AB203=0,"Verificar projeto no painel normal","ton p/ painel normal")</f>
        <v>ton p/ painel normal</v>
      </c>
      <c r="I203" s="646"/>
      <c r="J203" s="732"/>
      <c r="K203" s="629"/>
      <c r="L203" s="660">
        <f>IF(G203=0,0,AH248*(G97))</f>
        <v>120</v>
      </c>
      <c r="M203" s="627" t="s">
        <v>46</v>
      </c>
      <c r="N203" s="627"/>
      <c r="O203" s="627"/>
      <c r="P203" s="627"/>
      <c r="Q203" s="719"/>
      <c r="R203" s="627"/>
      <c r="S203" s="627"/>
      <c r="T203" s="627"/>
      <c r="U203" s="627"/>
      <c r="V203" s="627"/>
      <c r="W203" s="627"/>
      <c r="X203" s="745"/>
      <c r="Y203" s="1008">
        <f>IF(AA196="X",(IF(C60="x",AJ469,IF(E60="x",AL469,0)))/2,IF(C60="x",AJ469,IF(E60="x",AL469,0)))</f>
        <v>4.3964249999999998</v>
      </c>
      <c r="Z203" s="1429" t="s">
        <v>148</v>
      </c>
      <c r="AA203" s="1430"/>
      <c r="AB203" s="775">
        <f>IF(C60="x",LARGE(AC203:AE203,1),IF(E60="x",LARGE(AF203:AH203,1),0))</f>
        <v>5</v>
      </c>
      <c r="AC203" s="775">
        <f>IF(AND(Y203&gt;0,Y203&lt;=5),5,IF(C60="x",IF(AND(Y203&gt;5,Y203&lt;=7.5),7.5,IF(AND(Y203&gt;5,Y203&lt;=10),10,AD203)),0))</f>
        <v>5</v>
      </c>
      <c r="AD203" s="775">
        <f>IF(C60="x",IF(AND(Y203&gt;10,Y203&lt;=12.5),12.5,IF(C60="x",IF(AND(Y203&gt;12.5,Y203&lt;=15),15,IF(AND(Y203&gt;15,Y203/2&lt;=17.5),17.5,AE203)),0)),0)</f>
        <v>0</v>
      </c>
      <c r="AE203" s="775">
        <f>IF(C60="x",IF(AND(Y203&gt;17.5,Y203&lt;=20),20,0),0)</f>
        <v>0</v>
      </c>
      <c r="AF203" s="775">
        <f>IF(E60="x",IF(AND(Y203&gt;0,Y203&lt;=5),5,IF(E60="x",IF(AND(Y203&gt;5,Y203&lt;=7.5),7.5,IF(AND(Y203&gt;5,Y203&lt;=10),10,AG203)))),0)</f>
        <v>0</v>
      </c>
      <c r="AG203" s="775">
        <f>IF(E60="x",IF(AND(Y203&gt;10,Y203&lt;=12.5),12.5,IF(E60="x",IF(AND(Y203&gt;12.5,Y203&lt;=15),15,IF(AND(Y203&gt;15,Y203/2&lt;=17.5),17.5,AH203)))),0)</f>
        <v>0</v>
      </c>
      <c r="AH203" s="775">
        <f>IF(E60="x",IF(AND(Y203&gt;17.5,Y203&lt;=20),20,IF(AND(Y203&gt;20,Y203&lt;=22.5),22.5,IF(AND(Y203&gt;22.5,Y203&lt;=25),25,IF(AND(Y203&gt;25,Y203&lt;=27.5),27.5,IF(AND(Y203&gt;27.5,Y203&lt;=30),30,IF(AND(Y203&gt;30,Y203&lt;=32.5),32.5,AI203)))))),0)</f>
        <v>0</v>
      </c>
      <c r="AI203" s="775">
        <f>IF(E60="x",IF(AND(Y203&gt;32.5,Y203&lt;=35),35,IF(AND(Y203&gt;35,Y203&lt;=37.5),37.5,IF(AND(Y203&gt;37.5,Y203&lt;=40),40,0))),0)</f>
        <v>0</v>
      </c>
      <c r="AJ203" s="745"/>
    </row>
    <row r="204" spans="1:36" hidden="1" x14ac:dyDescent="0.35">
      <c r="A204" s="988"/>
      <c r="B204" s="627"/>
      <c r="C204" s="633" t="s">
        <v>149</v>
      </c>
      <c r="D204" s="646"/>
      <c r="E204" s="646"/>
      <c r="F204" s="646"/>
      <c r="G204" s="1045">
        <f>IF(I15=0,0,AH232/1000)</f>
        <v>3.0000000000000001E-3</v>
      </c>
      <c r="H204" s="646" t="str">
        <f>IF(AB204=0,"Verificar projeto no painel fecho","ton p/ painel fecho")</f>
        <v>ton p/ painel fecho</v>
      </c>
      <c r="I204" s="646"/>
      <c r="J204" s="732"/>
      <c r="K204" s="629"/>
      <c r="L204" s="660">
        <f>IF(G204=0,0,AH249*(G91+G93))</f>
        <v>4</v>
      </c>
      <c r="M204" s="627" t="s">
        <v>46</v>
      </c>
      <c r="N204" s="627"/>
      <c r="O204" s="627"/>
      <c r="P204" s="627"/>
      <c r="Q204" s="719"/>
      <c r="R204" s="627"/>
      <c r="S204" s="627"/>
      <c r="T204" s="627"/>
      <c r="U204" s="627"/>
      <c r="V204" s="627"/>
      <c r="W204" s="627"/>
      <c r="X204" s="745"/>
      <c r="Y204" s="1008">
        <f>IF(AA196="X",IF(C60="x",AA469,IF(E60="x",AC469,0))/2,IF(C60="x",AA469,IF(E60="x",AC469,0)))</f>
        <v>5.8591625000000009</v>
      </c>
      <c r="Z204" s="1429" t="s">
        <v>150</v>
      </c>
      <c r="AA204" s="1430"/>
      <c r="AB204" s="775">
        <f>IF(C60="x",LARGE(AC204:AE204,1),IF(E60="x",LARGE(AF204:AH204,1),0))</f>
        <v>7.5</v>
      </c>
      <c r="AC204" s="775">
        <f>IF(AND(Y204&gt;0,Y204&lt;=5),5,IF(C60="x",IF(AND(Y204&gt;5,Y204&lt;=7.5),7.5,IF(AND(Y204&gt;5,Y204&lt;=10),10,AD204)),0))</f>
        <v>7.5</v>
      </c>
      <c r="AD204" s="775">
        <f>IF(C60="x",IF(AND(Y204&gt;10,Y204&lt;=12.5),12.5,IF(C60="x",IF(AND(Y204&gt;12.5,Y204&lt;=15),15,IF(AND(Y204&gt;15,Y204/2&lt;=17.5),17.5,AE204)),0)),0)</f>
        <v>0</v>
      </c>
      <c r="AE204" s="775">
        <f>IF(C60="x",IF(AND(Y204&gt;17.5,Y204&lt;=20),20,0),0)</f>
        <v>0</v>
      </c>
      <c r="AF204" s="775">
        <f>IF(E60="x",IF(AND(Y204&gt;0,Y204&lt;=5),5,IF(E60="x",IF(AND(Y204&gt;5,Y204&lt;=7.5),7.5,IF(AND(Y204&gt;5,Y204&lt;=10),10,AG204)))),0)</f>
        <v>0</v>
      </c>
      <c r="AG204" s="775">
        <f>IF(E60="x",IF(AND(Y204&gt;10,Y204&lt;=12.5),12.5,IF(E60="x",IF(AND(Y204&gt;12.5,Y204&lt;=15),15,IF(AND(Y204&gt;15,Y204/2&lt;=17.5),17.5,AH204)))),0)</f>
        <v>0</v>
      </c>
      <c r="AH204" s="775">
        <f>IF(E60="x",IF(AND(Y204&gt;17.5,Y204&lt;=20),20,IF(AND(Y204&gt;20,Y204&lt;=22.5),22.5,IF(AND(Y204&gt;22.5,Y204&lt;=25),25,IF(AND(Y204&gt;25,Y204&lt;=27.5),27.5,IF(AND(Y204&gt;27.5,Y204&lt;=30),30,IF(AND(Y204&gt;30,Y204&lt;=32.5),32.5,AI204)))))),0)</f>
        <v>0</v>
      </c>
      <c r="AI204" s="775">
        <f>IF(E60="x",IF(AND(AC469&gt;32.5,AC469&lt;=35),35,IF(AND(AC469&gt;35,AC469&lt;=37.5),37.5,IF(AND(AC469&gt;37.5,AC469&lt;=40),40,0))),0)</f>
        <v>0</v>
      </c>
      <c r="AJ204" s="745"/>
    </row>
    <row r="205" spans="1:36" hidden="1" x14ac:dyDescent="0.35">
      <c r="A205" s="988"/>
      <c r="B205" s="627"/>
      <c r="C205" s="633" t="s">
        <v>151</v>
      </c>
      <c r="D205" s="646"/>
      <c r="E205" s="646"/>
      <c r="F205" s="646"/>
      <c r="G205" s="646">
        <f>IF(I15=0,0,AH215/1000)</f>
        <v>2E-3</v>
      </c>
      <c r="H205" s="646" t="str">
        <f>IF(AB206=0,"Verificar projeto no painel normal","ton p/ painel normal")</f>
        <v>ton p/ painel normal</v>
      </c>
      <c r="I205" s="646"/>
      <c r="J205" s="732"/>
      <c r="K205" s="629"/>
      <c r="L205" s="660">
        <f>IF(G205=0,0,AH218*G97)</f>
        <v>240</v>
      </c>
      <c r="M205" s="627" t="s">
        <v>46</v>
      </c>
      <c r="N205" s="627"/>
      <c r="O205" s="627"/>
      <c r="P205" s="627"/>
      <c r="Q205" s="719"/>
      <c r="R205" s="627"/>
      <c r="S205" s="627"/>
      <c r="T205" s="627"/>
      <c r="U205" s="627"/>
      <c r="V205" s="627"/>
      <c r="W205" s="627"/>
      <c r="X205" s="745"/>
      <c r="Y205" s="775"/>
      <c r="Z205" s="1431" t="s">
        <v>152</v>
      </c>
      <c r="AA205" s="1431"/>
      <c r="AB205" s="1431"/>
      <c r="AC205" s="1429" t="s">
        <v>41</v>
      </c>
      <c r="AD205" s="1432"/>
      <c r="AE205" s="1430"/>
      <c r="AF205" s="1429" t="s">
        <v>42</v>
      </c>
      <c r="AG205" s="1432"/>
      <c r="AH205" s="1432"/>
      <c r="AI205" s="1430"/>
      <c r="AJ205" s="745"/>
    </row>
    <row r="206" spans="1:36" hidden="1" x14ac:dyDescent="0.35">
      <c r="A206" s="988"/>
      <c r="B206" s="627"/>
      <c r="C206" s="633" t="s">
        <v>151</v>
      </c>
      <c r="D206" s="646"/>
      <c r="E206" s="646"/>
      <c r="F206" s="646"/>
      <c r="G206" s="1045">
        <f>IF(I15=0,0,AH217/1000)</f>
        <v>3.0000000000000001E-3</v>
      </c>
      <c r="H206" s="646" t="str">
        <f>IF(AB207=0,"Verificar projeto no painel fecho","ton p/ painel fecho")</f>
        <v>ton p/ painel fecho</v>
      </c>
      <c r="I206" s="646"/>
      <c r="J206" s="732"/>
      <c r="K206" s="629"/>
      <c r="L206" s="660">
        <f>IF(G205=0,0,AH219*(G91+G93))</f>
        <v>8</v>
      </c>
      <c r="M206" s="627" t="s">
        <v>46</v>
      </c>
      <c r="N206" s="627"/>
      <c r="O206" s="627"/>
      <c r="P206" s="627"/>
      <c r="Q206" s="719"/>
      <c r="R206" s="627"/>
      <c r="S206" s="627"/>
      <c r="T206" s="627"/>
      <c r="U206" s="627"/>
      <c r="V206" s="627"/>
      <c r="W206" s="627"/>
      <c r="X206" s="745"/>
      <c r="Y206" s="1008">
        <f>(IF(C60="x",AJ469,IF(E60="x",AL469,0)))*0.6</f>
        <v>5.2757099999999992</v>
      </c>
      <c r="Z206" s="1429" t="s">
        <v>148</v>
      </c>
      <c r="AA206" s="1430"/>
      <c r="AB206" s="775">
        <f>IF(C60="x",LARGE(AC206:AE206,1),IF(E60="x",LARGE(AF206:AH206,1),0))</f>
        <v>7.5</v>
      </c>
      <c r="AC206" s="775">
        <f>IF(AND(Y206&gt;0,Y206&lt;=5),5,IF(C60="x",IF(AND(Y206&gt;5,Y206&lt;=7.5),7.5,IF(AND(Y206&gt;5,Y206&lt;=10),10,AD206)),0))</f>
        <v>7.5</v>
      </c>
      <c r="AD206" s="775">
        <f>IF(C60="x",IF(AND(Y206&gt;10,Y206&lt;=12.5),12.5,IF(C60="x",IF(AND(Y206&gt;12.5,Y206&lt;=15),15,IF(AND(Y206&gt;15,Y206/2&lt;=17.5),17.5,AE206)),0)),0)</f>
        <v>0</v>
      </c>
      <c r="AE206" s="775">
        <f>IF(C60="x",IF(AND(Y206&gt;17.5,Y206&lt;=20),20,0),0)</f>
        <v>0</v>
      </c>
      <c r="AF206" s="775">
        <f>IF(E60="x",IF(AND(Y206&gt;0,Y206&lt;=5),5,IF(E60="x",IF(AND(Y206&gt;5,Y206&lt;=7.5),7.5,IF(AND(Y206&gt;5,Y206&lt;=10),10,AG206)))),0)</f>
        <v>0</v>
      </c>
      <c r="AG206" s="775">
        <f>IF(E60="x",IF(AND(Y206&gt;10,Y206&lt;=12.5),12.5,IF(E60="x",IF(AND(Y206&gt;12.5,Y206&lt;=15),15,IF(AND(Y206&gt;15,Y206/2&lt;=17.5),17.5,AH206)))),0)</f>
        <v>0</v>
      </c>
      <c r="AH206" s="775">
        <f>IF(E60="x",IF(AND(Y206&gt;17.5,Y206&lt;=20),20,IF(AND(Y206&gt;20,Y206&lt;=22.5),22.5,IF(AND(Y206&gt;22.5,Y206&lt;=25),25,IF(AND(Y206&gt;25,Y206&lt;=27.5),27.5,IF(AND(Y206&gt;27.5,Y206&lt;=30),30,IF(AND(Y206&gt;30,Y206&lt;=32.5),32.5,AI206)))))),0)</f>
        <v>0</v>
      </c>
      <c r="AI206" s="775">
        <f>IF(E60="x",IF(AND(Y206&gt;32.5,Y206&lt;=35),35,IF(AND(Y206&gt;35,Y206&lt;=37.5),37.5,IF(AND(Y206&gt;37.5,Y206&lt;=40),40,0))),0)</f>
        <v>0</v>
      </c>
      <c r="AJ206" s="745"/>
    </row>
    <row r="207" spans="1:36" hidden="1" x14ac:dyDescent="0.35">
      <c r="A207" s="988"/>
      <c r="B207" s="627"/>
      <c r="C207" s="633" t="s">
        <v>153</v>
      </c>
      <c r="D207" s="646"/>
      <c r="E207" s="646"/>
      <c r="F207" s="646"/>
      <c r="G207" s="646"/>
      <c r="H207" s="646"/>
      <c r="I207" s="646"/>
      <c r="J207" s="732"/>
      <c r="K207" s="629"/>
      <c r="L207" s="660">
        <f>(G91+G93+G97)*2</f>
        <v>124</v>
      </c>
      <c r="M207" s="627" t="s">
        <v>46</v>
      </c>
      <c r="N207" s="627"/>
      <c r="O207" s="627"/>
      <c r="P207" s="627"/>
      <c r="Q207" s="719"/>
      <c r="R207" s="627"/>
      <c r="S207" s="627"/>
      <c r="T207" s="627"/>
      <c r="U207" s="627"/>
      <c r="V207" s="627"/>
      <c r="W207" s="627"/>
      <c r="X207" s="745"/>
      <c r="Y207" s="1008">
        <f>(IF(C60="x",AA469,IF(E60="x",AC469,0)))*0.6</f>
        <v>7.0309950000000008</v>
      </c>
      <c r="Z207" s="1429" t="s">
        <v>150</v>
      </c>
      <c r="AA207" s="1430"/>
      <c r="AB207" s="775">
        <f>IF(C60="x",LARGE(AC207:AE207,1),IF(E60="x",LARGE(AF207:AH207,1),0))</f>
        <v>7.5</v>
      </c>
      <c r="AC207" s="775">
        <f>IF(AND(Y207&gt;0,Y207&lt;=5),5,IF(C60="x",IF(AND(Y207&gt;5,Y207&lt;=7.5),7.5,IF(AND(Y207&gt;5,Y207&lt;=10),10,AD207)),0))</f>
        <v>7.5</v>
      </c>
      <c r="AD207" s="775">
        <f>IF(C60="x",IF(AND(Y207&gt;10,Y207&lt;=12.5),12.5,IF(C60="x",IF(AND(Y207&gt;12.5,Y207&lt;=15),15,IF(AND(Y207&gt;15,Y207/2&lt;=17.5),17.5,AE207)),0)),0)</f>
        <v>0</v>
      </c>
      <c r="AE207" s="775">
        <f>IF(C60="x",IF(AND(Y207&gt;17.5,Y207&lt;=20),20,0),0)</f>
        <v>0</v>
      </c>
      <c r="AF207" s="775">
        <f>IF(E60="x",IF(AND(Y207&gt;0,Y207&lt;=5),5,IF(E60="x",IF(AND(Y207&gt;5,Y207&lt;=7.5),7.5,IF(AND(Y207&gt;5,Y207&lt;=10),10,AG207)))),0)</f>
        <v>0</v>
      </c>
      <c r="AG207" s="775">
        <f>IF(E60="x",IF(AND(Y207&gt;10,Y207&lt;=12.5),12.5,IF(E60="x",IF(AND(Y207&gt;12.5,Y207&lt;=15),15,IF(AND(Y207&gt;15,Y207/2&lt;=17.5),17.5,AH207)))),0)</f>
        <v>0</v>
      </c>
      <c r="AH207" s="775">
        <f>IF(E60="x",IF(AND(Y207&gt;17.5,Y207&lt;=20),20,IF(AND(Y207&gt;20,Y207&lt;=22.5),22.5,IF(AND(Y207&gt;22.5,Y207&lt;=25),25,IF(AND(Y207&gt;25,Y207&lt;=27.5),27.5,IF(AND(Y207&gt;27.5,Y207&lt;=30),30,IF(AND(Y207&gt;30,Y207&lt;=32.5),32.5,AI207)))))),0)</f>
        <v>0</v>
      </c>
      <c r="AI207" s="775">
        <f>IF(E60="x",IF(AND(Y207&gt;32.5,Y207&lt;=35),35,IF(AND(Y207&gt;35,Y207&lt;=37.5),37.5,IF(AND(Y207&gt;37.5,Y207&lt;=40),40,0))),0)</f>
        <v>0</v>
      </c>
      <c r="AJ207" s="745"/>
    </row>
    <row r="208" spans="1:36" hidden="1" x14ac:dyDescent="0.35">
      <c r="A208" s="988"/>
      <c r="B208" s="627"/>
      <c r="C208" s="633" t="s">
        <v>154</v>
      </c>
      <c r="D208" s="646"/>
      <c r="E208" s="646"/>
      <c r="F208" s="646"/>
      <c r="G208" s="646"/>
      <c r="H208" s="646"/>
      <c r="I208" s="646"/>
      <c r="J208" s="732"/>
      <c r="K208" s="629"/>
      <c r="L208" s="660">
        <f>(G91+G93+G97)*2</f>
        <v>124</v>
      </c>
      <c r="M208" s="627" t="s">
        <v>46</v>
      </c>
      <c r="N208" s="627"/>
      <c r="O208" s="627"/>
      <c r="P208" s="627"/>
      <c r="Q208" s="719"/>
      <c r="R208" s="627"/>
      <c r="S208" s="627"/>
      <c r="T208" s="627"/>
      <c r="U208" s="627"/>
      <c r="V208" s="627"/>
      <c r="W208" s="627"/>
      <c r="X208" s="745"/>
      <c r="Y208" s="745"/>
      <c r="Z208" s="745"/>
      <c r="AA208" s="745"/>
      <c r="AB208" s="745"/>
      <c r="AC208" s="745"/>
      <c r="AD208" s="745"/>
      <c r="AE208" s="745"/>
      <c r="AF208" s="745"/>
      <c r="AG208" s="745"/>
      <c r="AH208" s="745"/>
      <c r="AI208" s="745"/>
      <c r="AJ208" s="745"/>
    </row>
    <row r="209" spans="1:40" hidden="1" x14ac:dyDescent="0.35">
      <c r="A209" s="988"/>
      <c r="B209" s="627"/>
      <c r="C209" s="633" t="s">
        <v>155</v>
      </c>
      <c r="D209" s="646"/>
      <c r="E209" s="646"/>
      <c r="F209" s="646"/>
      <c r="G209" s="646"/>
      <c r="H209" s="646"/>
      <c r="I209" s="646"/>
      <c r="J209" s="732"/>
      <c r="K209" s="629"/>
      <c r="L209" s="660">
        <f>(G91+G93+G97)*2</f>
        <v>124</v>
      </c>
      <c r="M209" s="627" t="s">
        <v>46</v>
      </c>
      <c r="N209" s="627"/>
      <c r="O209" s="627"/>
      <c r="P209" s="627"/>
      <c r="Q209" s="719"/>
      <c r="R209" s="627"/>
      <c r="S209" s="627"/>
      <c r="T209" s="627"/>
      <c r="U209" s="627"/>
      <c r="V209" s="627"/>
      <c r="W209" s="627"/>
      <c r="X209" s="745"/>
      <c r="Y209" s="745"/>
      <c r="Z209" s="745"/>
      <c r="AA209" s="745"/>
      <c r="AB209" s="745"/>
      <c r="AC209" s="745"/>
      <c r="AD209" s="745"/>
      <c r="AE209" s="745"/>
      <c r="AF209" s="745"/>
      <c r="AG209" s="745"/>
      <c r="AH209" s="745"/>
      <c r="AI209" s="745"/>
      <c r="AJ209" s="745"/>
      <c r="AK209" s="627"/>
      <c r="AL209" s="627"/>
      <c r="AM209" s="627"/>
      <c r="AN209" s="627"/>
    </row>
    <row r="210" spans="1:40" hidden="1" x14ac:dyDescent="0.35">
      <c r="A210" s="988"/>
      <c r="B210" s="627"/>
      <c r="C210" s="633" t="s">
        <v>156</v>
      </c>
      <c r="D210" s="646"/>
      <c r="E210" s="646"/>
      <c r="F210" s="646"/>
      <c r="G210" s="646"/>
      <c r="H210" s="646"/>
      <c r="I210" s="646"/>
      <c r="J210" s="732"/>
      <c r="K210" s="629"/>
      <c r="L210" s="660">
        <f>(G91+G93+G97)</f>
        <v>62</v>
      </c>
      <c r="M210" s="627" t="s">
        <v>46</v>
      </c>
      <c r="N210" s="627"/>
      <c r="O210" s="627"/>
      <c r="P210" s="627"/>
      <c r="Q210" s="719"/>
      <c r="R210" s="627"/>
      <c r="S210" s="627"/>
      <c r="T210" s="627"/>
      <c r="U210" s="627"/>
      <c r="V210" s="627"/>
      <c r="W210" s="627"/>
      <c r="X210" s="627"/>
      <c r="Y210" s="627"/>
      <c r="Z210" s="627"/>
      <c r="AA210" s="627"/>
      <c r="AB210" s="627"/>
      <c r="AC210" s="627"/>
      <c r="AD210" s="627"/>
      <c r="AE210" s="627"/>
      <c r="AF210" s="627"/>
      <c r="AG210" s="627"/>
      <c r="AH210" s="627"/>
      <c r="AI210" s="627"/>
      <c r="AJ210" s="627"/>
      <c r="AK210" s="627"/>
      <c r="AL210" s="627"/>
      <c r="AM210" s="627"/>
      <c r="AN210" s="627"/>
    </row>
    <row r="211" spans="1:40" hidden="1" x14ac:dyDescent="0.35">
      <c r="A211" s="988"/>
      <c r="B211" s="627"/>
      <c r="C211" s="633" t="s">
        <v>157</v>
      </c>
      <c r="D211" s="646"/>
      <c r="E211" s="646"/>
      <c r="F211" s="646"/>
      <c r="G211" s="646"/>
      <c r="H211" s="646"/>
      <c r="I211" s="646"/>
      <c r="J211" s="732"/>
      <c r="K211" s="629"/>
      <c r="L211" s="660">
        <f>ROUNDUP(IF(H629=3,(G91+G93+G97)*H631,0)*1.02,0)</f>
        <v>823</v>
      </c>
      <c r="M211" s="627" t="s">
        <v>46</v>
      </c>
      <c r="N211" s="627"/>
      <c r="O211" s="627"/>
      <c r="P211" s="627"/>
      <c r="Q211" s="719"/>
      <c r="R211" s="627"/>
      <c r="S211" s="627"/>
      <c r="T211" s="627"/>
      <c r="U211" s="627"/>
      <c r="V211" s="627"/>
      <c r="W211" s="627"/>
      <c r="X211" s="627"/>
      <c r="Y211" s="627"/>
      <c r="Z211" s="627"/>
      <c r="AA211" s="627"/>
      <c r="AB211" s="627"/>
      <c r="AC211" s="627"/>
      <c r="AD211" s="627"/>
      <c r="AE211" s="627"/>
      <c r="AF211" s="627"/>
      <c r="AG211" s="627"/>
      <c r="AH211" s="627"/>
      <c r="AI211" s="627"/>
      <c r="AJ211" s="627"/>
      <c r="AK211" s="627"/>
      <c r="AL211" s="627"/>
      <c r="AM211" s="627"/>
      <c r="AN211" s="627"/>
    </row>
    <row r="212" spans="1:40" hidden="1" x14ac:dyDescent="0.35">
      <c r="A212" s="988"/>
      <c r="B212" s="627"/>
      <c r="C212" s="633" t="s">
        <v>158</v>
      </c>
      <c r="D212" s="646"/>
      <c r="E212" s="646"/>
      <c r="F212" s="646"/>
      <c r="G212" s="646"/>
      <c r="H212" s="646"/>
      <c r="I212" s="646"/>
      <c r="J212" s="732"/>
      <c r="K212" s="629"/>
      <c r="L212" s="660">
        <f>ROUNDUP(IF(H629=1,(G91+G93+G97)*H631,0)*1.02,0)</f>
        <v>0</v>
      </c>
      <c r="M212" s="627" t="s">
        <v>46</v>
      </c>
      <c r="N212" s="627"/>
      <c r="O212" s="627"/>
      <c r="P212" s="627"/>
      <c r="Q212" s="719"/>
      <c r="R212" s="627"/>
      <c r="S212" s="627"/>
      <c r="T212" s="627"/>
      <c r="U212" s="627"/>
      <c r="V212" s="627"/>
      <c r="W212" s="627"/>
      <c r="X212" s="627"/>
      <c r="Y212" s="627"/>
      <c r="Z212" s="1338" t="s">
        <v>159</v>
      </c>
      <c r="AA212" s="1441"/>
      <c r="AB212" s="1441"/>
      <c r="AC212" s="1441"/>
      <c r="AD212" s="1339"/>
      <c r="AE212" s="627"/>
      <c r="AF212" s="627"/>
      <c r="AG212" s="627"/>
      <c r="AH212" s="627"/>
      <c r="AI212" s="627"/>
      <c r="AJ212" s="627"/>
      <c r="AK212" s="627"/>
      <c r="AL212" s="627"/>
      <c r="AM212" s="627"/>
      <c r="AN212" s="627"/>
    </row>
    <row r="213" spans="1:40" ht="12.75" hidden="1" customHeight="1" x14ac:dyDescent="0.35">
      <c r="A213" s="988"/>
      <c r="B213" s="627"/>
      <c r="C213" s="633" t="s">
        <v>160</v>
      </c>
      <c r="D213" s="646"/>
      <c r="E213" s="646"/>
      <c r="F213" s="646"/>
      <c r="G213" s="646"/>
      <c r="H213" s="646"/>
      <c r="I213" s="646"/>
      <c r="J213" s="732"/>
      <c r="K213" s="629"/>
      <c r="L213" s="660">
        <f>ROUNDUP(IF(H629=3,(G91+G93+G97)*H631,0)*1.02,0)</f>
        <v>823</v>
      </c>
      <c r="M213" s="627" t="s">
        <v>46</v>
      </c>
      <c r="N213" s="627"/>
      <c r="O213" s="627"/>
      <c r="P213" s="627"/>
      <c r="Q213" s="719"/>
      <c r="R213" s="627"/>
      <c r="S213" s="627"/>
      <c r="T213" s="627"/>
      <c r="U213" s="627"/>
      <c r="V213" s="627"/>
      <c r="W213" s="627"/>
      <c r="X213" s="627"/>
      <c r="Y213" s="627"/>
      <c r="Z213" s="1442" t="s">
        <v>161</v>
      </c>
      <c r="AA213" s="1442" t="s">
        <v>162</v>
      </c>
      <c r="AB213" s="1442" t="s">
        <v>163</v>
      </c>
      <c r="AC213" s="1442" t="s">
        <v>164</v>
      </c>
      <c r="AD213" s="1442" t="s">
        <v>165</v>
      </c>
      <c r="AE213" s="627"/>
      <c r="AF213" s="627"/>
      <c r="AG213" s="627"/>
      <c r="AH213" s="627"/>
      <c r="AI213" s="627"/>
      <c r="AJ213" s="627"/>
      <c r="AK213" s="627"/>
      <c r="AL213" s="627"/>
      <c r="AM213" s="627"/>
      <c r="AN213" s="627"/>
    </row>
    <row r="214" spans="1:40" hidden="1" x14ac:dyDescent="0.35">
      <c r="A214" s="988"/>
      <c r="B214" s="627"/>
      <c r="C214" s="633" t="s">
        <v>166</v>
      </c>
      <c r="D214" s="646"/>
      <c r="E214" s="646"/>
      <c r="F214" s="646"/>
      <c r="G214" s="646"/>
      <c r="H214" s="646"/>
      <c r="I214" s="646"/>
      <c r="J214" s="732"/>
      <c r="K214" s="629"/>
      <c r="L214" s="660">
        <f>ROUNDUP(IF(H629=1,(G91+G93+G97)*H631,0)*1.02,0)</f>
        <v>0</v>
      </c>
      <c r="M214" s="627" t="s">
        <v>46</v>
      </c>
      <c r="N214" s="627"/>
      <c r="O214" s="627"/>
      <c r="P214" s="627"/>
      <c r="Q214" s="719"/>
      <c r="R214" s="627"/>
      <c r="S214" s="627"/>
      <c r="T214" s="627"/>
      <c r="U214" s="627"/>
      <c r="V214" s="627"/>
      <c r="W214" s="627"/>
      <c r="X214" s="627"/>
      <c r="Y214" s="627"/>
      <c r="Z214" s="1443"/>
      <c r="AA214" s="1443"/>
      <c r="AB214" s="1443"/>
      <c r="AC214" s="1443"/>
      <c r="AD214" s="1443"/>
      <c r="AE214" s="1048" t="s">
        <v>145</v>
      </c>
      <c r="AF214" s="1434" t="s">
        <v>152</v>
      </c>
      <c r="AG214" s="1434"/>
      <c r="AH214" s="1434"/>
      <c r="AI214" s="1434" t="s">
        <v>41</v>
      </c>
      <c r="AJ214" s="1434"/>
      <c r="AK214" s="1434"/>
      <c r="AL214" s="1434" t="s">
        <v>42</v>
      </c>
      <c r="AM214" s="1434"/>
      <c r="AN214" s="1434"/>
    </row>
    <row r="215" spans="1:40" hidden="1" x14ac:dyDescent="0.35">
      <c r="A215" s="988"/>
      <c r="B215" s="627"/>
      <c r="C215" s="633" t="s">
        <v>167</v>
      </c>
      <c r="D215" s="646"/>
      <c r="E215" s="646"/>
      <c r="F215" s="646"/>
      <c r="G215" s="646"/>
      <c r="H215" s="646"/>
      <c r="I215" s="646"/>
      <c r="J215" s="732"/>
      <c r="K215" s="629"/>
      <c r="L215" s="660">
        <f>((G97*J184*I15)+((J186*(G91+G93)*I15)))*(1+(J192/100))+(((G91+G93+G97)*Z467+(G91+G93+G97)*Z468)*(1+(J192/100)))</f>
        <v>226.32190000000003</v>
      </c>
      <c r="M215" s="627" t="s">
        <v>31</v>
      </c>
      <c r="N215" s="627"/>
      <c r="O215" s="627"/>
      <c r="P215" s="627"/>
      <c r="Q215" s="719"/>
      <c r="R215" s="627"/>
      <c r="S215" s="627"/>
      <c r="T215" s="627"/>
      <c r="U215" s="627"/>
      <c r="V215" s="627"/>
      <c r="W215" s="627"/>
      <c r="X215" s="627"/>
      <c r="Y215" s="627"/>
      <c r="Z215" s="730">
        <f>PINOS!S6</f>
        <v>7689.9999999999991</v>
      </c>
      <c r="AA215" s="730">
        <f>PINOS!T6</f>
        <v>2675.5813953488373</v>
      </c>
      <c r="AB215" s="730">
        <f>PINOS!U6</f>
        <v>4359.1569767441852</v>
      </c>
      <c r="AC215" s="730">
        <f>PINOS!V6</f>
        <v>1</v>
      </c>
      <c r="AD215" s="1049">
        <f>PINOS!W6</f>
        <v>4</v>
      </c>
      <c r="AE215" s="206">
        <f>((IF(C60="x",AJ469,IF(E60="x",AL469,0)))*1000)</f>
        <v>8792.85</v>
      </c>
      <c r="AF215" s="1435" t="s">
        <v>148</v>
      </c>
      <c r="AG215" s="1436"/>
      <c r="AH215" s="207">
        <f>IF(C60="x",LARGE(AI215:AK215,1),IF(E60="x",LARGE(AL215:AN215,1),0))</f>
        <v>2</v>
      </c>
      <c r="AI215" s="207">
        <f>IF(AND(AE215&gt;0,AE215&lt;=Z215),AC215,IF(AND(AE215&gt;Z215,AE215&lt;=Z217),AC217,AJ215))</f>
        <v>2</v>
      </c>
      <c r="AJ215" s="207">
        <f>IF(AND(AE215&gt;Z217,AE215&lt;=Z218),AC218,IF(AND(AE215&gt;Z218,AE215&lt;=Z219),AC219,AK215))</f>
        <v>0</v>
      </c>
      <c r="AK215" s="207">
        <f>IF(AND(AE215&gt;Z219,AE215&lt;=Z220),AC220,0)</f>
        <v>0</v>
      </c>
      <c r="AL215" s="207">
        <f>IF(AND(AE215&gt;0,AE215&lt;=Z215),AC215,IF(AND(AE215&gt;Z215,AE215&lt;=Z217),AC217,AM215))</f>
        <v>2</v>
      </c>
      <c r="AM215" s="207">
        <f>IF(AND(AE215&gt;Z217,AE215&lt;=Z218),AC218,IF(AND(AE215&gt;Z218,AE215&lt;=Z219),AC219,AN215))</f>
        <v>0</v>
      </c>
      <c r="AN215" s="207">
        <f>IF(AND(AE215&gt;Z219,AE215&lt;=Z220),AC220,0)</f>
        <v>0</v>
      </c>
    </row>
    <row r="216" spans="1:40" hidden="1" x14ac:dyDescent="0.35">
      <c r="A216" s="988"/>
      <c r="B216" s="627"/>
      <c r="C216" s="633" t="s">
        <v>168</v>
      </c>
      <c r="D216" s="646"/>
      <c r="E216" s="646"/>
      <c r="F216" s="646"/>
      <c r="G216" s="646"/>
      <c r="H216" s="646"/>
      <c r="I216" s="646"/>
      <c r="J216" s="732"/>
      <c r="K216" s="629"/>
      <c r="L216" s="660">
        <f>ARMAÇÃO!F115</f>
        <v>0</v>
      </c>
      <c r="M216" s="627" t="s">
        <v>64</v>
      </c>
      <c r="N216" s="627"/>
      <c r="O216" s="627"/>
      <c r="P216" s="627"/>
      <c r="Q216" s="719"/>
      <c r="R216" s="627"/>
      <c r="S216" s="627"/>
      <c r="T216" s="627"/>
      <c r="U216" s="627"/>
      <c r="V216" s="627"/>
      <c r="W216" s="627"/>
      <c r="X216" s="627"/>
      <c r="Y216" s="627"/>
      <c r="Z216" s="730"/>
      <c r="AA216" s="730"/>
      <c r="AB216" s="730"/>
      <c r="AC216" s="730"/>
      <c r="AD216" s="1049"/>
      <c r="AE216" s="206"/>
      <c r="AF216" s="208"/>
      <c r="AG216" s="209"/>
      <c r="AH216" s="207"/>
      <c r="AI216" s="207"/>
      <c r="AJ216" s="207"/>
      <c r="AK216" s="207"/>
      <c r="AL216" s="207"/>
      <c r="AM216" s="207"/>
      <c r="AN216" s="207"/>
    </row>
    <row r="217" spans="1:40" hidden="1" x14ac:dyDescent="0.35">
      <c r="A217" s="988"/>
      <c r="B217" s="627"/>
      <c r="C217" s="633" t="s">
        <v>169</v>
      </c>
      <c r="D217" s="646"/>
      <c r="E217" s="646"/>
      <c r="F217" s="646"/>
      <c r="G217" s="646"/>
      <c r="H217" s="646"/>
      <c r="I217" s="646"/>
      <c r="J217" s="732"/>
      <c r="K217" s="629"/>
      <c r="L217" s="660">
        <f ca="1">ARMAÇÃO!F116</f>
        <v>17418.20237140041</v>
      </c>
      <c r="M217" s="627" t="s">
        <v>64</v>
      </c>
      <c r="N217" s="627"/>
      <c r="O217" s="195">
        <f ca="1">J290*65*(O218+O219+O220)+22*21*(G91+G93)</f>
        <v>37324</v>
      </c>
      <c r="P217" s="627"/>
      <c r="Q217" s="719"/>
      <c r="R217" s="627"/>
      <c r="S217" s="627"/>
      <c r="T217" s="627"/>
      <c r="U217" s="627"/>
      <c r="V217" s="627"/>
      <c r="W217" s="627"/>
      <c r="X217" s="627"/>
      <c r="Y217" s="627"/>
      <c r="Z217" s="730">
        <f>PINOS!S7</f>
        <v>8870</v>
      </c>
      <c r="AA217" s="730">
        <f>PINOS!T7</f>
        <v>4563.2267441860477</v>
      </c>
      <c r="AB217" s="730">
        <f>PINOS!U7</f>
        <v>5028.0523255813951</v>
      </c>
      <c r="AC217" s="730">
        <f>PINOS!V7</f>
        <v>2</v>
      </c>
      <c r="AD217" s="1049">
        <f>PINOS!W7</f>
        <v>4</v>
      </c>
      <c r="AE217" s="210">
        <f>(IF(C60="x",AA469,IF(E60="x",AC469,0))*1000)</f>
        <v>11718.325000000003</v>
      </c>
      <c r="AF217" s="1437" t="s">
        <v>150</v>
      </c>
      <c r="AG217" s="1438"/>
      <c r="AH217" s="211">
        <f>IF(C60="x",LARGE(AI217:AK217,1),IF(E60="x",LARGE(AL217:AN217,1),0))</f>
        <v>3</v>
      </c>
      <c r="AI217" s="211">
        <f>IF(AND(AE217&gt;0,AE217&lt;=Z215),AC215,IF(AND(AE217&gt;Z215,AE217&lt;=Z217),AC217,AJ217))</f>
        <v>3</v>
      </c>
      <c r="AJ217" s="211">
        <f>IF(AND(AE217&gt;Z217,AE217&lt;=Z218),AC218,IF(AND(AE217&gt;Z218,AE217&lt;=Z219),AC219,AK217))</f>
        <v>3</v>
      </c>
      <c r="AK217" s="211">
        <f>IF(AND(AE217&gt;Z219,AE217&lt;=Z220),AC220,0)</f>
        <v>0</v>
      </c>
      <c r="AL217" s="211">
        <f>IF(AND(AE217&gt;0,AE217&lt;=Z215),AC215,IF(AND(AE217&gt;Z215,AE217&lt;=Z217),AC217,AM217))</f>
        <v>3</v>
      </c>
      <c r="AM217" s="211">
        <f>IF(AND(AE217&gt;Z217,AE217&lt;=Z218),AC218,IF(AND(AE217&gt;Z218,AE217&lt;=Z219),AC219,AN217))</f>
        <v>3</v>
      </c>
      <c r="AN217" s="211">
        <f>IF(AND(AE217&gt;Z219,AE217&lt;=Z220),AC220,0)</f>
        <v>0</v>
      </c>
    </row>
    <row r="218" spans="1:40" hidden="1" x14ac:dyDescent="0.35">
      <c r="A218" s="988"/>
      <c r="B218" s="627"/>
      <c r="C218" s="633" t="s">
        <v>170</v>
      </c>
      <c r="D218" s="646"/>
      <c r="E218" s="646"/>
      <c r="F218" s="646"/>
      <c r="G218" s="646"/>
      <c r="H218" s="646"/>
      <c r="I218" s="646"/>
      <c r="J218" s="732"/>
      <c r="K218" s="629"/>
      <c r="L218" s="660">
        <f ca="1">O217*0.792</f>
        <v>29560.608</v>
      </c>
      <c r="M218" s="627" t="s">
        <v>64</v>
      </c>
      <c r="N218" s="627"/>
      <c r="O218" s="195">
        <f>IF(I15&lt;=10,IF(C60="X",16,IF(E60="X",16,0)))</f>
        <v>16</v>
      </c>
      <c r="P218" s="627"/>
      <c r="Q218" s="719"/>
      <c r="R218" s="627"/>
      <c r="S218" s="627"/>
      <c r="T218" s="627"/>
      <c r="U218" s="627"/>
      <c r="V218" s="627"/>
      <c r="W218" s="627"/>
      <c r="X218" s="627"/>
      <c r="Y218" s="627"/>
      <c r="Z218" s="730">
        <f>PINOS!S8</f>
        <v>13685</v>
      </c>
      <c r="AA218" s="730">
        <f>PINOS!T8</f>
        <v>5243.459302325582</v>
      </c>
      <c r="AB218" s="730">
        <f>PINOS!U8</f>
        <v>7757.4854651162796</v>
      </c>
      <c r="AC218" s="730">
        <f>PINOS!V8</f>
        <v>3</v>
      </c>
      <c r="AD218" s="1049">
        <f>PINOS!W8</f>
        <v>4</v>
      </c>
      <c r="AE218" s="212">
        <f>AE215</f>
        <v>8792.85</v>
      </c>
      <c r="AF218" s="1439" t="s">
        <v>148</v>
      </c>
      <c r="AG218" s="1440"/>
      <c r="AH218" s="213">
        <f>IF(C60="x",LARGE(AI218:AK218,1),IF(E60="x",LARGE(AL218:AN218,1),0))</f>
        <v>4</v>
      </c>
      <c r="AI218" s="213">
        <f>IF(AND(AE215&gt;0,AE215&lt;=Z215),AD215,IF(AND(AE215&gt;Z215,AE215&lt;=Z217),AD217,AJ218))</f>
        <v>4</v>
      </c>
      <c r="AJ218" s="213">
        <f>IF(AND(AE215&gt;Z217,AE215&lt;=Z218),AD218,IF(AND(AE215&gt;Z218,AE215&lt;=Z219),AD219,AK218))</f>
        <v>0</v>
      </c>
      <c r="AK218" s="213">
        <f>IF(AND(AE215&gt;Z219,AE215&lt;=Z220),AD220,0)</f>
        <v>0</v>
      </c>
      <c r="AL218" s="213">
        <f>IF(AND(AE215&gt;0,AE215&lt;=Z215),AD215,IF(AND(AE215&gt;Z215,AE215&lt;=Z217),AD217,AM218))</f>
        <v>4</v>
      </c>
      <c r="AM218" s="213">
        <f>IF(AND(AE215&gt;Z217,AE215&lt;=Z218),AD218,IF(AND(AE215&gt;Z218,AE215&lt;=Z219),AD219,AN218))</f>
        <v>0</v>
      </c>
      <c r="AN218" s="213">
        <f>IF(AND(AE215&gt;Z219,AE215&lt;=Z220),AD220,0)</f>
        <v>0</v>
      </c>
    </row>
    <row r="219" spans="1:40" x14ac:dyDescent="0.35">
      <c r="A219" s="988"/>
      <c r="B219" s="627"/>
      <c r="C219" s="633" t="s">
        <v>171</v>
      </c>
      <c r="D219" s="646"/>
      <c r="E219" s="646"/>
      <c r="F219" s="646"/>
      <c r="G219" s="646" t="s">
        <v>172</v>
      </c>
      <c r="H219" s="646"/>
      <c r="I219" s="1050">
        <v>4.5</v>
      </c>
      <c r="J219" s="732" t="s">
        <v>173</v>
      </c>
      <c r="K219" s="629"/>
      <c r="L219" s="660">
        <f>(G91+G93+G97)*I15*2.4*CÁLCULOS!J602</f>
        <v>3258.7200000000003</v>
      </c>
      <c r="M219" s="627" t="s">
        <v>46</v>
      </c>
      <c r="N219" s="627"/>
      <c r="O219" s="195">
        <f>IF(AND(I15&gt;10,I15&lt;=12),22,0)</f>
        <v>0</v>
      </c>
      <c r="P219" s="627"/>
      <c r="Q219" s="719"/>
      <c r="R219" s="627"/>
      <c r="S219" s="627"/>
      <c r="T219" s="627"/>
      <c r="U219" s="627"/>
      <c r="V219" s="627"/>
      <c r="W219" s="627"/>
      <c r="X219" s="627"/>
      <c r="Y219" s="627"/>
      <c r="Z219" s="730">
        <f>PINOS!S9</f>
        <v>17300</v>
      </c>
      <c r="AA219" s="730">
        <f>PINOS!T9</f>
        <v>7981.3953488372099</v>
      </c>
      <c r="AB219" s="730">
        <f>PINOS!U9</f>
        <v>9806.6860465116279</v>
      </c>
      <c r="AC219" s="730">
        <f>PINOS!V9</f>
        <v>4</v>
      </c>
      <c r="AD219" s="1049">
        <f>PINOS!W9</f>
        <v>4</v>
      </c>
      <c r="AE219" s="214">
        <f>AE217</f>
        <v>11718.325000000003</v>
      </c>
      <c r="AF219" s="1444" t="s">
        <v>150</v>
      </c>
      <c r="AG219" s="1445"/>
      <c r="AH219" s="215">
        <f>IF(C60="x",LARGE(AI219:AK219,1),IF(E60="x",LARGE(AL219:AN219,1),0))</f>
        <v>4</v>
      </c>
      <c r="AI219" s="215">
        <f>IF(AND(AE217&gt;0,AE217&lt;=Z215),AD215,IF(AND(AE217&gt;Z215,AE217&lt;=Z217),AD217,AJ219))</f>
        <v>4</v>
      </c>
      <c r="AJ219" s="215">
        <f>IF(AND(AE217&gt;Z217,AE217&lt;=Z218),AD218,IF(AND(AE217&gt;Z218,AE217&lt;=Z219),AD219,AK219))</f>
        <v>4</v>
      </c>
      <c r="AK219" s="215">
        <f>IF(AND(AE217&gt;Z219,AE217&lt;=Z220),AD220,0)</f>
        <v>0</v>
      </c>
      <c r="AL219" s="215">
        <f>IF(AND(AE217&gt;0,AE217&lt;=Z215),AD215,IF(AND(AE217&gt;Z215,AE217&lt;=Z217),AD217,AM219))</f>
        <v>4</v>
      </c>
      <c r="AM219" s="215">
        <f>IF(AND(AE217&gt;Z217,AE217&lt;=Z218),AD218,IF(AND(AE217&gt;Z218,AE217&lt;=Z219),AD219,AN219))</f>
        <v>4</v>
      </c>
      <c r="AN219" s="215">
        <f>IF(AND(AE217&gt;Z219,AE217&lt;=Z220),AD220,0)</f>
        <v>0</v>
      </c>
    </row>
    <row r="220" spans="1:40" hidden="1" x14ac:dyDescent="0.35">
      <c r="A220" s="988"/>
      <c r="B220" s="627"/>
      <c r="C220" s="633" t="s">
        <v>174</v>
      </c>
      <c r="D220" s="646"/>
      <c r="E220" s="646"/>
      <c r="F220" s="646"/>
      <c r="G220" s="646"/>
      <c r="H220" s="646"/>
      <c r="I220" s="646"/>
      <c r="J220" s="732"/>
      <c r="K220" s="629"/>
      <c r="L220" s="660">
        <f ca="1">L217*0.007</f>
        <v>121.92741659980287</v>
      </c>
      <c r="M220" s="627" t="s">
        <v>64</v>
      </c>
      <c r="N220" s="627"/>
      <c r="O220" s="195">
        <f>IF(AND(I15&gt;12,I15&lt;=14),22,0)</f>
        <v>0</v>
      </c>
      <c r="P220" s="627"/>
      <c r="Q220" s="719"/>
      <c r="R220" s="627"/>
      <c r="S220" s="627"/>
      <c r="T220" s="627"/>
      <c r="U220" s="627"/>
      <c r="V220" s="627"/>
      <c r="W220" s="627"/>
      <c r="X220" s="627"/>
      <c r="Y220" s="627"/>
      <c r="Z220" s="730">
        <f>PINOS!S10</f>
        <v>18140</v>
      </c>
      <c r="AA220" s="730">
        <f>PINOS!T10</f>
        <v>9166.1337209302346</v>
      </c>
      <c r="AB220" s="730">
        <f>PINOS!U10</f>
        <v>10282.848837209303</v>
      </c>
      <c r="AC220" s="730">
        <f>PINOS!V10</f>
        <v>5</v>
      </c>
      <c r="AD220" s="1049">
        <f>PINOS!W10</f>
        <v>4</v>
      </c>
      <c r="AE220" s="627"/>
      <c r="AF220" s="627"/>
      <c r="AG220" s="627"/>
      <c r="AH220" s="627"/>
      <c r="AI220" s="627"/>
      <c r="AJ220" s="627"/>
      <c r="AK220" s="627"/>
      <c r="AL220" s="627"/>
      <c r="AM220" s="627"/>
      <c r="AN220" s="627"/>
    </row>
    <row r="221" spans="1:40" hidden="1" x14ac:dyDescent="0.35">
      <c r="A221" s="988"/>
      <c r="B221" s="627"/>
      <c r="C221" s="633" t="s">
        <v>175</v>
      </c>
      <c r="D221" s="646"/>
      <c r="E221" s="646"/>
      <c r="F221" s="646"/>
      <c r="G221" s="646"/>
      <c r="H221" s="646"/>
      <c r="I221" s="646"/>
      <c r="J221" s="732"/>
      <c r="K221" s="629"/>
      <c r="L221" s="660">
        <f>ROUNDUP(H631/2*(G91+G93),0)</f>
        <v>13</v>
      </c>
      <c r="M221" s="627" t="s">
        <v>46</v>
      </c>
      <c r="N221" s="627"/>
      <c r="O221" s="627"/>
      <c r="P221" s="627"/>
      <c r="Q221" s="719"/>
      <c r="R221" s="627"/>
      <c r="S221" s="627"/>
      <c r="T221" s="627"/>
      <c r="U221" s="627"/>
      <c r="V221" s="627"/>
      <c r="W221" s="627"/>
      <c r="X221" s="627"/>
      <c r="Y221" s="627"/>
      <c r="Z221" s="627"/>
      <c r="AA221" s="627"/>
      <c r="AB221" s="627"/>
      <c r="AC221" s="627"/>
      <c r="AD221" s="627"/>
      <c r="AE221" s="627"/>
      <c r="AF221" s="627"/>
      <c r="AG221" s="627"/>
      <c r="AH221" s="627"/>
      <c r="AI221" s="627"/>
      <c r="AJ221" s="627"/>
      <c r="AK221" s="627"/>
      <c r="AL221" s="627"/>
      <c r="AM221" s="627"/>
      <c r="AN221" s="627"/>
    </row>
    <row r="222" spans="1:40" hidden="1" x14ac:dyDescent="0.35">
      <c r="A222" s="988"/>
      <c r="B222" s="627"/>
      <c r="C222" s="633" t="s">
        <v>176</v>
      </c>
      <c r="D222" s="646"/>
      <c r="E222" s="646"/>
      <c r="F222" s="646"/>
      <c r="G222" s="646"/>
      <c r="H222" s="646"/>
      <c r="I222" s="646"/>
      <c r="J222" s="732"/>
      <c r="K222" s="629"/>
      <c r="L222" s="660">
        <f>ROUNDUP(0.2*((G91+G93+G97))*I15*2.4,0)</f>
        <v>218</v>
      </c>
      <c r="M222" s="627" t="s">
        <v>177</v>
      </c>
      <c r="N222" s="627"/>
      <c r="O222" s="627"/>
      <c r="P222" s="627"/>
      <c r="Q222" s="719"/>
      <c r="R222" s="627"/>
      <c r="S222" s="627"/>
      <c r="T222" s="627"/>
      <c r="U222" s="627"/>
      <c r="V222" s="627"/>
      <c r="W222" s="627"/>
      <c r="X222" s="627"/>
      <c r="Y222" s="627"/>
      <c r="Z222" s="627"/>
      <c r="AA222" s="627"/>
      <c r="AB222" s="627"/>
      <c r="AC222" s="627"/>
      <c r="AD222" s="627"/>
      <c r="AE222" s="627"/>
      <c r="AF222" s="627"/>
      <c r="AG222" s="627"/>
      <c r="AH222" s="627"/>
      <c r="AI222" s="627"/>
      <c r="AJ222" s="627"/>
      <c r="AK222" s="627"/>
      <c r="AL222" s="627"/>
      <c r="AM222" s="627"/>
      <c r="AN222" s="627"/>
    </row>
    <row r="223" spans="1:40" hidden="1" x14ac:dyDescent="0.35">
      <c r="A223" s="988"/>
      <c r="B223" s="627"/>
      <c r="C223" s="633" t="s">
        <v>178</v>
      </c>
      <c r="D223" s="646"/>
      <c r="E223" s="646"/>
      <c r="F223" s="646"/>
      <c r="G223" s="646"/>
      <c r="H223" s="646"/>
      <c r="I223" s="646"/>
      <c r="J223" s="732"/>
      <c r="K223" s="629"/>
      <c r="L223" s="660">
        <f>ROUNDUP(0.2*((G91+G93+G97))*I15*2.4,0)</f>
        <v>218</v>
      </c>
      <c r="M223" s="627" t="s">
        <v>177</v>
      </c>
      <c r="N223" s="627"/>
      <c r="O223" s="627"/>
      <c r="P223" s="627"/>
      <c r="Q223" s="719"/>
      <c r="R223" s="627"/>
      <c r="S223" s="627"/>
      <c r="T223" s="627"/>
      <c r="U223" s="627"/>
      <c r="V223" s="627"/>
      <c r="W223" s="627"/>
      <c r="X223" s="627"/>
      <c r="Y223" s="627"/>
      <c r="Z223" s="627"/>
      <c r="AA223" s="627"/>
      <c r="AB223" s="627"/>
      <c r="AC223" s="627"/>
      <c r="AD223" s="627"/>
      <c r="AE223" s="627"/>
      <c r="AF223" s="627"/>
      <c r="AG223" s="627"/>
      <c r="AH223" s="627"/>
      <c r="AI223" s="627"/>
      <c r="AJ223" s="627"/>
      <c r="AK223" s="627"/>
      <c r="AL223" s="627"/>
      <c r="AM223" s="627"/>
      <c r="AN223" s="627"/>
    </row>
    <row r="224" spans="1:40" hidden="1" x14ac:dyDescent="0.35">
      <c r="A224" s="988"/>
      <c r="B224" s="627"/>
      <c r="C224" s="633" t="s">
        <v>179</v>
      </c>
      <c r="D224" s="646"/>
      <c r="E224" s="646"/>
      <c r="F224" s="646"/>
      <c r="G224" s="646"/>
      <c r="H224" s="646"/>
      <c r="I224" s="646"/>
      <c r="J224" s="732"/>
      <c r="K224" s="629"/>
      <c r="L224" s="660"/>
      <c r="M224" s="627" t="s">
        <v>64</v>
      </c>
      <c r="N224" s="627"/>
      <c r="O224" s="627"/>
      <c r="P224" s="627"/>
      <c r="Q224" s="719"/>
      <c r="R224" s="627"/>
      <c r="S224" s="627"/>
      <c r="T224" s="627"/>
      <c r="U224" s="627"/>
      <c r="V224" s="627"/>
      <c r="W224" s="627"/>
      <c r="X224" s="627"/>
      <c r="Y224" s="627"/>
      <c r="Z224" s="627"/>
      <c r="AA224" s="627"/>
      <c r="AB224" s="627"/>
      <c r="AC224" s="627"/>
      <c r="AD224" s="627"/>
      <c r="AE224" s="627"/>
      <c r="AF224" s="627"/>
      <c r="AG224" s="627"/>
      <c r="AH224" s="627"/>
      <c r="AI224" s="627"/>
      <c r="AJ224" s="627"/>
      <c r="AK224" s="627"/>
      <c r="AL224" s="627"/>
      <c r="AM224" s="627"/>
      <c r="AN224" s="627"/>
    </row>
    <row r="225" spans="1:40" hidden="1" x14ac:dyDescent="0.35">
      <c r="A225" s="988"/>
      <c r="B225" s="627"/>
      <c r="C225" s="633" t="s">
        <v>180</v>
      </c>
      <c r="D225" s="646"/>
      <c r="E225" s="646"/>
      <c r="F225" s="646"/>
      <c r="G225" s="646"/>
      <c r="H225" s="646"/>
      <c r="I225" s="646"/>
      <c r="J225" s="732"/>
      <c r="K225" s="629"/>
      <c r="L225" s="660"/>
      <c r="M225" s="627" t="s">
        <v>64</v>
      </c>
      <c r="N225" s="627"/>
      <c r="O225" s="627"/>
      <c r="P225" s="627"/>
      <c r="Q225" s="719"/>
      <c r="R225" s="627"/>
      <c r="S225" s="627"/>
      <c r="T225" s="627"/>
      <c r="U225" s="627"/>
      <c r="V225" s="627"/>
      <c r="W225" s="627"/>
      <c r="X225" s="627"/>
      <c r="Y225" s="627"/>
      <c r="Z225" s="1338" t="s">
        <v>181</v>
      </c>
      <c r="AA225" s="1441"/>
      <c r="AB225" s="1441"/>
      <c r="AC225" s="1441"/>
      <c r="AD225" s="1339"/>
      <c r="AE225" s="627"/>
      <c r="AF225" s="627"/>
      <c r="AG225" s="627"/>
      <c r="AH225" s="627"/>
      <c r="AI225" s="627"/>
      <c r="AJ225" s="627"/>
      <c r="AK225" s="627"/>
      <c r="AL225" s="627"/>
      <c r="AM225" s="627"/>
      <c r="AN225" s="627"/>
    </row>
    <row r="226" spans="1:40" hidden="1" x14ac:dyDescent="0.35">
      <c r="A226" s="988"/>
      <c r="B226" s="627"/>
      <c r="C226" s="633" t="s">
        <v>182</v>
      </c>
      <c r="D226" s="646"/>
      <c r="E226" s="646"/>
      <c r="F226" s="646"/>
      <c r="G226" s="646"/>
      <c r="H226" s="646"/>
      <c r="I226" s="646"/>
      <c r="J226" s="732"/>
      <c r="K226" s="629"/>
      <c r="L226" s="660"/>
      <c r="M226" s="627" t="s">
        <v>78</v>
      </c>
      <c r="N226" s="627"/>
      <c r="O226" s="627"/>
      <c r="P226" s="627"/>
      <c r="Q226" s="719"/>
      <c r="R226" s="627"/>
      <c r="S226" s="627"/>
      <c r="T226" s="627"/>
      <c r="U226" s="627"/>
      <c r="V226" s="627"/>
      <c r="W226" s="627"/>
      <c r="X226" s="627"/>
      <c r="Y226" s="627"/>
      <c r="Z226" s="1446" t="s">
        <v>161</v>
      </c>
      <c r="AA226" s="1446" t="s">
        <v>183</v>
      </c>
      <c r="AB226" s="1446" t="s">
        <v>184</v>
      </c>
      <c r="AC226" s="1446" t="s">
        <v>185</v>
      </c>
      <c r="AD226" s="1446" t="s">
        <v>165</v>
      </c>
      <c r="AE226" s="627"/>
      <c r="AF226" s="627"/>
      <c r="AG226" s="627"/>
      <c r="AH226" s="627"/>
      <c r="AI226" s="627"/>
      <c r="AJ226" s="627"/>
      <c r="AK226" s="627"/>
      <c r="AL226" s="627"/>
      <c r="AM226" s="627"/>
      <c r="AN226" s="627"/>
    </row>
    <row r="227" spans="1:40" ht="7.5" customHeight="1" x14ac:dyDescent="0.35">
      <c r="A227" s="988"/>
      <c r="B227" s="627"/>
      <c r="C227" s="627"/>
      <c r="D227" s="627"/>
      <c r="E227" s="627"/>
      <c r="F227" s="627"/>
      <c r="G227" s="627"/>
      <c r="H227" s="627"/>
      <c r="I227" s="627"/>
      <c r="J227" s="999"/>
      <c r="K227" s="999"/>
      <c r="L227" s="999"/>
      <c r="M227" s="999"/>
      <c r="N227" s="627"/>
      <c r="O227" s="627"/>
      <c r="P227" s="627"/>
      <c r="Q227" s="719"/>
      <c r="R227" s="627"/>
      <c r="S227" s="627"/>
      <c r="T227" s="627"/>
      <c r="U227" s="627"/>
      <c r="V227" s="627"/>
      <c r="W227" s="627"/>
      <c r="X227" s="627"/>
      <c r="Y227" s="627"/>
      <c r="Z227" s="1446"/>
      <c r="AA227" s="1446"/>
      <c r="AB227" s="1446"/>
      <c r="AC227" s="1446"/>
      <c r="AD227" s="1446"/>
      <c r="AE227" s="627"/>
      <c r="AF227" s="627"/>
      <c r="AG227" s="627"/>
      <c r="AH227" s="627"/>
      <c r="AI227" s="627"/>
      <c r="AJ227" s="627"/>
      <c r="AK227" s="627"/>
      <c r="AL227" s="627"/>
      <c r="AM227" s="627"/>
      <c r="AN227" s="627"/>
    </row>
    <row r="228" spans="1:40" ht="20.45" customHeight="1" x14ac:dyDescent="0.35">
      <c r="A228" s="988"/>
      <c r="B228" s="627"/>
      <c r="C228" s="636" t="s">
        <v>186</v>
      </c>
      <c r="D228" s="652"/>
      <c r="E228" s="652"/>
      <c r="F228" s="652"/>
      <c r="G228" s="652"/>
      <c r="H228" s="652"/>
      <c r="I228" s="652"/>
      <c r="J228" s="1012"/>
      <c r="K228" s="1012"/>
      <c r="L228" s="652"/>
      <c r="M228" s="1012"/>
      <c r="N228" s="652"/>
      <c r="O228" s="987"/>
      <c r="P228" s="627"/>
      <c r="Q228" s="719"/>
      <c r="R228" s="627"/>
      <c r="S228" s="627"/>
      <c r="T228" s="627"/>
      <c r="U228" s="627"/>
      <c r="V228" s="627"/>
      <c r="W228" s="627"/>
      <c r="X228" s="627"/>
      <c r="Y228" s="627"/>
      <c r="Z228" s="1446"/>
      <c r="AA228" s="1446"/>
      <c r="AB228" s="1446"/>
      <c r="AC228" s="1446"/>
      <c r="AD228" s="1446"/>
      <c r="AE228" s="627"/>
      <c r="AF228" s="627"/>
      <c r="AG228" s="627"/>
      <c r="AH228" s="627"/>
      <c r="AI228" s="627"/>
      <c r="AJ228" s="627"/>
      <c r="AK228" s="627"/>
      <c r="AL228" s="627"/>
      <c r="AM228" s="627"/>
      <c r="AN228" s="627"/>
    </row>
    <row r="229" spans="1:40" x14ac:dyDescent="0.35">
      <c r="A229" s="988"/>
      <c r="B229" s="627"/>
      <c r="C229" s="988"/>
      <c r="D229" s="627"/>
      <c r="E229" s="627"/>
      <c r="F229" s="627"/>
      <c r="G229" s="627"/>
      <c r="H229" s="627"/>
      <c r="I229" s="627"/>
      <c r="J229" s="999"/>
      <c r="K229" s="999"/>
      <c r="L229" s="633">
        <f>IF(N229=0,24,N229)</f>
        <v>24</v>
      </c>
      <c r="M229" s="629" t="s">
        <v>187</v>
      </c>
      <c r="N229" s="1051"/>
      <c r="O229" s="719" t="s">
        <v>188</v>
      </c>
      <c r="P229" s="627"/>
      <c r="Q229" s="719"/>
      <c r="R229" s="627"/>
      <c r="S229" s="627"/>
      <c r="T229" s="627"/>
      <c r="U229" s="627"/>
      <c r="V229" s="627"/>
      <c r="W229" s="627"/>
      <c r="X229" s="627"/>
      <c r="Y229" s="627"/>
      <c r="Z229" s="1446"/>
      <c r="AA229" s="1446"/>
      <c r="AB229" s="1446"/>
      <c r="AC229" s="1446"/>
      <c r="AD229" s="1446"/>
      <c r="AE229" s="627"/>
      <c r="AF229" s="627"/>
      <c r="AG229" s="627"/>
      <c r="AH229" s="627"/>
      <c r="AI229" s="627"/>
      <c r="AJ229" s="627"/>
      <c r="AK229" s="627"/>
      <c r="AL229" s="627"/>
      <c r="AM229" s="627"/>
      <c r="AN229" s="627"/>
    </row>
    <row r="230" spans="1:40" ht="5.45" customHeight="1" x14ac:dyDescent="0.35">
      <c r="A230" s="988"/>
      <c r="B230" s="627"/>
      <c r="C230" s="637"/>
      <c r="D230" s="749"/>
      <c r="E230" s="749"/>
      <c r="F230" s="749"/>
      <c r="G230" s="749"/>
      <c r="H230" s="749"/>
      <c r="I230" s="749"/>
      <c r="J230" s="749"/>
      <c r="K230" s="749"/>
      <c r="L230" s="749"/>
      <c r="M230" s="749"/>
      <c r="N230" s="749"/>
      <c r="O230" s="748"/>
      <c r="P230" s="627"/>
      <c r="Q230" s="719"/>
      <c r="R230" s="627"/>
      <c r="S230" s="627"/>
      <c r="T230" s="627"/>
      <c r="U230" s="627"/>
      <c r="V230" s="627"/>
      <c r="W230" s="627"/>
      <c r="X230" s="627"/>
      <c r="Y230" s="627"/>
      <c r="Z230" s="1446"/>
      <c r="AA230" s="1446"/>
      <c r="AB230" s="1446"/>
      <c r="AC230" s="1446"/>
      <c r="AD230" s="1446"/>
      <c r="AE230" s="1048" t="s">
        <v>145</v>
      </c>
      <c r="AF230" s="1434" t="s">
        <v>189</v>
      </c>
      <c r="AG230" s="1434"/>
      <c r="AH230" s="1434" t="s">
        <v>41</v>
      </c>
      <c r="AI230" s="1434" t="s">
        <v>41</v>
      </c>
      <c r="AJ230" s="1434"/>
      <c r="AK230" s="1434"/>
      <c r="AL230" s="1434" t="s">
        <v>42</v>
      </c>
      <c r="AM230" s="1434"/>
      <c r="AN230" s="1434"/>
    </row>
    <row r="231" spans="1:40" hidden="1" x14ac:dyDescent="0.35">
      <c r="A231" s="988"/>
      <c r="B231" s="627"/>
      <c r="C231" s="627" t="s">
        <v>190</v>
      </c>
      <c r="D231" s="627"/>
      <c r="E231" s="627"/>
      <c r="F231" s="627"/>
      <c r="G231" s="673"/>
      <c r="H231" s="627" t="s">
        <v>52</v>
      </c>
      <c r="I231" s="673" t="s">
        <v>35</v>
      </c>
      <c r="J231" s="627" t="s">
        <v>53</v>
      </c>
      <c r="K231" s="627"/>
      <c r="L231" s="627"/>
      <c r="M231" s="627"/>
      <c r="N231" s="627"/>
      <c r="O231" s="627"/>
      <c r="P231" s="627"/>
      <c r="Q231" s="719"/>
      <c r="R231" s="627"/>
      <c r="S231" s="627"/>
      <c r="T231" s="627"/>
      <c r="U231" s="627"/>
      <c r="V231" s="627"/>
      <c r="W231" s="627"/>
      <c r="X231" s="627"/>
      <c r="Y231" s="627"/>
      <c r="Z231" s="730">
        <f>PINOS!S18</f>
        <v>5899.9999999999991</v>
      </c>
      <c r="AA231" s="730">
        <f>PINOS!T18</f>
        <v>4116.2790697674418</v>
      </c>
      <c r="AB231" s="730">
        <f>PINOS!U18</f>
        <v>5145.3488372093016</v>
      </c>
      <c r="AC231" s="730">
        <f>PINOS!V18</f>
        <v>1</v>
      </c>
      <c r="AD231" s="1049">
        <f>PINOS!W18</f>
        <v>2</v>
      </c>
      <c r="AE231" s="206">
        <f>((IF(C60="x",AJ469,IF(E60="x",AL469,0)))*1000)</f>
        <v>8792.85</v>
      </c>
      <c r="AF231" s="1435" t="s">
        <v>148</v>
      </c>
      <c r="AG231" s="1436"/>
      <c r="AH231" s="207">
        <f>IF(C60="x",LARGE(AI231:AK231,1),IF(E60="x",LARGE(AL231:AN231,1),0))</f>
        <v>2</v>
      </c>
      <c r="AI231" s="216">
        <f>IF(AND(AE231&gt;0,AE231&lt;=Z231),AC231,IF(AND(AE231&gt;Z231,AE231&lt;=Z232),AC232,AJ231))</f>
        <v>2</v>
      </c>
      <c r="AJ231" s="216">
        <f>IF(AND(AE231&gt;Z232,AE231&lt;=Z248),AC248,IF(AND(AE231&gt;Z248,AE231&lt;=Z249),AC249,AK231))</f>
        <v>0</v>
      </c>
      <c r="AK231" s="216">
        <f>IF(AND(AE231&gt;Z249,AE231&lt;=Z250),AC250,IF(AND(AE231&gt;Z250,AE231&lt;=Z251),AC251,0))</f>
        <v>0</v>
      </c>
      <c r="AL231" s="216">
        <f>IF(AND(AE231&gt;0,AE231&lt;=Z231),AC231,IF(AND(AE231&gt;Z231,AE231&lt;=Z232),AC232,AM231))</f>
        <v>2</v>
      </c>
      <c r="AM231" s="216">
        <f>IF(AND(AE231&gt;Z232,AE231&lt;=AC248),Z248,IF(AND(AE231&gt;Z248,AE231&lt;=Z249),AC249,AN231))</f>
        <v>0</v>
      </c>
      <c r="AN231" s="216">
        <f>IF(AND(AE231&gt;Z249,AE231&lt;=Z250),AC250,IF(AND(AE231&gt;Z250,AE231&lt;=Z251),AC251,0))</f>
        <v>0</v>
      </c>
    </row>
    <row r="232" spans="1:40" hidden="1" x14ac:dyDescent="0.35">
      <c r="A232" s="988"/>
      <c r="B232" s="627"/>
      <c r="C232" s="627"/>
      <c r="D232" s="627"/>
      <c r="E232" s="627"/>
      <c r="F232" s="627"/>
      <c r="G232" s="627"/>
      <c r="H232" s="627"/>
      <c r="I232" s="627"/>
      <c r="J232" s="627"/>
      <c r="K232" s="627"/>
      <c r="L232" s="627"/>
      <c r="M232" s="627"/>
      <c r="N232" s="627"/>
      <c r="O232" s="627"/>
      <c r="P232" s="627"/>
      <c r="Q232" s="719"/>
      <c r="R232" s="627"/>
      <c r="S232" s="627"/>
      <c r="T232" s="627"/>
      <c r="U232" s="627"/>
      <c r="V232" s="627"/>
      <c r="W232" s="627"/>
      <c r="X232" s="627"/>
      <c r="Y232" s="627"/>
      <c r="Z232" s="730">
        <f>PINOS!S19</f>
        <v>8870</v>
      </c>
      <c r="AA232" s="730">
        <f>PINOS!T19</f>
        <v>5162.7906976744189</v>
      </c>
      <c r="AB232" s="730">
        <f>PINOS!U19</f>
        <v>7735.4651162790697</v>
      </c>
      <c r="AC232" s="730">
        <f>PINOS!V19</f>
        <v>2</v>
      </c>
      <c r="AD232" s="1049">
        <f>PINOS!W19</f>
        <v>2</v>
      </c>
      <c r="AE232" s="210">
        <f>(IF(C60="x",AA469,IF(E60="x",AC469,0))*1000)</f>
        <v>11718.325000000003</v>
      </c>
      <c r="AF232" s="1437" t="s">
        <v>150</v>
      </c>
      <c r="AG232" s="1438"/>
      <c r="AH232" s="211">
        <f>IF(C60="x",LARGE(AI232:AK232,1),IF(E60="x",LARGE(AL232:AN232,1),0))</f>
        <v>3</v>
      </c>
      <c r="AI232" s="217">
        <f>IF(AND(AE232&gt;0,AE232&lt;=Z231),AC231,IF(AND(AE232&gt;Z231,AE232&lt;=Z232),AC232,AJ232))</f>
        <v>3</v>
      </c>
      <c r="AJ232" s="217">
        <f>IF(AND(AE232&gt;Z232,AE232&lt;=Z248),AC248,IF(AND(AE232&gt;Z248,AE232&lt;=Z249),AC249,AK232))</f>
        <v>3</v>
      </c>
      <c r="AK232" s="217">
        <f>IF(AND(AE232&gt;Z249,AE232&lt;=Z250),AC250,IF(AND(AE232&gt;Z250,AE232&lt;=Z251),AC251,0))</f>
        <v>0</v>
      </c>
      <c r="AL232" s="217">
        <f>IF(AND(AE232&gt;0,AE232&lt;=Z231),AC231,IF(AND(AE232&gt;Z231,AE232&lt;=Z232),AC232,AM232))</f>
        <v>3</v>
      </c>
      <c r="AM232" s="217">
        <f>IF(AND(AE232&gt;Z232,AE232&lt;=Z248),AC248,IF(AND(AE232&gt;Z248,AE232&lt;=Z249),AC249,AN232))</f>
        <v>3</v>
      </c>
      <c r="AN232" s="217">
        <f>IF(AND(AE232&gt;Z249,AE232&lt;=Z250),AC250,IF(AND(AE232&gt;Z250,AE232&lt;=Z251),AC251,0))</f>
        <v>0</v>
      </c>
    </row>
    <row r="233" spans="1:40" ht="9" customHeight="1" x14ac:dyDescent="0.35">
      <c r="A233" s="988"/>
      <c r="B233" s="627"/>
      <c r="C233" s="627"/>
      <c r="D233" s="627"/>
      <c r="E233" s="627"/>
      <c r="F233" s="627"/>
      <c r="G233" s="627"/>
      <c r="H233" s="627"/>
      <c r="I233" s="627"/>
      <c r="J233" s="627"/>
      <c r="K233" s="627"/>
      <c r="L233" s="627"/>
      <c r="M233" s="627"/>
      <c r="N233" s="627"/>
      <c r="O233" s="627"/>
      <c r="P233" s="627"/>
      <c r="Q233" s="719"/>
      <c r="R233" s="627"/>
      <c r="S233" s="627"/>
      <c r="T233" s="627"/>
      <c r="U233" s="627"/>
      <c r="V233" s="627"/>
      <c r="W233" s="627"/>
      <c r="X233" s="627"/>
      <c r="Y233" s="627"/>
      <c r="Z233" s="730"/>
      <c r="AA233" s="730"/>
      <c r="AB233" s="730"/>
      <c r="AC233" s="730"/>
      <c r="AD233" s="1049"/>
      <c r="AE233" s="210"/>
      <c r="AF233" s="604"/>
      <c r="AG233" s="605"/>
      <c r="AH233" s="211"/>
      <c r="AI233" s="217"/>
      <c r="AJ233" s="217"/>
      <c r="AK233" s="217"/>
      <c r="AL233" s="217"/>
      <c r="AM233" s="217"/>
      <c r="AN233" s="217"/>
    </row>
    <row r="234" spans="1:40" x14ac:dyDescent="0.35">
      <c r="A234" s="988"/>
      <c r="B234" s="627"/>
      <c r="C234" s="636" t="s">
        <v>191</v>
      </c>
      <c r="D234" s="652"/>
      <c r="E234" s="652"/>
      <c r="F234" s="652"/>
      <c r="G234" s="652"/>
      <c r="H234" s="652"/>
      <c r="I234" s="652"/>
      <c r="J234" s="652"/>
      <c r="K234" s="652"/>
      <c r="L234" s="652"/>
      <c r="M234" s="652"/>
      <c r="N234" s="652"/>
      <c r="O234" s="987"/>
      <c r="P234" s="627"/>
      <c r="Q234" s="719"/>
      <c r="R234" s="627"/>
      <c r="S234" s="627"/>
      <c r="T234" s="627"/>
      <c r="U234" s="627"/>
      <c r="V234" s="627"/>
      <c r="W234" s="627"/>
      <c r="X234" s="627"/>
      <c r="Y234" s="627"/>
      <c r="Z234" s="730"/>
      <c r="AA234" s="730"/>
      <c r="AB234" s="730"/>
      <c r="AC234" s="730"/>
      <c r="AD234" s="1049"/>
      <c r="AE234" s="210"/>
      <c r="AF234" s="604"/>
      <c r="AG234" s="605"/>
      <c r="AH234" s="211"/>
      <c r="AI234" s="217"/>
      <c r="AJ234" s="217"/>
      <c r="AK234" s="217"/>
      <c r="AL234" s="217"/>
      <c r="AM234" s="217"/>
      <c r="AN234" s="217"/>
    </row>
    <row r="235" spans="1:40" x14ac:dyDescent="0.35">
      <c r="A235" s="988"/>
      <c r="B235" s="627"/>
      <c r="C235" s="988"/>
      <c r="D235" s="183" t="s">
        <v>192</v>
      </c>
      <c r="E235" s="627"/>
      <c r="F235" s="627"/>
      <c r="G235" s="627"/>
      <c r="H235" s="627"/>
      <c r="I235" s="627"/>
      <c r="J235" s="627" t="s">
        <v>193</v>
      </c>
      <c r="K235" s="627"/>
      <c r="L235" s="660">
        <v>2</v>
      </c>
      <c r="M235" s="627" t="s">
        <v>194</v>
      </c>
      <c r="N235" s="627"/>
      <c r="O235" s="719"/>
      <c r="P235" s="627"/>
      <c r="Q235" s="719"/>
      <c r="R235" s="627"/>
      <c r="S235" s="627"/>
      <c r="T235" s="627"/>
      <c r="U235" s="627"/>
      <c r="V235" s="627"/>
      <c r="W235" s="627"/>
      <c r="X235" s="627"/>
      <c r="Y235" s="627"/>
      <c r="Z235" s="730"/>
      <c r="AA235" s="730"/>
      <c r="AB235" s="730"/>
      <c r="AC235" s="730"/>
      <c r="AD235" s="1049"/>
      <c r="AE235" s="210"/>
      <c r="AF235" s="604"/>
      <c r="AG235" s="605"/>
      <c r="AH235" s="211"/>
      <c r="AI235" s="217"/>
      <c r="AJ235" s="217"/>
      <c r="AK235" s="217"/>
      <c r="AL235" s="217"/>
      <c r="AM235" s="217"/>
      <c r="AN235" s="217"/>
    </row>
    <row r="236" spans="1:40" x14ac:dyDescent="0.35">
      <c r="A236" s="988"/>
      <c r="B236" s="627"/>
      <c r="C236" s="637"/>
      <c r="D236" s="749"/>
      <c r="E236" s="749"/>
      <c r="F236" s="749"/>
      <c r="G236" s="749"/>
      <c r="H236" s="749"/>
      <c r="I236" s="749"/>
      <c r="J236" s="749" t="s">
        <v>195</v>
      </c>
      <c r="K236" s="749"/>
      <c r="L236" s="660">
        <v>1.5</v>
      </c>
      <c r="M236" s="749" t="s">
        <v>194</v>
      </c>
      <c r="N236" s="749"/>
      <c r="O236" s="748"/>
      <c r="P236" s="627"/>
      <c r="Q236" s="719"/>
      <c r="R236" s="627"/>
      <c r="S236" s="627"/>
      <c r="T236" s="627"/>
      <c r="U236" s="627"/>
      <c r="V236" s="627"/>
      <c r="W236" s="627"/>
      <c r="X236" s="627"/>
      <c r="Y236" s="627"/>
      <c r="Z236" s="730"/>
      <c r="AA236" s="730"/>
      <c r="AB236" s="730"/>
      <c r="AC236" s="730"/>
      <c r="AD236" s="1049"/>
      <c r="AE236" s="210"/>
      <c r="AF236" s="604"/>
      <c r="AG236" s="605"/>
      <c r="AH236" s="211"/>
      <c r="AI236" s="217"/>
      <c r="AJ236" s="217"/>
      <c r="AK236" s="217"/>
      <c r="AL236" s="217"/>
      <c r="AM236" s="217"/>
      <c r="AN236" s="217"/>
    </row>
    <row r="237" spans="1:40" x14ac:dyDescent="0.35">
      <c r="A237" s="988"/>
      <c r="B237" s="627"/>
      <c r="C237" s="627"/>
      <c r="D237" s="627"/>
      <c r="E237" s="627"/>
      <c r="F237" s="627"/>
      <c r="G237" s="627"/>
      <c r="H237" s="627"/>
      <c r="I237" s="627"/>
      <c r="J237" s="627"/>
      <c r="K237" s="627"/>
      <c r="L237" s="627"/>
      <c r="M237" s="627"/>
      <c r="N237" s="627"/>
      <c r="O237" s="627"/>
      <c r="P237" s="627"/>
      <c r="Q237" s="719"/>
      <c r="R237" s="627"/>
      <c r="S237" s="627"/>
      <c r="T237" s="627"/>
      <c r="U237" s="627"/>
      <c r="V237" s="627"/>
      <c r="W237" s="627"/>
      <c r="X237" s="627"/>
      <c r="Y237" s="627"/>
      <c r="Z237" s="730"/>
      <c r="AA237" s="730"/>
      <c r="AB237" s="730"/>
      <c r="AC237" s="730"/>
      <c r="AD237" s="1049"/>
      <c r="AE237" s="210"/>
      <c r="AF237" s="604"/>
      <c r="AG237" s="605"/>
      <c r="AH237" s="211"/>
      <c r="AI237" s="217"/>
      <c r="AJ237" s="217"/>
      <c r="AK237" s="217"/>
      <c r="AL237" s="217"/>
      <c r="AM237" s="217"/>
      <c r="AN237" s="217"/>
    </row>
    <row r="238" spans="1:40" x14ac:dyDescent="0.35">
      <c r="A238" s="988"/>
      <c r="B238" s="627"/>
      <c r="C238" s="727" t="s">
        <v>196</v>
      </c>
      <c r="D238" s="646"/>
      <c r="E238" s="646"/>
      <c r="F238" s="646"/>
      <c r="G238" s="646"/>
      <c r="H238" s="646"/>
      <c r="I238" s="646"/>
      <c r="J238" s="646"/>
      <c r="K238" s="646"/>
      <c r="L238" s="646"/>
      <c r="M238" s="646"/>
      <c r="N238" s="646"/>
      <c r="O238" s="629"/>
      <c r="P238" s="627"/>
      <c r="Q238" s="719"/>
      <c r="R238" s="627"/>
      <c r="S238" s="627"/>
      <c r="T238" s="627"/>
      <c r="U238" s="627"/>
      <c r="V238" s="627"/>
      <c r="W238" s="627"/>
      <c r="X238" s="627"/>
      <c r="Y238" s="627"/>
      <c r="Z238" s="730"/>
      <c r="AA238" s="730"/>
      <c r="AB238" s="730"/>
      <c r="AC238" s="730"/>
      <c r="AD238" s="1049"/>
      <c r="AE238" s="210"/>
      <c r="AF238" s="604"/>
      <c r="AG238" s="605"/>
      <c r="AH238" s="211"/>
      <c r="AI238" s="217"/>
      <c r="AJ238" s="217"/>
      <c r="AK238" s="217"/>
      <c r="AL238" s="217"/>
      <c r="AM238" s="217"/>
      <c r="AN238" s="217"/>
    </row>
    <row r="239" spans="1:40" hidden="1" x14ac:dyDescent="0.35">
      <c r="A239" s="988"/>
      <c r="B239" s="627"/>
      <c r="C239" s="1447" t="str">
        <f>IF(F22&gt;1,"TANQUES DE MESMO SISTEMA ( AS DUAS LINHAS COM MESMO SISTEMA):
CONSIDERAR OTIMIZAÇÃO NA EQUIPE ADMINISTRATIVA / GALPÃO E REDUÇÃO NO CRONOGRAMA DE FABRICAÇÃO:","")</f>
        <v>TANQUES DE MESMO SISTEMA ( AS DUAS LINHAS COM MESMO SISTEMA):
CONSIDERAR OTIMIZAÇÃO NA EQUIPE ADMINISTRATIVA / GALPÃO E REDUÇÃO NO CRONOGRAMA DE FABRICAÇÃO:</v>
      </c>
      <c r="D239" s="1448"/>
      <c r="E239" s="1448"/>
      <c r="F239" s="1448"/>
      <c r="G239" s="1448"/>
      <c r="H239" s="1448"/>
      <c r="I239" s="1448"/>
      <c r="J239" s="1448"/>
      <c r="K239" s="1448"/>
      <c r="L239" s="1448"/>
      <c r="M239" s="1448"/>
      <c r="N239" s="1448"/>
      <c r="O239" s="1449"/>
      <c r="P239" s="627"/>
      <c r="Q239" s="719"/>
      <c r="R239" s="627"/>
      <c r="S239" s="627"/>
      <c r="T239" s="627"/>
      <c r="U239" s="627"/>
      <c r="V239" s="627"/>
      <c r="W239" s="627"/>
      <c r="X239" s="627"/>
      <c r="Y239" s="627"/>
      <c r="Z239" s="730"/>
      <c r="AA239" s="730"/>
      <c r="AB239" s="730"/>
      <c r="AC239" s="730"/>
      <c r="AD239" s="1049"/>
      <c r="AE239" s="210"/>
      <c r="AF239" s="604"/>
      <c r="AG239" s="605"/>
      <c r="AH239" s="211"/>
      <c r="AI239" s="217"/>
      <c r="AJ239" s="217"/>
      <c r="AK239" s="217"/>
      <c r="AL239" s="217"/>
      <c r="AM239" s="217"/>
      <c r="AN239" s="217"/>
    </row>
    <row r="240" spans="1:40" hidden="1" x14ac:dyDescent="0.35">
      <c r="A240" s="988"/>
      <c r="B240" s="627"/>
      <c r="C240" s="1450" t="str">
        <f>IF(F22&gt;1,"LANÇAR PERCENTUAL DE: (0 A 50%)","")</f>
        <v>LANÇAR PERCENTUAL DE: (0 A 50%)</v>
      </c>
      <c r="D240" s="1451"/>
      <c r="E240" s="1451"/>
      <c r="F240" s="1451"/>
      <c r="G240" s="1451"/>
      <c r="H240" s="1451"/>
      <c r="I240" s="1451"/>
      <c r="J240" s="1451"/>
      <c r="K240" s="757"/>
      <c r="L240" s="909">
        <v>1E-4</v>
      </c>
      <c r="M240" s="627" t="str">
        <f>IF(F22&gt;1,"%","")</f>
        <v>%</v>
      </c>
      <c r="N240" s="757"/>
      <c r="O240" s="758"/>
      <c r="P240" s="627"/>
      <c r="Q240" s="719"/>
      <c r="R240" s="627"/>
      <c r="S240" s="627"/>
      <c r="T240" s="627"/>
      <c r="U240" s="627"/>
      <c r="V240" s="627"/>
      <c r="W240" s="627"/>
      <c r="X240" s="627"/>
      <c r="Y240" s="627"/>
      <c r="Z240" s="730"/>
      <c r="AA240" s="730"/>
      <c r="AB240" s="730"/>
      <c r="AC240" s="730"/>
      <c r="AD240" s="1049"/>
      <c r="AE240" s="210"/>
      <c r="AF240" s="604"/>
      <c r="AG240" s="605"/>
      <c r="AH240" s="211"/>
      <c r="AI240" s="217"/>
      <c r="AJ240" s="217"/>
      <c r="AK240" s="217"/>
      <c r="AL240" s="217"/>
      <c r="AM240" s="217"/>
      <c r="AN240" s="217"/>
    </row>
    <row r="241" spans="1:40" hidden="1" x14ac:dyDescent="0.35">
      <c r="A241" s="988"/>
      <c r="B241" s="627"/>
      <c r="C241" s="756"/>
      <c r="D241" s="183"/>
      <c r="E241" s="183"/>
      <c r="F241" s="183"/>
      <c r="G241" s="183"/>
      <c r="H241" s="183"/>
      <c r="I241" s="183"/>
      <c r="J241" s="183"/>
      <c r="K241" s="627"/>
      <c r="L241" s="909">
        <f>L240+L244</f>
        <v>50.000100000000003</v>
      </c>
      <c r="M241" s="627" t="s">
        <v>130</v>
      </c>
      <c r="N241" s="627"/>
      <c r="O241" s="719"/>
      <c r="P241" s="627"/>
      <c r="Q241" s="719"/>
      <c r="R241" s="627"/>
      <c r="S241" s="627"/>
      <c r="T241" s="627"/>
      <c r="U241" s="627"/>
      <c r="V241" s="627"/>
      <c r="W241" s="627"/>
      <c r="X241" s="627"/>
      <c r="Y241" s="627"/>
      <c r="Z241" s="730"/>
      <c r="AA241" s="730"/>
      <c r="AB241" s="730"/>
      <c r="AC241" s="730"/>
      <c r="AD241" s="1049"/>
      <c r="AE241" s="210"/>
      <c r="AF241" s="604"/>
      <c r="AG241" s="605"/>
      <c r="AH241" s="211"/>
      <c r="AI241" s="217"/>
      <c r="AJ241" s="217"/>
      <c r="AK241" s="217"/>
      <c r="AL241" s="217"/>
      <c r="AM241" s="217"/>
      <c r="AN241" s="217"/>
    </row>
    <row r="242" spans="1:40" hidden="1" x14ac:dyDescent="0.35">
      <c r="A242" s="988"/>
      <c r="B242" s="627"/>
      <c r="C242" s="637"/>
      <c r="D242" s="749"/>
      <c r="E242" s="749"/>
      <c r="F242" s="749"/>
      <c r="G242" s="749"/>
      <c r="H242" s="749"/>
      <c r="I242" s="749"/>
      <c r="J242" s="749"/>
      <c r="K242" s="749"/>
      <c r="L242" s="749"/>
      <c r="M242" s="749"/>
      <c r="N242" s="749"/>
      <c r="O242" s="748"/>
      <c r="P242" s="627"/>
      <c r="Q242" s="719"/>
      <c r="R242" s="627"/>
      <c r="S242" s="627"/>
      <c r="T242" s="627"/>
      <c r="U242" s="627"/>
      <c r="V242" s="627"/>
      <c r="W242" s="627"/>
      <c r="X242" s="627"/>
      <c r="Y242" s="627"/>
      <c r="Z242" s="730"/>
      <c r="AA242" s="730"/>
      <c r="AB242" s="730"/>
      <c r="AC242" s="730"/>
      <c r="AD242" s="1049"/>
      <c r="AE242" s="210"/>
      <c r="AF242" s="604"/>
      <c r="AG242" s="605"/>
      <c r="AH242" s="211"/>
      <c r="AI242" s="217"/>
      <c r="AJ242" s="217"/>
      <c r="AK242" s="217"/>
      <c r="AL242" s="217"/>
      <c r="AM242" s="217"/>
      <c r="AN242" s="217"/>
    </row>
    <row r="243" spans="1:40" x14ac:dyDescent="0.35">
      <c r="A243" s="988"/>
      <c r="B243" s="627"/>
      <c r="C243" s="1447" t="s">
        <v>197</v>
      </c>
      <c r="D243" s="1448"/>
      <c r="E243" s="1448"/>
      <c r="F243" s="1448"/>
      <c r="G243" s="1448"/>
      <c r="H243" s="1448"/>
      <c r="I243" s="1448"/>
      <c r="J243" s="1448"/>
      <c r="K243" s="1448"/>
      <c r="L243" s="1448"/>
      <c r="M243" s="1448"/>
      <c r="N243" s="1448"/>
      <c r="O243" s="1449"/>
      <c r="P243" s="627"/>
      <c r="Q243" s="719"/>
      <c r="R243" s="627"/>
      <c r="S243" s="627"/>
      <c r="T243" s="627"/>
      <c r="U243" s="627"/>
      <c r="V243" s="627"/>
      <c r="W243" s="627"/>
      <c r="X243" s="627"/>
      <c r="Y243" s="627"/>
      <c r="Z243" s="730"/>
      <c r="AA243" s="730"/>
      <c r="AB243" s="730"/>
      <c r="AC243" s="730"/>
      <c r="AD243" s="1049"/>
      <c r="AE243" s="210"/>
      <c r="AF243" s="604"/>
      <c r="AG243" s="605"/>
      <c r="AH243" s="211"/>
      <c r="AI243" s="217"/>
      <c r="AJ243" s="217"/>
      <c r="AK243" s="217"/>
      <c r="AL243" s="217"/>
      <c r="AM243" s="217"/>
      <c r="AN243" s="217"/>
    </row>
    <row r="244" spans="1:40" x14ac:dyDescent="0.35">
      <c r="A244" s="988"/>
      <c r="B244" s="627"/>
      <c r="C244" s="1450" t="s">
        <v>198</v>
      </c>
      <c r="D244" s="1451"/>
      <c r="E244" s="1451"/>
      <c r="F244" s="1451"/>
      <c r="G244" s="1451"/>
      <c r="H244" s="1451"/>
      <c r="I244" s="1451"/>
      <c r="J244" s="1451"/>
      <c r="K244" s="627"/>
      <c r="L244" s="660">
        <v>50</v>
      </c>
      <c r="M244" s="627" t="s">
        <v>130</v>
      </c>
      <c r="N244" s="627"/>
      <c r="O244" s="719"/>
      <c r="P244" s="627"/>
      <c r="Q244" s="719"/>
      <c r="R244" s="627"/>
      <c r="S244" s="627"/>
      <c r="T244" s="627"/>
      <c r="U244" s="627"/>
      <c r="V244" s="627"/>
      <c r="W244" s="627"/>
      <c r="X244" s="627"/>
      <c r="Y244" s="627"/>
      <c r="Z244" s="730"/>
      <c r="AA244" s="730"/>
      <c r="AB244" s="730"/>
      <c r="AC244" s="730"/>
      <c r="AD244" s="1049"/>
      <c r="AE244" s="210"/>
      <c r="AF244" s="604"/>
      <c r="AG244" s="605"/>
      <c r="AH244" s="211"/>
      <c r="AI244" s="217"/>
      <c r="AJ244" s="217"/>
      <c r="AK244" s="217"/>
      <c r="AL244" s="217"/>
      <c r="AM244" s="217"/>
      <c r="AN244" s="217"/>
    </row>
    <row r="245" spans="1:40" x14ac:dyDescent="0.35">
      <c r="A245" s="988"/>
      <c r="B245" s="627"/>
      <c r="C245" s="637"/>
      <c r="D245" s="749"/>
      <c r="E245" s="749"/>
      <c r="F245" s="749"/>
      <c r="G245" s="749"/>
      <c r="H245" s="749"/>
      <c r="I245" s="749"/>
      <c r="J245" s="749"/>
      <c r="K245" s="749"/>
      <c r="L245" s="749"/>
      <c r="M245" s="749"/>
      <c r="N245" s="749"/>
      <c r="O245" s="748"/>
      <c r="P245" s="627"/>
      <c r="Q245" s="719"/>
      <c r="R245" s="627"/>
      <c r="S245" s="627"/>
      <c r="T245" s="627"/>
      <c r="U245" s="627"/>
      <c r="V245" s="627"/>
      <c r="W245" s="627"/>
      <c r="X245" s="627"/>
      <c r="Y245" s="627"/>
      <c r="Z245" s="730"/>
      <c r="AA245" s="730"/>
      <c r="AB245" s="730"/>
      <c r="AC245" s="730"/>
      <c r="AD245" s="1049"/>
      <c r="AE245" s="210"/>
      <c r="AF245" s="604"/>
      <c r="AG245" s="605"/>
      <c r="AH245" s="211"/>
      <c r="AI245" s="217"/>
      <c r="AJ245" s="217"/>
      <c r="AK245" s="217"/>
      <c r="AL245" s="217"/>
      <c r="AM245" s="217"/>
      <c r="AN245" s="217"/>
    </row>
    <row r="246" spans="1:40" ht="3.6" customHeight="1" x14ac:dyDescent="0.35">
      <c r="A246" s="988"/>
      <c r="B246" s="627"/>
      <c r="C246" s="627"/>
      <c r="D246" s="627"/>
      <c r="E246" s="627"/>
      <c r="F246" s="627"/>
      <c r="G246" s="627"/>
      <c r="H246" s="627"/>
      <c r="I246" s="627"/>
      <c r="J246" s="627"/>
      <c r="K246" s="627"/>
      <c r="L246" s="627"/>
      <c r="M246" s="627"/>
      <c r="N246" s="627"/>
      <c r="O246" s="627"/>
      <c r="P246" s="627"/>
      <c r="Q246" s="719"/>
      <c r="R246" s="627"/>
      <c r="S246" s="627"/>
      <c r="T246" s="627"/>
      <c r="U246" s="627"/>
      <c r="V246" s="627"/>
      <c r="W246" s="627"/>
      <c r="X246" s="627"/>
      <c r="Y246" s="627"/>
      <c r="Z246" s="730"/>
      <c r="AA246" s="730"/>
      <c r="AB246" s="730"/>
      <c r="AC246" s="730"/>
      <c r="AD246" s="1049"/>
      <c r="AE246" s="210"/>
      <c r="AF246" s="604"/>
      <c r="AG246" s="605"/>
      <c r="AH246" s="211"/>
      <c r="AI246" s="217"/>
      <c r="AJ246" s="217"/>
      <c r="AK246" s="217"/>
      <c r="AL246" s="217"/>
      <c r="AM246" s="217"/>
      <c r="AN246" s="217"/>
    </row>
    <row r="247" spans="1:40" ht="3.6" customHeight="1" x14ac:dyDescent="0.35">
      <c r="A247" s="988"/>
      <c r="B247" s="627"/>
      <c r="C247" s="627"/>
      <c r="D247" s="627"/>
      <c r="E247" s="627"/>
      <c r="F247" s="627"/>
      <c r="G247" s="627"/>
      <c r="H247" s="627"/>
      <c r="I247" s="627"/>
      <c r="J247" s="627"/>
      <c r="K247" s="627"/>
      <c r="L247" s="627"/>
      <c r="M247" s="627"/>
      <c r="N247" s="627"/>
      <c r="O247" s="627"/>
      <c r="P247" s="627"/>
      <c r="Q247" s="719"/>
      <c r="R247" s="627"/>
      <c r="S247" s="627"/>
      <c r="T247" s="627"/>
      <c r="U247" s="627"/>
      <c r="V247" s="627"/>
      <c r="W247" s="627"/>
      <c r="X247" s="627"/>
      <c r="Y247" s="627"/>
      <c r="Z247" s="730"/>
      <c r="AA247" s="730"/>
      <c r="AB247" s="730"/>
      <c r="AC247" s="730"/>
      <c r="AD247" s="1049"/>
      <c r="AE247" s="210"/>
      <c r="AF247" s="604"/>
      <c r="AG247" s="605"/>
      <c r="AH247" s="211"/>
      <c r="AI247" s="217"/>
      <c r="AJ247" s="217"/>
      <c r="AK247" s="217"/>
      <c r="AL247" s="217"/>
      <c r="AM247" s="217"/>
      <c r="AN247" s="217"/>
    </row>
    <row r="248" spans="1:40" x14ac:dyDescent="0.35">
      <c r="A248" s="988"/>
      <c r="B248" s="627"/>
      <c r="C248" s="627" t="s">
        <v>199</v>
      </c>
      <c r="D248" s="627"/>
      <c r="E248" s="627"/>
      <c r="F248" s="627"/>
      <c r="G248" s="627"/>
      <c r="H248" s="627"/>
      <c r="I248" s="627"/>
      <c r="J248" s="627"/>
      <c r="K248" s="627"/>
      <c r="L248" s="627"/>
      <c r="M248" s="627"/>
      <c r="N248" s="627"/>
      <c r="O248" s="627"/>
      <c r="P248" s="627"/>
      <c r="Q248" s="719"/>
      <c r="R248" s="627"/>
      <c r="S248" s="627"/>
      <c r="T248" s="627"/>
      <c r="U248" s="627"/>
      <c r="V248" s="627"/>
      <c r="W248" s="627"/>
      <c r="X248" s="627"/>
      <c r="Y248" s="627"/>
      <c r="Z248" s="730">
        <f>PINOS!S20</f>
        <v>12075.000000000002</v>
      </c>
      <c r="AA248" s="730">
        <f>PINOS!T20</f>
        <v>8066.8604651162796</v>
      </c>
      <c r="AB248" s="730">
        <f>PINOS!U20</f>
        <v>10530.523255813956</v>
      </c>
      <c r="AC248" s="730">
        <f>PINOS!V20</f>
        <v>3</v>
      </c>
      <c r="AD248" s="1049">
        <f>PINOS!W20</f>
        <v>2</v>
      </c>
      <c r="AE248" s="212">
        <f>AE231</f>
        <v>8792.85</v>
      </c>
      <c r="AF248" s="1439" t="s">
        <v>148</v>
      </c>
      <c r="AG248" s="1440"/>
      <c r="AH248" s="213">
        <f>IF(C60="x",LARGE(AI248:AK248,1),IF(E60="x",LARGE(AL248:AN248,1),0))</f>
        <v>2</v>
      </c>
      <c r="AI248" s="218">
        <f>IF(AND(AE231&gt;0,AE231&lt;=Z231),AD231,IF(AND(AE231&gt;Z231,AE231&lt;=Z232),AD232,AJ248))</f>
        <v>2</v>
      </c>
      <c r="AJ248" s="218">
        <f>IF(AND(AE231&gt;Z232,AE231&lt;=Z248),AD248,IF(AND(AE231&gt;Z248,AE231&lt;=Z249),AD249,AK248))</f>
        <v>0</v>
      </c>
      <c r="AK248" s="218">
        <f>IF(AND(AE231&gt;Z249,AE231&lt;=Z250),AD250,IF(AND(AE231&gt;Z250,AE231&lt;=Z251),AD251,0))</f>
        <v>0</v>
      </c>
      <c r="AL248" s="218">
        <f>IF(AND(AE231&gt;0,AE231&lt;=Z231),AD231,IF(AND(AE231&gt;Z231,AE231&lt;=Z232),AD232,AM248))</f>
        <v>2</v>
      </c>
      <c r="AM248" s="218">
        <f>IF(AND(AE231&gt;Z232,AE231&lt;=AD248),Z248,IF(AND(AE231&gt;Z248,AE231&lt;=Z249),AD249,AN248))</f>
        <v>0</v>
      </c>
      <c r="AN248" s="218">
        <f>IF(AND(AE231&gt;Z249,AE231&lt;=Z250),AD250,IF(AND(AE231&gt;Z250,AE231&lt;=Z251),AD251,0))</f>
        <v>0</v>
      </c>
    </row>
    <row r="249" spans="1:40" x14ac:dyDescent="0.35">
      <c r="A249" s="988"/>
      <c r="B249" s="627"/>
      <c r="C249" s="713">
        <v>1</v>
      </c>
      <c r="D249" s="627" t="str">
        <f>IF(C249&gt;1,"EQUIPES","EQUIPE")</f>
        <v>EQUIPE</v>
      </c>
      <c r="E249" s="183"/>
      <c r="F249" s="627"/>
      <c r="G249" s="627"/>
      <c r="H249" s="627"/>
      <c r="I249" s="627"/>
      <c r="J249" s="627"/>
      <c r="K249" s="627"/>
      <c r="L249" s="627"/>
      <c r="M249" s="627"/>
      <c r="N249" s="627"/>
      <c r="O249" s="627"/>
      <c r="P249" s="627"/>
      <c r="Q249" s="719"/>
      <c r="R249" s="627"/>
      <c r="S249" s="627"/>
      <c r="T249" s="627"/>
      <c r="U249" s="627"/>
      <c r="V249" s="627"/>
      <c r="W249" s="627"/>
      <c r="X249" s="627"/>
      <c r="Y249" s="627"/>
      <c r="Z249" s="730">
        <f>PINOS!S21</f>
        <v>17370</v>
      </c>
      <c r="AA249" s="730">
        <f>PINOS!T21</f>
        <v>5154.0697674418598</v>
      </c>
      <c r="AB249" s="730">
        <f>PINOS!U21</f>
        <v>7574.1279069767443</v>
      </c>
      <c r="AC249" s="730">
        <f>PINOS!V21</f>
        <v>4</v>
      </c>
      <c r="AD249" s="1049">
        <f>PINOS!W21</f>
        <v>4</v>
      </c>
      <c r="AE249" s="214">
        <f>AE232</f>
        <v>11718.325000000003</v>
      </c>
      <c r="AF249" s="1444" t="s">
        <v>150</v>
      </c>
      <c r="AG249" s="1445"/>
      <c r="AH249" s="215">
        <f>IF(C60="x",LARGE(AI249:AK249,1),IF(E60="x",LARGE(AL249:AN249,1),0))</f>
        <v>2</v>
      </c>
      <c r="AI249" s="219">
        <f>IF(AND(AE232&gt;0,AE232&lt;=Z231),AD231,IF(AND(AE232&gt;Z231,AE232&lt;=Z232),AD232,AJ249))</f>
        <v>2</v>
      </c>
      <c r="AJ249" s="219">
        <f>IF(AND(AE232&gt;Z232,AE232&lt;=Z248),AD248,IF(AND(AE232&gt;Z248,AE232&lt;=Z249),AD249,AK249))</f>
        <v>2</v>
      </c>
      <c r="AK249" s="219">
        <f>IF(AND(AE232&gt;Z249,AE232&lt;=Z250),AD250,IF(AND(AE232&gt;Z250,AE232&lt;=Z250),AD251,0))</f>
        <v>0</v>
      </c>
      <c r="AL249" s="219">
        <f>IF(AND(AE232&gt;0,AE232&lt;=Z231),AD231,IF(AND(AE232&gt;Z231,AE232&lt;=Z232),AD232,AM249))</f>
        <v>2</v>
      </c>
      <c r="AM249" s="219">
        <f>IF(AND(AE232&gt;Z232,AE232&lt;=Z248),AD248,IF(AND(AE232&gt;Z248,AE232&lt;=Z249),AD249,AN249))</f>
        <v>2</v>
      </c>
      <c r="AN249" s="219">
        <f>IF(AND(AE232&gt;Z249,AE232&lt;=Z250),AD250,IF(AND(AE232&gt;Z250,AE232&lt;=Z251),AD251,0))</f>
        <v>0</v>
      </c>
    </row>
    <row r="250" spans="1:40" x14ac:dyDescent="0.35">
      <c r="A250" s="988"/>
      <c r="B250" s="638" t="str">
        <f>IF($L$241&gt;0,"NOVA",0)</f>
        <v>NOVA</v>
      </c>
      <c r="C250" s="636"/>
      <c r="D250" s="652"/>
      <c r="E250" s="987"/>
      <c r="F250" s="636" t="s">
        <v>200</v>
      </c>
      <c r="G250" s="652"/>
      <c r="H250" s="652"/>
      <c r="I250" s="652"/>
      <c r="J250" s="652"/>
      <c r="K250" s="652"/>
      <c r="L250" s="987"/>
      <c r="M250" s="627"/>
      <c r="N250" s="627"/>
      <c r="O250" s="627"/>
      <c r="P250" s="627"/>
      <c r="Q250" s="719"/>
      <c r="R250" s="627"/>
      <c r="S250" s="627"/>
      <c r="T250" s="627"/>
      <c r="U250" s="627"/>
      <c r="V250" s="627"/>
      <c r="W250" s="627"/>
      <c r="X250" s="627"/>
      <c r="Y250" s="627"/>
      <c r="Z250" s="730">
        <f>PINOS!S22</f>
        <v>22869.999999999996</v>
      </c>
      <c r="AA250" s="730">
        <f>PINOS!T22</f>
        <v>7722.3837209302328</v>
      </c>
      <c r="AB250" s="730">
        <f>PINOS!U22</f>
        <v>9972.383720930231</v>
      </c>
      <c r="AC250" s="730">
        <f>PINOS!V22</f>
        <v>5</v>
      </c>
      <c r="AD250" s="1049">
        <f>PINOS!W22</f>
        <v>4</v>
      </c>
      <c r="AE250" s="627"/>
      <c r="AF250" s="627"/>
      <c r="AG250" s="627"/>
      <c r="AH250" s="627"/>
      <c r="AI250" s="627"/>
      <c r="AJ250" s="627"/>
      <c r="AK250" s="627"/>
      <c r="AL250" s="627"/>
      <c r="AM250" s="627"/>
      <c r="AN250" s="627"/>
    </row>
    <row r="251" spans="1:40" x14ac:dyDescent="0.35">
      <c r="A251" s="988"/>
      <c r="B251" s="639" t="str">
        <f>IF($L$241&gt;0,"EQUIPE",0)</f>
        <v>EQUIPE</v>
      </c>
      <c r="C251" s="637" t="s">
        <v>201</v>
      </c>
      <c r="D251" s="749"/>
      <c r="E251" s="748"/>
      <c r="F251" s="637" t="s">
        <v>202</v>
      </c>
      <c r="G251" s="749"/>
      <c r="H251" s="749"/>
      <c r="I251" s="749"/>
      <c r="J251" s="749"/>
      <c r="K251" s="749"/>
      <c r="L251" s="748"/>
      <c r="M251" s="627"/>
      <c r="N251" s="627"/>
      <c r="O251" s="627"/>
      <c r="P251" s="627"/>
      <c r="Q251" s="719"/>
      <c r="R251" s="627"/>
      <c r="S251" s="627"/>
      <c r="T251" s="627"/>
      <c r="U251" s="627"/>
      <c r="V251" s="627"/>
      <c r="W251" s="627"/>
      <c r="X251" s="627"/>
      <c r="Y251" s="627"/>
      <c r="Z251" s="730">
        <f>PINOS!S23</f>
        <v>28779.999999999996</v>
      </c>
      <c r="AA251" s="730">
        <f>PINOS!T23</f>
        <v>10308.139534883721</v>
      </c>
      <c r="AB251" s="730">
        <f>PINOS!U23</f>
        <v>12549.41860465116</v>
      </c>
      <c r="AC251" s="730">
        <f>PINOS!V23</f>
        <v>6</v>
      </c>
      <c r="AD251" s="1049">
        <f>PINOS!W23</f>
        <v>4</v>
      </c>
      <c r="AE251" s="627"/>
      <c r="AF251" s="627"/>
      <c r="AG251" s="627"/>
      <c r="AH251" s="627"/>
      <c r="AI251" s="627"/>
      <c r="AJ251" s="627"/>
      <c r="AK251" s="627"/>
      <c r="AL251" s="627"/>
      <c r="AM251" s="627"/>
      <c r="AN251" s="627"/>
    </row>
    <row r="252" spans="1:40" x14ac:dyDescent="0.35">
      <c r="A252" s="988"/>
      <c r="B252" s="660">
        <f>IF($L$244&gt;0,C252*(1-$L$244/100),IF($L$241&gt;0,C252,0))</f>
        <v>0.5</v>
      </c>
      <c r="C252" s="1052">
        <f>IF(F252="x",0,IF(F252=0,1,F252))</f>
        <v>1</v>
      </c>
      <c r="D252" s="627" t="s">
        <v>91</v>
      </c>
      <c r="E252" s="627"/>
      <c r="F252" s="1053"/>
      <c r="G252" s="627" t="s">
        <v>203</v>
      </c>
      <c r="H252" s="627"/>
      <c r="I252" s="627"/>
      <c r="J252" s="627"/>
      <c r="K252" s="627"/>
      <c r="L252" s="627"/>
      <c r="M252" s="627"/>
      <c r="N252" s="627"/>
      <c r="O252" s="627"/>
      <c r="P252" s="627"/>
      <c r="Q252" s="719"/>
      <c r="R252" s="627"/>
      <c r="S252" s="627"/>
      <c r="T252" s="627"/>
      <c r="U252" s="627"/>
      <c r="V252" s="627"/>
      <c r="W252" s="627"/>
      <c r="X252" s="627"/>
      <c r="Y252" s="627"/>
      <c r="Z252" s="627"/>
      <c r="AA252" s="627"/>
      <c r="AB252" s="627"/>
      <c r="AC252" s="627"/>
      <c r="AD252" s="627"/>
      <c r="AE252" s="627"/>
      <c r="AF252" s="627"/>
      <c r="AG252" s="627"/>
      <c r="AH252" s="627"/>
      <c r="AI252" s="627"/>
      <c r="AJ252" s="627"/>
      <c r="AK252" s="627"/>
      <c r="AL252" s="627"/>
      <c r="AM252" s="627"/>
      <c r="AN252" s="627"/>
    </row>
    <row r="253" spans="1:40" x14ac:dyDescent="0.35">
      <c r="A253" s="988"/>
      <c r="B253" s="660">
        <f>IF($L$244&gt;0,C253,IF($L$241&gt;0,C253*(100+100*$L$241/50)/100,0))</f>
        <v>7</v>
      </c>
      <c r="C253" s="1009">
        <f>IF(F253="x",0,IF(OR(C104="X",C110="X"),IF(AND(F22&gt;2,F22&lt;=4),8,IF(F22&gt;4,10,IF(F253=0,7,F253))),IF(AND(F22&gt;2,F22&lt;=4),7,IF(F22&gt;4,8,IF(F253=0,6,F253)))))</f>
        <v>7</v>
      </c>
      <c r="D253" s="627" t="s">
        <v>95</v>
      </c>
      <c r="E253" s="627"/>
      <c r="F253" s="660"/>
      <c r="G253" s="627" t="s">
        <v>203</v>
      </c>
      <c r="H253" s="627"/>
      <c r="I253" s="627"/>
      <c r="J253" s="627"/>
      <c r="K253" s="627"/>
      <c r="L253" s="627"/>
      <c r="M253" s="627"/>
      <c r="N253" s="627"/>
      <c r="O253" s="627"/>
      <c r="P253" s="627"/>
      <c r="Q253" s="719"/>
      <c r="R253" s="627"/>
      <c r="S253" s="627"/>
      <c r="T253" s="627"/>
      <c r="U253" s="627"/>
      <c r="V253" s="627"/>
      <c r="W253" s="627"/>
      <c r="X253" s="627"/>
      <c r="Y253" s="627"/>
      <c r="Z253" s="627"/>
      <c r="AA253" s="627"/>
      <c r="AB253" s="627"/>
      <c r="AC253" s="627"/>
      <c r="AD253" s="627"/>
      <c r="AE253" s="627"/>
      <c r="AF253" s="627"/>
      <c r="AG253" s="627"/>
      <c r="AH253" s="627"/>
      <c r="AI253" s="627"/>
      <c r="AJ253" s="627"/>
      <c r="AK253" s="627"/>
      <c r="AL253" s="627"/>
      <c r="AM253" s="627"/>
      <c r="AN253" s="627"/>
    </row>
    <row r="254" spans="1:40" x14ac:dyDescent="0.35">
      <c r="A254" s="988"/>
      <c r="B254" s="660">
        <f t="shared" ref="B254:B255" si="0">IF($L$244&gt;0,C254,IF($L$241&gt;0,C254*(100+100*$L$241/50)/100,0))</f>
        <v>1</v>
      </c>
      <c r="C254" s="1009">
        <f>IF(F254="x",0,IF(F254=0,1,F254))</f>
        <v>1</v>
      </c>
      <c r="D254" s="627" t="s">
        <v>204</v>
      </c>
      <c r="E254" s="627"/>
      <c r="F254" s="660"/>
      <c r="G254" s="627" t="s">
        <v>203</v>
      </c>
      <c r="H254" s="627"/>
      <c r="I254" s="627"/>
      <c r="J254" s="627"/>
      <c r="K254" s="627"/>
      <c r="L254" s="627"/>
      <c r="M254" s="627"/>
      <c r="N254" s="627"/>
      <c r="O254" s="627"/>
      <c r="P254" s="627"/>
      <c r="Q254" s="719"/>
      <c r="R254" s="627"/>
      <c r="S254" s="627"/>
      <c r="T254" s="627"/>
      <c r="U254" s="627"/>
      <c r="V254" s="627"/>
      <c r="W254" s="627"/>
      <c r="X254" s="627"/>
      <c r="Y254" s="627"/>
      <c r="Z254" s="627"/>
      <c r="AA254" s="627"/>
      <c r="AB254" s="627"/>
      <c r="AC254" s="627"/>
      <c r="AD254" s="627"/>
      <c r="AE254" s="627"/>
      <c r="AF254" s="627"/>
      <c r="AG254" s="627"/>
      <c r="AH254" s="627"/>
      <c r="AI254" s="627"/>
      <c r="AJ254" s="627"/>
      <c r="AK254" s="627"/>
      <c r="AL254" s="627"/>
      <c r="AM254" s="627"/>
      <c r="AN254" s="627"/>
    </row>
    <row r="255" spans="1:40" x14ac:dyDescent="0.35">
      <c r="A255" s="988"/>
      <c r="B255" s="660">
        <f t="shared" si="0"/>
        <v>3.6685878962536025</v>
      </c>
      <c r="C255" s="1009">
        <f>IF(F255="x",0+'X MPa '!J67+'X MPa '!J68,IF(F255=0,1+'X MPa '!J67+'X MPa '!J68,F255))</f>
        <v>3.6685878962536025</v>
      </c>
      <c r="D255" s="627" t="str">
        <f>IF(('X MPa '!J67+'X MPa '!J68)&gt;0,"Soldador+equip c. concreto","SOLDADOR")</f>
        <v>Soldador+equip c. concreto</v>
      </c>
      <c r="E255" s="627"/>
      <c r="F255" s="660"/>
      <c r="G255" s="627" t="s">
        <v>203</v>
      </c>
      <c r="H255" s="627"/>
      <c r="I255" s="627"/>
      <c r="J255" s="627"/>
      <c r="K255" s="627"/>
      <c r="L255" s="627"/>
      <c r="M255" s="627"/>
      <c r="N255" s="627"/>
      <c r="O255" s="627"/>
      <c r="P255" s="627"/>
      <c r="Q255" s="719"/>
      <c r="R255" s="627"/>
      <c r="S255" s="627"/>
      <c r="T255" s="627"/>
      <c r="U255" s="627"/>
      <c r="V255" s="627"/>
      <c r="W255" s="627"/>
      <c r="X255" s="627"/>
      <c r="Y255" s="627"/>
      <c r="Z255" s="627"/>
      <c r="AA255" s="627"/>
      <c r="AB255" s="627"/>
      <c r="AC255" s="627"/>
      <c r="AD255" s="627"/>
      <c r="AE255" s="627"/>
      <c r="AF255" s="627"/>
      <c r="AG255" s="627"/>
      <c r="AH255" s="627"/>
      <c r="AI255" s="627"/>
      <c r="AJ255" s="627"/>
      <c r="AK255" s="627"/>
      <c r="AL255" s="627"/>
      <c r="AM255" s="627"/>
      <c r="AN255" s="627"/>
    </row>
    <row r="256" spans="1:40" x14ac:dyDescent="0.35">
      <c r="A256" s="988"/>
      <c r="B256" s="660">
        <f>IF($L$244&gt;0,C256*(1-$L$244/100),IF($L$241&gt;0,C256,0))</f>
        <v>0.5</v>
      </c>
      <c r="C256" s="203">
        <f>IF(F256="x",0,IF(F256=0,1,F256))</f>
        <v>1</v>
      </c>
      <c r="D256" s="204" t="s">
        <v>205</v>
      </c>
      <c r="E256" s="627"/>
      <c r="F256" s="660"/>
      <c r="G256" s="627" t="s">
        <v>203</v>
      </c>
      <c r="H256" s="627"/>
      <c r="I256" s="627"/>
      <c r="J256" s="627"/>
      <c r="K256" s="627"/>
      <c r="L256" s="627"/>
      <c r="M256" s="627"/>
      <c r="N256" s="627"/>
      <c r="O256" s="627"/>
      <c r="P256" s="627"/>
      <c r="Q256" s="719"/>
      <c r="R256" s="627"/>
      <c r="S256" s="627"/>
      <c r="T256" s="627"/>
      <c r="U256" s="627"/>
      <c r="V256" s="627"/>
      <c r="W256" s="627"/>
      <c r="X256" s="627"/>
      <c r="Y256" s="627"/>
      <c r="Z256" s="627"/>
      <c r="AA256" s="627"/>
      <c r="AB256" s="627"/>
      <c r="AC256" s="627"/>
      <c r="AD256" s="627"/>
      <c r="AE256" s="627"/>
      <c r="AF256" s="627"/>
      <c r="AG256" s="627"/>
      <c r="AH256" s="627"/>
      <c r="AI256" s="627"/>
      <c r="AJ256" s="627"/>
      <c r="AK256" s="627"/>
      <c r="AL256" s="627"/>
      <c r="AM256" s="627"/>
      <c r="AN256" s="627"/>
    </row>
    <row r="257" spans="1:72" x14ac:dyDescent="0.35">
      <c r="A257" s="988"/>
      <c r="B257" s="660">
        <f>IF($L$244&gt;0,C257*(1-$L$244/100),IF($L$241&gt;0,C257,0))</f>
        <v>0.5</v>
      </c>
      <c r="C257" s="203">
        <f>IF(F257="x",0,IF(F257=0,1,F257))</f>
        <v>1</v>
      </c>
      <c r="D257" s="204" t="s">
        <v>206</v>
      </c>
      <c r="E257" s="627"/>
      <c r="F257" s="660"/>
      <c r="G257" s="627" t="s">
        <v>203</v>
      </c>
      <c r="H257" s="627"/>
      <c r="I257" s="627"/>
      <c r="J257" s="627"/>
      <c r="K257" s="627"/>
      <c r="L257" s="627"/>
      <c r="M257" s="627"/>
      <c r="N257" s="627"/>
      <c r="O257" s="627"/>
      <c r="P257" s="627"/>
      <c r="Q257" s="719"/>
      <c r="R257" s="627"/>
      <c r="S257" s="627"/>
      <c r="T257" s="627"/>
      <c r="U257" s="627"/>
      <c r="V257" s="627"/>
      <c r="W257" s="627"/>
      <c r="X257" s="627"/>
      <c r="Y257" s="627"/>
      <c r="Z257" s="627"/>
      <c r="AA257" s="627"/>
      <c r="AB257" s="627"/>
      <c r="AC257" s="627"/>
      <c r="AD257" s="627"/>
      <c r="AE257" s="627"/>
      <c r="AF257" s="627"/>
      <c r="AG257" s="627"/>
      <c r="AH257" s="627"/>
      <c r="AI257" s="627"/>
      <c r="AJ257" s="627"/>
      <c r="AK257" s="627"/>
      <c r="AL257" s="627"/>
      <c r="AM257" s="627"/>
      <c r="AN257" s="627"/>
      <c r="AO257" s="627"/>
      <c r="AP257" s="627"/>
      <c r="AQ257" s="627"/>
      <c r="AR257" s="627"/>
      <c r="AS257" s="627"/>
      <c r="AT257" s="627"/>
      <c r="AU257" s="627"/>
      <c r="AV257" s="627"/>
      <c r="AW257" s="627"/>
      <c r="AX257" s="627"/>
      <c r="AY257" s="627"/>
      <c r="AZ257" s="627"/>
      <c r="BA257" s="627"/>
      <c r="BB257" s="627"/>
      <c r="BC257" s="627"/>
      <c r="BD257" s="627"/>
      <c r="BE257" s="627"/>
      <c r="BF257" s="627"/>
      <c r="BG257" s="627"/>
      <c r="BH257" s="627"/>
      <c r="BI257" s="627"/>
      <c r="BJ257" s="627"/>
      <c r="BK257" s="627"/>
      <c r="BL257" s="627"/>
      <c r="BM257" s="627"/>
      <c r="BN257" s="627"/>
      <c r="BO257" s="627"/>
      <c r="BP257" s="627"/>
      <c r="BQ257" s="627"/>
      <c r="BR257" s="627"/>
      <c r="BS257" s="627"/>
      <c r="BT257" s="627"/>
    </row>
    <row r="258" spans="1:72" x14ac:dyDescent="0.35">
      <c r="A258" s="988"/>
      <c r="B258" s="660">
        <f ca="1">IF(L244&gt;0,C258,IF($L$241&gt;0,IF(L241&gt;=30,ROUNDDOWN(CÁLCULOS!L773/CÁLCULOS!M679*(100+100*$L$241/50)/100,0),CÁLCULOS!L773/CÁLCULOS!M679*(100+100*$L$241/50)/100),0))</f>
        <v>0</v>
      </c>
      <c r="C258" s="1009">
        <f ca="1">IF(I15=0,0,ROUNDDOWN(CÁLCULOS!L773/CÁLCULOS!M679,0))</f>
        <v>0</v>
      </c>
      <c r="D258" s="183" t="s">
        <v>207</v>
      </c>
      <c r="E258" s="183"/>
      <c r="F258" s="627"/>
      <c r="G258" s="627"/>
      <c r="H258" s="627"/>
      <c r="I258" s="627"/>
      <c r="J258" s="627"/>
      <c r="K258" s="627"/>
      <c r="L258" s="627"/>
      <c r="M258" s="627"/>
      <c r="N258" s="627"/>
      <c r="O258" s="627"/>
      <c r="P258" s="627"/>
      <c r="Q258" s="719"/>
      <c r="R258" s="627"/>
      <c r="S258" s="627"/>
      <c r="T258" s="627"/>
      <c r="U258" s="627"/>
      <c r="V258" s="627"/>
      <c r="W258" s="627"/>
      <c r="X258" s="627"/>
      <c r="Y258" s="627"/>
      <c r="Z258" s="627"/>
      <c r="AA258" s="627"/>
      <c r="AB258" s="627"/>
      <c r="AC258" s="627"/>
      <c r="AD258" s="627"/>
      <c r="AE258" s="627"/>
      <c r="AF258" s="627"/>
      <c r="AG258" s="627"/>
      <c r="AH258" s="627"/>
      <c r="AI258" s="627"/>
      <c r="AJ258" s="627"/>
      <c r="AK258" s="627"/>
      <c r="AL258" s="627"/>
      <c r="AM258" s="627"/>
      <c r="AN258" s="627"/>
      <c r="AO258" s="627"/>
      <c r="AP258" s="627"/>
      <c r="AQ258" s="627"/>
      <c r="AR258" s="627"/>
      <c r="AS258" s="627"/>
      <c r="AT258" s="627"/>
      <c r="AU258" s="627"/>
      <c r="AV258" s="627"/>
      <c r="AW258" s="627"/>
      <c r="AX258" s="627"/>
      <c r="AY258" s="627"/>
      <c r="AZ258" s="627"/>
      <c r="BA258" s="627"/>
      <c r="BB258" s="627"/>
      <c r="BC258" s="627"/>
      <c r="BD258" s="627"/>
      <c r="BE258" s="627"/>
      <c r="BF258" s="627"/>
      <c r="BG258" s="627"/>
      <c r="BH258" s="627"/>
      <c r="BI258" s="627"/>
      <c r="BJ258" s="627"/>
      <c r="BK258" s="627"/>
      <c r="BL258" s="627"/>
      <c r="BM258" s="627"/>
      <c r="BN258" s="627"/>
      <c r="BO258" s="627"/>
      <c r="BP258" s="627"/>
      <c r="BQ258" s="627"/>
      <c r="BR258" s="627"/>
      <c r="BS258" s="627"/>
      <c r="BT258" s="627"/>
    </row>
    <row r="259" spans="1:72" x14ac:dyDescent="0.35">
      <c r="A259" s="988"/>
      <c r="B259" s="660">
        <f>IF($L$244&gt;0,C259*(1-$L$244/100),IF($L$241&gt;0,C259,0))</f>
        <v>1</v>
      </c>
      <c r="C259" s="203">
        <f>IF(F259="x",0,IF(F259=0,1,F259))</f>
        <v>2</v>
      </c>
      <c r="D259" s="204" t="s">
        <v>208</v>
      </c>
      <c r="E259" s="183"/>
      <c r="F259" s="660">
        <v>2</v>
      </c>
      <c r="G259" s="627" t="s">
        <v>203</v>
      </c>
      <c r="H259" s="627"/>
      <c r="I259" s="627"/>
      <c r="J259" s="627"/>
      <c r="K259" s="627"/>
      <c r="L259" s="627"/>
      <c r="M259" s="627"/>
      <c r="N259" s="627"/>
      <c r="O259" s="627"/>
      <c r="P259" s="627"/>
      <c r="Q259" s="719"/>
      <c r="R259" s="627"/>
      <c r="S259" s="627"/>
      <c r="T259" s="627"/>
      <c r="U259" s="627"/>
      <c r="V259" s="627"/>
      <c r="W259" s="627"/>
      <c r="X259" s="627"/>
      <c r="Y259" s="627"/>
      <c r="Z259" s="627"/>
      <c r="AA259" s="627"/>
      <c r="AB259" s="627"/>
      <c r="AC259" s="627"/>
      <c r="AD259" s="627"/>
      <c r="AE259" s="627"/>
      <c r="AF259" s="627"/>
      <c r="AG259" s="627"/>
      <c r="AH259" s="627"/>
      <c r="AI259" s="627"/>
      <c r="AJ259" s="627"/>
      <c r="AK259" s="627"/>
      <c r="AL259" s="627"/>
      <c r="AM259" s="627"/>
      <c r="AN259" s="627"/>
      <c r="AO259" s="627"/>
      <c r="AP259" s="627"/>
      <c r="AQ259" s="627"/>
      <c r="AR259" s="627"/>
      <c r="AS259" s="627"/>
      <c r="AT259" s="627"/>
      <c r="AU259" s="627"/>
      <c r="AV259" s="627"/>
      <c r="AW259" s="627"/>
      <c r="AX259" s="627"/>
      <c r="AY259" s="627"/>
      <c r="AZ259" s="627"/>
      <c r="BA259" s="627"/>
      <c r="BB259" s="627"/>
      <c r="BC259" s="627"/>
      <c r="BD259" s="627"/>
      <c r="BE259" s="627"/>
      <c r="BF259" s="627"/>
      <c r="BG259" s="627"/>
      <c r="BH259" s="627"/>
      <c r="BI259" s="627"/>
      <c r="BJ259" s="627"/>
      <c r="BK259" s="627"/>
      <c r="BL259" s="627"/>
      <c r="BM259" s="627"/>
      <c r="BN259" s="627"/>
      <c r="BO259" s="627"/>
      <c r="BP259" s="627"/>
      <c r="BQ259" s="627"/>
      <c r="BR259" s="627"/>
      <c r="BS259" s="627"/>
      <c r="BT259" s="627"/>
    </row>
    <row r="260" spans="1:72" x14ac:dyDescent="0.35">
      <c r="A260" s="988"/>
      <c r="B260" s="660">
        <f t="shared" ref="B260" si="1">IF($L$244&gt;0,C260*(1-$L$244/100),IF($L$241&gt;0,C260,0))</f>
        <v>0.5</v>
      </c>
      <c r="C260" s="203">
        <f>IF(F260="x",0,IF(F260=0,1,F260))</f>
        <v>1</v>
      </c>
      <c r="D260" s="204" t="s">
        <v>209</v>
      </c>
      <c r="E260" s="627"/>
      <c r="F260" s="660"/>
      <c r="G260" s="627" t="s">
        <v>203</v>
      </c>
      <c r="H260" s="627"/>
      <c r="I260" s="627"/>
      <c r="J260" s="627"/>
      <c r="K260" s="627"/>
      <c r="L260" s="627"/>
      <c r="M260" s="627"/>
      <c r="N260" s="627"/>
      <c r="O260" s="627"/>
      <c r="P260" s="627"/>
      <c r="Q260" s="719"/>
      <c r="R260" s="627"/>
      <c r="S260" s="627"/>
      <c r="T260" s="627"/>
      <c r="U260" s="627"/>
      <c r="V260" s="627"/>
      <c r="W260" s="627"/>
      <c r="X260" s="627"/>
      <c r="Y260" s="627"/>
      <c r="Z260" s="627"/>
      <c r="AA260" s="627"/>
      <c r="AB260" s="627"/>
      <c r="AC260" s="627"/>
      <c r="AD260" s="627"/>
      <c r="AE260" s="627"/>
      <c r="AF260" s="627"/>
      <c r="AG260" s="627"/>
      <c r="AH260" s="627"/>
      <c r="AI260" s="627"/>
      <c r="AJ260" s="627"/>
      <c r="AK260" s="627"/>
      <c r="AL260" s="627"/>
      <c r="AM260" s="627"/>
      <c r="AN260" s="627"/>
      <c r="AO260" s="627"/>
      <c r="AP260" s="627"/>
      <c r="AQ260" s="627"/>
      <c r="AR260" s="627"/>
      <c r="AS260" s="627"/>
      <c r="AT260" s="627"/>
      <c r="AU260" s="627"/>
      <c r="AV260" s="627"/>
      <c r="AW260" s="627"/>
      <c r="AX260" s="627"/>
      <c r="AY260" s="627"/>
      <c r="AZ260" s="627"/>
      <c r="BA260" s="627"/>
      <c r="BB260" s="627"/>
      <c r="BC260" s="627"/>
      <c r="BD260" s="627"/>
      <c r="BE260" s="627"/>
      <c r="BF260" s="627"/>
      <c r="BG260" s="627"/>
      <c r="BH260" s="627"/>
      <c r="BI260" s="627"/>
      <c r="BJ260" s="627"/>
      <c r="BK260" s="627"/>
      <c r="BL260" s="627"/>
      <c r="BM260" s="627"/>
      <c r="BN260" s="627"/>
      <c r="BO260" s="627"/>
      <c r="BP260" s="627"/>
      <c r="BQ260" s="627"/>
      <c r="BR260" s="627"/>
      <c r="BS260" s="627"/>
      <c r="BT260" s="627"/>
    </row>
    <row r="261" spans="1:72" x14ac:dyDescent="0.35">
      <c r="A261" s="988"/>
      <c r="B261" s="761"/>
      <c r="C261" s="761"/>
      <c r="D261" s="761"/>
      <c r="E261" s="761"/>
      <c r="F261" s="761"/>
      <c r="G261" s="761"/>
      <c r="H261" s="761"/>
      <c r="I261" s="761"/>
      <c r="J261" s="761"/>
      <c r="K261" s="761"/>
      <c r="L261" s="761"/>
      <c r="M261" s="761"/>
      <c r="N261" s="627"/>
      <c r="O261" s="627"/>
      <c r="P261" s="627"/>
      <c r="Q261" s="719"/>
      <c r="R261" s="627"/>
      <c r="S261" s="627"/>
      <c r="T261" s="627"/>
      <c r="U261" s="627"/>
      <c r="V261" s="627"/>
      <c r="W261" s="627"/>
      <c r="X261" s="627"/>
      <c r="Y261" s="627"/>
      <c r="Z261" s="627"/>
      <c r="AA261" s="627"/>
      <c r="AB261" s="627"/>
      <c r="AC261" s="627"/>
      <c r="AD261" s="627"/>
      <c r="AE261" s="627"/>
      <c r="AF261" s="627"/>
      <c r="AG261" s="627"/>
      <c r="AH261" s="627"/>
      <c r="AI261" s="627"/>
      <c r="AJ261" s="627"/>
      <c r="AK261" s="627"/>
      <c r="AL261" s="627"/>
      <c r="AM261" s="627"/>
      <c r="AN261" s="627"/>
      <c r="AO261" s="627"/>
      <c r="AP261" s="627"/>
      <c r="AQ261" s="627"/>
      <c r="AR261" s="627"/>
      <c r="AS261" s="627"/>
      <c r="AT261" s="627"/>
      <c r="AU261" s="627"/>
      <c r="AV261" s="627"/>
      <c r="AW261" s="627"/>
      <c r="AX261" s="627"/>
      <c r="AY261" s="627"/>
      <c r="AZ261" s="627"/>
      <c r="BA261" s="627"/>
      <c r="BB261" s="627"/>
      <c r="BC261" s="627"/>
      <c r="BD261" s="627"/>
      <c r="BE261" s="627"/>
      <c r="BF261" s="627"/>
      <c r="BG261" s="627"/>
      <c r="BH261" s="627"/>
      <c r="BI261" s="627"/>
      <c r="BJ261" s="627"/>
      <c r="BK261" s="627"/>
      <c r="BL261" s="627"/>
      <c r="BM261" s="627"/>
      <c r="BN261" s="627"/>
      <c r="BO261" s="627"/>
      <c r="BP261" s="627"/>
      <c r="BQ261" s="627"/>
      <c r="BR261" s="627"/>
      <c r="BS261" s="627"/>
      <c r="BT261" s="627"/>
    </row>
    <row r="262" spans="1:72" ht="27.95" customHeight="1" x14ac:dyDescent="0.35">
      <c r="A262" s="988"/>
      <c r="B262" s="761"/>
      <c r="C262" s="1315" t="str">
        <f>IF(AND(L235&lt;2.4,L235&gt;0),"VOCÊ DEFINIU "&amp;L235&amp;" DIAS POR REPETIÇÃO, "&amp;" LOGO OBRIGATÓRIO TRABALHAR NO SÁBADO, ENTRE COM HORAS EXTRA NO SÁBADO !",0)</f>
        <v>VOCÊ DEFINIU 2 DIAS POR REPETIÇÃO,  LOGO OBRIGATÓRIO TRABALHAR NO SÁBADO, ENTRE COM HORAS EXTRA NO SÁBADO !</v>
      </c>
      <c r="D262" s="1316"/>
      <c r="E262" s="1316"/>
      <c r="F262" s="1316"/>
      <c r="G262" s="1316"/>
      <c r="H262" s="1316"/>
      <c r="I262" s="1316"/>
      <c r="J262" s="1316"/>
      <c r="K262" s="1316"/>
      <c r="L262" s="1316"/>
      <c r="M262" s="1316"/>
      <c r="N262" s="1316"/>
      <c r="O262" s="1316"/>
      <c r="P262" s="1316"/>
      <c r="Q262" s="1317"/>
      <c r="R262" s="627"/>
      <c r="S262" s="627"/>
      <c r="T262" s="627"/>
      <c r="U262" s="627"/>
      <c r="V262" s="627"/>
      <c r="W262" s="627"/>
      <c r="X262" s="627"/>
      <c r="Y262" s="627"/>
      <c r="Z262" s="627"/>
      <c r="AA262" s="627"/>
      <c r="AB262" s="627"/>
      <c r="AC262" s="627"/>
      <c r="AD262" s="627"/>
      <c r="AE262" s="627"/>
      <c r="AF262" s="627"/>
      <c r="AG262" s="627"/>
      <c r="AH262" s="627"/>
      <c r="AI262" s="627"/>
      <c r="AJ262" s="627"/>
      <c r="AK262" s="627"/>
      <c r="AL262" s="627"/>
      <c r="AM262" s="627"/>
      <c r="AN262" s="627"/>
      <c r="AO262" s="627"/>
      <c r="AP262" s="627"/>
      <c r="AQ262" s="627"/>
      <c r="AR262" s="627"/>
      <c r="AS262" s="627"/>
      <c r="AT262" s="627"/>
      <c r="AU262" s="627"/>
      <c r="AV262" s="627"/>
      <c r="AW262" s="627"/>
      <c r="AX262" s="627"/>
      <c r="AY262" s="627"/>
      <c r="AZ262" s="627"/>
      <c r="BA262" s="627"/>
      <c r="BB262" s="627"/>
      <c r="BC262" s="627"/>
      <c r="BD262" s="627"/>
      <c r="BE262" s="627"/>
      <c r="BF262" s="627"/>
      <c r="BG262" s="627"/>
      <c r="BH262" s="627"/>
      <c r="BI262" s="627"/>
      <c r="BJ262" s="627"/>
      <c r="BK262" s="627"/>
      <c r="BL262" s="627"/>
      <c r="BM262" s="627"/>
      <c r="BN262" s="627"/>
      <c r="BO262" s="627"/>
      <c r="BP262" s="627"/>
      <c r="BQ262" s="627"/>
      <c r="BR262" s="627"/>
      <c r="BS262" s="627"/>
      <c r="BT262" s="627"/>
    </row>
    <row r="263" spans="1:72" x14ac:dyDescent="0.35">
      <c r="A263" s="988"/>
      <c r="B263" s="761"/>
      <c r="C263" s="762" t="s">
        <v>210</v>
      </c>
      <c r="D263" s="761"/>
      <c r="E263" s="761"/>
      <c r="F263" s="761"/>
      <c r="G263" s="660">
        <v>1.5</v>
      </c>
      <c r="H263" s="761" t="s">
        <v>187</v>
      </c>
      <c r="I263" s="761" t="s">
        <v>211</v>
      </c>
      <c r="J263" s="761"/>
      <c r="K263" s="761"/>
      <c r="L263" s="761"/>
      <c r="M263" s="761"/>
      <c r="N263" s="627"/>
      <c r="O263" s="660">
        <v>50</v>
      </c>
      <c r="P263" s="627" t="s">
        <v>130</v>
      </c>
      <c r="Q263" s="719"/>
      <c r="R263" s="627"/>
      <c r="S263" s="627"/>
      <c r="T263" s="627"/>
      <c r="U263" s="627"/>
      <c r="V263" s="627"/>
      <c r="W263" s="627"/>
      <c r="X263" s="627"/>
      <c r="Y263" s="627"/>
      <c r="Z263" s="627"/>
      <c r="AA263" s="627"/>
      <c r="AB263" s="627"/>
      <c r="AC263" s="627"/>
      <c r="AD263" s="627"/>
      <c r="AE263" s="627"/>
      <c r="AF263" s="627"/>
      <c r="AG263" s="627"/>
      <c r="AH263" s="627"/>
      <c r="AI263" s="627"/>
      <c r="AJ263" s="627"/>
      <c r="AK263" s="627"/>
      <c r="AL263" s="627"/>
      <c r="AM263" s="627"/>
      <c r="AN263" s="627"/>
      <c r="AO263" s="627"/>
      <c r="AP263" s="627"/>
      <c r="AQ263" s="627"/>
      <c r="AR263" s="627"/>
      <c r="AS263" s="627"/>
      <c r="AT263" s="627"/>
      <c r="AU263" s="627"/>
      <c r="AV263" s="627"/>
      <c r="AW263" s="627"/>
      <c r="AX263" s="627"/>
      <c r="AY263" s="627"/>
      <c r="AZ263" s="627"/>
      <c r="BA263" s="627"/>
      <c r="BB263" s="627"/>
      <c r="BC263" s="627"/>
      <c r="BD263" s="627"/>
      <c r="BE263" s="627"/>
      <c r="BF263" s="627"/>
      <c r="BG263" s="627"/>
      <c r="BH263" s="627"/>
      <c r="BI263" s="627"/>
      <c r="BJ263" s="627"/>
      <c r="BK263" s="627"/>
      <c r="BL263" s="627"/>
      <c r="BM263" s="627"/>
      <c r="BN263" s="627"/>
      <c r="BO263" s="627"/>
      <c r="BP263" s="627"/>
      <c r="BQ263" s="627"/>
      <c r="BR263" s="627"/>
      <c r="BS263" s="627"/>
      <c r="BT263" s="627"/>
    </row>
    <row r="264" spans="1:72" ht="5.45" customHeight="1" x14ac:dyDescent="0.35">
      <c r="A264" s="988"/>
      <c r="B264" s="761"/>
      <c r="C264" s="762"/>
      <c r="D264" s="761"/>
      <c r="E264" s="761"/>
      <c r="F264" s="761"/>
      <c r="G264" s="761"/>
      <c r="H264" s="761"/>
      <c r="I264" s="761"/>
      <c r="J264" s="761"/>
      <c r="K264" s="761"/>
      <c r="L264" s="761"/>
      <c r="M264" s="761"/>
      <c r="N264" s="627"/>
      <c r="O264" s="627"/>
      <c r="P264" s="627"/>
      <c r="Q264" s="719"/>
      <c r="R264" s="627"/>
      <c r="S264" s="627"/>
      <c r="T264" s="627"/>
      <c r="U264" s="627"/>
      <c r="V264" s="627"/>
      <c r="W264" s="627"/>
      <c r="X264" s="627"/>
      <c r="Y264" s="627"/>
      <c r="Z264" s="627"/>
      <c r="AA264" s="627"/>
      <c r="AB264" s="627"/>
      <c r="AC264" s="627"/>
      <c r="AD264" s="627"/>
      <c r="AE264" s="627"/>
      <c r="AF264" s="627"/>
      <c r="AG264" s="627"/>
      <c r="AH264" s="627"/>
      <c r="AI264" s="627"/>
      <c r="AJ264" s="627"/>
      <c r="AK264" s="627"/>
      <c r="AL264" s="627"/>
      <c r="AM264" s="627"/>
      <c r="AN264" s="627"/>
      <c r="AO264" s="627"/>
      <c r="AP264" s="627"/>
      <c r="AQ264" s="627"/>
      <c r="AR264" s="627"/>
      <c r="AS264" s="627"/>
      <c r="AT264" s="627"/>
      <c r="AU264" s="627"/>
      <c r="AV264" s="627"/>
      <c r="AW264" s="627"/>
      <c r="AX264" s="627"/>
      <c r="AY264" s="627"/>
      <c r="AZ264" s="627"/>
      <c r="BA264" s="627"/>
      <c r="BB264" s="627"/>
      <c r="BC264" s="627"/>
      <c r="BD264" s="627"/>
      <c r="BE264" s="627"/>
      <c r="BF264" s="627"/>
      <c r="BG264" s="627"/>
      <c r="BH264" s="627"/>
      <c r="BI264" s="627"/>
      <c r="BJ264" s="627"/>
      <c r="BK264" s="627"/>
      <c r="BL264" s="627"/>
      <c r="BM264" s="627"/>
      <c r="BN264" s="627"/>
      <c r="BO264" s="627"/>
      <c r="BP264" s="627"/>
      <c r="BQ264" s="627"/>
      <c r="BR264" s="627"/>
      <c r="BS264" s="627"/>
      <c r="BT264" s="627"/>
    </row>
    <row r="265" spans="1:72" x14ac:dyDescent="0.35">
      <c r="A265" s="988"/>
      <c r="B265" s="761"/>
      <c r="C265" s="762" t="s">
        <v>212</v>
      </c>
      <c r="D265" s="761"/>
      <c r="E265" s="761"/>
      <c r="F265" s="761"/>
      <c r="G265" s="660">
        <v>8</v>
      </c>
      <c r="H265" s="761" t="s">
        <v>187</v>
      </c>
      <c r="I265" s="761" t="s">
        <v>211</v>
      </c>
      <c r="J265" s="761"/>
      <c r="K265" s="761"/>
      <c r="L265" s="761"/>
      <c r="M265" s="761"/>
      <c r="N265" s="627"/>
      <c r="O265" s="660">
        <v>100</v>
      </c>
      <c r="P265" s="627" t="s">
        <v>130</v>
      </c>
      <c r="Q265" s="719"/>
      <c r="R265" s="627"/>
      <c r="S265" s="627"/>
      <c r="T265" s="627"/>
      <c r="U265" s="627"/>
      <c r="V265" s="627"/>
      <c r="W265" s="627"/>
      <c r="X265" s="627"/>
      <c r="Y265" s="627"/>
      <c r="Z265" s="627"/>
      <c r="AA265" s="627"/>
      <c r="AB265" s="627"/>
      <c r="AC265" s="627"/>
      <c r="AD265" s="627"/>
      <c r="AE265" s="627"/>
      <c r="AF265" s="627"/>
      <c r="AG265" s="627"/>
      <c r="AH265" s="627"/>
      <c r="AI265" s="627"/>
      <c r="AJ265" s="627"/>
      <c r="AK265" s="627"/>
      <c r="AL265" s="627"/>
      <c r="AM265" s="627"/>
      <c r="AN265" s="627"/>
      <c r="AO265" s="627"/>
      <c r="AP265" s="627"/>
      <c r="AQ265" s="627"/>
      <c r="AR265" s="627"/>
      <c r="AS265" s="627"/>
      <c r="AT265" s="627"/>
      <c r="AU265" s="627"/>
      <c r="AV265" s="627"/>
      <c r="AW265" s="627"/>
      <c r="AX265" s="627"/>
      <c r="AY265" s="627"/>
      <c r="AZ265" s="627"/>
      <c r="BA265" s="627"/>
      <c r="BB265" s="627"/>
      <c r="BC265" s="627"/>
      <c r="BD265" s="627"/>
      <c r="BE265" s="627"/>
      <c r="BF265" s="627"/>
      <c r="BG265" s="627"/>
      <c r="BH265" s="627"/>
      <c r="BI265" s="627"/>
      <c r="BJ265" s="627"/>
      <c r="BK265" s="627"/>
      <c r="BL265" s="627"/>
      <c r="BM265" s="627"/>
      <c r="BN265" s="627"/>
      <c r="BO265" s="627"/>
      <c r="BP265" s="627"/>
      <c r="BQ265" s="627"/>
      <c r="BR265" s="627"/>
      <c r="BS265" s="627"/>
      <c r="BT265" s="627"/>
    </row>
    <row r="266" spans="1:72" ht="5.0999999999999996" customHeight="1" x14ac:dyDescent="0.35">
      <c r="A266" s="988"/>
      <c r="B266" s="761"/>
      <c r="C266" s="1054"/>
      <c r="D266" s="1055"/>
      <c r="E266" s="1055"/>
      <c r="F266" s="1055"/>
      <c r="G266" s="1055"/>
      <c r="H266" s="1055"/>
      <c r="I266" s="1055"/>
      <c r="J266" s="1055"/>
      <c r="K266" s="1055"/>
      <c r="L266" s="1055"/>
      <c r="M266" s="1055"/>
      <c r="N266" s="749"/>
      <c r="O266" s="749"/>
      <c r="P266" s="749"/>
      <c r="Q266" s="748"/>
      <c r="R266" s="627"/>
      <c r="S266" s="627"/>
      <c r="T266" s="627"/>
      <c r="U266" s="627"/>
      <c r="V266" s="627"/>
      <c r="W266" s="627"/>
      <c r="X266" s="627"/>
      <c r="Y266" s="627"/>
      <c r="Z266" s="627"/>
      <c r="AA266" s="627"/>
      <c r="AB266" s="627"/>
      <c r="AC266" s="627"/>
      <c r="AD266" s="627"/>
      <c r="AE266" s="627"/>
      <c r="AF266" s="627"/>
      <c r="AG266" s="627"/>
      <c r="AH266" s="627"/>
      <c r="AI266" s="627"/>
      <c r="AJ266" s="627"/>
      <c r="AK266" s="627"/>
      <c r="AL266" s="627"/>
      <c r="AM266" s="627"/>
      <c r="AN266" s="627"/>
      <c r="AO266" s="627"/>
      <c r="AP266" s="627"/>
      <c r="AQ266" s="627"/>
      <c r="AR266" s="627"/>
      <c r="AS266" s="627"/>
      <c r="AT266" s="627"/>
      <c r="AU266" s="627"/>
      <c r="AV266" s="627"/>
      <c r="AW266" s="627"/>
      <c r="AX266" s="627"/>
      <c r="AY266" s="627"/>
      <c r="AZ266" s="627"/>
      <c r="BA266" s="627"/>
      <c r="BB266" s="627"/>
      <c r="BC266" s="627"/>
      <c r="BD266" s="627"/>
      <c r="BE266" s="627"/>
      <c r="BF266" s="627"/>
      <c r="BG266" s="627"/>
      <c r="BH266" s="627"/>
      <c r="BI266" s="627"/>
      <c r="BJ266" s="627"/>
      <c r="BK266" s="627"/>
      <c r="BL266" s="627"/>
      <c r="BM266" s="627"/>
      <c r="BN266" s="627"/>
      <c r="BO266" s="627"/>
      <c r="BP266" s="627"/>
      <c r="BQ266" s="627"/>
      <c r="BR266" s="627"/>
      <c r="BS266" s="627"/>
      <c r="BT266" s="627"/>
    </row>
    <row r="267" spans="1:72" ht="5.0999999999999996" customHeight="1" x14ac:dyDescent="0.35">
      <c r="A267" s="988"/>
      <c r="B267" s="761"/>
      <c r="C267" s="1056"/>
      <c r="D267" s="1057"/>
      <c r="E267" s="1057"/>
      <c r="F267" s="1057"/>
      <c r="G267" s="1057"/>
      <c r="H267" s="1057"/>
      <c r="I267" s="1057"/>
      <c r="J267" s="1057"/>
      <c r="K267" s="1057"/>
      <c r="L267" s="1057"/>
      <c r="M267" s="1057"/>
      <c r="N267" s="652"/>
      <c r="O267" s="652"/>
      <c r="P267" s="652"/>
      <c r="Q267" s="987"/>
      <c r="R267" s="627"/>
      <c r="S267" s="627"/>
      <c r="T267" s="627"/>
      <c r="U267" s="627"/>
      <c r="V267" s="627"/>
      <c r="W267" s="627"/>
      <c r="X267" s="627"/>
      <c r="Y267" s="627"/>
      <c r="Z267" s="627"/>
      <c r="AA267" s="627"/>
      <c r="AB267" s="627"/>
      <c r="AC267" s="627"/>
      <c r="AD267" s="627"/>
      <c r="AE267" s="627"/>
      <c r="AF267" s="627"/>
      <c r="AG267" s="627"/>
      <c r="AH267" s="627"/>
      <c r="AI267" s="627"/>
      <c r="AJ267" s="627"/>
      <c r="AK267" s="627"/>
      <c r="AL267" s="627"/>
      <c r="AM267" s="627"/>
      <c r="AN267" s="627"/>
      <c r="AO267" s="627"/>
      <c r="AP267" s="627"/>
      <c r="AQ267" s="627"/>
      <c r="AR267" s="627"/>
      <c r="AS267" s="627"/>
      <c r="AT267" s="627"/>
      <c r="AU267" s="627"/>
      <c r="AV267" s="627"/>
      <c r="AW267" s="627"/>
      <c r="AX267" s="627"/>
      <c r="AY267" s="627"/>
      <c r="AZ267" s="627"/>
      <c r="BA267" s="627"/>
      <c r="BB267" s="627"/>
      <c r="BC267" s="627"/>
      <c r="BD267" s="627"/>
      <c r="BE267" s="627"/>
      <c r="BF267" s="627"/>
      <c r="BG267" s="627"/>
      <c r="BH267" s="627"/>
      <c r="BI267" s="627"/>
      <c r="BJ267" s="627"/>
      <c r="BK267" s="627"/>
      <c r="BL267" s="627"/>
      <c r="BM267" s="627"/>
      <c r="BN267" s="627"/>
      <c r="BO267" s="627"/>
      <c r="BP267" s="627"/>
      <c r="BQ267" s="627"/>
      <c r="BR267" s="627"/>
      <c r="BS267" s="627"/>
      <c r="BT267" s="627"/>
    </row>
    <row r="268" spans="1:72" ht="12.75" customHeight="1" x14ac:dyDescent="0.35">
      <c r="A268" s="988"/>
      <c r="B268" s="627"/>
      <c r="C268" s="988" t="s">
        <v>213</v>
      </c>
      <c r="D268" s="627"/>
      <c r="E268" s="627"/>
      <c r="F268" s="627"/>
      <c r="G268" s="627"/>
      <c r="H268" s="627"/>
      <c r="I268" s="627"/>
      <c r="J268" s="627"/>
      <c r="K268" s="627"/>
      <c r="L268" s="660">
        <f>IF($I$15=0,0,IF(N268="X",0,IF(N268&gt;0,N268,IF(G263+G265=0,0,IF(G263+G265&gt;0,(((G263+G265)+44)/44-1)*100)))))</f>
        <v>21.590909090909083</v>
      </c>
      <c r="M268" s="627" t="s">
        <v>130</v>
      </c>
      <c r="N268" s="697"/>
      <c r="O268" s="988" t="s">
        <v>214</v>
      </c>
      <c r="P268" s="627"/>
      <c r="Q268" s="719"/>
      <c r="R268" s="627"/>
      <c r="S268" s="627"/>
      <c r="T268" s="627"/>
      <c r="U268" s="627"/>
      <c r="V268" s="627"/>
      <c r="W268" s="627"/>
      <c r="X268" s="627"/>
      <c r="Y268" s="627"/>
      <c r="Z268" s="627"/>
      <c r="AA268" s="627"/>
      <c r="AB268" s="627"/>
      <c r="AC268" s="627"/>
      <c r="AD268" s="627"/>
      <c r="AE268" s="627"/>
      <c r="AF268" s="627"/>
      <c r="AG268" s="627"/>
      <c r="AH268" s="627"/>
      <c r="AI268" s="627"/>
      <c r="AJ268" s="627"/>
      <c r="AK268" s="627"/>
      <c r="AL268" s="627"/>
      <c r="AM268" s="627"/>
      <c r="AN268" s="627"/>
      <c r="AO268" s="627"/>
      <c r="AP268" s="627"/>
      <c r="AQ268" s="627"/>
      <c r="AR268" s="627"/>
      <c r="AS268" s="627"/>
      <c r="AT268" s="627"/>
      <c r="AU268" s="627"/>
      <c r="AV268" s="627"/>
      <c r="AW268" s="627"/>
      <c r="AX268" s="627"/>
      <c r="AY268" s="627"/>
      <c r="AZ268" s="627"/>
      <c r="BA268" s="627"/>
      <c r="BB268" s="627"/>
      <c r="BC268" s="627"/>
      <c r="BD268" s="627"/>
      <c r="BE268" s="627"/>
      <c r="BF268" s="627"/>
      <c r="BG268" s="627"/>
      <c r="BH268" s="627"/>
      <c r="BI268" s="627"/>
      <c r="BJ268" s="627"/>
      <c r="BK268" s="627"/>
      <c r="BL268" s="627"/>
      <c r="BM268" s="627"/>
      <c r="BN268" s="627"/>
      <c r="BO268" s="627"/>
      <c r="BP268" s="627"/>
      <c r="BQ268" s="627"/>
      <c r="BR268" s="627"/>
      <c r="BS268" s="627"/>
      <c r="BT268" s="627"/>
    </row>
    <row r="269" spans="1:72" ht="12.75" customHeight="1" x14ac:dyDescent="0.35">
      <c r="A269" s="988"/>
      <c r="B269" s="627"/>
      <c r="C269" s="988"/>
      <c r="D269" s="627"/>
      <c r="E269" s="627"/>
      <c r="F269" s="627"/>
      <c r="G269" s="627"/>
      <c r="H269" s="627"/>
      <c r="I269" s="627"/>
      <c r="J269" s="627"/>
      <c r="K269" s="627"/>
      <c r="L269" s="627"/>
      <c r="M269" s="627"/>
      <c r="N269" s="627"/>
      <c r="O269" s="988" t="s">
        <v>215</v>
      </c>
      <c r="P269" s="627"/>
      <c r="Q269" s="719"/>
      <c r="R269" s="627"/>
      <c r="S269" s="627"/>
      <c r="T269" s="627"/>
      <c r="U269" s="627"/>
      <c r="V269" s="627"/>
      <c r="W269" s="627"/>
      <c r="X269" s="627"/>
      <c r="Y269" s="627"/>
      <c r="Z269" s="627"/>
      <c r="AA269" s="627"/>
      <c r="AB269" s="627"/>
      <c r="AC269" s="627"/>
      <c r="AD269" s="627"/>
      <c r="AE269" s="627"/>
      <c r="AF269" s="627"/>
      <c r="AG269" s="627"/>
      <c r="AH269" s="627"/>
      <c r="AI269" s="627"/>
      <c r="AJ269" s="627"/>
      <c r="AK269" s="627"/>
      <c r="AL269" s="627"/>
      <c r="AM269" s="627"/>
      <c r="AN269" s="627"/>
      <c r="AO269" s="627"/>
      <c r="AP269" s="627"/>
      <c r="AQ269" s="627"/>
      <c r="AR269" s="627"/>
      <c r="AS269" s="627"/>
      <c r="AT269" s="627"/>
      <c r="AU269" s="627"/>
      <c r="AV269" s="627"/>
      <c r="AW269" s="627"/>
      <c r="AX269" s="627"/>
      <c r="AY269" s="627"/>
      <c r="AZ269" s="627"/>
      <c r="BA269" s="627"/>
      <c r="BB269" s="627"/>
      <c r="BC269" s="627"/>
      <c r="BD269" s="627"/>
      <c r="BE269" s="627"/>
      <c r="BF269" s="627"/>
      <c r="BG269" s="627"/>
      <c r="BH269" s="627"/>
      <c r="BI269" s="627"/>
      <c r="BJ269" s="627"/>
      <c r="BK269" s="627"/>
      <c r="BL269" s="627"/>
      <c r="BM269" s="627"/>
      <c r="BN269" s="627"/>
      <c r="BO269" s="627"/>
      <c r="BP269" s="627"/>
      <c r="BQ269" s="627"/>
      <c r="BR269" s="627"/>
      <c r="BS269" s="627"/>
      <c r="BT269" s="627"/>
    </row>
    <row r="270" spans="1:72" ht="12.6" customHeight="1" x14ac:dyDescent="0.35">
      <c r="A270" s="988"/>
      <c r="B270" s="627"/>
      <c r="C270" s="988" t="s">
        <v>216</v>
      </c>
      <c r="D270" s="627"/>
      <c r="E270" s="627"/>
      <c r="F270" s="627"/>
      <c r="G270" s="627"/>
      <c r="H270" s="627"/>
      <c r="I270" s="627"/>
      <c r="J270" s="627"/>
      <c r="K270" s="627"/>
      <c r="L270" s="660">
        <f>IF($I$15=0,0,IF(N270="X",0,IF(N270&gt;0,N270,IF(G263+G265=0,0,(G263*(O263)+G265*(O265))/(G263+G265)))))</f>
        <v>92.10526315789474</v>
      </c>
      <c r="M270" s="627" t="s">
        <v>130</v>
      </c>
      <c r="N270" s="697"/>
      <c r="O270" s="988" t="s">
        <v>217</v>
      </c>
      <c r="P270" s="627"/>
      <c r="Q270" s="719"/>
      <c r="R270" s="627"/>
      <c r="S270" s="627"/>
      <c r="T270" s="627"/>
      <c r="U270" s="627"/>
      <c r="V270" s="627"/>
      <c r="W270" s="627"/>
      <c r="X270" s="627"/>
      <c r="Y270" s="627"/>
      <c r="Z270" s="627"/>
      <c r="AA270" s="627"/>
      <c r="AB270" s="627"/>
      <c r="AC270" s="627"/>
      <c r="AD270" s="627"/>
      <c r="AE270" s="627"/>
      <c r="AF270" s="627"/>
      <c r="AG270" s="627"/>
      <c r="AH270" s="627"/>
      <c r="AI270" s="627"/>
      <c r="AJ270" s="627"/>
      <c r="AK270" s="627"/>
      <c r="AL270" s="627"/>
      <c r="AM270" s="627"/>
      <c r="AN270" s="627"/>
      <c r="AO270" s="627"/>
      <c r="AP270" s="627"/>
      <c r="AQ270" s="627"/>
      <c r="AR270" s="627"/>
      <c r="AS270" s="627"/>
      <c r="AT270" s="627"/>
      <c r="AU270" s="627"/>
      <c r="AV270" s="627"/>
      <c r="AW270" s="627"/>
      <c r="AX270" s="627"/>
      <c r="AY270" s="627"/>
      <c r="AZ270" s="627"/>
      <c r="BA270" s="627"/>
      <c r="BB270" s="627"/>
      <c r="BC270" s="627"/>
      <c r="BD270" s="627"/>
      <c r="BE270" s="627"/>
      <c r="BF270" s="627"/>
      <c r="BG270" s="627"/>
      <c r="BH270" s="627"/>
      <c r="BI270" s="627"/>
      <c r="BJ270" s="627"/>
      <c r="BK270" s="627"/>
      <c r="BL270" s="627"/>
      <c r="BM270" s="627"/>
      <c r="BN270" s="627"/>
      <c r="BO270" s="627"/>
      <c r="BP270" s="627"/>
      <c r="BQ270" s="627"/>
      <c r="BR270" s="627"/>
      <c r="BS270" s="627"/>
      <c r="BT270" s="627"/>
    </row>
    <row r="271" spans="1:72" ht="4.5" customHeight="1" x14ac:dyDescent="0.35">
      <c r="A271" s="988"/>
      <c r="B271" s="627"/>
      <c r="C271" s="637"/>
      <c r="D271" s="749"/>
      <c r="E271" s="749"/>
      <c r="F271" s="749"/>
      <c r="G271" s="749"/>
      <c r="H271" s="749"/>
      <c r="I271" s="749"/>
      <c r="J271" s="749"/>
      <c r="K271" s="749"/>
      <c r="L271" s="1055"/>
      <c r="M271" s="749"/>
      <c r="N271" s="749"/>
      <c r="O271" s="749"/>
      <c r="P271" s="749"/>
      <c r="Q271" s="748"/>
      <c r="R271" s="627"/>
      <c r="S271" s="627"/>
      <c r="T271" s="627"/>
      <c r="U271" s="627"/>
      <c r="V271" s="627"/>
      <c r="W271" s="627"/>
      <c r="X271" s="627"/>
      <c r="Y271" s="627"/>
      <c r="Z271" s="627"/>
      <c r="AA271" s="627"/>
      <c r="AB271" s="627"/>
      <c r="AC271" s="627"/>
      <c r="AD271" s="627"/>
      <c r="AE271" s="627"/>
      <c r="AF271" s="627"/>
      <c r="AG271" s="627"/>
      <c r="AH271" s="627"/>
      <c r="AI271" s="627"/>
      <c r="AJ271" s="627"/>
      <c r="AK271" s="627"/>
      <c r="AL271" s="627"/>
      <c r="AM271" s="627"/>
      <c r="AN271" s="627"/>
      <c r="AO271" s="627"/>
      <c r="AP271" s="627"/>
      <c r="AQ271" s="627"/>
      <c r="AR271" s="627"/>
      <c r="AS271" s="627"/>
      <c r="AT271" s="627"/>
      <c r="AU271" s="627"/>
      <c r="AV271" s="627"/>
      <c r="AW271" s="627"/>
      <c r="AX271" s="627"/>
      <c r="AY271" s="627"/>
      <c r="AZ271" s="627"/>
      <c r="BA271" s="627"/>
      <c r="BB271" s="627"/>
      <c r="BC271" s="627"/>
      <c r="BD271" s="627"/>
      <c r="BE271" s="627"/>
      <c r="BF271" s="627"/>
      <c r="BG271" s="627"/>
      <c r="BH271" s="627"/>
      <c r="BI271" s="627"/>
      <c r="BJ271" s="627"/>
      <c r="BK271" s="627"/>
      <c r="BL271" s="627"/>
      <c r="BM271" s="627"/>
      <c r="BN271" s="627"/>
      <c r="BO271" s="627"/>
      <c r="BP271" s="627"/>
      <c r="BQ271" s="627"/>
      <c r="BR271" s="627"/>
      <c r="BS271" s="627"/>
      <c r="BT271" s="627"/>
    </row>
    <row r="272" spans="1:72" ht="12.75" customHeight="1" x14ac:dyDescent="0.35">
      <c r="A272" s="988"/>
      <c r="B272" s="627"/>
      <c r="C272" s="999"/>
      <c r="D272" s="627"/>
      <c r="E272" s="627"/>
      <c r="F272" s="627"/>
      <c r="G272" s="627"/>
      <c r="H272" s="627"/>
      <c r="I272" s="627"/>
      <c r="J272" s="627"/>
      <c r="K272" s="627"/>
      <c r="L272" s="627"/>
      <c r="M272" s="627"/>
      <c r="N272" s="627"/>
      <c r="O272" s="627"/>
      <c r="P272" s="627"/>
      <c r="Q272" s="719"/>
      <c r="R272" s="627"/>
      <c r="S272" s="627"/>
      <c r="T272" s="627"/>
      <c r="U272" s="627"/>
      <c r="V272" s="627"/>
      <c r="W272" s="627"/>
      <c r="X272" s="627"/>
      <c r="Y272" s="627"/>
      <c r="Z272" s="627"/>
      <c r="AA272" s="627"/>
      <c r="AB272" s="627"/>
      <c r="AC272" s="627"/>
      <c r="AD272" s="627"/>
      <c r="AE272" s="627"/>
      <c r="AF272" s="627"/>
      <c r="AG272" s="627"/>
      <c r="AH272" s="627"/>
      <c r="AI272" s="627"/>
      <c r="AJ272" s="627"/>
      <c r="AK272" s="627"/>
      <c r="AL272" s="627"/>
      <c r="AM272" s="627"/>
      <c r="AN272" s="627"/>
      <c r="AO272" s="627"/>
      <c r="AP272" s="627"/>
      <c r="AQ272" s="627"/>
      <c r="AR272" s="627"/>
      <c r="AS272" s="627"/>
      <c r="AT272" s="627"/>
      <c r="AU272" s="627"/>
      <c r="AV272" s="627"/>
      <c r="AW272" s="627"/>
      <c r="AX272" s="627"/>
      <c r="AY272" s="627"/>
      <c r="AZ272" s="627"/>
      <c r="BA272" s="627"/>
      <c r="BB272" s="627"/>
      <c r="BC272" s="627"/>
      <c r="BD272" s="627"/>
      <c r="BE272" s="627"/>
      <c r="BF272" s="627"/>
      <c r="BG272" s="627"/>
      <c r="BH272" s="627"/>
      <c r="BI272" s="627"/>
      <c r="BJ272" s="627"/>
      <c r="BK272" s="627"/>
      <c r="BL272" s="627"/>
      <c r="BM272" s="627"/>
      <c r="BN272" s="627"/>
      <c r="BO272" s="627"/>
      <c r="BP272" s="627"/>
      <c r="BQ272" s="627"/>
      <c r="BR272" s="627"/>
      <c r="BS272" s="627"/>
      <c r="BT272" s="627"/>
    </row>
    <row r="273" spans="1:72" ht="12.6" hidden="1" customHeight="1" x14ac:dyDescent="0.35">
      <c r="A273" s="988"/>
      <c r="B273" s="627"/>
      <c r="C273" s="1452" t="s">
        <v>218</v>
      </c>
      <c r="D273" s="1453"/>
      <c r="E273" s="1453"/>
      <c r="F273" s="1454"/>
      <c r="G273" s="739" t="s">
        <v>219</v>
      </c>
      <c r="H273" s="739" t="s">
        <v>220</v>
      </c>
      <c r="I273" s="970" t="s">
        <v>221</v>
      </c>
      <c r="J273" s="948" t="s">
        <v>222</v>
      </c>
      <c r="K273" s="987"/>
      <c r="L273" s="674" t="s">
        <v>223</v>
      </c>
      <c r="M273" s="1458" t="s">
        <v>223</v>
      </c>
      <c r="N273" s="1459"/>
      <c r="O273" s="638" t="s">
        <v>224</v>
      </c>
      <c r="P273" s="627"/>
      <c r="Q273" s="719"/>
      <c r="R273" s="627"/>
      <c r="S273" s="627"/>
      <c r="T273" s="627"/>
      <c r="U273" s="627"/>
      <c r="V273" s="627"/>
      <c r="W273" s="627"/>
      <c r="X273" s="627"/>
      <c r="Y273" s="627"/>
      <c r="Z273" s="627"/>
      <c r="AA273" s="627"/>
      <c r="AB273" s="627"/>
      <c r="AC273" s="627"/>
      <c r="AD273" s="627"/>
      <c r="AE273" s="627"/>
      <c r="AF273" s="627"/>
      <c r="AG273" s="627"/>
      <c r="AH273" s="627"/>
      <c r="AI273" s="627"/>
      <c r="AJ273" s="627"/>
      <c r="AK273" s="627"/>
      <c r="AL273" s="627"/>
      <c r="AM273" s="627"/>
      <c r="AN273" s="627"/>
      <c r="AO273" s="627"/>
      <c r="AP273" s="627"/>
      <c r="AQ273" s="627"/>
      <c r="AR273" s="627"/>
      <c r="AS273" s="627"/>
      <c r="AT273" s="627"/>
      <c r="AU273" s="627"/>
      <c r="AV273" s="627"/>
      <c r="AW273" s="627"/>
      <c r="AX273" s="627"/>
      <c r="AY273" s="627"/>
      <c r="AZ273" s="627"/>
      <c r="BA273" s="627"/>
      <c r="BB273" s="627"/>
      <c r="BC273" s="627"/>
      <c r="BD273" s="627"/>
      <c r="BE273" s="627"/>
      <c r="BF273" s="627"/>
      <c r="BG273" s="627"/>
      <c r="BH273" s="627"/>
      <c r="BI273" s="627"/>
      <c r="BJ273" s="627"/>
      <c r="BK273" s="627"/>
      <c r="BL273" s="627"/>
      <c r="BM273" s="627"/>
      <c r="BN273" s="627"/>
      <c r="BO273" s="627"/>
      <c r="BP273" s="627"/>
      <c r="BQ273" s="627"/>
      <c r="BR273" s="627"/>
      <c r="BS273" s="627"/>
      <c r="BT273" s="627"/>
    </row>
    <row r="274" spans="1:72" hidden="1" x14ac:dyDescent="0.35">
      <c r="A274" s="988"/>
      <c r="B274" s="627"/>
      <c r="C274" s="1455"/>
      <c r="D274" s="1456"/>
      <c r="E274" s="1456"/>
      <c r="F274" s="1457"/>
      <c r="G274" s="975" t="s">
        <v>225</v>
      </c>
      <c r="H274" s="975" t="s">
        <v>226</v>
      </c>
      <c r="I274" s="1059" t="s">
        <v>227</v>
      </c>
      <c r="J274" s="949" t="s">
        <v>228</v>
      </c>
      <c r="K274" s="748"/>
      <c r="L274" s="673" t="s">
        <v>229</v>
      </c>
      <c r="M274" s="1412" t="s">
        <v>230</v>
      </c>
      <c r="N274" s="1414"/>
      <c r="O274" s="639" t="s">
        <v>231</v>
      </c>
      <c r="P274" s="627"/>
      <c r="Q274" s="719"/>
      <c r="R274" s="627"/>
      <c r="S274" s="627"/>
      <c r="T274" s="627"/>
      <c r="U274" s="627"/>
      <c r="V274" s="627"/>
      <c r="W274" s="627"/>
      <c r="X274" s="627"/>
      <c r="Y274" s="627"/>
      <c r="Z274" s="627"/>
      <c r="AA274" s="627"/>
      <c r="AB274" s="627"/>
      <c r="AC274" s="627"/>
      <c r="AD274" s="627"/>
      <c r="AE274" s="627"/>
      <c r="AF274" s="627"/>
      <c r="AG274" s="627"/>
      <c r="AH274" s="627"/>
      <c r="AI274" s="627"/>
      <c r="AJ274" s="627"/>
      <c r="AK274" s="627"/>
      <c r="AL274" s="627"/>
      <c r="AM274" s="627"/>
      <c r="AN274" s="627"/>
      <c r="AO274" s="627"/>
      <c r="AP274" s="627"/>
      <c r="AQ274" s="627"/>
      <c r="AR274" s="627"/>
      <c r="AS274" s="627"/>
      <c r="AT274" s="627"/>
      <c r="AU274" s="627"/>
      <c r="AV274" s="627"/>
      <c r="AW274" s="627"/>
      <c r="AX274" s="627"/>
      <c r="AY274" s="627"/>
      <c r="AZ274" s="627"/>
      <c r="BA274" s="627"/>
      <c r="BB274" s="627"/>
      <c r="BC274" s="627"/>
      <c r="BD274" s="627"/>
      <c r="BE274" s="627"/>
      <c r="BF274" s="627"/>
      <c r="BG274" s="627"/>
      <c r="BH274" s="627"/>
      <c r="BI274" s="627"/>
      <c r="BJ274" s="627"/>
      <c r="BK274" s="627"/>
      <c r="BL274" s="627"/>
      <c r="BM274" s="627"/>
      <c r="BN274" s="627"/>
      <c r="BO274" s="627"/>
      <c r="BP274" s="627"/>
      <c r="BQ274" s="627"/>
      <c r="BR274" s="627"/>
      <c r="BS274" s="627"/>
      <c r="BT274" s="627"/>
    </row>
    <row r="275" spans="1:72" hidden="1" x14ac:dyDescent="0.35">
      <c r="A275" s="988"/>
      <c r="B275" s="627"/>
      <c r="C275" s="1415" t="s">
        <v>232</v>
      </c>
      <c r="D275" s="1415"/>
      <c r="E275" s="1415"/>
      <c r="F275" s="1415"/>
      <c r="G275" s="1060">
        <f>(C253+C255)/20</f>
        <v>0.53342939481268004</v>
      </c>
      <c r="H275" s="1060">
        <f>4+O275</f>
        <v>4</v>
      </c>
      <c r="I275" s="626">
        <f>9</f>
        <v>9</v>
      </c>
      <c r="J275" s="1061">
        <f>G275*H275*I275</f>
        <v>19.203458213256482</v>
      </c>
      <c r="K275" s="629"/>
      <c r="L275" s="1060">
        <f t="shared" ref="L275:L282" ca="1" si="2">J275*$J$290</f>
        <v>672.1210374639769</v>
      </c>
      <c r="M275" s="1416">
        <f t="shared" ref="M275:M282" ca="1" si="3">L275*$L$268/100</f>
        <v>145.11704217972223</v>
      </c>
      <c r="N275" s="1417"/>
      <c r="O275" s="1060">
        <f t="shared" ref="O275:O282" si="4">$F$310</f>
        <v>0</v>
      </c>
      <c r="P275" s="627"/>
      <c r="Q275" s="719"/>
      <c r="R275" s="627"/>
      <c r="S275" s="627"/>
      <c r="T275" s="627"/>
      <c r="U275" s="627"/>
      <c r="V275" s="627"/>
      <c r="W275" s="627"/>
      <c r="X275" s="627"/>
      <c r="Y275" s="627"/>
      <c r="Z275" s="627"/>
      <c r="AA275" s="627"/>
      <c r="AB275" s="627"/>
      <c r="AC275" s="627"/>
      <c r="AD275" s="627"/>
      <c r="AE275" s="627"/>
      <c r="AF275" s="627"/>
      <c r="AG275" s="627"/>
      <c r="AH275" s="627"/>
      <c r="AI275" s="627"/>
      <c r="AJ275" s="627"/>
      <c r="AK275" s="627"/>
      <c r="AL275" s="627"/>
      <c r="AM275" s="627"/>
      <c r="AN275" s="627"/>
      <c r="AO275" s="627"/>
      <c r="AP275" s="627"/>
      <c r="AQ275" s="627"/>
      <c r="AR275" s="627"/>
      <c r="AS275" s="627"/>
      <c r="AT275" s="627"/>
      <c r="AU275" s="627"/>
      <c r="AV275" s="627"/>
      <c r="AW275" s="627"/>
      <c r="AX275" s="627"/>
      <c r="AY275" s="627"/>
      <c r="AZ275" s="627"/>
      <c r="BA275" s="627"/>
      <c r="BB275" s="627"/>
      <c r="BC275" s="627"/>
      <c r="BD275" s="627"/>
      <c r="BE275" s="627"/>
      <c r="BF275" s="627"/>
      <c r="BG275" s="627"/>
      <c r="BH275" s="627"/>
      <c r="BI275" s="627"/>
      <c r="BJ275" s="627"/>
      <c r="BK275" s="627"/>
      <c r="BL275" s="627"/>
      <c r="BM275" s="627"/>
      <c r="BN275" s="627"/>
      <c r="BO275" s="627"/>
      <c r="BP275" s="627"/>
      <c r="BQ275" s="627"/>
      <c r="BR275" s="627"/>
      <c r="BS275" s="627"/>
      <c r="BT275" s="627"/>
    </row>
    <row r="276" spans="1:72" hidden="1" x14ac:dyDescent="0.35">
      <c r="A276" s="988"/>
      <c r="B276" s="627"/>
      <c r="C276" s="1415" t="s">
        <v>233</v>
      </c>
      <c r="D276" s="1415"/>
      <c r="E276" s="1415"/>
      <c r="F276" s="1415"/>
      <c r="G276" s="1062">
        <f>(C253+C255)/2.54</f>
        <v>4.2002314552179536</v>
      </c>
      <c r="H276" s="1060">
        <f>2.5+O276</f>
        <v>2.5</v>
      </c>
      <c r="I276" s="626">
        <v>9</v>
      </c>
      <c r="J276" s="1061">
        <f>G276*H276*I276</f>
        <v>94.505207742403954</v>
      </c>
      <c r="K276" s="629"/>
      <c r="L276" s="1060">
        <f t="shared" ca="1" si="2"/>
        <v>3307.6822709841385</v>
      </c>
      <c r="M276" s="1416">
        <f t="shared" ca="1" si="3"/>
        <v>714.15867214430239</v>
      </c>
      <c r="N276" s="1417"/>
      <c r="O276" s="1060">
        <f t="shared" si="4"/>
        <v>0</v>
      </c>
      <c r="P276" s="627"/>
      <c r="Q276" s="719"/>
      <c r="R276" s="627"/>
      <c r="S276" s="627"/>
      <c r="T276" s="627"/>
      <c r="U276" s="627"/>
      <c r="V276" s="627"/>
      <c r="W276" s="627"/>
      <c r="X276" s="627"/>
      <c r="Y276" s="627"/>
      <c r="Z276" s="627"/>
      <c r="AA276" s="627"/>
      <c r="AB276" s="627"/>
      <c r="AC276" s="627"/>
      <c r="AD276" s="627"/>
      <c r="AE276" s="627"/>
      <c r="AF276" s="627"/>
      <c r="AG276" s="627"/>
      <c r="AH276" s="627"/>
      <c r="AI276" s="627"/>
      <c r="AJ276" s="627"/>
      <c r="AK276" s="627"/>
      <c r="AL276" s="627"/>
      <c r="AM276" s="627"/>
      <c r="AN276" s="627"/>
      <c r="AO276" s="627"/>
      <c r="AP276" s="627"/>
      <c r="AQ276" s="627"/>
      <c r="AR276" s="627"/>
      <c r="AS276" s="627"/>
      <c r="AT276" s="627"/>
      <c r="AU276" s="627"/>
      <c r="AV276" s="627"/>
      <c r="AW276" s="627"/>
      <c r="AX276" s="627"/>
      <c r="AY276" s="627"/>
      <c r="AZ276" s="627"/>
      <c r="BA276" s="627"/>
      <c r="BB276" s="627"/>
      <c r="BC276" s="627"/>
      <c r="BD276" s="627"/>
      <c r="BE276" s="627"/>
      <c r="BF276" s="627"/>
      <c r="BG276" s="627"/>
      <c r="BH276" s="627"/>
      <c r="BI276" s="627"/>
      <c r="BJ276" s="627"/>
      <c r="BK276" s="627"/>
      <c r="BL276" s="627"/>
      <c r="BM276" s="627"/>
      <c r="BN276" s="627"/>
      <c r="BO276" s="627"/>
      <c r="BP276" s="627"/>
      <c r="BQ276" s="627"/>
      <c r="BR276" s="627"/>
      <c r="BS276" s="627"/>
      <c r="BT276" s="627"/>
    </row>
    <row r="277" spans="1:72" hidden="1" x14ac:dyDescent="0.35">
      <c r="A277" s="988"/>
      <c r="B277" s="627"/>
      <c r="C277" s="1415" t="s">
        <v>234</v>
      </c>
      <c r="D277" s="1415"/>
      <c r="E277" s="1415"/>
      <c r="F277" s="1415"/>
      <c r="G277" s="1062">
        <f>(C253+C255)/2.535</f>
        <v>4.2085159354057602</v>
      </c>
      <c r="H277" s="1060">
        <f>1.5+O277</f>
        <v>1.5</v>
      </c>
      <c r="I277" s="626">
        <v>9</v>
      </c>
      <c r="J277" s="1061">
        <f t="shared" ref="J277:J282" si="5">G277*H277*I277</f>
        <v>56.814965127977764</v>
      </c>
      <c r="K277" s="629"/>
      <c r="L277" s="1060">
        <f t="shared" ca="1" si="2"/>
        <v>1988.5237794792217</v>
      </c>
      <c r="M277" s="1416">
        <f t="shared" ca="1" si="3"/>
        <v>429.3403614784682</v>
      </c>
      <c r="N277" s="1417"/>
      <c r="O277" s="1060">
        <f t="shared" si="4"/>
        <v>0</v>
      </c>
      <c r="P277" s="627"/>
      <c r="Q277" s="719"/>
      <c r="R277" s="627"/>
      <c r="S277" s="627"/>
      <c r="T277" s="627"/>
      <c r="U277" s="627"/>
      <c r="V277" s="627"/>
      <c r="W277" s="627"/>
      <c r="X277" s="627"/>
      <c r="Y277" s="627"/>
      <c r="Z277" s="627"/>
      <c r="AA277" s="627"/>
      <c r="AB277" s="627"/>
      <c r="AC277" s="627"/>
      <c r="AD277" s="627"/>
      <c r="AE277" s="627"/>
      <c r="AF277" s="627"/>
      <c r="AG277" s="627"/>
      <c r="AH277" s="627"/>
      <c r="AI277" s="627"/>
      <c r="AJ277" s="627"/>
      <c r="AK277" s="627"/>
      <c r="AL277" s="627"/>
      <c r="AM277" s="627"/>
      <c r="AN277" s="627"/>
      <c r="AO277" s="627"/>
      <c r="AP277" s="627"/>
      <c r="AQ277" s="627"/>
      <c r="AR277" s="627"/>
      <c r="AS277" s="627"/>
      <c r="AT277" s="627"/>
      <c r="AU277" s="627"/>
      <c r="AV277" s="627"/>
      <c r="AW277" s="627"/>
      <c r="AX277" s="627"/>
      <c r="AY277" s="627"/>
      <c r="AZ277" s="627"/>
      <c r="BA277" s="627"/>
      <c r="BB277" s="627"/>
      <c r="BC277" s="627"/>
      <c r="BD277" s="627"/>
      <c r="BE277" s="627"/>
      <c r="BF277" s="627"/>
      <c r="BG277" s="627"/>
      <c r="BH277" s="627"/>
      <c r="BI277" s="627"/>
      <c r="BJ277" s="627"/>
      <c r="BK277" s="627"/>
      <c r="BL277" s="627"/>
      <c r="BM277" s="627"/>
      <c r="BN277" s="627"/>
      <c r="BO277" s="627"/>
      <c r="BP277" s="627"/>
      <c r="BQ277" s="627"/>
      <c r="BR277" s="627"/>
      <c r="BS277" s="627"/>
      <c r="BT277" s="627"/>
    </row>
    <row r="278" spans="1:72" hidden="1" x14ac:dyDescent="0.35">
      <c r="A278" s="988"/>
      <c r="B278" s="627"/>
      <c r="C278" s="1415" t="s">
        <v>235</v>
      </c>
      <c r="D278" s="1415"/>
      <c r="E278" s="1415"/>
      <c r="F278" s="1415"/>
      <c r="G278" s="1062">
        <f>(C253+C255)/2.535</f>
        <v>4.2085159354057602</v>
      </c>
      <c r="H278" s="1060">
        <f>1+O278</f>
        <v>1</v>
      </c>
      <c r="I278" s="626">
        <v>9</v>
      </c>
      <c r="J278" s="1061">
        <f t="shared" si="5"/>
        <v>37.876643418651838</v>
      </c>
      <c r="K278" s="629"/>
      <c r="L278" s="1060">
        <f t="shared" ca="1" si="2"/>
        <v>1325.6825196528143</v>
      </c>
      <c r="M278" s="1416">
        <f t="shared" ca="1" si="3"/>
        <v>286.22690765231209</v>
      </c>
      <c r="N278" s="1417"/>
      <c r="O278" s="1060">
        <f t="shared" si="4"/>
        <v>0</v>
      </c>
      <c r="P278" s="627"/>
      <c r="Q278" s="719"/>
      <c r="R278" s="627"/>
      <c r="S278" s="761"/>
      <c r="T278" s="627"/>
      <c r="U278" s="627"/>
      <c r="V278" s="627"/>
      <c r="W278" s="627"/>
      <c r="X278" s="627"/>
      <c r="Y278" s="627"/>
      <c r="Z278" s="627"/>
      <c r="AA278" s="627"/>
      <c r="AB278" s="627"/>
      <c r="AC278" s="627"/>
      <c r="AD278" s="627"/>
      <c r="AE278" s="627"/>
      <c r="AF278" s="627"/>
      <c r="AG278" s="627"/>
      <c r="AH278" s="627"/>
      <c r="AI278" s="627"/>
      <c r="AJ278" s="627"/>
      <c r="AK278" s="627"/>
      <c r="AL278" s="627"/>
      <c r="AM278" s="627"/>
      <c r="AN278" s="627"/>
      <c r="AO278" s="627"/>
      <c r="AP278" s="627"/>
      <c r="AQ278" s="627"/>
      <c r="AR278" s="627"/>
      <c r="AS278" s="627"/>
      <c r="AT278" s="627"/>
      <c r="AU278" s="627"/>
      <c r="AV278" s="627"/>
      <c r="AW278" s="627"/>
      <c r="AX278" s="627"/>
      <c r="AY278" s="627"/>
      <c r="AZ278" s="627"/>
      <c r="BA278" s="627"/>
      <c r="BB278" s="627"/>
      <c r="BC278" s="627"/>
      <c r="BD278" s="627"/>
      <c r="BE278" s="627"/>
      <c r="BF278" s="627"/>
      <c r="BG278" s="627"/>
      <c r="BH278" s="627"/>
      <c r="BI278" s="627"/>
      <c r="BJ278" s="627"/>
      <c r="BK278" s="627"/>
      <c r="BL278" s="627"/>
      <c r="BM278" s="627"/>
      <c r="BN278" s="627"/>
      <c r="BO278" s="627"/>
      <c r="BP278" s="627"/>
      <c r="BQ278" s="627"/>
      <c r="BR278" s="627"/>
      <c r="BS278" s="627"/>
      <c r="BT278" s="627"/>
    </row>
    <row r="279" spans="1:72" hidden="1" x14ac:dyDescent="0.35">
      <c r="A279" s="988"/>
      <c r="B279" s="627"/>
      <c r="C279" s="1415" t="s">
        <v>236</v>
      </c>
      <c r="D279" s="1415"/>
      <c r="E279" s="1415"/>
      <c r="F279" s="1415"/>
      <c r="G279" s="1062">
        <f>(C253+C255)/2.53</f>
        <v>4.2168331605745468</v>
      </c>
      <c r="H279" s="1060">
        <f>1+O279</f>
        <v>1</v>
      </c>
      <c r="I279" s="626">
        <v>9</v>
      </c>
      <c r="J279" s="1061">
        <f>G279*H279*I279</f>
        <v>37.95149844517092</v>
      </c>
      <c r="K279" s="629"/>
      <c r="L279" s="1060">
        <f t="shared" ca="1" si="2"/>
        <v>1328.3024455809823</v>
      </c>
      <c r="M279" s="1416">
        <f t="shared" ca="1" si="3"/>
        <v>286.79257347771198</v>
      </c>
      <c r="N279" s="1417"/>
      <c r="O279" s="1060">
        <f t="shared" si="4"/>
        <v>0</v>
      </c>
      <c r="P279" s="627"/>
      <c r="Q279" s="719"/>
      <c r="R279" s="627"/>
      <c r="S279" s="627"/>
      <c r="T279" s="627"/>
      <c r="U279" s="627"/>
      <c r="V279" s="627"/>
      <c r="W279" s="627"/>
      <c r="X279" s="627"/>
      <c r="Y279" s="627"/>
      <c r="Z279" s="627"/>
      <c r="AA279" s="627"/>
      <c r="AB279" s="627"/>
      <c r="AC279" s="627"/>
      <c r="AD279" s="627"/>
      <c r="AE279" s="627"/>
      <c r="AF279" s="627"/>
      <c r="AG279" s="627"/>
      <c r="AH279" s="627"/>
      <c r="AI279" s="627"/>
      <c r="AJ279" s="627"/>
      <c r="AK279" s="627"/>
      <c r="AL279" s="627"/>
      <c r="AM279" s="627"/>
      <c r="AN279" s="627"/>
      <c r="AO279" s="627"/>
      <c r="AP279" s="627"/>
      <c r="AQ279" s="627"/>
      <c r="AR279" s="627"/>
      <c r="AS279" s="627"/>
      <c r="AT279" s="627"/>
      <c r="AU279" s="627"/>
      <c r="AV279" s="627"/>
      <c r="AW279" s="627"/>
      <c r="AX279" s="627"/>
      <c r="AY279" s="627"/>
      <c r="AZ279" s="627"/>
      <c r="BA279" s="627"/>
      <c r="BB279" s="627"/>
      <c r="BC279" s="627"/>
      <c r="BD279" s="627"/>
      <c r="BE279" s="627"/>
      <c r="BF279" s="627"/>
      <c r="BG279" s="627"/>
      <c r="BH279" s="627"/>
      <c r="BI279" s="627"/>
      <c r="BJ279" s="627"/>
      <c r="BK279" s="627"/>
      <c r="BL279" s="627"/>
      <c r="BM279" s="627"/>
      <c r="BN279" s="627"/>
      <c r="BO279" s="627"/>
      <c r="BP279" s="627"/>
      <c r="BQ279" s="627"/>
      <c r="BR279" s="627"/>
      <c r="BS279" s="627"/>
      <c r="BT279" s="627"/>
    </row>
    <row r="280" spans="1:72" hidden="1" x14ac:dyDescent="0.35">
      <c r="A280" s="988"/>
      <c r="B280" s="627"/>
      <c r="C280" s="1415" t="s">
        <v>237</v>
      </c>
      <c r="D280" s="1415"/>
      <c r="E280" s="1415"/>
      <c r="F280" s="1415"/>
      <c r="G280" s="1062">
        <f>(C253+C255)/1.67</f>
        <v>6.3883759857806002</v>
      </c>
      <c r="H280" s="1060">
        <f>1+O280</f>
        <v>1</v>
      </c>
      <c r="I280" s="626">
        <v>9</v>
      </c>
      <c r="J280" s="1061">
        <f t="shared" si="5"/>
        <v>57.4953838720254</v>
      </c>
      <c r="K280" s="629"/>
      <c r="L280" s="1060">
        <f t="shared" ca="1" si="2"/>
        <v>2012.3384355208891</v>
      </c>
      <c r="M280" s="1416">
        <f t="shared" ca="1" si="3"/>
        <v>434.48216221473723</v>
      </c>
      <c r="N280" s="1417"/>
      <c r="O280" s="1060">
        <f t="shared" si="4"/>
        <v>0</v>
      </c>
      <c r="P280" s="627"/>
      <c r="Q280" s="719"/>
      <c r="R280" s="627"/>
      <c r="S280" s="627"/>
      <c r="T280" s="627"/>
      <c r="U280" s="627"/>
      <c r="V280" s="627"/>
      <c r="W280" s="627"/>
      <c r="X280" s="627"/>
      <c r="Y280" s="627"/>
      <c r="Z280" s="627"/>
      <c r="AA280" s="627"/>
      <c r="AB280" s="627"/>
      <c r="AC280" s="627"/>
      <c r="AD280" s="627"/>
      <c r="AE280" s="627"/>
      <c r="AF280" s="627"/>
      <c r="AG280" s="627"/>
      <c r="AH280" s="627"/>
      <c r="AI280" s="627"/>
      <c r="AJ280" s="627"/>
      <c r="AK280" s="627"/>
      <c r="AL280" s="627"/>
      <c r="AM280" s="627"/>
      <c r="AN280" s="627"/>
      <c r="AO280" s="627"/>
      <c r="AP280" s="627"/>
      <c r="AQ280" s="627"/>
      <c r="AR280" s="627"/>
      <c r="AS280" s="627"/>
      <c r="AT280" s="627"/>
      <c r="AU280" s="627"/>
      <c r="AV280" s="627"/>
      <c r="AW280" s="627"/>
      <c r="AX280" s="627"/>
      <c r="AY280" s="627"/>
      <c r="AZ280" s="627"/>
      <c r="BA280" s="627"/>
      <c r="BB280" s="627"/>
      <c r="BC280" s="627"/>
      <c r="BD280" s="627"/>
      <c r="BE280" s="627"/>
      <c r="BF280" s="627"/>
      <c r="BG280" s="627"/>
      <c r="BH280" s="627"/>
      <c r="BI280" s="627"/>
      <c r="BJ280" s="627"/>
      <c r="BK280" s="627"/>
      <c r="BL280" s="627"/>
      <c r="BM280" s="627"/>
      <c r="BN280" s="627"/>
      <c r="BO280" s="627"/>
      <c r="BP280" s="627"/>
      <c r="BQ280" s="627"/>
      <c r="BR280" s="627"/>
      <c r="BS280" s="627"/>
      <c r="BT280" s="627"/>
    </row>
    <row r="281" spans="1:72" hidden="1" x14ac:dyDescent="0.35">
      <c r="A281" s="988"/>
      <c r="B281" s="627"/>
      <c r="C281" s="1415" t="s">
        <v>238</v>
      </c>
      <c r="D281" s="1415"/>
      <c r="E281" s="1415"/>
      <c r="F281" s="1415"/>
      <c r="G281" s="626">
        <f>(C253+C255)/5</f>
        <v>2.1337175792507201</v>
      </c>
      <c r="H281" s="1060">
        <f>3+O281</f>
        <v>3</v>
      </c>
      <c r="I281" s="626">
        <v>9</v>
      </c>
      <c r="J281" s="1061">
        <f>G281*H281*I281</f>
        <v>57.610374639769447</v>
      </c>
      <c r="K281" s="629"/>
      <c r="L281" s="1060">
        <f t="shared" ca="1" si="2"/>
        <v>2016.3631123919306</v>
      </c>
      <c r="M281" s="1416">
        <f t="shared" ca="1" si="3"/>
        <v>435.35112653916667</v>
      </c>
      <c r="N281" s="1417"/>
      <c r="O281" s="1060">
        <f t="shared" si="4"/>
        <v>0</v>
      </c>
      <c r="P281" s="627"/>
      <c r="Q281" s="719"/>
      <c r="R281" s="627"/>
      <c r="S281" s="627"/>
      <c r="T281" s="627"/>
      <c r="U281" s="627"/>
      <c r="V281" s="627"/>
      <c r="W281" s="627"/>
      <c r="X281" s="627"/>
      <c r="Y281" s="627"/>
      <c r="Z281" s="627"/>
      <c r="AA281" s="627"/>
      <c r="AB281" s="627"/>
      <c r="AC281" s="627"/>
      <c r="AD281" s="627"/>
      <c r="AE281" s="627"/>
      <c r="AF281" s="627"/>
      <c r="AG281" s="627"/>
      <c r="AH281" s="627"/>
      <c r="AI281" s="627"/>
      <c r="AJ281" s="627"/>
      <c r="AK281" s="627"/>
      <c r="AL281" s="627"/>
      <c r="AM281" s="627"/>
      <c r="AN281" s="627"/>
      <c r="AO281" s="627"/>
      <c r="AP281" s="627"/>
      <c r="AQ281" s="627"/>
      <c r="AR281" s="627"/>
      <c r="AS281" s="627"/>
      <c r="AT281" s="627"/>
      <c r="AU281" s="627"/>
      <c r="AV281" s="627"/>
      <c r="AW281" s="627"/>
      <c r="AX281" s="627"/>
      <c r="AY281" s="627"/>
      <c r="AZ281" s="627"/>
      <c r="BA281" s="627"/>
      <c r="BB281" s="627"/>
      <c r="BC281" s="627"/>
      <c r="BD281" s="627"/>
      <c r="BE281" s="627"/>
      <c r="BF281" s="627"/>
      <c r="BG281" s="627"/>
      <c r="BH281" s="627"/>
      <c r="BI281" s="627"/>
      <c r="BJ281" s="627"/>
      <c r="BK281" s="627"/>
      <c r="BL281" s="627"/>
      <c r="BM281" s="627"/>
      <c r="BN281" s="627"/>
      <c r="BO281" s="627"/>
      <c r="BP281" s="627"/>
      <c r="BQ281" s="627"/>
      <c r="BR281" s="627"/>
      <c r="BS281" s="627"/>
      <c r="BT281" s="627"/>
    </row>
    <row r="282" spans="1:72" hidden="1" x14ac:dyDescent="0.35">
      <c r="A282" s="988"/>
      <c r="B282" s="627"/>
      <c r="C282" s="1415" t="s">
        <v>239</v>
      </c>
      <c r="D282" s="1415"/>
      <c r="E282" s="1415"/>
      <c r="F282" s="1415"/>
      <c r="G282" s="1062">
        <f>(C253+C255)/2.523</f>
        <v>4.2285326580474045</v>
      </c>
      <c r="H282" s="1060">
        <f>1+O282</f>
        <v>1</v>
      </c>
      <c r="I282" s="626">
        <v>9</v>
      </c>
      <c r="J282" s="1061">
        <f t="shared" si="5"/>
        <v>38.056793922426642</v>
      </c>
      <c r="K282" s="629"/>
      <c r="L282" s="1060">
        <f t="shared" ca="1" si="2"/>
        <v>1331.9877872849324</v>
      </c>
      <c r="M282" s="1416">
        <f t="shared" ca="1" si="3"/>
        <v>287.58827225470122</v>
      </c>
      <c r="N282" s="1417"/>
      <c r="O282" s="1060">
        <f t="shared" si="4"/>
        <v>0</v>
      </c>
      <c r="P282" s="627"/>
      <c r="Q282" s="719"/>
      <c r="R282" s="627"/>
      <c r="S282" s="627"/>
      <c r="T282" s="627"/>
      <c r="U282" s="627"/>
      <c r="V282" s="627"/>
      <c r="W282" s="627"/>
      <c r="X282" s="627"/>
      <c r="Y282" s="627"/>
      <c r="Z282" s="627"/>
      <c r="AA282" s="627"/>
      <c r="AB282" s="627"/>
      <c r="AC282" s="627"/>
      <c r="AD282" s="627"/>
      <c r="AE282" s="627"/>
      <c r="AF282" s="627"/>
      <c r="AG282" s="627"/>
      <c r="AH282" s="627"/>
      <c r="AI282" s="627"/>
      <c r="AJ282" s="627"/>
      <c r="AK282" s="627"/>
      <c r="AL282" s="627"/>
      <c r="AM282" s="627"/>
      <c r="AN282" s="627"/>
      <c r="AO282" s="627"/>
      <c r="AP282" s="627"/>
      <c r="AQ282" s="627"/>
      <c r="AR282" s="627"/>
      <c r="AS282" s="627"/>
      <c r="AT282" s="627"/>
      <c r="AU282" s="627"/>
      <c r="AV282" s="627"/>
      <c r="AW282" s="627"/>
      <c r="AX282" s="627"/>
      <c r="AY282" s="627"/>
      <c r="AZ282" s="627"/>
      <c r="BA282" s="627"/>
      <c r="BB282" s="627"/>
      <c r="BC282" s="627"/>
      <c r="BD282" s="627"/>
      <c r="BE282" s="627"/>
      <c r="BF282" s="627"/>
      <c r="BG282" s="627"/>
      <c r="BH282" s="627"/>
      <c r="BI282" s="627"/>
      <c r="BJ282" s="627"/>
      <c r="BK282" s="627"/>
      <c r="BL282" s="627"/>
      <c r="BM282" s="627"/>
      <c r="BN282" s="627"/>
      <c r="BO282" s="627"/>
      <c r="BP282" s="627"/>
      <c r="BQ282" s="627"/>
      <c r="BR282" s="627"/>
      <c r="BS282" s="627"/>
      <c r="BT282" s="627"/>
    </row>
    <row r="283" spans="1:72" hidden="1" x14ac:dyDescent="0.35">
      <c r="A283" s="637"/>
      <c r="B283" s="749"/>
      <c r="C283" s="1063"/>
      <c r="D283" s="1063"/>
      <c r="E283" s="1063"/>
      <c r="F283" s="1063"/>
      <c r="G283" s="983"/>
      <c r="H283" s="983"/>
      <c r="I283" s="983" t="s">
        <v>240</v>
      </c>
      <c r="J283" s="1061">
        <f>SUM(J276:J282)</f>
        <v>380.31086716842606</v>
      </c>
      <c r="K283" s="629"/>
      <c r="L283" s="1061">
        <f ca="1">SUM(L275:L282)</f>
        <v>13983.001388358885</v>
      </c>
      <c r="M283" s="1416">
        <f ca="1">SUM(M275:N282)</f>
        <v>3019.0571179411222</v>
      </c>
      <c r="N283" s="1417"/>
      <c r="O283" s="749"/>
      <c r="P283" s="749"/>
      <c r="Q283" s="748"/>
      <c r="R283" s="627"/>
      <c r="S283" s="627"/>
      <c r="T283" s="627"/>
      <c r="U283" s="627"/>
      <c r="V283" s="627"/>
      <c r="W283" s="627"/>
      <c r="X283" s="627"/>
      <c r="Y283" s="627"/>
      <c r="Z283" s="627"/>
      <c r="AA283" s="627"/>
      <c r="AB283" s="627"/>
      <c r="AC283" s="627"/>
      <c r="AD283" s="627"/>
      <c r="AE283" s="627"/>
      <c r="AF283" s="627"/>
      <c r="AG283" s="627"/>
      <c r="AH283" s="627"/>
      <c r="AI283" s="627"/>
      <c r="AJ283" s="627"/>
      <c r="AK283" s="627"/>
      <c r="AL283" s="627"/>
      <c r="AM283" s="627"/>
      <c r="AN283" s="627"/>
      <c r="AO283" s="627"/>
      <c r="AP283" s="627"/>
      <c r="AQ283" s="627"/>
      <c r="AR283" s="627"/>
      <c r="AS283" s="627"/>
      <c r="AT283" s="627"/>
      <c r="AU283" s="627"/>
      <c r="AV283" s="627"/>
      <c r="AW283" s="627"/>
      <c r="AX283" s="627"/>
      <c r="AY283" s="627"/>
      <c r="AZ283" s="627"/>
      <c r="BA283" s="627"/>
      <c r="BB283" s="627"/>
      <c r="BC283" s="627"/>
      <c r="BD283" s="627"/>
      <c r="BE283" s="627"/>
      <c r="BF283" s="627"/>
      <c r="BG283" s="627"/>
      <c r="BH283" s="627"/>
      <c r="BI283" s="627"/>
      <c r="BJ283" s="627"/>
      <c r="BK283" s="627"/>
      <c r="BL283" s="627"/>
      <c r="BM283" s="627"/>
      <c r="BN283" s="627"/>
      <c r="BO283" s="627"/>
      <c r="BP283" s="627"/>
      <c r="BQ283" s="627"/>
      <c r="BR283" s="627"/>
      <c r="BS283" s="627"/>
      <c r="BT283" s="627"/>
    </row>
    <row r="284" spans="1:72" x14ac:dyDescent="0.35">
      <c r="A284" s="988"/>
      <c r="B284" s="627"/>
      <c r="C284" s="627" t="s">
        <v>241</v>
      </c>
      <c r="D284" s="627"/>
      <c r="E284" s="627"/>
      <c r="F284" s="627"/>
      <c r="G284" s="627"/>
      <c r="H284" s="627"/>
      <c r="I284" s="627"/>
      <c r="J284" s="660">
        <f>IF(I15=0,0,IF(L284=0,IF(G66="X",59.5,58.6),L284))</f>
        <v>58.6</v>
      </c>
      <c r="K284" s="627" t="s">
        <v>20</v>
      </c>
      <c r="L284" s="1060"/>
      <c r="M284" s="627"/>
      <c r="N284" s="627"/>
      <c r="O284" s="627"/>
      <c r="P284" s="627"/>
      <c r="Q284" s="719"/>
      <c r="R284" s="627"/>
      <c r="S284" s="627"/>
      <c r="T284" s="627"/>
      <c r="U284" s="627"/>
      <c r="V284" s="627"/>
      <c r="W284" s="627"/>
      <c r="X284" s="627"/>
      <c r="Y284" s="627"/>
      <c r="Z284" s="627"/>
      <c r="AA284" s="627"/>
      <c r="AB284" s="627"/>
      <c r="AC284" s="627"/>
      <c r="AD284" s="627"/>
      <c r="AE284" s="627"/>
      <c r="AF284" s="627"/>
      <c r="AG284" s="627"/>
      <c r="AH284" s="627"/>
      <c r="AI284" s="627"/>
      <c r="AJ284" s="627"/>
      <c r="AK284" s="627"/>
      <c r="AL284" s="627"/>
      <c r="AM284" s="627"/>
      <c r="AN284" s="627"/>
      <c r="AO284" s="627"/>
      <c r="AP284" s="627"/>
      <c r="AQ284" s="627"/>
      <c r="AR284" s="627"/>
      <c r="AS284" s="627"/>
      <c r="AT284" s="627"/>
      <c r="AU284" s="627"/>
      <c r="AV284" s="627"/>
      <c r="AW284" s="627"/>
      <c r="AX284" s="627"/>
      <c r="AY284" s="627"/>
      <c r="AZ284" s="627"/>
      <c r="BA284" s="627"/>
      <c r="BB284" s="627"/>
      <c r="BC284" s="627"/>
      <c r="BD284" s="627"/>
      <c r="BE284" s="627"/>
      <c r="BF284" s="627"/>
      <c r="BG284" s="627"/>
      <c r="BH284" s="627"/>
      <c r="BI284" s="627"/>
      <c r="BJ284" s="627"/>
      <c r="BK284" s="627"/>
      <c r="BL284" s="627"/>
      <c r="BM284" s="627"/>
      <c r="BN284" s="627"/>
      <c r="BO284" s="627"/>
      <c r="BP284" s="627"/>
      <c r="BQ284" s="627"/>
      <c r="BR284" s="627"/>
      <c r="BS284" s="627"/>
      <c r="BT284" s="627"/>
    </row>
    <row r="285" spans="1:72" x14ac:dyDescent="0.35">
      <c r="A285" s="988"/>
      <c r="B285" s="627"/>
      <c r="C285" s="627"/>
      <c r="D285" s="627"/>
      <c r="E285" s="627"/>
      <c r="F285" s="627"/>
      <c r="G285" s="627"/>
      <c r="H285" s="627"/>
      <c r="I285" s="627"/>
      <c r="J285" s="627"/>
      <c r="K285" s="627"/>
      <c r="L285" s="627"/>
      <c r="M285" s="627"/>
      <c r="N285" s="627"/>
      <c r="O285" s="627"/>
      <c r="P285" s="627"/>
      <c r="Q285" s="719"/>
      <c r="R285" s="627"/>
      <c r="S285" s="627"/>
      <c r="T285" s="627"/>
      <c r="U285" s="627"/>
      <c r="V285" s="627"/>
      <c r="W285" s="627"/>
      <c r="X285" s="627"/>
      <c r="Y285" s="630" t="s">
        <v>242</v>
      </c>
      <c r="Z285" s="630">
        <f ca="1">((G97*I15)+(G97+1)*J286)/J284</f>
        <v>8.7712599544937415</v>
      </c>
      <c r="AA285" s="627" t="s">
        <v>243</v>
      </c>
      <c r="AB285" s="627"/>
      <c r="AC285" s="627"/>
      <c r="AD285" s="627"/>
      <c r="AE285" s="627"/>
      <c r="AF285" s="627"/>
      <c r="AG285" s="627"/>
      <c r="AH285" s="627"/>
      <c r="AI285" s="627"/>
      <c r="AJ285" s="627"/>
      <c r="AK285" s="627"/>
      <c r="AL285" s="627"/>
      <c r="AM285" s="627"/>
      <c r="AN285" s="627"/>
      <c r="AO285" s="627"/>
      <c r="AP285" s="627"/>
      <c r="AQ285" s="627"/>
      <c r="AR285" s="627"/>
      <c r="AS285" s="627"/>
      <c r="AT285" s="627"/>
      <c r="AU285" s="627"/>
      <c r="AV285" s="627"/>
      <c r="AW285" s="627"/>
      <c r="AX285" s="627"/>
      <c r="AY285" s="627"/>
      <c r="AZ285" s="627"/>
      <c r="BA285" s="627"/>
      <c r="BB285" s="627"/>
      <c r="BC285" s="627"/>
      <c r="BD285" s="627"/>
      <c r="BE285" s="627"/>
      <c r="BF285" s="627"/>
      <c r="BG285" s="627"/>
      <c r="BH285" s="627"/>
      <c r="BI285" s="627"/>
      <c r="BJ285" s="627"/>
      <c r="BK285" s="627"/>
      <c r="BL285" s="627"/>
      <c r="BM285" s="627"/>
      <c r="BN285" s="627"/>
      <c r="BO285" s="627"/>
      <c r="BP285" s="627"/>
      <c r="BQ285" s="627"/>
      <c r="BR285" s="627"/>
      <c r="BS285" s="627"/>
      <c r="BT285" s="627"/>
    </row>
    <row r="286" spans="1:72" x14ac:dyDescent="0.35">
      <c r="A286" s="988"/>
      <c r="B286" s="627"/>
      <c r="C286" s="627" t="s">
        <v>244</v>
      </c>
      <c r="D286" s="627"/>
      <c r="E286" s="627"/>
      <c r="F286" s="627"/>
      <c r="G286" s="627"/>
      <c r="H286" s="627"/>
      <c r="I286" s="627"/>
      <c r="J286" s="1064">
        <f ca="1">CÁLCULOS!Z680</f>
        <v>1.2458333333333322</v>
      </c>
      <c r="K286" s="627" t="s">
        <v>245</v>
      </c>
      <c r="L286" s="627"/>
      <c r="M286" s="627"/>
      <c r="N286" s="627"/>
      <c r="O286" s="633">
        <f>CÁLCULOS!Z681</f>
        <v>0.19</v>
      </c>
      <c r="P286" s="629" t="s">
        <v>20</v>
      </c>
      <c r="Q286" s="719"/>
      <c r="R286" s="627"/>
      <c r="S286" s="627"/>
      <c r="T286" s="627"/>
      <c r="U286" s="627"/>
      <c r="V286" s="627"/>
      <c r="W286" s="627"/>
      <c r="X286" s="627"/>
      <c r="Y286" s="630" t="s">
        <v>246</v>
      </c>
      <c r="Z286" s="630">
        <f ca="1">ROUNDUP(Z285,0)</f>
        <v>9</v>
      </c>
      <c r="AA286" s="627" t="s">
        <v>243</v>
      </c>
      <c r="AB286" s="627"/>
      <c r="AC286" s="627"/>
      <c r="AD286" s="627"/>
      <c r="AE286" s="627"/>
      <c r="AF286" s="627"/>
      <c r="AG286" s="627"/>
      <c r="AH286" s="627"/>
      <c r="AI286" s="627"/>
      <c r="AJ286" s="627"/>
      <c r="AK286" s="627"/>
      <c r="AL286" s="627">
        <f ca="1">IF(AK290&gt;1,AK290/AJ290,0)</f>
        <v>0</v>
      </c>
      <c r="AM286" s="627"/>
      <c r="AN286" s="627"/>
      <c r="AO286" s="627"/>
      <c r="AP286" s="627"/>
      <c r="AQ286" s="627"/>
      <c r="AR286" s="627"/>
      <c r="AS286" s="627"/>
      <c r="AT286" s="627"/>
      <c r="AU286" s="627"/>
      <c r="AV286" s="627"/>
      <c r="AW286" s="627"/>
      <c r="AX286" s="627"/>
      <c r="AY286" s="627"/>
      <c r="AZ286" s="627"/>
      <c r="BA286" s="627"/>
      <c r="BB286" s="627"/>
      <c r="BC286" s="627"/>
      <c r="BD286" s="627"/>
      <c r="BE286" s="627"/>
      <c r="BF286" s="627"/>
      <c r="BG286" s="627"/>
      <c r="BH286" s="627"/>
      <c r="BI286" s="627"/>
      <c r="BJ286" s="627"/>
      <c r="BK286" s="627"/>
      <c r="BL286" s="627"/>
      <c r="BM286" s="627"/>
      <c r="BN286" s="627"/>
      <c r="BO286" s="627"/>
      <c r="BP286" s="627"/>
      <c r="BQ286" s="627"/>
      <c r="BR286" s="627"/>
      <c r="BS286" s="627"/>
      <c r="BT286" s="627"/>
    </row>
    <row r="287" spans="1:72" ht="3.95" customHeight="1" x14ac:dyDescent="0.35">
      <c r="A287" s="988"/>
      <c r="B287" s="627"/>
      <c r="C287" s="627"/>
      <c r="D287" s="627"/>
      <c r="E287" s="627"/>
      <c r="F287" s="627"/>
      <c r="G287" s="627"/>
      <c r="H287" s="627"/>
      <c r="I287" s="627"/>
      <c r="J287" s="627"/>
      <c r="K287" s="627"/>
      <c r="L287" s="627"/>
      <c r="M287" s="627"/>
      <c r="N287" s="627"/>
      <c r="O287" s="627"/>
      <c r="P287" s="627"/>
      <c r="Q287" s="719"/>
      <c r="R287" s="627"/>
      <c r="S287" s="627"/>
      <c r="T287" s="627"/>
      <c r="U287" s="627"/>
      <c r="V287" s="627"/>
      <c r="W287" s="627"/>
      <c r="X287" s="627"/>
      <c r="Y287" s="630" t="s">
        <v>247</v>
      </c>
      <c r="Z287" s="630">
        <f ca="1">ROUNDUP(G97/Z286,0)</f>
        <v>7</v>
      </c>
      <c r="AA287" s="627" t="s">
        <v>248</v>
      </c>
      <c r="AB287" s="630">
        <f ca="1">IF(Z290&lt;0,Z287-1,Z287)</f>
        <v>7</v>
      </c>
      <c r="AC287" s="627"/>
      <c r="AD287" s="630">
        <f ca="1">IF(AB287&lt;Z287,IF(AB291&lt;Z286,AB287,0),IF(AB291&lt;Z286,Z287,0))</f>
        <v>7</v>
      </c>
      <c r="AE287" s="627"/>
      <c r="AF287" s="630" t="str">
        <f ca="1">IF(AB287&lt;Z287,IF(AB291&lt;Z286,Z286-1&amp;"  REPETIÇÃO COM   "&amp;AB287&amp;" PAINEL",0),IF(AB291&lt;Z286,Z286-1&amp;"  REPETIÇÃO COM   "&amp;Z287&amp;" PAINEL",0))</f>
        <v>8  REPETIÇÃO COM   7 PAINEL</v>
      </c>
      <c r="AG287" s="630"/>
      <c r="AH287" s="630">
        <f ca="1">IF(AB287&lt;Z287,IF(AB291&lt;Z286,(Z286-1)*AB287,0),IF(AB291&lt;Z286,(Z286-1)*Z287,0))</f>
        <v>56</v>
      </c>
      <c r="AI287" s="627"/>
      <c r="AJ287" s="627"/>
      <c r="AK287" s="627"/>
      <c r="AL287" s="627"/>
      <c r="AM287" s="627"/>
      <c r="AN287" s="627"/>
      <c r="AO287" s="627"/>
      <c r="AP287" s="627"/>
      <c r="AQ287" s="627"/>
      <c r="AR287" s="627"/>
      <c r="AS287" s="627"/>
      <c r="AT287" s="627"/>
      <c r="AU287" s="627"/>
      <c r="AV287" s="627"/>
      <c r="AW287" s="627"/>
      <c r="AX287" s="627"/>
      <c r="AY287" s="627"/>
      <c r="AZ287" s="627"/>
      <c r="BA287" s="627"/>
      <c r="BB287" s="627"/>
      <c r="BC287" s="627"/>
      <c r="BD287" s="627"/>
      <c r="BE287" s="627"/>
      <c r="BF287" s="627"/>
      <c r="BG287" s="627"/>
      <c r="BH287" s="627"/>
      <c r="BI287" s="627"/>
      <c r="BJ287" s="627"/>
      <c r="BK287" s="627"/>
      <c r="BL287" s="627"/>
      <c r="BM287" s="627"/>
      <c r="BN287" s="627"/>
      <c r="BO287" s="627"/>
      <c r="BP287" s="627"/>
      <c r="BQ287" s="627"/>
      <c r="BR287" s="627"/>
      <c r="BS287" s="627"/>
      <c r="BT287" s="627"/>
    </row>
    <row r="288" spans="1:72" x14ac:dyDescent="0.35">
      <c r="A288" s="988"/>
      <c r="B288" s="627"/>
      <c r="C288" s="627"/>
      <c r="D288" s="1451">
        <f ca="1">IF(J286=0,0,IF(AND(J286&gt;=O286,M288=0),0,IF(J286&lt;O286,"a distância real entre painéis acima é menor que a mínima estabelecida, digite 'X' aqui para alterar","foi alterada a distância mínima, após análise")))</f>
        <v>0</v>
      </c>
      <c r="E288" s="1451"/>
      <c r="F288" s="1451"/>
      <c r="G288" s="1451"/>
      <c r="H288" s="1451"/>
      <c r="I288" s="1451"/>
      <c r="J288" s="1451"/>
      <c r="K288" s="1451"/>
      <c r="L288" s="1463"/>
      <c r="M288" s="697"/>
      <c r="N288" s="627"/>
      <c r="O288" s="627"/>
      <c r="P288" s="627"/>
      <c r="Q288" s="719"/>
      <c r="R288" s="627"/>
      <c r="S288" s="627"/>
      <c r="T288" s="627"/>
      <c r="U288" s="627"/>
      <c r="V288" s="627"/>
      <c r="W288" s="627"/>
      <c r="X288" s="627"/>
      <c r="Y288" s="630"/>
      <c r="Z288" s="630"/>
      <c r="AA288" s="627"/>
      <c r="AB288" s="627"/>
      <c r="AC288" s="627"/>
      <c r="AD288" s="630"/>
      <c r="AE288" s="627"/>
      <c r="AF288" s="630"/>
      <c r="AG288" s="630"/>
      <c r="AH288" s="630"/>
      <c r="AI288" s="627"/>
      <c r="AJ288" s="627"/>
      <c r="AK288" s="627"/>
      <c r="AL288" s="627"/>
      <c r="AM288" s="627"/>
      <c r="AN288" s="627"/>
      <c r="AO288" s="627"/>
      <c r="AP288" s="627"/>
      <c r="AQ288" s="627"/>
      <c r="AR288" s="627"/>
      <c r="AS288" s="627"/>
      <c r="AT288" s="627"/>
      <c r="AU288" s="627"/>
      <c r="AV288" s="627"/>
      <c r="AW288" s="627"/>
      <c r="AX288" s="627"/>
      <c r="AY288" s="627"/>
      <c r="AZ288" s="627"/>
      <c r="BA288" s="627"/>
      <c r="BB288" s="627"/>
      <c r="BC288" s="627"/>
      <c r="BD288" s="627"/>
      <c r="BE288" s="627"/>
      <c r="BF288" s="627"/>
      <c r="BG288" s="627"/>
      <c r="BH288" s="627"/>
      <c r="BI288" s="627"/>
      <c r="BJ288" s="627"/>
      <c r="BK288" s="627"/>
      <c r="BL288" s="627"/>
      <c r="BM288" s="627"/>
      <c r="BN288" s="627"/>
      <c r="BO288" s="627"/>
      <c r="BP288" s="627"/>
      <c r="BQ288" s="627"/>
      <c r="BR288" s="627"/>
      <c r="BS288" s="627"/>
      <c r="BT288" s="627"/>
    </row>
    <row r="289" spans="1:38" x14ac:dyDescent="0.35">
      <c r="A289" s="988"/>
      <c r="B289" s="627"/>
      <c r="C289" s="627"/>
      <c r="D289" s="627"/>
      <c r="E289" s="627"/>
      <c r="F289" s="627"/>
      <c r="G289" s="627"/>
      <c r="H289" s="627"/>
      <c r="I289" s="627"/>
      <c r="J289" s="627"/>
      <c r="K289" s="627"/>
      <c r="L289" s="627"/>
      <c r="M289" s="627"/>
      <c r="N289" s="627"/>
      <c r="O289" s="627"/>
      <c r="P289" s="627"/>
      <c r="Q289" s="719"/>
      <c r="R289" s="627"/>
      <c r="S289" s="627"/>
      <c r="T289" s="627"/>
      <c r="U289" s="627"/>
      <c r="V289" s="627"/>
      <c r="W289" s="627"/>
      <c r="X289" s="627"/>
      <c r="Y289" s="630"/>
      <c r="Z289" s="630"/>
      <c r="AA289" s="627"/>
      <c r="AB289" s="627"/>
      <c r="AC289" s="627"/>
      <c r="AD289" s="630"/>
      <c r="AE289" s="627"/>
      <c r="AF289" s="630"/>
      <c r="AG289" s="630"/>
      <c r="AH289" s="630"/>
      <c r="AI289" s="627"/>
      <c r="AJ289" s="627"/>
      <c r="AK289" s="627"/>
      <c r="AL289" s="627"/>
    </row>
    <row r="290" spans="1:38" x14ac:dyDescent="0.35">
      <c r="A290" s="988"/>
      <c r="B290" s="627"/>
      <c r="C290" s="627" t="s">
        <v>249</v>
      </c>
      <c r="D290" s="627"/>
      <c r="E290" s="627"/>
      <c r="F290" s="627"/>
      <c r="G290" s="627"/>
      <c r="H290" s="627"/>
      <c r="I290" s="627"/>
      <c r="J290" s="660">
        <f ca="1">CÁLCULOS!J721</f>
        <v>35</v>
      </c>
      <c r="K290" s="627"/>
      <c r="L290" s="627"/>
      <c r="M290" s="627"/>
      <c r="N290" s="627"/>
      <c r="O290" s="627"/>
      <c r="P290" s="627"/>
      <c r="Q290" s="719"/>
      <c r="R290" s="627"/>
      <c r="S290" s="627"/>
      <c r="T290" s="627"/>
      <c r="U290" s="627"/>
      <c r="V290" s="627"/>
      <c r="W290" s="627"/>
      <c r="X290" s="627"/>
      <c r="Y290" s="630" t="s">
        <v>250</v>
      </c>
      <c r="Z290" s="1064">
        <f ca="1">(J284-(Z287*I15))/(Z287+1)</f>
        <v>0.93749999999999911</v>
      </c>
      <c r="AA290" s="627" t="s">
        <v>20</v>
      </c>
      <c r="AB290" s="627"/>
      <c r="AC290" s="627"/>
      <c r="AD290" s="630">
        <f ca="1">IF(AB287&lt;Z287,IF(AB291&lt;Z286,Z291,0),IF(AB291&lt;Z286,Z291,0))</f>
        <v>4</v>
      </c>
      <c r="AE290" s="627"/>
      <c r="AF290" s="630" t="str">
        <f ca="1">IF(AB287&lt;Z287,IF(AB291&lt;Z286,2&amp;"  REPETIÇÃO COM   "&amp;Z291+AL286&amp;" PAINEL",0),IF(AB291&lt;Z286,1&amp;"  REPETIÇÃO COM   "&amp;Z291+AL286&amp;" PAINEL",0))</f>
        <v>1  REPETIÇÃO COM   4 PAINEL</v>
      </c>
      <c r="AG290" s="630"/>
      <c r="AH290" s="630">
        <f ca="1">IF(AB287&lt;Z287,IF(AB291&lt;Z286,2*Z291,0),IF(AB291&lt;Z286,1*Z291,0))</f>
        <v>4</v>
      </c>
      <c r="AI290" s="761">
        <f ca="1">G97-AH287</f>
        <v>4</v>
      </c>
      <c r="AJ290" s="627">
        <f ca="1">IF(AB287&lt;Z287,IF(AB291&lt;Z286,2,0),IF(AB291&lt;Z286,1,0))</f>
        <v>1</v>
      </c>
      <c r="AK290" s="761">
        <f ca="1">G97-AH291</f>
        <v>0</v>
      </c>
      <c r="AL290" s="627"/>
    </row>
    <row r="291" spans="1:38" x14ac:dyDescent="0.35">
      <c r="A291" s="988"/>
      <c r="B291" s="627"/>
      <c r="C291" s="627"/>
      <c r="D291" s="627"/>
      <c r="E291" s="627"/>
      <c r="F291" s="627"/>
      <c r="G291" s="627"/>
      <c r="H291" s="627"/>
      <c r="I291" s="627"/>
      <c r="J291" s="627"/>
      <c r="K291" s="627"/>
      <c r="L291" s="627"/>
      <c r="M291" s="627"/>
      <c r="N291" s="627"/>
      <c r="O291" s="627"/>
      <c r="P291" s="627"/>
      <c r="Q291" s="719"/>
      <c r="R291" s="627"/>
      <c r="S291" s="627"/>
      <c r="T291" s="627"/>
      <c r="U291" s="627"/>
      <c r="V291" s="627"/>
      <c r="W291" s="627"/>
      <c r="X291" s="627"/>
      <c r="Y291" s="630" t="s">
        <v>251</v>
      </c>
      <c r="Z291" s="630">
        <f ca="1">IF(AB291&lt;0,Z287+AB291,Z287)</f>
        <v>4</v>
      </c>
      <c r="AA291" s="627" t="s">
        <v>248</v>
      </c>
      <c r="AB291" s="1064">
        <f ca="1">G97-Z286*Z287</f>
        <v>-3</v>
      </c>
      <c r="AC291" s="627"/>
      <c r="AD291" s="627"/>
      <c r="AE291" s="627"/>
      <c r="AF291" s="627"/>
      <c r="AG291" s="627" t="s">
        <v>240</v>
      </c>
      <c r="AH291" s="627">
        <f ca="1">AH287+AH290</f>
        <v>60</v>
      </c>
      <c r="AI291" s="627"/>
      <c r="AJ291" s="627"/>
      <c r="AK291" s="627"/>
      <c r="AL291" s="627"/>
    </row>
    <row r="292" spans="1:38" x14ac:dyDescent="0.35">
      <c r="A292" s="988"/>
      <c r="B292" s="627"/>
      <c r="C292" s="627" t="s">
        <v>252</v>
      </c>
      <c r="D292" s="627"/>
      <c r="E292" s="627"/>
      <c r="F292" s="627"/>
      <c r="G292" s="627"/>
      <c r="H292" s="627"/>
      <c r="I292" s="627"/>
      <c r="J292" s="660">
        <f ca="1">CÁLCULOS!Z702</f>
        <v>8</v>
      </c>
      <c r="K292" s="627"/>
      <c r="L292" s="627"/>
      <c r="M292" s="627"/>
      <c r="N292" s="627"/>
      <c r="O292" s="627"/>
      <c r="P292" s="627"/>
      <c r="Q292" s="719"/>
      <c r="R292" s="627"/>
      <c r="S292" s="627"/>
      <c r="T292" s="627"/>
      <c r="U292" s="627"/>
      <c r="V292" s="627"/>
      <c r="W292" s="627"/>
      <c r="X292" s="627"/>
      <c r="Y292" s="630"/>
      <c r="Z292" s="630"/>
      <c r="AA292" s="627"/>
      <c r="AB292" s="1065"/>
      <c r="AC292" s="627"/>
      <c r="AD292" s="627"/>
      <c r="AE292" s="627"/>
      <c r="AF292" s="627"/>
      <c r="AG292" s="627"/>
      <c r="AH292" s="627"/>
      <c r="AI292" s="627"/>
      <c r="AJ292" s="627"/>
      <c r="AK292" s="627"/>
      <c r="AL292" s="627"/>
    </row>
    <row r="293" spans="1:38" x14ac:dyDescent="0.35">
      <c r="A293" s="988"/>
      <c r="B293" s="627"/>
      <c r="C293" s="627"/>
      <c r="D293" s="627"/>
      <c r="E293" s="627"/>
      <c r="F293" s="627"/>
      <c r="G293" s="627"/>
      <c r="H293" s="627"/>
      <c r="I293" s="627"/>
      <c r="J293" s="627"/>
      <c r="K293" s="627"/>
      <c r="L293" s="627"/>
      <c r="M293" s="627"/>
      <c r="N293" s="627"/>
      <c r="O293" s="627"/>
      <c r="P293" s="627"/>
      <c r="Q293" s="719"/>
      <c r="R293" s="627"/>
      <c r="S293" s="627"/>
      <c r="T293" s="627"/>
      <c r="U293" s="627"/>
      <c r="V293" s="627"/>
      <c r="W293" s="627"/>
      <c r="X293" s="627"/>
      <c r="Y293" s="630"/>
      <c r="Z293" s="630"/>
      <c r="AA293" s="627"/>
      <c r="AB293" s="1065"/>
      <c r="AC293" s="627"/>
      <c r="AD293" s="627"/>
      <c r="AE293" s="627"/>
      <c r="AF293" s="627"/>
      <c r="AG293" s="627"/>
      <c r="AH293" s="627"/>
      <c r="AI293" s="627"/>
      <c r="AJ293" s="627"/>
      <c r="AK293" s="627"/>
      <c r="AL293" s="627"/>
    </row>
    <row r="294" spans="1:38" x14ac:dyDescent="0.35">
      <c r="A294" s="988"/>
      <c r="B294" s="627"/>
      <c r="C294" s="1460" t="s">
        <v>253</v>
      </c>
      <c r="D294" s="1460"/>
      <c r="E294" s="1460"/>
      <c r="F294" s="1461"/>
      <c r="G294" s="636" t="str">
        <f ca="1">CÁLCULOS!G725</f>
        <v xml:space="preserve">  34  REPETIÇÃO COM   7 PAINEL</v>
      </c>
      <c r="H294" s="652"/>
      <c r="I294" s="652"/>
      <c r="J294" s="987"/>
      <c r="K294" s="627"/>
      <c r="L294" s="1458" t="str">
        <f ca="1">IF(L295=0,"não há sobras de cabos","sobram da última repetição")</f>
        <v>sobram da última repetição</v>
      </c>
      <c r="M294" s="1462"/>
      <c r="N294" s="1462"/>
      <c r="O294" s="1459"/>
      <c r="P294" s="627"/>
      <c r="Q294" s="719"/>
      <c r="R294" s="627"/>
      <c r="S294" s="627"/>
      <c r="T294" s="627"/>
      <c r="U294" s="627"/>
      <c r="V294" s="1065"/>
      <c r="W294" s="627"/>
      <c r="X294" s="627"/>
      <c r="Y294" s="630" t="s">
        <v>254</v>
      </c>
      <c r="Z294" s="1064">
        <f ca="1">J284-(Z291*Z290)-(Z291*I15)</f>
        <v>25.650000000000006</v>
      </c>
      <c r="AA294" s="627" t="s">
        <v>20</v>
      </c>
      <c r="AB294" s="627"/>
      <c r="AC294" s="627"/>
      <c r="AD294" s="627"/>
      <c r="AE294" s="627"/>
      <c r="AF294" s="627"/>
      <c r="AG294" s="627"/>
      <c r="AH294" s="627"/>
      <c r="AI294" s="627"/>
      <c r="AJ294" s="627"/>
      <c r="AK294" s="627"/>
      <c r="AL294" s="627"/>
    </row>
    <row r="295" spans="1:38" x14ac:dyDescent="0.35">
      <c r="A295" s="988"/>
      <c r="B295" s="627"/>
      <c r="C295" s="1460"/>
      <c r="D295" s="1460"/>
      <c r="E295" s="1460"/>
      <c r="F295" s="1461"/>
      <c r="G295" s="637" t="str">
        <f ca="1">CÁLCULOS!G726</f>
        <v xml:space="preserve">  1  REPETIÇÃO COM   2 PAINEL</v>
      </c>
      <c r="H295" s="749"/>
      <c r="I295" s="749"/>
      <c r="J295" s="748"/>
      <c r="K295" s="627"/>
      <c r="L295" s="1013">
        <f ca="1">IF(CÁLCULOS!AL704=0,0,CÁLCULOS!AL704)</f>
        <v>32</v>
      </c>
      <c r="M295" s="635" t="str">
        <f ca="1">IF(L295=0,0,"pontas de cabos")</f>
        <v>pontas de cabos</v>
      </c>
      <c r="N295" s="635"/>
      <c r="O295" s="1003"/>
      <c r="P295" s="627"/>
      <c r="Q295" s="719"/>
      <c r="R295" s="627"/>
      <c r="S295" s="627"/>
      <c r="T295" s="627"/>
      <c r="U295" s="627"/>
      <c r="V295" s="1065"/>
      <c r="W295" s="627"/>
      <c r="X295" s="627"/>
      <c r="Y295" s="627"/>
      <c r="Z295" s="627"/>
      <c r="AA295" s="627"/>
      <c r="AB295" s="627"/>
      <c r="AC295" s="627"/>
      <c r="AD295" s="627"/>
      <c r="AE295" s="627"/>
      <c r="AF295" s="627"/>
      <c r="AG295" s="627"/>
      <c r="AH295" s="627"/>
      <c r="AI295" s="627"/>
      <c r="AJ295" s="627"/>
      <c r="AK295" s="627"/>
      <c r="AL295" s="627"/>
    </row>
    <row r="296" spans="1:38" x14ac:dyDescent="0.35">
      <c r="A296" s="988"/>
      <c r="B296" s="627"/>
      <c r="C296" s="667"/>
      <c r="D296" s="667"/>
      <c r="E296" s="667"/>
      <c r="F296" s="667"/>
      <c r="G296" s="627"/>
      <c r="H296" s="627"/>
      <c r="I296" s="627"/>
      <c r="J296" s="627"/>
      <c r="K296" s="627"/>
      <c r="L296" s="1412" t="str">
        <f ca="1">IF(L295=0,"a serem utilizadas no painel fecho","que serão utilizadas no painel fecho")</f>
        <v>que serão utilizadas no painel fecho</v>
      </c>
      <c r="M296" s="1413"/>
      <c r="N296" s="1413"/>
      <c r="O296" s="1414"/>
      <c r="P296" s="627"/>
      <c r="Q296" s="719"/>
      <c r="R296" s="627"/>
      <c r="S296" s="627"/>
      <c r="T296" s="627"/>
      <c r="U296" s="627"/>
      <c r="V296" s="1065"/>
      <c r="W296" s="627"/>
      <c r="X296" s="627"/>
      <c r="Y296" s="627"/>
      <c r="Z296" s="627"/>
      <c r="AA296" s="627"/>
      <c r="AB296" s="627"/>
      <c r="AC296" s="627"/>
      <c r="AD296" s="627"/>
      <c r="AE296" s="627"/>
      <c r="AF296" s="627"/>
      <c r="AG296" s="627"/>
      <c r="AH296" s="627"/>
      <c r="AI296" s="627"/>
      <c r="AJ296" s="627"/>
      <c r="AK296" s="627"/>
      <c r="AL296" s="627"/>
    </row>
    <row r="297" spans="1:38" ht="5.25" customHeight="1" x14ac:dyDescent="0.35">
      <c r="A297" s="988"/>
      <c r="B297" s="627"/>
      <c r="C297" s="667"/>
      <c r="D297" s="667"/>
      <c r="E297" s="667"/>
      <c r="F297" s="667"/>
      <c r="G297" s="627"/>
      <c r="H297" s="627"/>
      <c r="I297" s="627"/>
      <c r="J297" s="627"/>
      <c r="K297" s="627"/>
      <c r="L297" s="627"/>
      <c r="M297" s="627"/>
      <c r="N297" s="627"/>
      <c r="O297" s="627"/>
      <c r="P297" s="627"/>
      <c r="Q297" s="719"/>
      <c r="R297" s="627"/>
      <c r="S297" s="627"/>
      <c r="T297" s="627"/>
      <c r="U297" s="627"/>
      <c r="V297" s="1065"/>
      <c r="W297" s="627"/>
      <c r="X297" s="627"/>
      <c r="Y297" s="627"/>
      <c r="Z297" s="627"/>
      <c r="AA297" s="627"/>
      <c r="AB297" s="627"/>
      <c r="AC297" s="627"/>
      <c r="AD297" s="627"/>
      <c r="AE297" s="627"/>
      <c r="AF297" s="627"/>
      <c r="AG297" s="627"/>
      <c r="AH297" s="627"/>
      <c r="AI297" s="627"/>
      <c r="AJ297" s="627"/>
      <c r="AK297" s="627"/>
      <c r="AL297" s="627"/>
    </row>
    <row r="298" spans="1:38" ht="12.75" customHeight="1" x14ac:dyDescent="0.35">
      <c r="A298" s="988"/>
      <c r="B298" s="627"/>
      <c r="C298" s="1466" t="s">
        <v>255</v>
      </c>
      <c r="D298" s="1466"/>
      <c r="E298" s="1466"/>
      <c r="F298" s="1465"/>
      <c r="G298" s="636" t="str">
        <f ca="1">CÁLCULOS!G729</f>
        <v>8  REPETIÇÃO COM 1  PAINEL</v>
      </c>
      <c r="H298" s="652"/>
      <c r="I298" s="652"/>
      <c r="J298" s="987"/>
      <c r="K298" s="627"/>
      <c r="L298" s="627"/>
      <c r="M298" s="627"/>
      <c r="N298" s="627"/>
      <c r="O298" s="627"/>
      <c r="P298" s="627"/>
      <c r="Q298" s="719"/>
      <c r="R298" s="627"/>
      <c r="S298" s="627"/>
      <c r="T298" s="627"/>
      <c r="U298" s="627"/>
      <c r="V298" s="1065"/>
      <c r="W298" s="627"/>
      <c r="X298" s="627"/>
      <c r="Y298" s="627"/>
      <c r="Z298" s="627"/>
      <c r="AA298" s="627"/>
      <c r="AB298" s="627"/>
      <c r="AC298" s="627"/>
      <c r="AD298" s="627"/>
      <c r="AE298" s="627"/>
      <c r="AF298" s="627"/>
      <c r="AG298" s="627"/>
      <c r="AH298" s="627"/>
      <c r="AI298" s="627"/>
      <c r="AJ298" s="627"/>
      <c r="AK298" s="627"/>
      <c r="AL298" s="627"/>
    </row>
    <row r="299" spans="1:38" x14ac:dyDescent="0.35">
      <c r="A299" s="988"/>
      <c r="B299" s="627"/>
      <c r="C299" s="818"/>
      <c r="D299" s="818"/>
      <c r="E299" s="818"/>
      <c r="F299" s="818"/>
      <c r="G299" s="637">
        <f ca="1">CÁLCULOS!G730</f>
        <v>0</v>
      </c>
      <c r="H299" s="749"/>
      <c r="I299" s="749"/>
      <c r="J299" s="748"/>
      <c r="K299" s="627"/>
      <c r="L299" s="627"/>
      <c r="M299" s="627"/>
      <c r="N299" s="627"/>
      <c r="O299" s="627"/>
      <c r="P299" s="627"/>
      <c r="Q299" s="719"/>
      <c r="R299" s="627"/>
      <c r="S299" s="627"/>
      <c r="T299" s="627"/>
      <c r="U299" s="627"/>
      <c r="V299" s="1065"/>
      <c r="W299" s="627"/>
      <c r="X299" s="627"/>
      <c r="Y299" s="627"/>
      <c r="Z299" s="627"/>
      <c r="AA299" s="627"/>
      <c r="AB299" s="627"/>
      <c r="AC299" s="627"/>
      <c r="AD299" s="627"/>
      <c r="AE299" s="627"/>
      <c r="AF299" s="627"/>
      <c r="AG299" s="627"/>
      <c r="AH299" s="627"/>
      <c r="AI299" s="627"/>
      <c r="AJ299" s="627"/>
      <c r="AK299" s="627"/>
      <c r="AL299" s="627"/>
    </row>
    <row r="300" spans="1:38" ht="12.6" hidden="1" customHeight="1" x14ac:dyDescent="0.35">
      <c r="A300" s="988"/>
      <c r="B300" s="627"/>
      <c r="C300" s="818"/>
      <c r="D300" s="818"/>
      <c r="E300" s="818"/>
      <c r="F300" s="818"/>
      <c r="G300" s="818"/>
      <c r="H300" s="627"/>
      <c r="I300" s="627"/>
      <c r="J300" s="627"/>
      <c r="K300" s="627"/>
      <c r="L300" s="627"/>
      <c r="M300" s="627"/>
      <c r="N300" s="627"/>
      <c r="O300" s="627"/>
      <c r="P300" s="627"/>
      <c r="Q300" s="719"/>
      <c r="R300" s="627"/>
      <c r="S300" s="627"/>
      <c r="T300" s="627"/>
      <c r="U300" s="627"/>
      <c r="V300" s="1065"/>
      <c r="W300" s="627"/>
      <c r="X300" s="627"/>
      <c r="Y300" s="627"/>
      <c r="Z300" s="627"/>
      <c r="AA300" s="627"/>
      <c r="AB300" s="627"/>
      <c r="AC300" s="627"/>
      <c r="AD300" s="627"/>
      <c r="AE300" s="627"/>
      <c r="AF300" s="627"/>
      <c r="AG300" s="627"/>
      <c r="AH300" s="627"/>
      <c r="AI300" s="627"/>
      <c r="AJ300" s="627"/>
      <c r="AK300" s="627"/>
      <c r="AL300" s="627"/>
    </row>
    <row r="301" spans="1:38" hidden="1" x14ac:dyDescent="0.35">
      <c r="A301" s="988"/>
      <c r="B301" s="627"/>
      <c r="C301" s="818"/>
      <c r="D301" s="818"/>
      <c r="E301" s="818"/>
      <c r="F301" s="818"/>
      <c r="G301" s="818"/>
      <c r="H301" s="627"/>
      <c r="I301" s="627"/>
      <c r="J301" s="627"/>
      <c r="K301" s="627"/>
      <c r="L301" s="627"/>
      <c r="M301" s="627"/>
      <c r="N301" s="627"/>
      <c r="O301" s="627"/>
      <c r="P301" s="627"/>
      <c r="Q301" s="719"/>
      <c r="R301" s="627"/>
      <c r="S301" s="627"/>
      <c r="T301" s="627"/>
      <c r="U301" s="627"/>
      <c r="V301" s="1065"/>
      <c r="W301" s="627"/>
      <c r="X301" s="627"/>
      <c r="Y301" s="627"/>
      <c r="Z301" s="627"/>
      <c r="AA301" s="627"/>
      <c r="AB301" s="627"/>
      <c r="AC301" s="627"/>
      <c r="AD301" s="627"/>
      <c r="AE301" s="627"/>
      <c r="AF301" s="627"/>
      <c r="AG301" s="627"/>
      <c r="AH301" s="627"/>
      <c r="AI301" s="627"/>
      <c r="AJ301" s="627"/>
      <c r="AK301" s="627"/>
      <c r="AL301" s="627"/>
    </row>
    <row r="302" spans="1:38" hidden="1" x14ac:dyDescent="0.35">
      <c r="A302" s="988"/>
      <c r="B302" s="627"/>
      <c r="C302" s="818"/>
      <c r="D302" s="818"/>
      <c r="E302" s="818"/>
      <c r="F302" s="818"/>
      <c r="G302" s="818"/>
      <c r="H302" s="627"/>
      <c r="I302" s="627"/>
      <c r="J302" s="627"/>
      <c r="K302" s="627"/>
      <c r="L302" s="627"/>
      <c r="M302" s="627"/>
      <c r="N302" s="627"/>
      <c r="O302" s="627"/>
      <c r="P302" s="627"/>
      <c r="Q302" s="719"/>
      <c r="R302" s="627"/>
      <c r="S302" s="627"/>
      <c r="T302" s="627"/>
      <c r="U302" s="627"/>
      <c r="V302" s="1065"/>
      <c r="W302" s="627"/>
      <c r="X302" s="627"/>
      <c r="Y302" s="627"/>
      <c r="Z302" s="627"/>
      <c r="AA302" s="627"/>
      <c r="AB302" s="627"/>
      <c r="AC302" s="627"/>
      <c r="AD302" s="627"/>
      <c r="AE302" s="627"/>
      <c r="AF302" s="627"/>
      <c r="AG302" s="627"/>
      <c r="AH302" s="627"/>
      <c r="AI302" s="627"/>
      <c r="AJ302" s="627"/>
      <c r="AK302" s="627"/>
      <c r="AL302" s="627"/>
    </row>
    <row r="303" spans="1:38" hidden="1" x14ac:dyDescent="0.35">
      <c r="A303" s="988"/>
      <c r="B303" s="627"/>
      <c r="C303" s="734"/>
      <c r="D303" s="1330" t="s">
        <v>256</v>
      </c>
      <c r="E303" s="1332"/>
      <c r="F303" s="729" t="s">
        <v>257</v>
      </c>
      <c r="G303" s="630" t="s">
        <v>258</v>
      </c>
      <c r="H303" s="633" t="s">
        <v>259</v>
      </c>
      <c r="I303" s="646"/>
      <c r="J303" s="629"/>
      <c r="K303" s="627"/>
      <c r="L303" s="627"/>
      <c r="M303" s="627"/>
      <c r="N303" s="627"/>
      <c r="O303" s="627"/>
      <c r="P303" s="627"/>
      <c r="Q303" s="719"/>
      <c r="R303" s="627"/>
      <c r="S303" s="627"/>
      <c r="T303" s="627"/>
      <c r="U303" s="627"/>
      <c r="V303" s="1065"/>
      <c r="W303" s="627"/>
      <c r="X303" s="627"/>
      <c r="Y303" s="627"/>
      <c r="Z303" s="627"/>
      <c r="AA303" s="627"/>
      <c r="AB303" s="627"/>
      <c r="AC303" s="627"/>
      <c r="AD303" s="627"/>
      <c r="AE303" s="627"/>
      <c r="AF303" s="627"/>
      <c r="AG303" s="627"/>
      <c r="AH303" s="627"/>
      <c r="AI303" s="627"/>
      <c r="AJ303" s="627"/>
      <c r="AK303" s="627"/>
      <c r="AL303" s="627"/>
    </row>
    <row r="304" spans="1:38" hidden="1" x14ac:dyDescent="0.35">
      <c r="A304" s="988"/>
      <c r="B304" s="627"/>
      <c r="C304" s="734"/>
      <c r="D304" s="1464"/>
      <c r="E304" s="1465"/>
      <c r="F304" s="660"/>
      <c r="G304" s="660"/>
      <c r="H304" s="1060"/>
      <c r="I304" s="652"/>
      <c r="J304" s="652"/>
      <c r="K304" s="627"/>
      <c r="L304" s="627"/>
      <c r="M304" s="627"/>
      <c r="N304" s="627"/>
      <c r="O304" s="627"/>
      <c r="P304" s="627"/>
      <c r="Q304" s="719"/>
      <c r="R304" s="627"/>
      <c r="S304" s="627"/>
      <c r="T304" s="627"/>
      <c r="U304" s="627"/>
      <c r="V304" s="1065"/>
      <c r="W304" s="627"/>
      <c r="X304" s="627"/>
      <c r="Y304" s="627"/>
      <c r="Z304" s="627"/>
      <c r="AA304" s="627"/>
      <c r="AB304" s="627"/>
      <c r="AC304" s="627"/>
      <c r="AD304" s="627"/>
      <c r="AE304" s="627"/>
      <c r="AF304" s="627"/>
      <c r="AG304" s="627"/>
      <c r="AH304" s="627"/>
      <c r="AI304" s="627"/>
      <c r="AJ304" s="627"/>
      <c r="AK304" s="627"/>
      <c r="AL304" s="627"/>
    </row>
    <row r="305" spans="1:37" hidden="1" x14ac:dyDescent="0.35">
      <c r="A305" s="988"/>
      <c r="B305" s="627"/>
      <c r="C305" s="734"/>
      <c r="D305" s="1464"/>
      <c r="E305" s="1465"/>
      <c r="F305" s="660"/>
      <c r="G305" s="660"/>
      <c r="H305" s="1060"/>
      <c r="I305" s="627"/>
      <c r="J305" s="627"/>
      <c r="K305" s="627"/>
      <c r="L305" s="627"/>
      <c r="M305" s="627"/>
      <c r="N305" s="627"/>
      <c r="O305" s="627"/>
      <c r="P305" s="627"/>
      <c r="Q305" s="719"/>
      <c r="R305" s="627"/>
      <c r="S305" s="627"/>
      <c r="T305" s="627"/>
      <c r="U305" s="627"/>
      <c r="V305" s="1065"/>
      <c r="W305" s="627"/>
      <c r="X305" s="627"/>
      <c r="Y305" s="627"/>
      <c r="Z305" s="627"/>
      <c r="AA305" s="627"/>
      <c r="AB305" s="627"/>
      <c r="AC305" s="627"/>
      <c r="AD305" s="627"/>
      <c r="AE305" s="627"/>
      <c r="AF305" s="627"/>
      <c r="AG305" s="627"/>
      <c r="AH305" s="627"/>
      <c r="AI305" s="627"/>
      <c r="AJ305" s="627"/>
      <c r="AK305" s="627"/>
    </row>
    <row r="306" spans="1:37" hidden="1" x14ac:dyDescent="0.35">
      <c r="A306" s="988"/>
      <c r="B306" s="627"/>
      <c r="C306" s="734"/>
      <c r="D306" s="1464"/>
      <c r="E306" s="1465"/>
      <c r="F306" s="660"/>
      <c r="G306" s="660"/>
      <c r="H306" s="1060"/>
      <c r="I306" s="627"/>
      <c r="J306" s="627"/>
      <c r="K306" s="627"/>
      <c r="L306" s="627"/>
      <c r="M306" s="627"/>
      <c r="N306" s="627"/>
      <c r="O306" s="627"/>
      <c r="P306" s="627"/>
      <c r="Q306" s="719"/>
      <c r="R306" s="627"/>
      <c r="S306" s="627"/>
      <c r="T306" s="627"/>
      <c r="U306" s="627"/>
      <c r="V306" s="1065"/>
      <c r="W306" s="627"/>
      <c r="X306" s="627"/>
      <c r="Y306" s="627"/>
      <c r="Z306" s="627"/>
      <c r="AA306" s="627"/>
      <c r="AB306" s="627"/>
      <c r="AC306" s="627"/>
      <c r="AD306" s="627"/>
      <c r="AE306" s="627"/>
      <c r="AF306" s="627"/>
      <c r="AG306" s="627"/>
      <c r="AH306" s="627"/>
      <c r="AI306" s="627"/>
      <c r="AJ306" s="627"/>
      <c r="AK306" s="627"/>
    </row>
    <row r="307" spans="1:37" hidden="1" x14ac:dyDescent="0.35">
      <c r="A307" s="988"/>
      <c r="B307" s="627"/>
      <c r="C307" s="1006"/>
      <c r="D307" s="1333"/>
      <c r="E307" s="1335"/>
      <c r="F307" s="660"/>
      <c r="G307" s="660"/>
      <c r="H307" s="1060"/>
      <c r="I307" s="988"/>
      <c r="J307" s="627"/>
      <c r="K307" s="627"/>
      <c r="L307" s="627"/>
      <c r="M307" s="627"/>
      <c r="N307" s="627"/>
      <c r="O307" s="627"/>
      <c r="P307" s="627"/>
      <c r="Q307" s="719"/>
      <c r="R307" s="627"/>
      <c r="S307" s="627"/>
      <c r="T307" s="627"/>
      <c r="U307" s="627"/>
      <c r="V307" s="1065"/>
      <c r="W307" s="627"/>
      <c r="X307" s="627"/>
      <c r="Y307" s="627"/>
      <c r="Z307" s="627"/>
      <c r="AA307" s="627"/>
      <c r="AB307" s="627"/>
      <c r="AC307" s="627"/>
      <c r="AD307" s="627"/>
      <c r="AE307" s="627"/>
      <c r="AF307" s="627"/>
      <c r="AG307" s="627"/>
      <c r="AH307" s="627"/>
      <c r="AI307" s="627"/>
      <c r="AJ307" s="627"/>
      <c r="AK307" s="627"/>
    </row>
    <row r="308" spans="1:37" hidden="1" x14ac:dyDescent="0.35">
      <c r="A308" s="988"/>
      <c r="B308" s="627"/>
      <c r="C308" s="1067"/>
      <c r="D308" s="1068"/>
      <c r="E308" s="1068"/>
      <c r="F308" s="220">
        <f ca="1">ROUND(L283/(C253+C255)/9,0)</f>
        <v>146</v>
      </c>
      <c r="G308" s="1066"/>
      <c r="H308" s="1066"/>
      <c r="I308" s="634"/>
      <c r="J308" s="1022"/>
      <c r="K308" s="627"/>
      <c r="L308" s="1022"/>
      <c r="M308" s="1022"/>
      <c r="N308" s="1022"/>
      <c r="O308" s="627"/>
      <c r="P308" s="627"/>
      <c r="Q308" s="719"/>
      <c r="R308" s="627"/>
      <c r="S308" s="627"/>
      <c r="T308" s="627"/>
      <c r="U308" s="627"/>
      <c r="V308" s="627"/>
      <c r="W308" s="627"/>
      <c r="X308" s="627"/>
      <c r="Y308" s="627"/>
      <c r="Z308" s="627"/>
      <c r="AA308" s="627"/>
      <c r="AB308" s="627"/>
      <c r="AC308" s="627"/>
      <c r="AD308" s="627"/>
      <c r="AE308" s="627"/>
      <c r="AF308" s="627"/>
      <c r="AG308" s="627"/>
      <c r="AH308" s="627"/>
      <c r="AI308" s="627"/>
      <c r="AJ308" s="627"/>
      <c r="AK308" s="627"/>
    </row>
    <row r="309" spans="1:37" ht="13.15" hidden="1" thickBot="1" x14ac:dyDescent="0.4">
      <c r="A309" s="988"/>
      <c r="B309" s="627"/>
      <c r="C309" s="1069" t="str">
        <f>CÁLCULOS!C668&amp;"="</f>
        <v>PRAZO TOTAL de DIAS PRODUTIVOS=</v>
      </c>
      <c r="D309" s="1070"/>
      <c r="E309" s="1041"/>
      <c r="F309" s="1070" t="str">
        <f ca="1">CÁLCULOS!F668</f>
        <v>82 dias --------------------</v>
      </c>
      <c r="G309" s="1508" t="s">
        <v>260</v>
      </c>
      <c r="H309" s="1508"/>
      <c r="I309" s="1071" t="str">
        <f ca="1">CÁLCULOS!I668&amp;" dias"</f>
        <v>2 dias</v>
      </c>
      <c r="J309" s="1072" t="s">
        <v>261</v>
      </c>
      <c r="K309" s="1041"/>
      <c r="L309" s="1071"/>
      <c r="M309" s="1073"/>
      <c r="N309" s="1022"/>
      <c r="O309" s="627"/>
      <c r="P309" s="627"/>
      <c r="Q309" s="719"/>
      <c r="R309" s="627"/>
      <c r="S309" s="627"/>
      <c r="T309" s="627"/>
      <c r="U309" s="627"/>
      <c r="V309" s="627"/>
      <c r="W309" s="627"/>
      <c r="X309" s="627"/>
      <c r="Y309" s="627"/>
      <c r="Z309" s="627"/>
      <c r="AA309" s="627"/>
      <c r="AB309" s="627"/>
      <c r="AC309" s="627"/>
      <c r="AD309" s="627"/>
      <c r="AE309" s="627"/>
      <c r="AF309" s="627"/>
      <c r="AG309" s="627"/>
      <c r="AH309" s="627"/>
      <c r="AI309" s="627"/>
      <c r="AJ309" s="627"/>
      <c r="AK309" s="627"/>
    </row>
    <row r="310" spans="1:37" hidden="1" x14ac:dyDescent="0.35">
      <c r="A310" s="988"/>
      <c r="B310" s="627"/>
      <c r="C310" s="1074" t="s">
        <v>262</v>
      </c>
      <c r="D310" s="1063"/>
      <c r="E310" s="1075"/>
      <c r="F310" s="1076">
        <f>G310</f>
        <v>0</v>
      </c>
      <c r="G310" s="634">
        <f>IF(C313="X",C314,IF(D313="X",D314,IF(E313="X",E314,IF(F313="X",F314,IF(G313="X",G314,IF(H313="X",H314,IF(I313="X",I314,IF(J313="X",J314,H310))))))))</f>
        <v>0</v>
      </c>
      <c r="H310" s="634">
        <f>IF(L313="X",L314,0)</f>
        <v>0</v>
      </c>
      <c r="I310" s="221">
        <f ca="1">L283/(C253+C255)/9/J290</f>
        <v>4.1608581219594161</v>
      </c>
      <c r="J310" s="1022"/>
      <c r="K310" s="627"/>
      <c r="L310" s="1022"/>
      <c r="M310" s="1022"/>
      <c r="N310" s="1022"/>
      <c r="O310" s="627"/>
      <c r="P310" s="627"/>
      <c r="Q310" s="719"/>
      <c r="R310" s="627"/>
      <c r="S310" s="627"/>
      <c r="T310" s="627"/>
      <c r="U310" s="627"/>
      <c r="V310" s="627"/>
      <c r="W310" s="627"/>
      <c r="X310" s="627"/>
      <c r="Y310" s="627"/>
      <c r="Z310" s="627"/>
      <c r="AA310" s="627"/>
      <c r="AB310" s="627"/>
      <c r="AC310" s="627"/>
      <c r="AD310" s="627"/>
      <c r="AE310" s="627"/>
      <c r="AF310" s="627"/>
      <c r="AG310" s="627"/>
      <c r="AH310" s="627"/>
      <c r="AI310" s="627"/>
      <c r="AJ310" s="627"/>
      <c r="AK310" s="627"/>
    </row>
    <row r="311" spans="1:37" hidden="1" x14ac:dyDescent="0.35">
      <c r="A311" s="988"/>
      <c r="B311" s="627"/>
      <c r="C311" s="222" t="str">
        <f>IF(I15=0,0,"SE QUISER ALTERAR O PRAZO POR REPETIÇÃO")</f>
        <v>SE QUISER ALTERAR O PRAZO POR REPETIÇÃO</v>
      </c>
      <c r="D311" s="634"/>
      <c r="E311" s="634"/>
      <c r="F311" s="634"/>
      <c r="G311" s="634"/>
      <c r="H311" s="634"/>
      <c r="I311" s="634"/>
      <c r="J311" s="1022"/>
      <c r="K311" s="627"/>
      <c r="L311" s="1022"/>
      <c r="M311" s="1022"/>
      <c r="N311" s="1022"/>
      <c r="O311" s="627"/>
      <c r="P311" s="627"/>
      <c r="Q311" s="719"/>
      <c r="R311" s="627"/>
      <c r="S311" s="627"/>
      <c r="T311" s="627"/>
      <c r="U311" s="627"/>
      <c r="V311" s="627"/>
      <c r="W311" s="627"/>
      <c r="X311" s="627"/>
      <c r="Y311" s="627"/>
      <c r="Z311" s="627"/>
      <c r="AA311" s="627"/>
      <c r="AB311" s="627"/>
      <c r="AC311" s="627"/>
      <c r="AD311" s="627"/>
      <c r="AE311" s="627"/>
      <c r="AF311" s="627"/>
      <c r="AG311" s="627"/>
      <c r="AH311" s="627"/>
      <c r="AI311" s="627"/>
      <c r="AJ311" s="627"/>
      <c r="AK311" s="627"/>
    </row>
    <row r="312" spans="1:37" hidden="1" x14ac:dyDescent="0.35">
      <c r="A312" s="988"/>
      <c r="B312" s="627"/>
      <c r="C312" s="222" t="str">
        <f ca="1">IF(I15=0,0,IF(I310&gt;3.5,"MARQUE  X  ABAIXO ATÉ QUE O PRAZO FIQUE NO VALOR SATISFATÓRIO. OS PRAZOS DISPONÍVEIS SÃO: ( 2 - 2,5 - 3 - 3,5 ) DIAS",0))</f>
        <v>MARQUE  X  ABAIXO ATÉ QUE O PRAZO FIQUE NO VALOR SATISFATÓRIO. OS PRAZOS DISPONÍVEIS SÃO: ( 2 - 2,5 - 3 - 3,5 ) DIAS</v>
      </c>
      <c r="D312" s="634"/>
      <c r="E312" s="634"/>
      <c r="F312" s="634"/>
      <c r="G312" s="634"/>
      <c r="H312" s="634"/>
      <c r="I312" s="634"/>
      <c r="J312" s="1022"/>
      <c r="K312" s="627"/>
      <c r="L312" s="1022"/>
      <c r="M312" s="1022"/>
      <c r="N312" s="1022"/>
      <c r="O312" s="627"/>
      <c r="P312" s="627"/>
      <c r="Q312" s="719"/>
      <c r="R312" s="627"/>
      <c r="S312" s="627"/>
      <c r="T312" s="627"/>
      <c r="U312" s="627"/>
      <c r="V312" s="627"/>
      <c r="W312" s="627"/>
      <c r="X312" s="627"/>
      <c r="Y312" s="627"/>
      <c r="Z312" s="627"/>
      <c r="AA312" s="627"/>
      <c r="AB312" s="627"/>
      <c r="AC312" s="627"/>
      <c r="AD312" s="627"/>
      <c r="AE312" s="627"/>
      <c r="AF312" s="627"/>
      <c r="AG312" s="627"/>
      <c r="AH312" s="627"/>
      <c r="AI312" s="627"/>
      <c r="AJ312" s="627"/>
      <c r="AK312" s="627"/>
    </row>
    <row r="313" spans="1:37" hidden="1" x14ac:dyDescent="0.35">
      <c r="A313" s="988"/>
      <c r="B313" s="627"/>
      <c r="C313" s="626"/>
      <c r="D313" s="626"/>
      <c r="E313" s="626"/>
      <c r="F313" s="626"/>
      <c r="G313" s="626"/>
      <c r="H313" s="626"/>
      <c r="I313" s="626"/>
      <c r="J313" s="1506"/>
      <c r="K313" s="1507"/>
      <c r="L313" s="626"/>
      <c r="M313" s="1022"/>
      <c r="N313" s="1022"/>
      <c r="O313" s="627"/>
      <c r="P313" s="627"/>
      <c r="Q313" s="719"/>
      <c r="R313" s="627"/>
      <c r="S313" s="627"/>
      <c r="T313" s="627"/>
      <c r="U313" s="627"/>
      <c r="V313" s="627"/>
      <c r="W313" s="627"/>
      <c r="X313" s="627"/>
      <c r="Y313" s="627"/>
      <c r="Z313" s="627"/>
      <c r="AA313" s="627"/>
      <c r="AB313" s="627"/>
      <c r="AC313" s="627"/>
      <c r="AD313" s="627"/>
      <c r="AE313" s="627"/>
      <c r="AF313" s="627"/>
      <c r="AG313" s="627"/>
      <c r="AH313" s="627"/>
      <c r="AI313" s="627"/>
      <c r="AJ313" s="627"/>
      <c r="AK313" s="627"/>
    </row>
    <row r="314" spans="1:37" hidden="1" x14ac:dyDescent="0.35">
      <c r="A314" s="988"/>
      <c r="B314" s="627"/>
      <c r="C314" s="222">
        <v>-0.1</v>
      </c>
      <c r="D314" s="634">
        <v>-0.2</v>
      </c>
      <c r="E314" s="634">
        <v>-0.3</v>
      </c>
      <c r="F314" s="634">
        <v>-0.4</v>
      </c>
      <c r="G314" s="634">
        <v>-0.5</v>
      </c>
      <c r="H314" s="634">
        <v>-0.6</v>
      </c>
      <c r="I314" s="634">
        <v>-0.7</v>
      </c>
      <c r="J314" s="1022">
        <v>-0.8</v>
      </c>
      <c r="K314" s="627"/>
      <c r="L314" s="1022">
        <v>-0.9</v>
      </c>
      <c r="M314" s="1022"/>
      <c r="N314" s="1022"/>
      <c r="O314" s="627"/>
      <c r="P314" s="627"/>
      <c r="Q314" s="719"/>
      <c r="R314" s="627"/>
      <c r="S314" s="627"/>
      <c r="T314" s="627"/>
      <c r="U314" s="627"/>
      <c r="V314" s="627"/>
      <c r="W314" s="627"/>
      <c r="X314" s="627"/>
      <c r="Y314" s="627"/>
      <c r="Z314" s="627"/>
      <c r="AA314" s="627"/>
      <c r="AB314" s="627"/>
      <c r="AC314" s="627"/>
      <c r="AD314" s="627"/>
      <c r="AE314" s="627"/>
      <c r="AF314" s="627"/>
      <c r="AG314" s="627"/>
      <c r="AH314" s="627"/>
      <c r="AI314" s="627"/>
      <c r="AJ314" s="627"/>
      <c r="AK314" s="627"/>
    </row>
    <row r="315" spans="1:37" hidden="1" x14ac:dyDescent="0.35">
      <c r="A315" s="988"/>
      <c r="B315" s="627"/>
      <c r="C315" s="634"/>
      <c r="D315" s="634"/>
      <c r="E315" s="634"/>
      <c r="F315" s="634"/>
      <c r="G315" s="634"/>
      <c r="H315" s="634"/>
      <c r="I315" s="634"/>
      <c r="J315" s="1022"/>
      <c r="K315" s="627"/>
      <c r="L315" s="1022"/>
      <c r="M315" s="1022"/>
      <c r="N315" s="1022"/>
      <c r="O315" s="627"/>
      <c r="P315" s="627"/>
      <c r="Q315" s="719"/>
      <c r="R315" s="627"/>
      <c r="S315" s="627"/>
      <c r="T315" s="627"/>
      <c r="U315" s="627"/>
      <c r="V315" s="627"/>
      <c r="W315" s="627"/>
      <c r="X315" s="627"/>
      <c r="Y315" s="627"/>
      <c r="Z315" s="627"/>
      <c r="AA315" s="627"/>
      <c r="AB315" s="627"/>
      <c r="AC315" s="627"/>
      <c r="AD315" s="627"/>
      <c r="AE315" s="627"/>
      <c r="AF315" s="627"/>
      <c r="AG315" s="627"/>
      <c r="AH315" s="627"/>
      <c r="AI315" s="627"/>
      <c r="AJ315" s="627"/>
      <c r="AK315" s="627"/>
    </row>
    <row r="316" spans="1:37" ht="13.15" hidden="1" thickBot="1" x14ac:dyDescent="0.4">
      <c r="A316" s="988"/>
      <c r="B316" s="627"/>
      <c r="C316" s="1069" t="s">
        <v>263</v>
      </c>
      <c r="D316" s="1070"/>
      <c r="E316" s="1041"/>
      <c r="F316" s="1070"/>
      <c r="G316" s="1508"/>
      <c r="H316" s="1508"/>
      <c r="I316" s="1071">
        <f ca="1">CÁLCULOS!I675</f>
        <v>101</v>
      </c>
      <c r="J316" s="1072" t="s">
        <v>264</v>
      </c>
      <c r="K316" s="1041"/>
      <c r="L316" s="1071"/>
      <c r="M316" s="1073"/>
      <c r="N316" s="1022"/>
      <c r="O316" s="627"/>
      <c r="P316" s="627"/>
      <c r="Q316" s="719"/>
      <c r="R316" s="627"/>
      <c r="S316" s="627"/>
      <c r="T316" s="627"/>
      <c r="U316" s="627"/>
      <c r="V316" s="627"/>
      <c r="W316" s="627"/>
      <c r="X316" s="627"/>
      <c r="Y316" s="627"/>
      <c r="Z316" s="627"/>
      <c r="AA316" s="627"/>
      <c r="AB316" s="627"/>
      <c r="AC316" s="627"/>
      <c r="AD316" s="627"/>
      <c r="AE316" s="627"/>
      <c r="AF316" s="627"/>
      <c r="AG316" s="627"/>
      <c r="AH316" s="627"/>
      <c r="AI316" s="627"/>
      <c r="AJ316" s="627"/>
      <c r="AK316" s="627"/>
    </row>
    <row r="317" spans="1:37" hidden="1" x14ac:dyDescent="0.35">
      <c r="A317" s="988"/>
      <c r="B317" s="627"/>
      <c r="C317" s="634"/>
      <c r="D317" s="634"/>
      <c r="E317" s="634"/>
      <c r="F317" s="634"/>
      <c r="G317" s="634"/>
      <c r="H317" s="634"/>
      <c r="I317" s="634"/>
      <c r="J317" s="1022"/>
      <c r="K317" s="627"/>
      <c r="L317" s="1022"/>
      <c r="M317" s="1022"/>
      <c r="N317" s="1022"/>
      <c r="O317" s="627"/>
      <c r="P317" s="627"/>
      <c r="Q317" s="719"/>
      <c r="R317" s="627"/>
      <c r="S317" s="627"/>
      <c r="T317" s="627"/>
      <c r="U317" s="627"/>
      <c r="V317" s="627"/>
      <c r="W317" s="627"/>
      <c r="X317" s="627"/>
      <c r="Y317" s="627"/>
      <c r="Z317" s="627"/>
      <c r="AA317" s="627"/>
      <c r="AB317" s="627"/>
      <c r="AC317" s="627"/>
      <c r="AD317" s="627"/>
      <c r="AE317" s="627"/>
      <c r="AF317" s="627"/>
      <c r="AG317" s="627"/>
      <c r="AH317" s="627"/>
      <c r="AI317" s="627"/>
      <c r="AJ317" s="627"/>
      <c r="AK317" s="627"/>
    </row>
    <row r="318" spans="1:37" ht="13.15" hidden="1" thickBot="1" x14ac:dyDescent="0.4">
      <c r="A318" s="988"/>
      <c r="B318" s="627"/>
      <c r="C318" s="1077">
        <f>CÁLCULOS!C677</f>
        <v>0</v>
      </c>
      <c r="D318" s="1078"/>
      <c r="E318" s="1078"/>
      <c r="F318" s="1078"/>
      <c r="G318" s="1078"/>
      <c r="H318" s="1078"/>
      <c r="I318" s="1078"/>
      <c r="J318" s="1071"/>
      <c r="K318" s="1041"/>
      <c r="L318" s="1071"/>
      <c r="M318" s="1073"/>
      <c r="N318" s="1022"/>
      <c r="O318" s="627"/>
      <c r="P318" s="627"/>
      <c r="Q318" s="719"/>
      <c r="R318" s="627"/>
      <c r="S318" s="627"/>
      <c r="T318" s="627"/>
      <c r="U318" s="627"/>
      <c r="V318" s="627"/>
      <c r="W318" s="627"/>
      <c r="X318" s="627"/>
      <c r="Y318" s="627"/>
      <c r="Z318" s="627"/>
      <c r="AA318" s="627"/>
      <c r="AB318" s="627"/>
      <c r="AC318" s="627"/>
      <c r="AD318" s="627"/>
      <c r="AE318" s="627"/>
      <c r="AF318" s="627"/>
      <c r="AG318" s="627"/>
      <c r="AH318" s="627"/>
      <c r="AI318" s="627"/>
      <c r="AJ318" s="627"/>
      <c r="AK318" s="627"/>
    </row>
    <row r="319" spans="1:37" hidden="1" x14ac:dyDescent="0.35">
      <c r="A319" s="988"/>
      <c r="B319" s="627"/>
      <c r="C319" s="634"/>
      <c r="D319" s="634"/>
      <c r="E319" s="634"/>
      <c r="F319" s="634"/>
      <c r="G319" s="634"/>
      <c r="H319" s="634"/>
      <c r="I319" s="634"/>
      <c r="J319" s="1022"/>
      <c r="K319" s="627"/>
      <c r="L319" s="1022"/>
      <c r="M319" s="1022"/>
      <c r="N319" s="1022"/>
      <c r="O319" s="627"/>
      <c r="P319" s="627"/>
      <c r="Q319" s="719"/>
      <c r="R319" s="627"/>
      <c r="S319" s="627"/>
      <c r="T319" s="627"/>
      <c r="U319" s="627"/>
      <c r="V319" s="627"/>
      <c r="W319" s="627"/>
      <c r="X319" s="627"/>
      <c r="Y319" s="627"/>
      <c r="Z319" s="627"/>
      <c r="AA319" s="627"/>
      <c r="AB319" s="627"/>
      <c r="AC319" s="627"/>
      <c r="AD319" s="627"/>
      <c r="AE319" s="627"/>
      <c r="AF319" s="627"/>
      <c r="AG319" s="627"/>
      <c r="AH319" s="627"/>
      <c r="AI319" s="627"/>
      <c r="AJ319" s="627"/>
      <c r="AK319" s="627"/>
    </row>
    <row r="320" spans="1:37" ht="13.15" hidden="1" thickBot="1" x14ac:dyDescent="0.4">
      <c r="A320" s="988"/>
      <c r="B320" s="627"/>
      <c r="C320" s="1077">
        <f>CÁLCULOS!C679</f>
        <v>0</v>
      </c>
      <c r="D320" s="1078"/>
      <c r="E320" s="1078"/>
      <c r="F320" s="1078"/>
      <c r="G320" s="1078"/>
      <c r="H320" s="1078"/>
      <c r="I320" s="1078"/>
      <c r="J320" s="1071"/>
      <c r="K320" s="1041"/>
      <c r="L320" s="1071"/>
      <c r="M320" s="1073"/>
      <c r="N320" s="1022"/>
      <c r="O320" s="627"/>
      <c r="P320" s="627"/>
      <c r="Q320" s="719"/>
      <c r="R320" s="627"/>
      <c r="S320" s="627"/>
      <c r="T320" s="627"/>
      <c r="U320" s="627"/>
      <c r="V320" s="627"/>
      <c r="W320" s="627"/>
      <c r="X320" s="627"/>
      <c r="Y320" s="627"/>
      <c r="Z320" s="627"/>
      <c r="AA320" s="627"/>
      <c r="AB320" s="627"/>
      <c r="AC320" s="627"/>
      <c r="AD320" s="627"/>
      <c r="AE320" s="627"/>
      <c r="AF320" s="627"/>
      <c r="AG320" s="627"/>
      <c r="AH320" s="627"/>
      <c r="AI320" s="627"/>
      <c r="AJ320" s="627"/>
      <c r="AK320" s="627"/>
    </row>
    <row r="321" spans="1:34" hidden="1" x14ac:dyDescent="0.35">
      <c r="A321" s="988"/>
      <c r="B321" s="627"/>
      <c r="C321" s="634"/>
      <c r="D321" s="634"/>
      <c r="E321" s="634"/>
      <c r="F321" s="634"/>
      <c r="G321" s="634"/>
      <c r="H321" s="634"/>
      <c r="I321" s="634"/>
      <c r="J321" s="1022"/>
      <c r="K321" s="627"/>
      <c r="L321" s="1022"/>
      <c r="M321" s="1022"/>
      <c r="N321" s="1022"/>
      <c r="O321" s="627"/>
      <c r="P321" s="627"/>
      <c r="Q321" s="719"/>
      <c r="R321" s="627"/>
      <c r="S321" s="627"/>
      <c r="T321" s="627"/>
      <c r="U321" s="627"/>
      <c r="V321" s="627"/>
      <c r="W321" s="627"/>
      <c r="X321" s="627"/>
      <c r="Y321" s="627"/>
      <c r="Z321" s="627"/>
      <c r="AA321" s="627"/>
      <c r="AB321" s="627"/>
      <c r="AC321" s="627"/>
      <c r="AD321" s="627"/>
      <c r="AE321" s="627"/>
      <c r="AF321" s="627"/>
      <c r="AG321" s="627"/>
      <c r="AH321" s="627"/>
    </row>
    <row r="322" spans="1:34" hidden="1" x14ac:dyDescent="0.35">
      <c r="A322" s="988"/>
      <c r="B322" s="627"/>
      <c r="C322" s="999" t="str">
        <f ca="1">CÁLCULOS!C681</f>
        <v>CRONOGRAMA PARA 60 PAINÉIS NORMAIS E 2 PAINEL FECHO</v>
      </c>
      <c r="D322" s="627"/>
      <c r="E322" s="627"/>
      <c r="F322" s="627"/>
      <c r="G322" s="627"/>
      <c r="H322" s="627"/>
      <c r="I322" s="627"/>
      <c r="J322" s="627"/>
      <c r="K322" s="627"/>
      <c r="L322" s="627"/>
      <c r="M322" s="627"/>
      <c r="N322" s="627"/>
      <c r="O322" s="627"/>
      <c r="P322" s="627"/>
      <c r="Q322" s="719"/>
      <c r="R322" s="627"/>
      <c r="S322" s="627"/>
      <c r="T322" s="627"/>
      <c r="U322" s="627"/>
      <c r="V322" s="627"/>
      <c r="W322" s="627"/>
      <c r="X322" s="627"/>
      <c r="Y322" s="627"/>
      <c r="Z322" s="627"/>
      <c r="AA322" s="627"/>
      <c r="AB322" s="627"/>
      <c r="AC322" s="627"/>
      <c r="AD322" s="627"/>
      <c r="AE322" s="627"/>
      <c r="AF322" s="627"/>
      <c r="AG322" s="627"/>
      <c r="AH322" s="627"/>
    </row>
    <row r="323" spans="1:34" hidden="1" x14ac:dyDescent="0.35">
      <c r="A323" s="988"/>
      <c r="B323" s="627"/>
      <c r="C323" s="999"/>
      <c r="D323" s="627"/>
      <c r="E323" s="627"/>
      <c r="F323" s="627"/>
      <c r="G323" s="627"/>
      <c r="H323" s="627"/>
      <c r="I323" s="627"/>
      <c r="J323" s="627"/>
      <c r="K323" s="627"/>
      <c r="L323" s="627"/>
      <c r="M323" s="627"/>
      <c r="N323" s="627"/>
      <c r="O323" s="627"/>
      <c r="P323" s="627"/>
      <c r="Q323" s="719"/>
      <c r="R323" s="627"/>
      <c r="S323" s="627"/>
      <c r="T323" s="627"/>
      <c r="U323" s="627"/>
      <c r="V323" s="627"/>
      <c r="W323" s="627"/>
      <c r="X323" s="627"/>
      <c r="Y323" s="627"/>
      <c r="Z323" s="627"/>
      <c r="AA323" s="627"/>
      <c r="AB323" s="627"/>
      <c r="AC323" s="627"/>
      <c r="AD323" s="627"/>
      <c r="AE323" s="627"/>
      <c r="AF323" s="627"/>
      <c r="AG323" s="627"/>
      <c r="AH323" s="627"/>
    </row>
    <row r="324" spans="1:34" hidden="1" x14ac:dyDescent="0.35">
      <c r="A324" s="988"/>
      <c r="B324" s="627"/>
      <c r="C324" s="999"/>
      <c r="D324" s="627"/>
      <c r="E324" s="627"/>
      <c r="F324" s="627"/>
      <c r="G324" s="627"/>
      <c r="H324" s="627"/>
      <c r="I324" s="627"/>
      <c r="J324" s="627"/>
      <c r="K324" s="627"/>
      <c r="L324" s="627"/>
      <c r="M324" s="627"/>
      <c r="N324" s="627"/>
      <c r="O324" s="627"/>
      <c r="P324" s="627"/>
      <c r="Q324" s="719"/>
      <c r="R324" s="627"/>
      <c r="S324" s="627"/>
      <c r="T324" s="627"/>
      <c r="U324" s="627"/>
      <c r="V324" s="627"/>
      <c r="W324" s="627"/>
      <c r="X324" s="627"/>
      <c r="Y324" s="627"/>
      <c r="Z324" s="627"/>
      <c r="AA324" s="627"/>
      <c r="AB324" s="627"/>
      <c r="AC324" s="627"/>
      <c r="AD324" s="627"/>
      <c r="AE324" s="627"/>
      <c r="AF324" s="627"/>
      <c r="AG324" s="627"/>
      <c r="AH324" s="627"/>
    </row>
    <row r="325" spans="1:34" hidden="1" x14ac:dyDescent="0.35">
      <c r="A325" s="988"/>
      <c r="B325" s="627"/>
      <c r="C325" s="999"/>
      <c r="D325" s="627"/>
      <c r="E325" s="627"/>
      <c r="F325" s="627"/>
      <c r="G325" s="627"/>
      <c r="H325" s="627"/>
      <c r="I325" s="627"/>
      <c r="J325" s="627"/>
      <c r="K325" s="627"/>
      <c r="L325" s="627"/>
      <c r="M325" s="627"/>
      <c r="N325" s="627"/>
      <c r="O325" s="627"/>
      <c r="P325" s="627"/>
      <c r="Q325" s="719"/>
      <c r="R325" s="627"/>
      <c r="S325" s="627"/>
      <c r="T325" s="627"/>
      <c r="U325" s="627"/>
      <c r="V325" s="627"/>
      <c r="W325" s="627"/>
      <c r="X325" s="627"/>
      <c r="Y325" s="627"/>
      <c r="Z325" s="627"/>
      <c r="AA325" s="627"/>
      <c r="AB325" s="627"/>
      <c r="AC325" s="627"/>
      <c r="AD325" s="627"/>
      <c r="AE325" s="627"/>
      <c r="AF325" s="627"/>
      <c r="AG325" s="627"/>
      <c r="AH325" s="627"/>
    </row>
    <row r="326" spans="1:34" hidden="1" x14ac:dyDescent="0.35">
      <c r="A326" s="988"/>
      <c r="B326" s="627"/>
      <c r="C326" s="999"/>
      <c r="D326" s="627"/>
      <c r="E326" s="627"/>
      <c r="F326" s="627"/>
      <c r="G326" s="627"/>
      <c r="H326" s="627"/>
      <c r="I326" s="627"/>
      <c r="J326" s="627"/>
      <c r="K326" s="627"/>
      <c r="L326" s="627"/>
      <c r="M326" s="627"/>
      <c r="N326" s="627"/>
      <c r="O326" s="627"/>
      <c r="P326" s="627"/>
      <c r="Q326" s="719"/>
      <c r="R326" s="627"/>
      <c r="S326" s="627"/>
      <c r="T326" s="627"/>
      <c r="U326" s="627"/>
      <c r="V326" s="627"/>
      <c r="W326" s="627"/>
      <c r="X326" s="627"/>
      <c r="Y326" s="627"/>
      <c r="Z326" s="627"/>
      <c r="AA326" s="627"/>
      <c r="AB326" s="627"/>
      <c r="AC326" s="627"/>
      <c r="AD326" s="627"/>
      <c r="AE326" s="627"/>
      <c r="AF326" s="627"/>
      <c r="AG326" s="627"/>
      <c r="AH326" s="627"/>
    </row>
    <row r="327" spans="1:34" hidden="1" x14ac:dyDescent="0.35">
      <c r="A327" s="988"/>
      <c r="B327" s="627"/>
      <c r="C327" s="999"/>
      <c r="D327" s="627"/>
      <c r="E327" s="627"/>
      <c r="F327" s="627"/>
      <c r="G327" s="627"/>
      <c r="H327" s="627"/>
      <c r="I327" s="627"/>
      <c r="J327" s="627"/>
      <c r="K327" s="627"/>
      <c r="L327" s="627"/>
      <c r="M327" s="627"/>
      <c r="N327" s="627"/>
      <c r="O327" s="627"/>
      <c r="P327" s="627"/>
      <c r="Q327" s="719"/>
      <c r="R327" s="627"/>
      <c r="S327" s="627"/>
      <c r="T327" s="627"/>
      <c r="U327" s="627"/>
      <c r="V327" s="627"/>
      <c r="W327" s="627"/>
      <c r="X327" s="627"/>
      <c r="Y327" s="630" t="s">
        <v>265</v>
      </c>
      <c r="Z327" s="630">
        <f ca="1">ROUNDDOWN(J284/(I15+J286),0)</f>
        <v>6</v>
      </c>
      <c r="AA327" s="627" t="s">
        <v>248</v>
      </c>
      <c r="AB327" s="627"/>
      <c r="AC327" s="627"/>
      <c r="AD327" s="627"/>
      <c r="AE327" s="627"/>
      <c r="AF327" s="627"/>
      <c r="AG327" s="627"/>
      <c r="AH327" s="627"/>
    </row>
    <row r="328" spans="1:34" hidden="1" x14ac:dyDescent="0.35">
      <c r="A328" s="988"/>
      <c r="B328" s="627"/>
      <c r="C328" s="627"/>
      <c r="D328" s="627"/>
      <c r="E328" s="627"/>
      <c r="F328" s="627"/>
      <c r="G328" s="627"/>
      <c r="H328" s="627"/>
      <c r="I328" s="627"/>
      <c r="J328" s="627"/>
      <c r="K328" s="627"/>
      <c r="L328" s="627"/>
      <c r="M328" s="627"/>
      <c r="N328" s="627"/>
      <c r="O328" s="627"/>
      <c r="P328" s="627"/>
      <c r="Q328" s="719"/>
      <c r="R328" s="627"/>
      <c r="S328" s="627"/>
      <c r="T328" s="627"/>
      <c r="U328" s="627"/>
      <c r="V328" s="627"/>
      <c r="W328" s="627"/>
      <c r="X328" s="627"/>
      <c r="Y328" s="630" t="s">
        <v>242</v>
      </c>
      <c r="Z328" s="630">
        <f ca="1">ROUNDUP(G97/Z327,0)</f>
        <v>10</v>
      </c>
      <c r="AA328" s="627" t="s">
        <v>243</v>
      </c>
      <c r="AB328" s="627"/>
      <c r="AC328" s="627"/>
      <c r="AD328" s="627"/>
      <c r="AE328" s="627"/>
      <c r="AF328" s="630" t="str">
        <f ca="1">Z330&amp;"  REPETIÇÃO COM   "&amp;Z327&amp;" PAINEL"</f>
        <v>10  REPETIÇÃO COM   6 PAINEL</v>
      </c>
      <c r="AG328" s="630"/>
      <c r="AH328" s="630">
        <f ca="1">Z330*Z327</f>
        <v>60</v>
      </c>
    </row>
    <row r="329" spans="1:34" hidden="1" x14ac:dyDescent="0.35">
      <c r="A329" s="988"/>
      <c r="B329" s="627"/>
      <c r="C329" s="627"/>
      <c r="D329" s="627"/>
      <c r="E329" s="627"/>
      <c r="F329" s="627"/>
      <c r="G329" s="627"/>
      <c r="H329" s="627"/>
      <c r="I329" s="627"/>
      <c r="J329" s="627"/>
      <c r="K329" s="627"/>
      <c r="L329" s="627"/>
      <c r="M329" s="627"/>
      <c r="N329" s="627"/>
      <c r="O329" s="627"/>
      <c r="P329" s="627"/>
      <c r="Q329" s="719"/>
      <c r="R329" s="627"/>
      <c r="S329" s="627"/>
      <c r="T329" s="627"/>
      <c r="U329" s="627"/>
      <c r="V329" s="627"/>
      <c r="W329" s="627"/>
      <c r="X329" s="627"/>
      <c r="Y329" s="630" t="s">
        <v>266</v>
      </c>
      <c r="Z329" s="630">
        <f ca="1">Z328*Z327-(G97)</f>
        <v>0</v>
      </c>
      <c r="AA329" s="627" t="s">
        <v>248</v>
      </c>
      <c r="AB329" s="627"/>
      <c r="AC329" s="627"/>
      <c r="AD329" s="627"/>
      <c r="AE329" s="627"/>
      <c r="AF329" s="630" t="str">
        <f ca="1">Z331&amp;"  REPETIÇÃO COM   "&amp;G97-(Z330*Z327)&amp;" PAINEL"</f>
        <v>0  REPETIÇÃO COM   0 PAINEL</v>
      </c>
      <c r="AG329" s="630"/>
      <c r="AH329" s="630">
        <f ca="1">Z331*(G97-(Z330*Z327))</f>
        <v>0</v>
      </c>
    </row>
    <row r="330" spans="1:34" hidden="1" x14ac:dyDescent="0.35">
      <c r="A330" s="988"/>
      <c r="B330" s="627"/>
      <c r="C330" s="627"/>
      <c r="D330" s="627"/>
      <c r="E330" s="627"/>
      <c r="F330" s="627"/>
      <c r="G330" s="627"/>
      <c r="H330" s="627"/>
      <c r="I330" s="627"/>
      <c r="J330" s="627"/>
      <c r="K330" s="627"/>
      <c r="L330" s="627"/>
      <c r="M330" s="627"/>
      <c r="N330" s="627"/>
      <c r="O330" s="627"/>
      <c r="P330" s="627"/>
      <c r="Q330" s="719"/>
      <c r="R330" s="627"/>
      <c r="S330" s="627"/>
      <c r="T330" s="627"/>
      <c r="U330" s="627"/>
      <c r="V330" s="627"/>
      <c r="W330" s="627"/>
      <c r="X330" s="627"/>
      <c r="Y330" s="630" t="s">
        <v>267</v>
      </c>
      <c r="Z330" s="630">
        <f ca="1">IF(Z329&lt;&gt;0,Z328-1,Z328)</f>
        <v>10</v>
      </c>
      <c r="AA330" s="627" t="s">
        <v>243</v>
      </c>
      <c r="AB330" s="627"/>
      <c r="AC330" s="627"/>
      <c r="AD330" s="627"/>
      <c r="AE330" s="627"/>
      <c r="AF330" s="630"/>
      <c r="AG330" s="630" t="s">
        <v>240</v>
      </c>
      <c r="AH330" s="630">
        <f ca="1">AH328+AH329</f>
        <v>60</v>
      </c>
    </row>
    <row r="331" spans="1:34" hidden="1" x14ac:dyDescent="0.35">
      <c r="A331" s="988"/>
      <c r="B331" s="627"/>
      <c r="C331" s="627"/>
      <c r="D331" s="627"/>
      <c r="E331" s="627"/>
      <c r="F331" s="627"/>
      <c r="G331" s="627"/>
      <c r="H331" s="627"/>
      <c r="I331" s="627"/>
      <c r="J331" s="627"/>
      <c r="K331" s="627"/>
      <c r="L331" s="627"/>
      <c r="M331" s="627"/>
      <c r="N331" s="627"/>
      <c r="O331" s="627"/>
      <c r="P331" s="627"/>
      <c r="Q331" s="719"/>
      <c r="R331" s="627"/>
      <c r="S331" s="627"/>
      <c r="T331" s="627"/>
      <c r="U331" s="627"/>
      <c r="V331" s="627"/>
      <c r="W331" s="627"/>
      <c r="X331" s="627"/>
      <c r="Y331" s="630" t="s">
        <v>268</v>
      </c>
      <c r="Z331" s="630">
        <f ca="1">IF(Z329&lt;&gt;0,1,0)</f>
        <v>0</v>
      </c>
      <c r="AA331" s="627" t="s">
        <v>243</v>
      </c>
      <c r="AB331" s="627"/>
      <c r="AC331" s="627"/>
      <c r="AD331" s="627"/>
      <c r="AE331" s="627"/>
      <c r="AF331" s="627"/>
      <c r="AG331" s="627"/>
      <c r="AH331" s="627"/>
    </row>
    <row r="332" spans="1:34" hidden="1" x14ac:dyDescent="0.35">
      <c r="A332" s="988"/>
      <c r="B332" s="627"/>
      <c r="C332" s="627"/>
      <c r="D332" s="627"/>
      <c r="E332" s="627"/>
      <c r="F332" s="627"/>
      <c r="G332" s="627"/>
      <c r="H332" s="627"/>
      <c r="I332" s="627"/>
      <c r="J332" s="627"/>
      <c r="K332" s="627"/>
      <c r="L332" s="627"/>
      <c r="M332" s="627"/>
      <c r="N332" s="627"/>
      <c r="O332" s="627"/>
      <c r="P332" s="627"/>
      <c r="Q332" s="719"/>
      <c r="R332" s="627"/>
      <c r="S332" s="627"/>
      <c r="T332" s="627"/>
      <c r="U332" s="627"/>
      <c r="V332" s="627"/>
      <c r="W332" s="627"/>
      <c r="X332" s="627"/>
      <c r="Y332" s="627"/>
      <c r="Z332" s="627"/>
      <c r="AA332" s="627"/>
      <c r="AB332" s="627"/>
      <c r="AC332" s="627"/>
      <c r="AD332" s="627"/>
      <c r="AE332" s="627"/>
      <c r="AF332" s="627"/>
      <c r="AG332" s="627"/>
      <c r="AH332" s="627"/>
    </row>
    <row r="333" spans="1:34" hidden="1" x14ac:dyDescent="0.35">
      <c r="A333" s="988"/>
      <c r="B333" s="627"/>
      <c r="C333" s="627"/>
      <c r="D333" s="627"/>
      <c r="E333" s="627"/>
      <c r="F333" s="627"/>
      <c r="G333" s="627"/>
      <c r="H333" s="627"/>
      <c r="I333" s="627"/>
      <c r="J333" s="627"/>
      <c r="K333" s="627"/>
      <c r="L333" s="627"/>
      <c r="M333" s="627"/>
      <c r="N333" s="627"/>
      <c r="O333" s="627"/>
      <c r="P333" s="627"/>
      <c r="Q333" s="719"/>
      <c r="R333" s="627"/>
      <c r="S333" s="627"/>
      <c r="T333" s="627"/>
      <c r="U333" s="627"/>
      <c r="V333" s="627"/>
      <c r="W333" s="627"/>
      <c r="X333" s="627"/>
      <c r="Y333" s="627"/>
      <c r="Z333" s="627"/>
      <c r="AA333" s="627"/>
      <c r="AB333" s="627"/>
      <c r="AC333" s="627"/>
      <c r="AD333" s="627"/>
      <c r="AE333" s="627"/>
      <c r="AF333" s="627"/>
      <c r="AG333" s="627"/>
      <c r="AH333" s="627"/>
    </row>
    <row r="334" spans="1:34" hidden="1" x14ac:dyDescent="0.35">
      <c r="A334" s="988"/>
      <c r="B334" s="627"/>
      <c r="C334" s="627"/>
      <c r="D334" s="627"/>
      <c r="E334" s="627"/>
      <c r="F334" s="627"/>
      <c r="G334" s="627"/>
      <c r="H334" s="627"/>
      <c r="I334" s="627"/>
      <c r="J334" s="627"/>
      <c r="K334" s="627"/>
      <c r="L334" s="627"/>
      <c r="M334" s="627"/>
      <c r="N334" s="627"/>
      <c r="O334" s="627"/>
      <c r="P334" s="627"/>
      <c r="Q334" s="719"/>
      <c r="R334" s="627"/>
      <c r="S334" s="627"/>
      <c r="T334" s="627"/>
      <c r="U334" s="627"/>
      <c r="V334" s="627"/>
      <c r="W334" s="627"/>
      <c r="X334" s="627"/>
      <c r="Y334" s="627"/>
      <c r="Z334" s="627"/>
      <c r="AA334" s="627"/>
      <c r="AB334" s="627"/>
      <c r="AC334" s="627"/>
      <c r="AD334" s="627"/>
      <c r="AE334" s="627"/>
      <c r="AF334" s="627"/>
      <c r="AG334" s="627"/>
      <c r="AH334" s="627"/>
    </row>
    <row r="335" spans="1:34" hidden="1" x14ac:dyDescent="0.35">
      <c r="A335" s="988"/>
      <c r="B335" s="627"/>
      <c r="C335" s="627"/>
      <c r="D335" s="627"/>
      <c r="E335" s="627"/>
      <c r="F335" s="627"/>
      <c r="G335" s="627"/>
      <c r="H335" s="627"/>
      <c r="I335" s="627"/>
      <c r="J335" s="627"/>
      <c r="K335" s="627"/>
      <c r="L335" s="627"/>
      <c r="M335" s="627"/>
      <c r="N335" s="627"/>
      <c r="O335" s="627"/>
      <c r="P335" s="627"/>
      <c r="Q335" s="719"/>
      <c r="R335" s="627"/>
      <c r="S335" s="627"/>
      <c r="T335" s="627"/>
      <c r="U335" s="627"/>
      <c r="V335" s="627"/>
      <c r="W335" s="627"/>
      <c r="X335" s="627"/>
      <c r="Y335" s="627"/>
      <c r="Z335" s="627"/>
      <c r="AA335" s="627"/>
      <c r="AB335" s="627"/>
      <c r="AC335" s="627"/>
      <c r="AD335" s="627"/>
      <c r="AE335" s="627"/>
      <c r="AF335" s="627"/>
      <c r="AG335" s="627"/>
      <c r="AH335" s="627"/>
    </row>
    <row r="336" spans="1:34" hidden="1" x14ac:dyDescent="0.35">
      <c r="A336" s="988"/>
      <c r="B336" s="627"/>
      <c r="C336" s="627"/>
      <c r="D336" s="627"/>
      <c r="E336" s="627"/>
      <c r="F336" s="627"/>
      <c r="G336" s="627"/>
      <c r="H336" s="627"/>
      <c r="I336" s="627"/>
      <c r="J336" s="627"/>
      <c r="K336" s="627"/>
      <c r="L336" s="627"/>
      <c r="M336" s="627"/>
      <c r="N336" s="627"/>
      <c r="O336" s="627"/>
      <c r="P336" s="627"/>
      <c r="Q336" s="719"/>
      <c r="R336" s="627"/>
      <c r="S336" s="627"/>
      <c r="T336" s="627"/>
      <c r="U336" s="627"/>
      <c r="V336" s="627"/>
      <c r="W336" s="627"/>
      <c r="X336" s="627"/>
      <c r="Y336" s="627"/>
      <c r="Z336" s="627"/>
      <c r="AA336" s="627"/>
      <c r="AB336" s="627"/>
      <c r="AC336" s="627"/>
      <c r="AD336" s="627"/>
      <c r="AE336" s="627"/>
      <c r="AF336" s="627"/>
      <c r="AG336" s="627"/>
      <c r="AH336" s="627"/>
    </row>
    <row r="337" spans="1:34" hidden="1" x14ac:dyDescent="0.35">
      <c r="A337" s="988"/>
      <c r="B337" s="627"/>
      <c r="C337" s="627"/>
      <c r="D337" s="627"/>
      <c r="E337" s="627"/>
      <c r="F337" s="627"/>
      <c r="G337" s="627"/>
      <c r="H337" s="627"/>
      <c r="I337" s="627"/>
      <c r="J337" s="627"/>
      <c r="K337" s="627"/>
      <c r="L337" s="627"/>
      <c r="M337" s="627"/>
      <c r="N337" s="627"/>
      <c r="O337" s="627"/>
      <c r="P337" s="627"/>
      <c r="Q337" s="719"/>
      <c r="R337" s="627"/>
      <c r="S337" s="627"/>
      <c r="T337" s="627"/>
      <c r="U337" s="627"/>
      <c r="V337" s="627"/>
      <c r="W337" s="627"/>
      <c r="X337" s="627"/>
      <c r="Y337" s="627"/>
      <c r="Z337" s="627"/>
      <c r="AA337" s="627"/>
      <c r="AB337" s="627"/>
      <c r="AC337" s="627"/>
      <c r="AD337" s="627"/>
      <c r="AE337" s="627"/>
      <c r="AF337" s="627"/>
      <c r="AG337" s="627"/>
      <c r="AH337" s="627"/>
    </row>
    <row r="338" spans="1:34" hidden="1" x14ac:dyDescent="0.35">
      <c r="A338" s="988"/>
      <c r="B338" s="627"/>
      <c r="C338" s="627"/>
      <c r="D338" s="627"/>
      <c r="E338" s="627"/>
      <c r="F338" s="627"/>
      <c r="G338" s="627"/>
      <c r="H338" s="627"/>
      <c r="I338" s="627"/>
      <c r="J338" s="627"/>
      <c r="K338" s="627"/>
      <c r="L338" s="627"/>
      <c r="M338" s="627"/>
      <c r="N338" s="627"/>
      <c r="O338" s="627"/>
      <c r="P338" s="627"/>
      <c r="Q338" s="719"/>
      <c r="R338" s="627"/>
      <c r="S338" s="627"/>
      <c r="T338" s="627"/>
      <c r="U338" s="627"/>
      <c r="V338" s="627"/>
      <c r="W338" s="627"/>
      <c r="X338" s="627"/>
      <c r="Y338" s="627"/>
      <c r="Z338" s="627"/>
      <c r="AA338" s="627"/>
      <c r="AB338" s="627"/>
      <c r="AC338" s="627"/>
      <c r="AD338" s="627"/>
      <c r="AE338" s="627"/>
      <c r="AF338" s="627"/>
      <c r="AG338" s="627"/>
      <c r="AH338" s="627"/>
    </row>
    <row r="339" spans="1:34" hidden="1" x14ac:dyDescent="0.35">
      <c r="A339" s="988"/>
      <c r="B339" s="627"/>
      <c r="C339" s="627"/>
      <c r="D339" s="627"/>
      <c r="E339" s="627"/>
      <c r="F339" s="627"/>
      <c r="G339" s="627"/>
      <c r="H339" s="627"/>
      <c r="I339" s="627"/>
      <c r="J339" s="627"/>
      <c r="K339" s="627"/>
      <c r="L339" s="627"/>
      <c r="M339" s="627"/>
      <c r="N339" s="627"/>
      <c r="O339" s="627"/>
      <c r="P339" s="627"/>
      <c r="Q339" s="719"/>
      <c r="R339" s="627"/>
      <c r="S339" s="627"/>
      <c r="T339" s="627"/>
      <c r="U339" s="627"/>
      <c r="V339" s="627"/>
      <c r="W339" s="627"/>
      <c r="X339" s="627"/>
      <c r="Y339" s="627"/>
      <c r="Z339" s="627"/>
      <c r="AA339" s="627"/>
      <c r="AB339" s="627"/>
      <c r="AC339" s="627"/>
      <c r="AD339" s="627"/>
      <c r="AE339" s="627"/>
      <c r="AF339" s="627"/>
      <c r="AG339" s="627"/>
      <c r="AH339" s="627"/>
    </row>
    <row r="340" spans="1:34" hidden="1" x14ac:dyDescent="0.35">
      <c r="A340" s="988"/>
      <c r="B340" s="627"/>
      <c r="C340" s="627"/>
      <c r="D340" s="627"/>
      <c r="E340" s="627"/>
      <c r="F340" s="627"/>
      <c r="G340" s="627"/>
      <c r="H340" s="627"/>
      <c r="I340" s="627"/>
      <c r="J340" s="627"/>
      <c r="K340" s="627"/>
      <c r="L340" s="627"/>
      <c r="M340" s="627"/>
      <c r="N340" s="627"/>
      <c r="O340" s="627"/>
      <c r="P340" s="627"/>
      <c r="Q340" s="719"/>
      <c r="R340" s="627"/>
      <c r="S340" s="627"/>
      <c r="T340" s="627"/>
      <c r="U340" s="627"/>
      <c r="V340" s="627"/>
      <c r="W340" s="627"/>
      <c r="X340" s="627"/>
      <c r="Y340" s="627"/>
      <c r="Z340" s="627"/>
      <c r="AA340" s="627"/>
      <c r="AB340" s="627"/>
      <c r="AC340" s="627"/>
      <c r="AD340" s="627"/>
      <c r="AE340" s="627"/>
      <c r="AF340" s="627"/>
      <c r="AG340" s="627"/>
      <c r="AH340" s="627"/>
    </row>
    <row r="341" spans="1:34" hidden="1" x14ac:dyDescent="0.35">
      <c r="A341" s="988"/>
      <c r="B341" s="627"/>
      <c r="C341" s="627"/>
      <c r="D341" s="627"/>
      <c r="E341" s="627"/>
      <c r="F341" s="627"/>
      <c r="G341" s="627"/>
      <c r="H341" s="627"/>
      <c r="I341" s="627"/>
      <c r="J341" s="627"/>
      <c r="K341" s="627"/>
      <c r="L341" s="627"/>
      <c r="M341" s="627"/>
      <c r="N341" s="627"/>
      <c r="O341" s="627"/>
      <c r="P341" s="627"/>
      <c r="Q341" s="719"/>
      <c r="R341" s="627"/>
      <c r="S341" s="627"/>
      <c r="T341" s="627"/>
      <c r="U341" s="627"/>
      <c r="V341" s="627"/>
      <c r="W341" s="627"/>
      <c r="X341" s="627"/>
      <c r="Y341" s="627"/>
      <c r="Z341" s="627"/>
      <c r="AA341" s="627"/>
      <c r="AB341" s="627"/>
      <c r="AC341" s="627"/>
      <c r="AD341" s="627"/>
      <c r="AE341" s="627"/>
      <c r="AF341" s="627"/>
      <c r="AG341" s="627"/>
      <c r="AH341" s="627"/>
    </row>
    <row r="342" spans="1:34" hidden="1" x14ac:dyDescent="0.35">
      <c r="A342" s="988"/>
      <c r="B342" s="627"/>
      <c r="C342" s="627"/>
      <c r="D342" s="627"/>
      <c r="E342" s="627"/>
      <c r="F342" s="627"/>
      <c r="G342" s="627"/>
      <c r="H342" s="627"/>
      <c r="I342" s="627"/>
      <c r="J342" s="627"/>
      <c r="K342" s="627"/>
      <c r="L342" s="627"/>
      <c r="M342" s="627"/>
      <c r="N342" s="627"/>
      <c r="O342" s="627"/>
      <c r="P342" s="627"/>
      <c r="Q342" s="719"/>
      <c r="R342" s="627"/>
      <c r="S342" s="627"/>
      <c r="T342" s="627"/>
      <c r="U342" s="627"/>
      <c r="V342" s="627"/>
      <c r="W342" s="627"/>
      <c r="X342" s="627"/>
      <c r="Y342" s="627"/>
      <c r="Z342" s="627"/>
      <c r="AA342" s="627"/>
      <c r="AB342" s="627"/>
      <c r="AC342" s="627"/>
      <c r="AD342" s="627"/>
      <c r="AE342" s="627"/>
      <c r="AF342" s="627"/>
      <c r="AG342" s="627"/>
      <c r="AH342" s="627"/>
    </row>
    <row r="343" spans="1:34" hidden="1" x14ac:dyDescent="0.35">
      <c r="A343" s="988"/>
      <c r="B343" s="627"/>
      <c r="C343" s="627"/>
      <c r="D343" s="627"/>
      <c r="E343" s="627"/>
      <c r="F343" s="627"/>
      <c r="G343" s="627"/>
      <c r="H343" s="627"/>
      <c r="I343" s="627"/>
      <c r="J343" s="627"/>
      <c r="K343" s="627"/>
      <c r="L343" s="627"/>
      <c r="M343" s="627"/>
      <c r="N343" s="627"/>
      <c r="O343" s="627"/>
      <c r="P343" s="627"/>
      <c r="Q343" s="719"/>
      <c r="R343" s="627"/>
      <c r="S343" s="627"/>
      <c r="T343" s="627"/>
      <c r="U343" s="627"/>
      <c r="V343" s="627"/>
      <c r="W343" s="627"/>
      <c r="X343" s="627"/>
      <c r="Y343" s="627"/>
      <c r="Z343" s="627"/>
      <c r="AA343" s="627"/>
      <c r="AB343" s="627"/>
      <c r="AC343" s="627"/>
      <c r="AD343" s="627"/>
      <c r="AE343" s="627"/>
      <c r="AF343" s="627"/>
      <c r="AG343" s="627"/>
      <c r="AH343" s="627"/>
    </row>
    <row r="344" spans="1:34" hidden="1" x14ac:dyDescent="0.35">
      <c r="A344" s="988"/>
      <c r="B344" s="627"/>
      <c r="C344" s="627"/>
      <c r="D344" s="627"/>
      <c r="E344" s="627"/>
      <c r="F344" s="627"/>
      <c r="G344" s="627"/>
      <c r="H344" s="627"/>
      <c r="I344" s="627"/>
      <c r="J344" s="627"/>
      <c r="K344" s="627"/>
      <c r="L344" s="627"/>
      <c r="M344" s="627"/>
      <c r="N344" s="627"/>
      <c r="O344" s="627"/>
      <c r="P344" s="627"/>
      <c r="Q344" s="719"/>
      <c r="R344" s="627"/>
      <c r="S344" s="627"/>
      <c r="T344" s="627"/>
      <c r="U344" s="627"/>
      <c r="V344" s="627"/>
      <c r="W344" s="627"/>
      <c r="X344" s="627"/>
      <c r="Y344" s="627"/>
      <c r="Z344" s="627"/>
      <c r="AA344" s="627"/>
      <c r="AB344" s="627"/>
      <c r="AC344" s="627"/>
      <c r="AD344" s="627"/>
      <c r="AE344" s="627"/>
      <c r="AF344" s="627"/>
      <c r="AG344" s="627"/>
      <c r="AH344" s="627"/>
    </row>
    <row r="345" spans="1:34" hidden="1" x14ac:dyDescent="0.35">
      <c r="A345" s="988"/>
      <c r="B345" s="627"/>
      <c r="C345" s="627"/>
      <c r="D345" s="627"/>
      <c r="E345" s="627"/>
      <c r="F345" s="627"/>
      <c r="G345" s="627"/>
      <c r="H345" s="627"/>
      <c r="I345" s="627"/>
      <c r="J345" s="627"/>
      <c r="K345" s="627"/>
      <c r="L345" s="627"/>
      <c r="M345" s="627"/>
      <c r="N345" s="627"/>
      <c r="O345" s="627"/>
      <c r="P345" s="627"/>
      <c r="Q345" s="719"/>
      <c r="R345" s="627"/>
      <c r="S345" s="627"/>
      <c r="T345" s="627"/>
      <c r="U345" s="627"/>
      <c r="V345" s="627"/>
      <c r="W345" s="627"/>
      <c r="X345" s="627"/>
      <c r="Y345" s="627"/>
      <c r="Z345" s="627"/>
      <c r="AA345" s="627"/>
      <c r="AB345" s="627"/>
      <c r="AC345" s="627"/>
      <c r="AD345" s="627"/>
      <c r="AE345" s="627"/>
      <c r="AF345" s="627"/>
      <c r="AG345" s="627"/>
      <c r="AH345" s="627"/>
    </row>
    <row r="346" spans="1:34" hidden="1" x14ac:dyDescent="0.35">
      <c r="A346" s="988"/>
      <c r="B346" s="627"/>
      <c r="C346" s="627"/>
      <c r="D346" s="627"/>
      <c r="E346" s="627"/>
      <c r="F346" s="627"/>
      <c r="G346" s="627"/>
      <c r="H346" s="627"/>
      <c r="I346" s="627"/>
      <c r="J346" s="627"/>
      <c r="K346" s="627"/>
      <c r="L346" s="627"/>
      <c r="M346" s="627"/>
      <c r="N346" s="627"/>
      <c r="O346" s="627"/>
      <c r="P346" s="627"/>
      <c r="Q346" s="719"/>
      <c r="R346" s="627"/>
      <c r="S346" s="627"/>
      <c r="T346" s="627"/>
      <c r="U346" s="627"/>
      <c r="V346" s="627"/>
      <c r="W346" s="627"/>
      <c r="X346" s="627"/>
      <c r="Y346" s="627"/>
      <c r="Z346" s="627"/>
      <c r="AA346" s="627"/>
      <c r="AB346" s="627"/>
      <c r="AC346" s="627"/>
      <c r="AD346" s="627"/>
      <c r="AE346" s="627"/>
      <c r="AF346" s="627"/>
      <c r="AG346" s="627"/>
      <c r="AH346" s="627"/>
    </row>
    <row r="347" spans="1:34" hidden="1" x14ac:dyDescent="0.35">
      <c r="A347" s="988"/>
      <c r="B347" s="627"/>
      <c r="C347" s="627"/>
      <c r="D347" s="627"/>
      <c r="E347" s="627"/>
      <c r="F347" s="627"/>
      <c r="G347" s="627"/>
      <c r="H347" s="627"/>
      <c r="I347" s="627"/>
      <c r="J347" s="627"/>
      <c r="K347" s="627"/>
      <c r="L347" s="627"/>
      <c r="M347" s="627"/>
      <c r="N347" s="627"/>
      <c r="O347" s="627"/>
      <c r="P347" s="627"/>
      <c r="Q347" s="719"/>
      <c r="R347" s="627"/>
      <c r="S347" s="627"/>
      <c r="T347" s="627"/>
      <c r="U347" s="627"/>
      <c r="V347" s="627"/>
      <c r="W347" s="627"/>
      <c r="X347" s="627"/>
      <c r="Y347" s="627"/>
      <c r="Z347" s="627"/>
      <c r="AA347" s="627"/>
      <c r="AB347" s="627"/>
      <c r="AC347" s="627"/>
      <c r="AD347" s="627"/>
      <c r="AE347" s="627"/>
      <c r="AF347" s="627"/>
      <c r="AG347" s="627"/>
      <c r="AH347" s="627"/>
    </row>
    <row r="348" spans="1:34" hidden="1" x14ac:dyDescent="0.35">
      <c r="A348" s="988"/>
      <c r="B348" s="627"/>
      <c r="C348" s="627"/>
      <c r="D348" s="627"/>
      <c r="E348" s="627"/>
      <c r="F348" s="627"/>
      <c r="G348" s="627"/>
      <c r="H348" s="627"/>
      <c r="I348" s="627"/>
      <c r="J348" s="627"/>
      <c r="K348" s="627"/>
      <c r="L348" s="627"/>
      <c r="M348" s="627"/>
      <c r="N348" s="627"/>
      <c r="O348" s="627"/>
      <c r="P348" s="627"/>
      <c r="Q348" s="719"/>
      <c r="R348" s="627"/>
      <c r="S348" s="627"/>
      <c r="T348" s="627"/>
      <c r="U348" s="627"/>
      <c r="V348" s="627"/>
      <c r="W348" s="627"/>
      <c r="X348" s="627"/>
      <c r="Y348" s="627"/>
      <c r="Z348" s="627"/>
      <c r="AA348" s="627"/>
      <c r="AB348" s="627"/>
      <c r="AC348" s="627"/>
      <c r="AD348" s="627"/>
      <c r="AE348" s="627"/>
      <c r="AF348" s="627"/>
      <c r="AG348" s="627"/>
      <c r="AH348" s="627"/>
    </row>
    <row r="349" spans="1:34" hidden="1" x14ac:dyDescent="0.35">
      <c r="A349" s="988"/>
      <c r="B349" s="627"/>
      <c r="C349" s="627"/>
      <c r="D349" s="627"/>
      <c r="E349" s="627"/>
      <c r="F349" s="627"/>
      <c r="G349" s="627"/>
      <c r="H349" s="627"/>
      <c r="I349" s="627"/>
      <c r="J349" s="627"/>
      <c r="K349" s="627"/>
      <c r="L349" s="627"/>
      <c r="M349" s="627"/>
      <c r="N349" s="627"/>
      <c r="O349" s="627"/>
      <c r="P349" s="627"/>
      <c r="Q349" s="719"/>
      <c r="R349" s="627"/>
      <c r="S349" s="627"/>
      <c r="T349" s="627"/>
      <c r="U349" s="627"/>
      <c r="V349" s="627"/>
      <c r="W349" s="627"/>
      <c r="X349" s="627"/>
      <c r="Y349" s="627"/>
      <c r="Z349" s="627"/>
      <c r="AA349" s="627"/>
      <c r="AB349" s="627"/>
      <c r="AC349" s="627"/>
      <c r="AD349" s="627"/>
      <c r="AE349" s="627"/>
      <c r="AF349" s="627"/>
      <c r="AG349" s="627"/>
      <c r="AH349" s="627"/>
    </row>
    <row r="350" spans="1:34" hidden="1" x14ac:dyDescent="0.35">
      <c r="A350" s="988"/>
      <c r="B350" s="627"/>
      <c r="C350" s="627"/>
      <c r="D350" s="627"/>
      <c r="E350" s="627"/>
      <c r="F350" s="627"/>
      <c r="G350" s="627"/>
      <c r="H350" s="627"/>
      <c r="I350" s="627"/>
      <c r="J350" s="627"/>
      <c r="K350" s="627"/>
      <c r="L350" s="627"/>
      <c r="M350" s="627"/>
      <c r="N350" s="627"/>
      <c r="O350" s="627"/>
      <c r="P350" s="627"/>
      <c r="Q350" s="719"/>
      <c r="R350" s="627"/>
      <c r="S350" s="627"/>
      <c r="T350" s="627"/>
      <c r="U350" s="627"/>
      <c r="V350" s="627"/>
      <c r="W350" s="627"/>
      <c r="X350" s="627"/>
      <c r="Y350" s="627"/>
      <c r="Z350" s="627"/>
      <c r="AA350" s="627"/>
      <c r="AB350" s="627"/>
      <c r="AC350" s="627"/>
      <c r="AD350" s="627"/>
      <c r="AE350" s="627"/>
      <c r="AF350" s="627"/>
      <c r="AG350" s="627"/>
      <c r="AH350" s="627"/>
    </row>
    <row r="351" spans="1:34" hidden="1" x14ac:dyDescent="0.35">
      <c r="A351" s="988"/>
      <c r="B351" s="627"/>
      <c r="C351" s="627"/>
      <c r="D351" s="627"/>
      <c r="E351" s="627"/>
      <c r="F351" s="627"/>
      <c r="G351" s="627"/>
      <c r="H351" s="627"/>
      <c r="I351" s="627"/>
      <c r="J351" s="627"/>
      <c r="K351" s="627"/>
      <c r="L351" s="627"/>
      <c r="M351" s="627"/>
      <c r="N351" s="627"/>
      <c r="O351" s="627"/>
      <c r="P351" s="627"/>
      <c r="Q351" s="719"/>
      <c r="R351" s="627"/>
      <c r="S351" s="627"/>
      <c r="T351" s="627"/>
      <c r="U351" s="627"/>
      <c r="V351" s="627"/>
      <c r="W351" s="627"/>
      <c r="X351" s="627"/>
      <c r="Y351" s="627"/>
      <c r="Z351" s="627"/>
      <c r="AA351" s="627"/>
      <c r="AB351" s="627"/>
      <c r="AC351" s="627"/>
      <c r="AD351" s="627"/>
      <c r="AE351" s="627"/>
      <c r="AF351" s="627"/>
      <c r="AG351" s="627"/>
      <c r="AH351" s="627"/>
    </row>
    <row r="352" spans="1:34" hidden="1" x14ac:dyDescent="0.35">
      <c r="A352" s="988"/>
      <c r="B352" s="627"/>
      <c r="C352" s="627"/>
      <c r="D352" s="627"/>
      <c r="E352" s="627"/>
      <c r="F352" s="627"/>
      <c r="G352" s="627"/>
      <c r="H352" s="627"/>
      <c r="I352" s="627"/>
      <c r="J352" s="627"/>
      <c r="K352" s="627"/>
      <c r="L352" s="627"/>
      <c r="M352" s="627"/>
      <c r="N352" s="627"/>
      <c r="O352" s="627"/>
      <c r="P352" s="627"/>
      <c r="Q352" s="719"/>
      <c r="R352" s="627"/>
      <c r="S352" s="627"/>
      <c r="T352" s="627"/>
      <c r="U352" s="627"/>
      <c r="V352" s="627"/>
      <c r="W352" s="627"/>
      <c r="X352" s="627"/>
      <c r="Y352" s="627"/>
      <c r="Z352" s="627"/>
      <c r="AA352" s="627"/>
      <c r="AB352" s="627"/>
      <c r="AC352" s="627"/>
      <c r="AD352" s="627"/>
      <c r="AE352" s="627"/>
      <c r="AF352" s="627"/>
      <c r="AG352" s="627"/>
      <c r="AH352" s="627"/>
    </row>
    <row r="353" spans="1:22" hidden="1" x14ac:dyDescent="0.35">
      <c r="A353" s="988"/>
      <c r="B353" s="627"/>
      <c r="C353" s="627"/>
      <c r="D353" s="627"/>
      <c r="E353" s="627"/>
      <c r="F353" s="627"/>
      <c r="G353" s="627"/>
      <c r="H353" s="627"/>
      <c r="I353" s="627"/>
      <c r="J353" s="627"/>
      <c r="K353" s="627"/>
      <c r="L353" s="627"/>
      <c r="M353" s="627"/>
      <c r="N353" s="627"/>
      <c r="O353" s="627"/>
      <c r="P353" s="627"/>
      <c r="Q353" s="719"/>
      <c r="R353" s="627"/>
      <c r="S353" s="627"/>
      <c r="T353" s="627"/>
      <c r="U353" s="627"/>
      <c r="V353" s="627"/>
    </row>
    <row r="354" spans="1:22" hidden="1" x14ac:dyDescent="0.35">
      <c r="A354" s="988"/>
      <c r="B354" s="627"/>
      <c r="C354" s="627"/>
      <c r="D354" s="627"/>
      <c r="E354" s="627"/>
      <c r="F354" s="627"/>
      <c r="G354" s="627"/>
      <c r="H354" s="627"/>
      <c r="I354" s="627"/>
      <c r="J354" s="627"/>
      <c r="K354" s="627"/>
      <c r="L354" s="627"/>
      <c r="M354" s="627"/>
      <c r="N354" s="627"/>
      <c r="O354" s="627"/>
      <c r="P354" s="627"/>
      <c r="Q354" s="719"/>
      <c r="R354" s="627"/>
      <c r="S354" s="627"/>
      <c r="T354" s="627"/>
      <c r="U354" s="627"/>
      <c r="V354" s="627"/>
    </row>
    <row r="355" spans="1:22" hidden="1" x14ac:dyDescent="0.35">
      <c r="A355" s="988"/>
      <c r="B355" s="627"/>
      <c r="C355" s="627"/>
      <c r="D355" s="627"/>
      <c r="E355" s="627"/>
      <c r="F355" s="627"/>
      <c r="G355" s="627"/>
      <c r="H355" s="627"/>
      <c r="I355" s="627"/>
      <c r="J355" s="627"/>
      <c r="K355" s="627"/>
      <c r="L355" s="627"/>
      <c r="M355" s="627"/>
      <c r="N355" s="627"/>
      <c r="O355" s="627"/>
      <c r="P355" s="627"/>
      <c r="Q355" s="719"/>
      <c r="R355" s="627"/>
      <c r="S355" s="627"/>
      <c r="T355" s="627"/>
      <c r="U355" s="627"/>
      <c r="V355" s="627"/>
    </row>
    <row r="356" spans="1:22" hidden="1" x14ac:dyDescent="0.35">
      <c r="A356" s="988"/>
      <c r="B356" s="627"/>
      <c r="C356" s="627"/>
      <c r="D356" s="627"/>
      <c r="E356" s="627"/>
      <c r="F356" s="627"/>
      <c r="G356" s="627"/>
      <c r="H356" s="627"/>
      <c r="I356" s="627"/>
      <c r="J356" s="627"/>
      <c r="K356" s="627"/>
      <c r="L356" s="627"/>
      <c r="M356" s="627"/>
      <c r="N356" s="627"/>
      <c r="O356" s="627"/>
      <c r="P356" s="627"/>
      <c r="Q356" s="719"/>
      <c r="R356" s="627"/>
      <c r="S356" s="627"/>
      <c r="T356" s="627"/>
      <c r="U356" s="627"/>
      <c r="V356" s="627"/>
    </row>
    <row r="357" spans="1:22" hidden="1" x14ac:dyDescent="0.35">
      <c r="A357" s="988"/>
      <c r="B357" s="627"/>
      <c r="C357" s="627"/>
      <c r="D357" s="627"/>
      <c r="E357" s="627"/>
      <c r="F357" s="627"/>
      <c r="G357" s="627"/>
      <c r="H357" s="627"/>
      <c r="I357" s="627"/>
      <c r="J357" s="627"/>
      <c r="K357" s="627"/>
      <c r="L357" s="627"/>
      <c r="M357" s="627"/>
      <c r="N357" s="627"/>
      <c r="O357" s="627"/>
      <c r="P357" s="627"/>
      <c r="Q357" s="719"/>
      <c r="R357" s="627"/>
      <c r="S357" s="627"/>
      <c r="T357" s="627"/>
      <c r="U357" s="627"/>
      <c r="V357" s="627"/>
    </row>
    <row r="358" spans="1:22" hidden="1" x14ac:dyDescent="0.35">
      <c r="A358" s="636"/>
      <c r="B358" s="652"/>
      <c r="C358" s="992"/>
      <c r="D358" s="992"/>
      <c r="E358" s="992"/>
      <c r="F358" s="992"/>
      <c r="G358" s="652"/>
      <c r="H358" s="652"/>
      <c r="I358" s="652"/>
      <c r="J358" s="627"/>
      <c r="K358" s="652"/>
      <c r="L358" s="652"/>
      <c r="M358" s="652"/>
      <c r="N358" s="652"/>
      <c r="O358" s="652"/>
      <c r="P358" s="652"/>
      <c r="Q358" s="987"/>
      <c r="R358" s="627"/>
      <c r="S358" s="627"/>
      <c r="T358" s="627"/>
      <c r="U358" s="627"/>
      <c r="V358" s="1065"/>
    </row>
    <row r="359" spans="1:22" hidden="1" x14ac:dyDescent="0.35">
      <c r="A359" s="988"/>
      <c r="B359" s="627"/>
      <c r="C359" s="1470" t="s">
        <v>269</v>
      </c>
      <c r="D359" s="1470"/>
      <c r="E359" s="1470"/>
      <c r="F359" s="1470"/>
      <c r="G359" s="1470"/>
      <c r="H359" s="1470"/>
      <c r="I359" s="1470"/>
      <c r="J359" s="948" t="s">
        <v>86</v>
      </c>
      <c r="K359" s="987"/>
      <c r="L359" s="739" t="s">
        <v>87</v>
      </c>
      <c r="M359" s="627"/>
      <c r="N359" s="627"/>
      <c r="O359" s="627"/>
      <c r="P359" s="627"/>
      <c r="Q359" s="719"/>
      <c r="R359" s="627"/>
      <c r="S359" s="627"/>
      <c r="T359" s="627"/>
      <c r="U359" s="627"/>
      <c r="V359" s="1065"/>
    </row>
    <row r="360" spans="1:22" hidden="1" x14ac:dyDescent="0.35">
      <c r="A360" s="988"/>
      <c r="B360" s="627"/>
      <c r="C360" s="1470"/>
      <c r="D360" s="1470"/>
      <c r="E360" s="1470"/>
      <c r="F360" s="1470"/>
      <c r="G360" s="1470"/>
      <c r="H360" s="1470"/>
      <c r="I360" s="1470"/>
      <c r="J360" s="949" t="s">
        <v>89</v>
      </c>
      <c r="K360" s="748"/>
      <c r="L360" s="975" t="s">
        <v>90</v>
      </c>
      <c r="M360" s="627"/>
      <c r="N360" s="627"/>
      <c r="O360" s="627"/>
      <c r="P360" s="627"/>
      <c r="Q360" s="719"/>
      <c r="R360" s="627"/>
      <c r="S360" s="627"/>
      <c r="T360" s="627"/>
      <c r="U360" s="627"/>
      <c r="V360" s="627"/>
    </row>
    <row r="361" spans="1:22" hidden="1" x14ac:dyDescent="0.35">
      <c r="A361" s="988"/>
      <c r="B361" s="627"/>
      <c r="C361" s="740" t="s">
        <v>91</v>
      </c>
      <c r="D361" s="1015"/>
      <c r="E361" s="1016"/>
      <c r="F361" s="1015"/>
      <c r="G361" s="1015"/>
      <c r="H361" s="1015"/>
      <c r="I361" s="1015"/>
      <c r="J361" s="1017">
        <f ca="1">L283*C252/(C253+C255)</f>
        <v>1310.6703084172159</v>
      </c>
      <c r="K361" s="629"/>
      <c r="L361" s="1080">
        <f ca="1">J361+(J361*$L$268/100)</f>
        <v>1593.6559431891146</v>
      </c>
      <c r="M361" s="627" t="s">
        <v>92</v>
      </c>
      <c r="N361" s="627"/>
      <c r="O361" s="627"/>
      <c r="P361" s="627"/>
      <c r="Q361" s="719"/>
      <c r="R361" s="627"/>
      <c r="S361" s="627"/>
      <c r="T361" s="627"/>
      <c r="U361" s="627"/>
      <c r="V361" s="627"/>
    </row>
    <row r="362" spans="1:22" hidden="1" x14ac:dyDescent="0.35">
      <c r="A362" s="988"/>
      <c r="B362" s="627"/>
      <c r="C362" s="740" t="s">
        <v>95</v>
      </c>
      <c r="D362" s="1015"/>
      <c r="E362" s="1016"/>
      <c r="F362" s="1015"/>
      <c r="G362" s="1015"/>
      <c r="H362" s="1015"/>
      <c r="I362" s="1015"/>
      <c r="J362" s="1018">
        <f ca="1">L283*C253/(C253+C255)</f>
        <v>9174.6921589205122</v>
      </c>
      <c r="K362" s="1019"/>
      <c r="L362" s="1080">
        <f ca="1">J362+(J362*$L$268/100)</f>
        <v>11155.591602323804</v>
      </c>
      <c r="M362" s="627" t="s">
        <v>92</v>
      </c>
      <c r="N362" s="627"/>
      <c r="O362" s="761"/>
      <c r="P362" s="627"/>
      <c r="Q362" s="719"/>
      <c r="R362" s="627"/>
      <c r="S362" s="627"/>
      <c r="T362" s="627"/>
      <c r="U362" s="627"/>
      <c r="V362" s="627"/>
    </row>
    <row r="363" spans="1:22" hidden="1" x14ac:dyDescent="0.35">
      <c r="A363" s="988"/>
      <c r="B363" s="627"/>
      <c r="C363" s="740" t="s">
        <v>96</v>
      </c>
      <c r="D363" s="1015"/>
      <c r="E363" s="1016"/>
      <c r="F363" s="1015"/>
      <c r="G363" s="1015"/>
      <c r="H363" s="1015"/>
      <c r="I363" s="1015"/>
      <c r="J363" s="1017">
        <f ca="1">L283*C254/(C253+C255)</f>
        <v>1310.6703084172159</v>
      </c>
      <c r="K363" s="629"/>
      <c r="L363" s="1080">
        <f ca="1">J363+(J363*$L$268/100)</f>
        <v>1593.6559431891146</v>
      </c>
      <c r="M363" s="627" t="s">
        <v>92</v>
      </c>
      <c r="N363" s="627"/>
      <c r="O363" s="627"/>
      <c r="P363" s="627"/>
      <c r="Q363" s="719"/>
      <c r="R363" s="627"/>
      <c r="S363" s="627"/>
      <c r="T363" s="627"/>
      <c r="U363" s="627"/>
      <c r="V363" s="627"/>
    </row>
    <row r="364" spans="1:22" hidden="1" x14ac:dyDescent="0.35">
      <c r="A364" s="988"/>
      <c r="B364" s="627"/>
      <c r="C364" s="740" t="s">
        <v>270</v>
      </c>
      <c r="D364" s="1015"/>
      <c r="E364" s="1016"/>
      <c r="F364" s="1015"/>
      <c r="G364" s="1015"/>
      <c r="H364" s="1015"/>
      <c r="I364" s="1015"/>
      <c r="J364" s="1017">
        <f ca="1">L283*C255/(C253+C255)</f>
        <v>4808.3092294383741</v>
      </c>
      <c r="K364" s="629"/>
      <c r="L364" s="1080">
        <f ca="1">J364+(J364*$L$268/100)</f>
        <v>5846.4669039762048</v>
      </c>
      <c r="M364" s="627" t="s">
        <v>92</v>
      </c>
      <c r="N364" s="627"/>
      <c r="O364" s="627"/>
      <c r="P364" s="627"/>
      <c r="Q364" s="719"/>
      <c r="R364" s="627"/>
      <c r="S364" s="627"/>
      <c r="T364" s="627"/>
      <c r="U364" s="627"/>
      <c r="V364" s="627"/>
    </row>
    <row r="365" spans="1:22" hidden="1" x14ac:dyDescent="0.35">
      <c r="A365" s="988"/>
      <c r="B365" s="627"/>
      <c r="C365" s="627"/>
      <c r="D365" s="627"/>
      <c r="E365" s="627"/>
      <c r="F365" s="627"/>
      <c r="G365" s="627"/>
      <c r="H365" s="627"/>
      <c r="I365" s="627"/>
      <c r="J365" s="627"/>
      <c r="K365" s="627"/>
      <c r="L365" s="627"/>
      <c r="M365" s="627"/>
      <c r="N365" s="627"/>
      <c r="O365" s="627"/>
      <c r="P365" s="627"/>
      <c r="Q365" s="719"/>
      <c r="R365" s="627"/>
      <c r="S365" s="627"/>
      <c r="T365" s="627"/>
      <c r="U365" s="627"/>
      <c r="V365" s="627"/>
    </row>
    <row r="366" spans="1:22" hidden="1" x14ac:dyDescent="0.35">
      <c r="A366" s="988"/>
      <c r="B366" s="627"/>
      <c r="C366" s="1470" t="s">
        <v>271</v>
      </c>
      <c r="D366" s="1470"/>
      <c r="E366" s="1470"/>
      <c r="F366" s="1470"/>
      <c r="G366" s="1470"/>
      <c r="H366" s="1470"/>
      <c r="I366" s="1470"/>
      <c r="J366" s="948" t="s">
        <v>86</v>
      </c>
      <c r="K366" s="987"/>
      <c r="L366" s="739" t="s">
        <v>87</v>
      </c>
      <c r="M366" s="627"/>
      <c r="N366" s="627"/>
      <c r="O366" s="627"/>
      <c r="P366" s="627"/>
      <c r="Q366" s="719"/>
      <c r="R366" s="627"/>
      <c r="S366" s="627"/>
      <c r="T366" s="627"/>
      <c r="U366" s="627"/>
      <c r="V366" s="627"/>
    </row>
    <row r="367" spans="1:22" hidden="1" x14ac:dyDescent="0.35">
      <c r="A367" s="988"/>
      <c r="B367" s="627"/>
      <c r="C367" s="1470"/>
      <c r="D367" s="1470"/>
      <c r="E367" s="1470"/>
      <c r="F367" s="1470"/>
      <c r="G367" s="1470"/>
      <c r="H367" s="1470"/>
      <c r="I367" s="1470"/>
      <c r="J367" s="949" t="s">
        <v>89</v>
      </c>
      <c r="K367" s="748"/>
      <c r="L367" s="975" t="s">
        <v>90</v>
      </c>
      <c r="M367" s="627"/>
      <c r="N367" s="627"/>
      <c r="O367" s="627"/>
      <c r="P367" s="627"/>
      <c r="Q367" s="719"/>
      <c r="R367" s="627"/>
      <c r="S367" s="627"/>
      <c r="T367" s="627"/>
      <c r="U367" s="627"/>
      <c r="V367" s="627"/>
    </row>
    <row r="368" spans="1:22" hidden="1" x14ac:dyDescent="0.35">
      <c r="A368" s="988"/>
      <c r="B368" s="627"/>
      <c r="C368" s="740" t="s">
        <v>91</v>
      </c>
      <c r="D368" s="1015"/>
      <c r="E368" s="1016"/>
      <c r="F368" s="1015"/>
      <c r="G368" s="1015"/>
      <c r="H368" s="1015"/>
      <c r="I368" s="1015"/>
      <c r="J368" s="1081">
        <f ca="1">IF(I15=0,0,J361/$F$132)</f>
        <v>0.30165302060714388</v>
      </c>
      <c r="K368" s="973"/>
      <c r="L368" s="1082">
        <f ca="1">IF(I15=0,0,L361/$F$132)</f>
        <v>0.36678265005641353</v>
      </c>
      <c r="M368" s="627" t="s">
        <v>98</v>
      </c>
      <c r="N368" s="627"/>
      <c r="O368" s="627"/>
      <c r="P368" s="627"/>
      <c r="Q368" s="719"/>
      <c r="R368" s="627"/>
      <c r="S368" s="627"/>
      <c r="T368" s="627"/>
      <c r="U368" s="627"/>
      <c r="V368" s="627"/>
    </row>
    <row r="369" spans="1:22" hidden="1" x14ac:dyDescent="0.35">
      <c r="A369" s="988"/>
      <c r="B369" s="627"/>
      <c r="C369" s="740" t="s">
        <v>95</v>
      </c>
      <c r="D369" s="1015"/>
      <c r="E369" s="1016"/>
      <c r="F369" s="1015"/>
      <c r="G369" s="1015"/>
      <c r="H369" s="1015"/>
      <c r="I369" s="1015"/>
      <c r="J369" s="1081">
        <f ca="1">IF(I15=0,0,J362/$F$132)</f>
        <v>2.1115711442500076</v>
      </c>
      <c r="K369" s="1019"/>
      <c r="L369" s="1082">
        <f ca="1">IF(I15=0,0,L362/$F$132)</f>
        <v>2.5674785503948954</v>
      </c>
      <c r="M369" s="627" t="s">
        <v>98</v>
      </c>
      <c r="N369" s="627"/>
      <c r="O369" s="627"/>
      <c r="P369" s="627"/>
      <c r="Q369" s="719"/>
      <c r="R369" s="627"/>
      <c r="S369" s="627"/>
      <c r="T369" s="627"/>
      <c r="U369" s="627"/>
      <c r="V369" s="627"/>
    </row>
    <row r="370" spans="1:22" hidden="1" x14ac:dyDescent="0.35">
      <c r="A370" s="988"/>
      <c r="B370" s="627"/>
      <c r="C370" s="740" t="s">
        <v>96</v>
      </c>
      <c r="D370" s="1015"/>
      <c r="E370" s="1016"/>
      <c r="F370" s="1015"/>
      <c r="G370" s="1015"/>
      <c r="H370" s="1015"/>
      <c r="I370" s="1015"/>
      <c r="J370" s="1081">
        <f ca="1">IF(I15=0,0,J363/$F$132)</f>
        <v>0.30165302060714388</v>
      </c>
      <c r="K370" s="1019"/>
      <c r="L370" s="1082">
        <f ca="1">IF(I15=0,0,L363/$F$132)</f>
        <v>0.36678265005641353</v>
      </c>
      <c r="M370" s="627" t="s">
        <v>98</v>
      </c>
      <c r="N370" s="627"/>
      <c r="O370" s="627"/>
      <c r="P370" s="627"/>
      <c r="Q370" s="719"/>
      <c r="R370" s="627"/>
      <c r="S370" s="627"/>
      <c r="T370" s="627"/>
      <c r="U370" s="627"/>
      <c r="V370" s="627"/>
    </row>
    <row r="371" spans="1:22" hidden="1" x14ac:dyDescent="0.35">
      <c r="A371" s="988"/>
      <c r="B371" s="627"/>
      <c r="C371" s="740" t="s">
        <v>270</v>
      </c>
      <c r="D371" s="1015"/>
      <c r="E371" s="1016"/>
      <c r="F371" s="1015"/>
      <c r="G371" s="1015"/>
      <c r="H371" s="1015"/>
      <c r="I371" s="1015"/>
      <c r="J371" s="1081">
        <f ca="1">IF(I15=0,0,J364/$F$132)</f>
        <v>1.1066406202677066</v>
      </c>
      <c r="K371" s="629"/>
      <c r="L371" s="1082">
        <f ca="1">IF(I15=0,0,L364/$F$132)</f>
        <v>1.3455743905527795</v>
      </c>
      <c r="M371" s="627" t="s">
        <v>98</v>
      </c>
      <c r="N371" s="627"/>
      <c r="O371" s="627"/>
      <c r="P371" s="627"/>
      <c r="Q371" s="719"/>
      <c r="R371" s="627"/>
      <c r="S371" s="627"/>
      <c r="T371" s="627"/>
      <c r="U371" s="627"/>
      <c r="V371" s="627"/>
    </row>
    <row r="372" spans="1:22" hidden="1" x14ac:dyDescent="0.35">
      <c r="A372" s="988"/>
      <c r="B372" s="627"/>
      <c r="C372" s="627"/>
      <c r="D372" s="627"/>
      <c r="E372" s="688"/>
      <c r="F372" s="627"/>
      <c r="G372" s="627"/>
      <c r="H372" s="627"/>
      <c r="I372" s="1023" t="s">
        <v>99</v>
      </c>
      <c r="J372" s="1024">
        <f ca="1">SUM(J368:J371)</f>
        <v>3.8215178057320021</v>
      </c>
      <c r="K372" s="1025"/>
      <c r="L372" s="1026">
        <f ca="1">SUM(L368:L371)</f>
        <v>4.6466182410605024</v>
      </c>
      <c r="M372" s="1027" t="s">
        <v>98</v>
      </c>
      <c r="N372" s="1027"/>
      <c r="O372" s="627"/>
      <c r="P372" s="627"/>
      <c r="Q372" s="719"/>
      <c r="R372" s="627"/>
      <c r="S372" s="627"/>
      <c r="T372" s="627"/>
      <c r="U372" s="627"/>
      <c r="V372" s="627"/>
    </row>
    <row r="373" spans="1:22" hidden="1" x14ac:dyDescent="0.35">
      <c r="A373" s="988"/>
      <c r="B373" s="627"/>
      <c r="C373" s="627"/>
      <c r="D373" s="627"/>
      <c r="E373" s="627"/>
      <c r="F373" s="627"/>
      <c r="G373" s="627"/>
      <c r="H373" s="627"/>
      <c r="I373" s="627"/>
      <c r="J373" s="627"/>
      <c r="K373" s="627"/>
      <c r="L373" s="627"/>
      <c r="M373" s="627"/>
      <c r="N373" s="627"/>
      <c r="O373" s="627"/>
      <c r="P373" s="627"/>
      <c r="Q373" s="719"/>
      <c r="R373" s="627"/>
      <c r="S373" s="627"/>
      <c r="T373" s="627"/>
      <c r="U373" s="627"/>
      <c r="V373" s="627"/>
    </row>
    <row r="374" spans="1:22" hidden="1" x14ac:dyDescent="0.35">
      <c r="A374" s="988"/>
      <c r="B374" s="627"/>
      <c r="C374" s="1470" t="s">
        <v>272</v>
      </c>
      <c r="D374" s="1470"/>
      <c r="E374" s="1470"/>
      <c r="F374" s="1470"/>
      <c r="G374" s="1470"/>
      <c r="H374" s="1470"/>
      <c r="I374" s="1470"/>
      <c r="J374" s="948" t="s">
        <v>86</v>
      </c>
      <c r="K374" s="987"/>
      <c r="L374" s="739" t="s">
        <v>87</v>
      </c>
      <c r="M374" s="627"/>
      <c r="N374" s="627"/>
      <c r="O374" s="627"/>
      <c r="P374" s="627"/>
      <c r="Q374" s="719"/>
      <c r="R374" s="627"/>
      <c r="S374" s="627"/>
      <c r="T374" s="627"/>
      <c r="U374" s="627"/>
      <c r="V374" s="627"/>
    </row>
    <row r="375" spans="1:22" hidden="1" x14ac:dyDescent="0.35">
      <c r="A375" s="988"/>
      <c r="B375" s="627"/>
      <c r="C375" s="1470"/>
      <c r="D375" s="1470"/>
      <c r="E375" s="1470"/>
      <c r="F375" s="1470"/>
      <c r="G375" s="1470"/>
      <c r="H375" s="1470"/>
      <c r="I375" s="1470"/>
      <c r="J375" s="949" t="s">
        <v>89</v>
      </c>
      <c r="K375" s="748"/>
      <c r="L375" s="975" t="s">
        <v>90</v>
      </c>
      <c r="M375" s="627"/>
      <c r="N375" s="627"/>
      <c r="O375" s="627"/>
      <c r="P375" s="627"/>
      <c r="Q375" s="719"/>
      <c r="R375" s="627"/>
      <c r="S375" s="627"/>
      <c r="T375" s="627"/>
      <c r="U375" s="627"/>
      <c r="V375" s="627"/>
    </row>
    <row r="376" spans="1:22" hidden="1" x14ac:dyDescent="0.35">
      <c r="A376" s="988"/>
      <c r="B376" s="627"/>
      <c r="C376" s="740" t="s">
        <v>91</v>
      </c>
      <c r="D376" s="1015"/>
      <c r="E376" s="1016"/>
      <c r="F376" s="1015"/>
      <c r="G376" s="1015"/>
      <c r="H376" s="1015"/>
      <c r="I376" s="1015"/>
      <c r="J376" s="1081">
        <f ca="1">IF(I15=0,0,J361/$J$290)</f>
        <v>37.447723097634743</v>
      </c>
      <c r="K376" s="973"/>
      <c r="L376" s="1021">
        <f ca="1">IF(I15=0,0,L361/$J$290)</f>
        <v>45.533026948260421</v>
      </c>
      <c r="M376" s="627" t="s">
        <v>273</v>
      </c>
      <c r="N376" s="627"/>
      <c r="O376" s="627"/>
      <c r="P376" s="627"/>
      <c r="Q376" s="719"/>
      <c r="R376" s="627"/>
      <c r="S376" s="627"/>
      <c r="T376" s="627"/>
      <c r="U376" s="627"/>
      <c r="V376" s="627"/>
    </row>
    <row r="377" spans="1:22" hidden="1" x14ac:dyDescent="0.35">
      <c r="A377" s="988"/>
      <c r="B377" s="627"/>
      <c r="C377" s="740" t="s">
        <v>95</v>
      </c>
      <c r="D377" s="1015"/>
      <c r="E377" s="1016"/>
      <c r="F377" s="1015"/>
      <c r="G377" s="1015"/>
      <c r="H377" s="1015"/>
      <c r="I377" s="1015"/>
      <c r="J377" s="1081">
        <f ca="1">IF(I15=0,0,J362/$J$290)</f>
        <v>262.13406168344318</v>
      </c>
      <c r="K377" s="1019"/>
      <c r="L377" s="1021">
        <f ca="1">IF(I15=0,0,L362/$J$290)</f>
        <v>318.73118863782298</v>
      </c>
      <c r="M377" s="627" t="s">
        <v>273</v>
      </c>
      <c r="N377" s="627"/>
      <c r="O377" s="627"/>
      <c r="P377" s="627"/>
      <c r="Q377" s="719"/>
      <c r="R377" s="627"/>
      <c r="S377" s="627"/>
      <c r="T377" s="627"/>
      <c r="U377" s="627"/>
      <c r="V377" s="627"/>
    </row>
    <row r="378" spans="1:22" hidden="1" x14ac:dyDescent="0.35">
      <c r="A378" s="988"/>
      <c r="B378" s="627"/>
      <c r="C378" s="740" t="s">
        <v>96</v>
      </c>
      <c r="D378" s="1015"/>
      <c r="E378" s="1016"/>
      <c r="F378" s="1015"/>
      <c r="G378" s="1015"/>
      <c r="H378" s="1015"/>
      <c r="I378" s="1015"/>
      <c r="J378" s="1081">
        <f ca="1">IF(I15=0,0,J363/$J$290)</f>
        <v>37.447723097634743</v>
      </c>
      <c r="K378" s="1019"/>
      <c r="L378" s="1021">
        <f ca="1">IF(I15=0,0,L363/$J$290)</f>
        <v>45.533026948260421</v>
      </c>
      <c r="M378" s="627" t="s">
        <v>273</v>
      </c>
      <c r="N378" s="627"/>
      <c r="O378" s="627"/>
      <c r="P378" s="627"/>
      <c r="Q378" s="719"/>
      <c r="R378" s="627"/>
      <c r="S378" s="627"/>
      <c r="T378" s="627"/>
      <c r="U378" s="627"/>
      <c r="V378" s="627"/>
    </row>
    <row r="379" spans="1:22" hidden="1" x14ac:dyDescent="0.35">
      <c r="A379" s="988"/>
      <c r="B379" s="627"/>
      <c r="C379" s="740" t="s">
        <v>270</v>
      </c>
      <c r="D379" s="1015"/>
      <c r="E379" s="1016"/>
      <c r="F379" s="1015"/>
      <c r="G379" s="1015"/>
      <c r="H379" s="1015"/>
      <c r="I379" s="1015"/>
      <c r="J379" s="1081">
        <f ca="1">IF(I15=0,0,J364/$J$290)</f>
        <v>137.38026369823925</v>
      </c>
      <c r="K379" s="629"/>
      <c r="L379" s="1021">
        <f ca="1">IF(I15=0,0,L364/$J$290)</f>
        <v>167.04191154217727</v>
      </c>
      <c r="M379" s="627" t="s">
        <v>273</v>
      </c>
      <c r="N379" s="627"/>
      <c r="O379" s="627"/>
      <c r="P379" s="627"/>
      <c r="Q379" s="719"/>
      <c r="R379" s="627"/>
      <c r="S379" s="627"/>
      <c r="T379" s="627"/>
      <c r="U379" s="627"/>
      <c r="V379" s="627"/>
    </row>
    <row r="380" spans="1:22" hidden="1" x14ac:dyDescent="0.35">
      <c r="A380" s="988"/>
      <c r="B380" s="627"/>
      <c r="C380" s="627"/>
      <c r="D380" s="627"/>
      <c r="E380" s="627"/>
      <c r="F380" s="627"/>
      <c r="G380" s="627"/>
      <c r="H380" s="627"/>
      <c r="I380" s="1083" t="s">
        <v>99</v>
      </c>
      <c r="J380" s="1081">
        <f ca="1">SUM(J376:J379)</f>
        <v>474.40977157695193</v>
      </c>
      <c r="K380" s="629"/>
      <c r="L380" s="1082">
        <f ca="1">SUM(L376:L379)</f>
        <v>576.83915407652114</v>
      </c>
      <c r="M380" s="627" t="s">
        <v>273</v>
      </c>
      <c r="N380" s="627"/>
      <c r="O380" s="627"/>
      <c r="P380" s="627"/>
      <c r="Q380" s="719"/>
      <c r="R380" s="627"/>
      <c r="S380" s="627"/>
      <c r="T380" s="627"/>
      <c r="U380" s="627"/>
      <c r="V380" s="627"/>
    </row>
    <row r="381" spans="1:22" hidden="1" x14ac:dyDescent="0.35">
      <c r="A381" s="637"/>
      <c r="B381" s="749"/>
      <c r="C381" s="749"/>
      <c r="D381" s="749"/>
      <c r="E381" s="749"/>
      <c r="F381" s="749"/>
      <c r="G381" s="749"/>
      <c r="H381" s="749"/>
      <c r="I381" s="749"/>
      <c r="J381" s="749"/>
      <c r="K381" s="749"/>
      <c r="L381" s="749"/>
      <c r="M381" s="749"/>
      <c r="N381" s="749"/>
      <c r="O381" s="749"/>
      <c r="P381" s="749"/>
      <c r="Q381" s="748"/>
      <c r="R381" s="627"/>
      <c r="S381" s="627"/>
      <c r="T381" s="627"/>
      <c r="U381" s="627"/>
      <c r="V381" s="627"/>
    </row>
    <row r="382" spans="1:22" hidden="1" x14ac:dyDescent="0.35">
      <c r="A382" s="988"/>
      <c r="B382" s="627"/>
      <c r="C382" s="1467" t="s">
        <v>274</v>
      </c>
      <c r="D382" s="1468"/>
      <c r="E382" s="1468"/>
      <c r="F382" s="1468"/>
      <c r="G382" s="1468"/>
      <c r="H382" s="1468"/>
      <c r="I382" s="1468"/>
      <c r="J382" s="1468"/>
      <c r="K382" s="1469"/>
      <c r="L382" s="1084" t="s">
        <v>275</v>
      </c>
      <c r="M382" s="627"/>
      <c r="N382" s="627"/>
      <c r="O382" s="627"/>
      <c r="P382" s="627"/>
      <c r="Q382" s="627"/>
      <c r="R382" s="627"/>
      <c r="S382" s="627"/>
      <c r="T382" s="627"/>
      <c r="U382" s="627"/>
      <c r="V382" s="627"/>
    </row>
    <row r="383" spans="1:22" hidden="1" x14ac:dyDescent="0.35">
      <c r="A383" s="988"/>
      <c r="B383" s="627"/>
      <c r="C383" s="1028" t="s">
        <v>91</v>
      </c>
      <c r="D383" s="1029"/>
      <c r="E383" s="1030"/>
      <c r="F383" s="1029"/>
      <c r="G383" s="1029"/>
      <c r="H383" s="1029"/>
      <c r="I383" s="1031"/>
      <c r="J383" s="1032"/>
      <c r="K383" s="1033"/>
      <c r="L383" s="1034">
        <f ca="1">ROUNDUP(C252*$I$316,0)+((L361-J361)*($L$270/100))/8</f>
        <v>133.58058295071203</v>
      </c>
      <c r="M383" s="1035" t="s">
        <v>103</v>
      </c>
      <c r="N383" s="1035"/>
      <c r="O383" s="627"/>
      <c r="P383" s="627"/>
      <c r="Q383" s="627"/>
      <c r="R383" s="627"/>
      <c r="S383" s="627"/>
      <c r="T383" s="627"/>
      <c r="U383" s="627"/>
      <c r="V383" s="627"/>
    </row>
    <row r="384" spans="1:22" hidden="1" x14ac:dyDescent="0.35">
      <c r="A384" s="988"/>
      <c r="B384" s="627"/>
      <c r="C384" s="1028" t="s">
        <v>95</v>
      </c>
      <c r="D384" s="1029"/>
      <c r="E384" s="1030"/>
      <c r="F384" s="1029"/>
      <c r="G384" s="1029"/>
      <c r="H384" s="1029"/>
      <c r="I384" s="1029"/>
      <c r="J384" s="1032"/>
      <c r="K384" s="1038"/>
      <c r="L384" s="1034">
        <f ca="1">ROUNDUP(C253*$I$316,0)+((L362-J362)*($L$270/100)/8)</f>
        <v>935.06408065498431</v>
      </c>
      <c r="M384" s="1035" t="s">
        <v>103</v>
      </c>
      <c r="N384" s="1035"/>
      <c r="O384" s="627"/>
      <c r="P384" s="627"/>
      <c r="Q384" s="627"/>
      <c r="R384" s="627"/>
      <c r="S384" s="627"/>
      <c r="T384" s="627"/>
      <c r="U384" s="627"/>
      <c r="V384" s="627"/>
    </row>
    <row r="385" spans="1:71" hidden="1" x14ac:dyDescent="0.35">
      <c r="A385" s="988"/>
      <c r="B385" s="627"/>
      <c r="C385" s="1028" t="s">
        <v>96</v>
      </c>
      <c r="D385" s="1029"/>
      <c r="E385" s="1030"/>
      <c r="F385" s="1029"/>
      <c r="G385" s="1029"/>
      <c r="H385" s="1029"/>
      <c r="I385" s="1029"/>
      <c r="J385" s="1032"/>
      <c r="K385" s="1038"/>
      <c r="L385" s="1034">
        <f ca="1">ROUNDUP(C254*$I$316,0)+((L363-J363)*($L$270/100)/8)</f>
        <v>133.58058295071203</v>
      </c>
      <c r="M385" s="1035" t="s">
        <v>103</v>
      </c>
      <c r="N385" s="1035"/>
      <c r="O385" s="627"/>
      <c r="P385" s="627"/>
      <c r="Q385" s="627"/>
      <c r="R385" s="627"/>
      <c r="S385" s="627"/>
      <c r="T385" s="627"/>
      <c r="U385" s="627"/>
      <c r="V385" s="627"/>
      <c r="W385" s="627"/>
      <c r="X385" s="627"/>
      <c r="Y385" s="627"/>
      <c r="Z385" s="627"/>
      <c r="AA385" s="627"/>
      <c r="AB385" s="627"/>
      <c r="AC385" s="627"/>
      <c r="AD385" s="627"/>
      <c r="AE385" s="627"/>
      <c r="AF385" s="627"/>
      <c r="AG385" s="627"/>
      <c r="AH385" s="627"/>
      <c r="AI385" s="627"/>
      <c r="AJ385" s="627"/>
      <c r="AK385" s="627"/>
      <c r="AL385" s="627"/>
      <c r="AM385" s="627"/>
      <c r="AN385" s="627"/>
      <c r="AO385" s="627"/>
      <c r="AP385" s="627"/>
      <c r="AQ385" s="627"/>
      <c r="AR385" s="627"/>
      <c r="AS385" s="627"/>
      <c r="AT385" s="627"/>
      <c r="AU385" s="627"/>
      <c r="AV385" s="627"/>
      <c r="AW385" s="627"/>
      <c r="AX385" s="627"/>
      <c r="AY385" s="627"/>
      <c r="AZ385" s="627"/>
      <c r="BA385" s="627"/>
      <c r="BB385" s="627"/>
      <c r="BC385" s="627"/>
      <c r="BD385" s="627"/>
      <c r="BE385" s="627"/>
      <c r="BF385" s="627"/>
      <c r="BG385" s="627"/>
      <c r="BH385" s="627"/>
      <c r="BI385" s="627"/>
      <c r="BJ385" s="627"/>
      <c r="BK385" s="627"/>
      <c r="BL385" s="627"/>
      <c r="BM385" s="627"/>
      <c r="BN385" s="627"/>
      <c r="BO385" s="627"/>
      <c r="BP385" s="627"/>
      <c r="BQ385" s="627"/>
      <c r="BR385" s="627"/>
      <c r="BS385" s="627"/>
    </row>
    <row r="386" spans="1:71" hidden="1" x14ac:dyDescent="0.35">
      <c r="A386" s="988"/>
      <c r="B386" s="627"/>
      <c r="C386" s="1028" t="s">
        <v>270</v>
      </c>
      <c r="D386" s="1029"/>
      <c r="E386" s="1030"/>
      <c r="F386" s="1029"/>
      <c r="G386" s="1029"/>
      <c r="H386" s="1029"/>
      <c r="I386" s="1029"/>
      <c r="J386" s="1032"/>
      <c r="K386" s="1038"/>
      <c r="L386" s="1034">
        <f ca="1">ROUNDUP(C255*$I$316,0)+((L364-J364)*($L$270/100)/8)</f>
        <v>490.52473226586864</v>
      </c>
      <c r="M386" s="1035" t="s">
        <v>103</v>
      </c>
      <c r="N386" s="1035"/>
      <c r="O386" s="627"/>
      <c r="P386" s="627"/>
      <c r="Q386" s="627"/>
      <c r="R386" s="627"/>
      <c r="S386" s="627"/>
      <c r="T386" s="627"/>
      <c r="U386" s="627"/>
      <c r="V386" s="627"/>
      <c r="W386" s="627"/>
      <c r="X386" s="627"/>
      <c r="Y386" s="627"/>
      <c r="Z386" s="627"/>
      <c r="AA386" s="627"/>
      <c r="AB386" s="627"/>
      <c r="AC386" s="627"/>
      <c r="AD386" s="627"/>
      <c r="AE386" s="627"/>
      <c r="AF386" s="627"/>
      <c r="AG386" s="627"/>
      <c r="AH386" s="627"/>
      <c r="AI386" s="627"/>
      <c r="AJ386" s="627"/>
      <c r="AK386" s="627"/>
      <c r="AL386" s="627"/>
      <c r="AM386" s="627"/>
      <c r="AN386" s="627"/>
      <c r="AO386" s="627"/>
      <c r="AP386" s="627"/>
      <c r="AQ386" s="627"/>
      <c r="AR386" s="627"/>
      <c r="AS386" s="627"/>
      <c r="AT386" s="627"/>
      <c r="AU386" s="627"/>
      <c r="AV386" s="627"/>
      <c r="AW386" s="627"/>
      <c r="AX386" s="627"/>
      <c r="AY386" s="627"/>
      <c r="AZ386" s="627"/>
      <c r="BA386" s="627"/>
      <c r="BB386" s="627"/>
      <c r="BC386" s="627"/>
      <c r="BD386" s="627"/>
      <c r="BE386" s="627"/>
      <c r="BF386" s="627"/>
      <c r="BG386" s="627"/>
      <c r="BH386" s="627"/>
      <c r="BI386" s="627"/>
      <c r="BJ386" s="627"/>
      <c r="BK386" s="627"/>
      <c r="BL386" s="627"/>
      <c r="BM386" s="627"/>
      <c r="BN386" s="627"/>
      <c r="BO386" s="627"/>
      <c r="BP386" s="627"/>
      <c r="BQ386" s="627"/>
      <c r="BR386" s="627"/>
      <c r="BS386" s="627"/>
    </row>
    <row r="387" spans="1:71" hidden="1" x14ac:dyDescent="0.35">
      <c r="A387" s="988"/>
      <c r="B387" s="627"/>
      <c r="C387" s="1028" t="s">
        <v>276</v>
      </c>
      <c r="D387" s="1029"/>
      <c r="E387" s="1030"/>
      <c r="F387" s="1029"/>
      <c r="G387" s="1029"/>
      <c r="H387" s="1029"/>
      <c r="I387" s="1029"/>
      <c r="J387" s="1032"/>
      <c r="K387" s="1038"/>
      <c r="L387" s="1034">
        <f ca="1">ROUNDUP(C256*$I$316,0)+(((L283*C256/(C253+C255)+(L283*C256/(C253+C255)*$L$268/100))-(L283*C256/(C253+C255)))*($L$270/100)/8)</f>
        <v>133.58058295071203</v>
      </c>
      <c r="M387" s="1035" t="s">
        <v>103</v>
      </c>
      <c r="N387" s="1035"/>
      <c r="O387" s="627"/>
      <c r="P387" s="627"/>
      <c r="Q387" s="627"/>
      <c r="R387" s="627"/>
      <c r="S387" s="627"/>
      <c r="T387" s="627"/>
      <c r="U387" s="627"/>
      <c r="V387" s="627"/>
      <c r="W387" s="627"/>
      <c r="X387" s="627"/>
      <c r="Y387" s="627"/>
      <c r="Z387" s="627"/>
      <c r="AA387" s="627"/>
      <c r="AB387" s="627"/>
      <c r="AC387" s="627"/>
      <c r="AD387" s="627"/>
      <c r="AE387" s="627"/>
      <c r="AF387" s="627"/>
      <c r="AG387" s="627"/>
      <c r="AH387" s="627"/>
      <c r="AI387" s="627"/>
      <c r="AJ387" s="627"/>
      <c r="AK387" s="627"/>
      <c r="AL387" s="627"/>
      <c r="AM387" s="627"/>
      <c r="AN387" s="627"/>
      <c r="AO387" s="627"/>
      <c r="AP387" s="627"/>
      <c r="AQ387" s="627"/>
      <c r="AR387" s="627"/>
      <c r="AS387" s="627"/>
      <c r="AT387" s="627"/>
      <c r="AU387" s="627"/>
      <c r="AV387" s="627"/>
      <c r="AW387" s="627"/>
      <c r="AX387" s="627"/>
      <c r="AY387" s="627"/>
      <c r="AZ387" s="627"/>
      <c r="BA387" s="627"/>
      <c r="BB387" s="627"/>
      <c r="BC387" s="627"/>
      <c r="BD387" s="627"/>
      <c r="BE387" s="627"/>
      <c r="BF387" s="627"/>
      <c r="BG387" s="627"/>
      <c r="BH387" s="627"/>
      <c r="BI387" s="627"/>
      <c r="BJ387" s="627"/>
      <c r="BK387" s="627"/>
      <c r="BL387" s="627"/>
      <c r="BM387" s="627"/>
      <c r="BN387" s="627"/>
      <c r="BO387" s="627"/>
      <c r="BP387" s="627"/>
      <c r="BQ387" s="627"/>
      <c r="BR387" s="627"/>
      <c r="BS387" s="627"/>
    </row>
    <row r="388" spans="1:71" hidden="1" x14ac:dyDescent="0.35">
      <c r="A388" s="988"/>
      <c r="B388" s="627"/>
      <c r="C388" s="1085" t="s">
        <v>94</v>
      </c>
      <c r="D388" s="1086"/>
      <c r="E388" s="1087"/>
      <c r="F388" s="1086"/>
      <c r="G388" s="1086"/>
      <c r="H388" s="1086"/>
      <c r="I388" s="1086"/>
      <c r="J388" s="1088"/>
      <c r="K388" s="1089"/>
      <c r="L388" s="1090">
        <f ca="1">ROUNDUP(C257*$I$316,0)+(((L283*C257/(C253+C255)+(L283*C257/(C253+C255)*$L$268/100))-(L283*C257/(C253+C255)))*($L$270/100)/8)</f>
        <v>133.58058295071203</v>
      </c>
      <c r="M388" s="1035" t="s">
        <v>103</v>
      </c>
      <c r="N388" s="1035"/>
      <c r="O388" s="627"/>
      <c r="P388" s="627"/>
      <c r="Q388" s="627"/>
      <c r="R388" s="627"/>
      <c r="S388" s="627"/>
      <c r="T388" s="627"/>
      <c r="U388" s="627"/>
      <c r="V388" s="627"/>
      <c r="W388" s="627"/>
      <c r="X388" s="627"/>
      <c r="Y388" s="627"/>
      <c r="Z388" s="627"/>
      <c r="AA388" s="627"/>
      <c r="AB388" s="627"/>
      <c r="AC388" s="627"/>
      <c r="AD388" s="627"/>
      <c r="AE388" s="627"/>
      <c r="AF388" s="627"/>
      <c r="AG388" s="627"/>
      <c r="AH388" s="627"/>
      <c r="AI388" s="627"/>
      <c r="AJ388" s="627"/>
      <c r="AK388" s="627"/>
      <c r="AL388" s="627"/>
      <c r="AM388" s="627"/>
      <c r="AN388" s="627"/>
      <c r="AO388" s="627"/>
      <c r="AP388" s="627"/>
      <c r="AQ388" s="627"/>
      <c r="AR388" s="627"/>
      <c r="AS388" s="627"/>
      <c r="AT388" s="627"/>
      <c r="AU388" s="627"/>
      <c r="AV388" s="627"/>
      <c r="AW388" s="627"/>
      <c r="AX388" s="627"/>
      <c r="AY388" s="627"/>
      <c r="AZ388" s="627"/>
      <c r="BA388" s="627"/>
      <c r="BB388" s="627"/>
      <c r="BC388" s="627"/>
      <c r="BD388" s="627"/>
      <c r="BE388" s="627"/>
      <c r="BF388" s="627"/>
      <c r="BG388" s="627"/>
      <c r="BH388" s="627"/>
      <c r="BI388" s="627"/>
      <c r="BJ388" s="627"/>
      <c r="BK388" s="627"/>
      <c r="BL388" s="627"/>
      <c r="BM388" s="627"/>
      <c r="BN388" s="627"/>
      <c r="BO388" s="627"/>
      <c r="BP388" s="627"/>
      <c r="BQ388" s="627"/>
      <c r="BR388" s="627"/>
      <c r="BS388" s="627"/>
    </row>
    <row r="389" spans="1:71" ht="12" customHeight="1" x14ac:dyDescent="0.35">
      <c r="A389" s="637"/>
      <c r="B389" s="627"/>
      <c r="C389" s="627"/>
      <c r="D389" s="627"/>
      <c r="E389" s="627"/>
      <c r="F389" s="627"/>
      <c r="G389" s="627"/>
      <c r="H389" s="627"/>
      <c r="I389" s="627"/>
      <c r="J389" s="627"/>
      <c r="K389" s="627"/>
      <c r="L389" s="627"/>
      <c r="M389" s="627"/>
      <c r="N389" s="627"/>
      <c r="O389" s="627"/>
      <c r="P389" s="627"/>
      <c r="Q389" s="748"/>
      <c r="R389" s="627"/>
      <c r="S389" s="627"/>
      <c r="T389" s="627"/>
      <c r="U389" s="627"/>
      <c r="V389" s="627"/>
      <c r="W389" s="627"/>
      <c r="X389" s="627"/>
      <c r="Y389" s="627"/>
      <c r="Z389" s="627"/>
      <c r="AA389" s="627"/>
      <c r="AB389" s="627"/>
      <c r="AC389" s="627"/>
      <c r="AD389" s="627"/>
      <c r="AE389" s="627"/>
      <c r="AF389" s="627"/>
      <c r="AG389" s="627"/>
      <c r="AH389" s="627"/>
      <c r="AI389" s="627"/>
      <c r="AJ389" s="627"/>
      <c r="AK389" s="627"/>
      <c r="AL389" s="627"/>
      <c r="AM389" s="627"/>
      <c r="AN389" s="627"/>
      <c r="AO389" s="627"/>
      <c r="AP389" s="627"/>
      <c r="AQ389" s="627"/>
      <c r="AR389" s="627"/>
      <c r="AS389" s="627"/>
      <c r="AT389" s="627"/>
      <c r="AU389" s="627"/>
      <c r="AV389" s="627"/>
      <c r="AW389" s="627"/>
      <c r="AX389" s="627"/>
      <c r="AY389" s="627"/>
      <c r="AZ389" s="627"/>
      <c r="BA389" s="627"/>
      <c r="BB389" s="627"/>
      <c r="BC389" s="627"/>
      <c r="BD389" s="627"/>
      <c r="BE389" s="627"/>
      <c r="BF389" s="627"/>
      <c r="BG389" s="627"/>
      <c r="BH389" s="627"/>
      <c r="BI389" s="627"/>
      <c r="BJ389" s="627"/>
      <c r="BK389" s="627"/>
      <c r="BL389" s="627"/>
      <c r="BM389" s="627"/>
      <c r="BN389" s="627"/>
      <c r="BO389" s="627"/>
      <c r="BP389" s="627"/>
      <c r="BQ389" s="627"/>
      <c r="BR389" s="627"/>
      <c r="BS389" s="627"/>
    </row>
    <row r="390" spans="1:71" ht="7.5" customHeight="1" thickBot="1" x14ac:dyDescent="0.4">
      <c r="A390" s="636"/>
      <c r="B390" s="652"/>
      <c r="C390" s="652"/>
      <c r="D390" s="652"/>
      <c r="E390" s="652"/>
      <c r="F390" s="652"/>
      <c r="G390" s="652"/>
      <c r="H390" s="652"/>
      <c r="I390" s="652"/>
      <c r="J390" s="652"/>
      <c r="K390" s="652"/>
      <c r="L390" s="652"/>
      <c r="M390" s="652"/>
      <c r="N390" s="652"/>
      <c r="O390" s="652"/>
      <c r="P390" s="652"/>
      <c r="Q390" s="987"/>
      <c r="R390" s="627"/>
      <c r="S390" s="627"/>
      <c r="T390" s="627"/>
      <c r="U390" s="627"/>
      <c r="V390" s="627"/>
      <c r="W390" s="627"/>
      <c r="X390" s="627"/>
      <c r="Y390" s="627"/>
      <c r="Z390" s="627"/>
      <c r="AA390" s="627"/>
      <c r="AB390" s="627"/>
      <c r="AC390" s="627"/>
      <c r="AD390" s="627"/>
      <c r="AE390" s="627"/>
      <c r="AF390" s="627"/>
      <c r="AG390" s="627"/>
      <c r="AH390" s="627"/>
      <c r="AI390" s="627"/>
      <c r="AJ390" s="627"/>
      <c r="AK390" s="627"/>
      <c r="AL390" s="627"/>
      <c r="AM390" s="627"/>
      <c r="AN390" s="627"/>
      <c r="AO390" s="627"/>
      <c r="AP390" s="627"/>
      <c r="AQ390" s="627"/>
      <c r="AR390" s="627"/>
      <c r="AS390" s="627"/>
      <c r="AT390" s="627"/>
      <c r="AU390" s="627"/>
      <c r="AV390" s="627"/>
      <c r="AW390" s="627"/>
      <c r="AX390" s="627"/>
      <c r="AY390" s="627"/>
      <c r="AZ390" s="627"/>
      <c r="BA390" s="627"/>
      <c r="BB390" s="627"/>
      <c r="BC390" s="627"/>
      <c r="BD390" s="627"/>
      <c r="BE390" s="627"/>
      <c r="BF390" s="627"/>
      <c r="BG390" s="627"/>
      <c r="BH390" s="627"/>
      <c r="BI390" s="627"/>
      <c r="BJ390" s="627"/>
      <c r="BK390" s="627"/>
      <c r="BL390" s="627"/>
      <c r="BM390" s="627"/>
      <c r="BN390" s="627"/>
      <c r="BO390" s="627"/>
      <c r="BP390" s="627"/>
      <c r="BQ390" s="627"/>
      <c r="BR390" s="627"/>
      <c r="BS390" s="627"/>
    </row>
    <row r="391" spans="1:71" ht="15.4" thickBot="1" x14ac:dyDescent="0.45">
      <c r="A391" s="988"/>
      <c r="B391" s="692"/>
      <c r="C391" s="24" t="s">
        <v>277</v>
      </c>
      <c r="D391" s="1041"/>
      <c r="E391" s="1041"/>
      <c r="F391" s="1041"/>
      <c r="G391" s="1041"/>
      <c r="H391" s="1041"/>
      <c r="I391" s="1041"/>
      <c r="J391" s="1041"/>
      <c r="K391" s="1041"/>
      <c r="L391" s="1041"/>
      <c r="M391" s="1041"/>
      <c r="N391" s="1041"/>
      <c r="O391" s="1041"/>
      <c r="P391" s="691"/>
      <c r="Q391" s="719"/>
      <c r="R391" s="627"/>
      <c r="S391" s="627"/>
      <c r="T391" s="627"/>
      <c r="U391" s="627"/>
      <c r="V391" s="627"/>
      <c r="W391" s="627"/>
      <c r="X391" s="627"/>
      <c r="Y391" s="627"/>
      <c r="Z391" s="627"/>
      <c r="AA391" s="627"/>
      <c r="AB391" s="627"/>
      <c r="AC391" s="627"/>
      <c r="AD391" s="627"/>
      <c r="AE391" s="627"/>
      <c r="AF391" s="627"/>
      <c r="AG391" s="627"/>
      <c r="AH391" s="627"/>
      <c r="AI391" s="627"/>
      <c r="AJ391" s="627"/>
      <c r="AK391" s="627"/>
      <c r="AL391" s="627"/>
      <c r="AM391" s="627"/>
      <c r="AN391" s="627"/>
      <c r="AO391" s="627"/>
      <c r="AP391" s="627"/>
      <c r="AQ391" s="627"/>
      <c r="AR391" s="627"/>
      <c r="AS391" s="627"/>
      <c r="AT391" s="627"/>
      <c r="AU391" s="627"/>
      <c r="AV391" s="627"/>
      <c r="AW391" s="627"/>
      <c r="AX391" s="627"/>
      <c r="AY391" s="627"/>
      <c r="AZ391" s="627"/>
      <c r="BA391" s="627"/>
      <c r="BB391" s="627"/>
      <c r="BC391" s="627"/>
      <c r="BD391" s="627"/>
      <c r="BE391" s="627"/>
      <c r="BF391" s="627"/>
      <c r="BG391" s="627"/>
      <c r="BH391" s="627"/>
      <c r="BI391" s="627"/>
      <c r="BJ391" s="627"/>
      <c r="BK391" s="627"/>
      <c r="BL391" s="627"/>
      <c r="BM391" s="627"/>
      <c r="BN391" s="627"/>
      <c r="BO391" s="627"/>
      <c r="BP391" s="627"/>
      <c r="BQ391" s="627"/>
      <c r="BR391" s="627"/>
      <c r="BS391" s="627"/>
    </row>
    <row r="392" spans="1:71" ht="7.5" customHeight="1" x14ac:dyDescent="0.35">
      <c r="A392" s="988"/>
      <c r="B392" s="627"/>
      <c r="C392" s="627"/>
      <c r="D392" s="627"/>
      <c r="E392" s="627"/>
      <c r="F392" s="627"/>
      <c r="G392" s="627"/>
      <c r="H392" s="627"/>
      <c r="I392" s="627"/>
      <c r="J392" s="627"/>
      <c r="K392" s="627"/>
      <c r="L392" s="627"/>
      <c r="M392" s="627"/>
      <c r="N392" s="627"/>
      <c r="O392" s="627"/>
      <c r="P392" s="627"/>
      <c r="Q392" s="719"/>
      <c r="R392" s="627"/>
      <c r="S392" s="627"/>
      <c r="T392" s="627"/>
      <c r="U392" s="627"/>
      <c r="V392" s="627"/>
      <c r="W392" s="627"/>
      <c r="X392" s="627"/>
      <c r="Y392" s="627"/>
      <c r="Z392" s="627"/>
      <c r="AA392" s="627"/>
      <c r="AB392" s="627"/>
      <c r="AC392" s="627"/>
      <c r="AD392" s="627"/>
      <c r="AE392" s="627"/>
      <c r="AF392" s="627"/>
      <c r="AG392" s="627"/>
      <c r="AH392" s="627"/>
      <c r="AI392" s="627"/>
      <c r="AJ392" s="627"/>
      <c r="AK392" s="627"/>
      <c r="AL392" s="627"/>
      <c r="AM392" s="627"/>
      <c r="AN392" s="627"/>
      <c r="AO392" s="627"/>
      <c r="AP392" s="627"/>
      <c r="AQ392" s="627"/>
      <c r="AR392" s="627"/>
      <c r="AS392" s="627"/>
      <c r="AT392" s="627"/>
      <c r="AU392" s="627"/>
      <c r="AV392" s="627"/>
      <c r="AW392" s="627"/>
      <c r="AX392" s="627"/>
      <c r="AY392" s="627"/>
      <c r="AZ392" s="627"/>
      <c r="BA392" s="627"/>
      <c r="BB392" s="627"/>
      <c r="BC392" s="627"/>
      <c r="BD392" s="627"/>
      <c r="BE392" s="627"/>
      <c r="BF392" s="627"/>
      <c r="BG392" s="627"/>
      <c r="BH392" s="627"/>
      <c r="BI392" s="627"/>
      <c r="BJ392" s="627"/>
      <c r="BK392" s="627"/>
      <c r="BL392" s="627"/>
      <c r="BM392" s="627"/>
      <c r="BN392" s="627"/>
      <c r="BO392" s="627"/>
      <c r="BP392" s="627"/>
      <c r="BQ392" s="627"/>
      <c r="BR392" s="627"/>
      <c r="BS392" s="627"/>
    </row>
    <row r="393" spans="1:71" ht="13.15" x14ac:dyDescent="0.4">
      <c r="A393" s="988"/>
      <c r="B393" s="627"/>
      <c r="C393" s="420" t="str">
        <f>IF(F22&gt;1,"DEFINIÇÃO DA MONTAGEM DOS "&amp;F22&amp;"  TANQUES ( marcar X ):",0)</f>
        <v>DEFINIÇÃO DA MONTAGEM DOS 4  TANQUES ( marcar X ):</v>
      </c>
      <c r="D393" s="627"/>
      <c r="E393" s="627"/>
      <c r="F393" s="627"/>
      <c r="G393" s="627"/>
      <c r="H393" s="627"/>
      <c r="I393" s="627"/>
      <c r="J393" s="627"/>
      <c r="K393" s="627"/>
      <c r="L393" s="627"/>
      <c r="M393" s="627"/>
      <c r="N393" s="627"/>
      <c r="O393" s="627"/>
      <c r="P393" s="627"/>
      <c r="Q393" s="719"/>
      <c r="R393" s="627"/>
      <c r="S393" s="627"/>
      <c r="T393" s="627"/>
      <c r="U393" s="627"/>
      <c r="V393" s="627"/>
      <c r="W393" s="627"/>
      <c r="X393" s="627"/>
      <c r="Y393" s="627"/>
      <c r="Z393" s="627"/>
      <c r="AA393" s="627"/>
      <c r="AB393" s="627"/>
      <c r="AC393" s="627"/>
      <c r="AD393" s="627"/>
      <c r="AE393" s="627"/>
      <c r="AF393" s="627"/>
      <c r="AG393" s="627"/>
      <c r="AH393" s="627"/>
      <c r="AI393" s="627"/>
      <c r="AJ393" s="627"/>
      <c r="AK393" s="627"/>
      <c r="AL393" s="627"/>
      <c r="AM393" s="627"/>
      <c r="AN393" s="627"/>
      <c r="AO393" s="627"/>
      <c r="AP393" s="627"/>
      <c r="AQ393" s="627"/>
      <c r="AR393" s="627"/>
      <c r="AS393" s="627"/>
      <c r="AT393" s="627"/>
      <c r="AU393" s="627"/>
      <c r="AV393" s="627"/>
      <c r="AW393" s="627"/>
      <c r="AX393" s="627"/>
      <c r="AY393" s="627"/>
      <c r="AZ393" s="627"/>
      <c r="BA393" s="627"/>
      <c r="BB393" s="627"/>
      <c r="BC393" s="627"/>
      <c r="BD393" s="627"/>
      <c r="BE393" s="627"/>
      <c r="BF393" s="627"/>
      <c r="BG393" s="627"/>
      <c r="BH393" s="627"/>
      <c r="BI393" s="627"/>
      <c r="BJ393" s="627"/>
      <c r="BK393" s="627"/>
      <c r="BL393" s="627"/>
      <c r="BM393" s="627"/>
      <c r="BN393" s="627"/>
      <c r="BO393" s="627"/>
      <c r="BP393" s="627"/>
      <c r="BQ393" s="627"/>
      <c r="BR393" s="627"/>
      <c r="BS393" s="627"/>
    </row>
    <row r="394" spans="1:71" ht="3.75" customHeight="1" x14ac:dyDescent="0.35">
      <c r="A394" s="988"/>
      <c r="B394" s="627"/>
      <c r="C394" s="627"/>
      <c r="D394" s="627"/>
      <c r="E394" s="627"/>
      <c r="F394" s="627"/>
      <c r="G394" s="627"/>
      <c r="H394" s="627"/>
      <c r="I394" s="627"/>
      <c r="J394" s="627"/>
      <c r="K394" s="627"/>
      <c r="L394" s="627"/>
      <c r="M394" s="627"/>
      <c r="N394" s="627"/>
      <c r="O394" s="627"/>
      <c r="P394" s="627"/>
      <c r="Q394" s="719"/>
      <c r="R394" s="627"/>
      <c r="S394" s="627"/>
      <c r="T394" s="627"/>
      <c r="U394" s="627"/>
      <c r="V394" s="627"/>
      <c r="W394" s="627"/>
      <c r="X394" s="627"/>
      <c r="Y394" s="627"/>
      <c r="Z394" s="627"/>
      <c r="AA394" s="627"/>
      <c r="AB394" s="627"/>
      <c r="AC394" s="627"/>
      <c r="AD394" s="627"/>
      <c r="AE394" s="627"/>
      <c r="AF394" s="627"/>
      <c r="AG394" s="627"/>
      <c r="AH394" s="627"/>
      <c r="AI394" s="627"/>
      <c r="AJ394" s="627"/>
      <c r="AK394" s="627"/>
      <c r="AL394" s="627"/>
      <c r="AM394" s="627"/>
      <c r="AN394" s="627"/>
      <c r="AO394" s="627"/>
      <c r="AP394" s="627"/>
      <c r="AQ394" s="627"/>
      <c r="AR394" s="627"/>
      <c r="AS394" s="627"/>
      <c r="AT394" s="627"/>
      <c r="AU394" s="627"/>
      <c r="AV394" s="627"/>
      <c r="AW394" s="627"/>
      <c r="AX394" s="627"/>
      <c r="AY394" s="627"/>
      <c r="AZ394" s="627"/>
      <c r="BA394" s="627"/>
      <c r="BB394" s="627"/>
      <c r="BC394" s="627"/>
      <c r="BD394" s="627"/>
      <c r="BE394" s="627"/>
      <c r="BF394" s="627"/>
      <c r="BG394" s="627"/>
      <c r="BH394" s="627"/>
      <c r="BI394" s="627"/>
      <c r="BJ394" s="627"/>
      <c r="BK394" s="627"/>
      <c r="BL394" s="627"/>
      <c r="BM394" s="627"/>
      <c r="BN394" s="627"/>
      <c r="BO394" s="627"/>
      <c r="BP394" s="627"/>
      <c r="BQ394" s="627"/>
      <c r="BR394" s="627"/>
      <c r="BS394" s="627"/>
    </row>
    <row r="395" spans="1:71" x14ac:dyDescent="0.35">
      <c r="A395" s="988"/>
      <c r="B395" s="627"/>
      <c r="C395" s="626" t="s">
        <v>35</v>
      </c>
      <c r="D395" s="627" t="str">
        <f>IF(F22&gt;1,"Montagem em sequência ( seguindo lógica de antecedência de confecção e montagem )",0)</f>
        <v>Montagem em sequência ( seguindo lógica de antecedência de confecção e montagem )</v>
      </c>
      <c r="E395" s="627"/>
      <c r="F395" s="627"/>
      <c r="G395" s="627"/>
      <c r="H395" s="627"/>
      <c r="I395" s="627"/>
      <c r="J395" s="627"/>
      <c r="K395" s="627"/>
      <c r="L395" s="627"/>
      <c r="M395" s="627"/>
      <c r="N395" s="627"/>
      <c r="O395" s="627"/>
      <c r="P395" s="627"/>
      <c r="Q395" s="719"/>
      <c r="R395" s="627"/>
      <c r="S395" s="627"/>
      <c r="T395" s="627"/>
      <c r="U395" s="627"/>
      <c r="V395" s="627"/>
      <c r="W395" s="627"/>
      <c r="X395" s="627"/>
      <c r="Y395" s="627"/>
      <c r="Z395" s="627"/>
      <c r="AA395" s="627"/>
      <c r="AB395" s="627"/>
      <c r="AC395" s="627"/>
      <c r="AD395" s="627"/>
      <c r="AE395" s="627"/>
      <c r="AF395" s="627"/>
      <c r="AG395" s="627"/>
      <c r="AH395" s="627"/>
      <c r="AI395" s="627"/>
      <c r="AJ395" s="627"/>
      <c r="AK395" s="627"/>
      <c r="AL395" s="627"/>
      <c r="AM395" s="627"/>
      <c r="AN395" s="627"/>
      <c r="AO395" s="627"/>
      <c r="AP395" s="627"/>
      <c r="AQ395" s="627"/>
      <c r="AR395" s="627"/>
      <c r="AS395" s="627"/>
      <c r="AT395" s="627"/>
      <c r="AU395" s="627"/>
      <c r="AV395" s="627"/>
      <c r="AW395" s="627"/>
      <c r="AX395" s="627"/>
      <c r="AY395" s="627"/>
      <c r="AZ395" s="627"/>
      <c r="BA395" s="627"/>
      <c r="BB395" s="627"/>
      <c r="BC395" s="627"/>
      <c r="BD395" s="627"/>
      <c r="BE395" s="627"/>
      <c r="BF395" s="627"/>
      <c r="BG395" s="627"/>
      <c r="BH395" s="627"/>
      <c r="BI395" s="627"/>
      <c r="BJ395" s="627"/>
      <c r="BK395" s="627"/>
      <c r="BL395" s="627"/>
      <c r="BM395" s="627"/>
      <c r="BN395" s="627"/>
      <c r="BO395" s="627"/>
      <c r="BP395" s="1446" t="s">
        <v>278</v>
      </c>
      <c r="BQ395" s="1446" t="s">
        <v>279</v>
      </c>
      <c r="BR395" s="1446" t="s">
        <v>280</v>
      </c>
      <c r="BS395" s="627"/>
    </row>
    <row r="396" spans="1:71" ht="7.5" customHeight="1" x14ac:dyDescent="0.35">
      <c r="A396" s="988"/>
      <c r="B396" s="627"/>
      <c r="C396" s="627"/>
      <c r="D396" s="627"/>
      <c r="E396" s="627"/>
      <c r="F396" s="627"/>
      <c r="G396" s="627"/>
      <c r="H396" s="627"/>
      <c r="I396" s="627"/>
      <c r="J396" s="627"/>
      <c r="K396" s="627"/>
      <c r="L396" s="627"/>
      <c r="M396" s="627"/>
      <c r="N396" s="627"/>
      <c r="O396" s="627"/>
      <c r="P396" s="627"/>
      <c r="Q396" s="719"/>
      <c r="R396" s="627"/>
      <c r="S396" s="627"/>
      <c r="T396" s="627"/>
      <c r="U396" s="627"/>
      <c r="V396" s="627"/>
      <c r="W396" s="627"/>
      <c r="X396" s="627"/>
      <c r="Y396" s="627"/>
      <c r="Z396" s="627"/>
      <c r="AA396" s="627"/>
      <c r="AB396" s="627"/>
      <c r="AC396" s="627"/>
      <c r="AD396" s="627"/>
      <c r="AE396" s="627"/>
      <c r="AF396" s="627"/>
      <c r="AG396" s="627"/>
      <c r="AH396" s="627"/>
      <c r="AI396" s="627"/>
      <c r="AJ396" s="627"/>
      <c r="AK396" s="627"/>
      <c r="AL396" s="627"/>
      <c r="AM396" s="627"/>
      <c r="AN396" s="627"/>
      <c r="AO396" s="627"/>
      <c r="AP396" s="627"/>
      <c r="AQ396" s="627"/>
      <c r="AR396" s="627"/>
      <c r="AS396" s="627"/>
      <c r="AT396" s="627"/>
      <c r="AU396" s="627"/>
      <c r="AV396" s="627"/>
      <c r="AW396" s="627"/>
      <c r="AX396" s="627"/>
      <c r="AY396" s="627"/>
      <c r="AZ396" s="627"/>
      <c r="BA396" s="627"/>
      <c r="BB396" s="627"/>
      <c r="BC396" s="627"/>
      <c r="BD396" s="627"/>
      <c r="BE396" s="627"/>
      <c r="BF396" s="627"/>
      <c r="BG396" s="627"/>
      <c r="BH396" s="627"/>
      <c r="BI396" s="627"/>
      <c r="BJ396" s="627"/>
      <c r="BK396" s="627"/>
      <c r="BL396" s="627"/>
      <c r="BM396" s="627"/>
      <c r="BN396" s="627"/>
      <c r="BO396" s="627"/>
      <c r="BP396" s="1446"/>
      <c r="BQ396" s="1446"/>
      <c r="BR396" s="1446"/>
      <c r="BS396" s="627"/>
    </row>
    <row r="397" spans="1:71" ht="12.75" customHeight="1" x14ac:dyDescent="0.35">
      <c r="A397" s="988"/>
      <c r="B397" s="627"/>
      <c r="C397" s="626"/>
      <c r="D397" s="627" t="str">
        <f>IF(F22&gt;1,"Montagem não sequencial ( há um prazo entre o término de um e início do outro )",0)</f>
        <v>Montagem não sequencial ( há um prazo entre o término de um e início do outro )</v>
      </c>
      <c r="E397" s="627"/>
      <c r="F397" s="627"/>
      <c r="G397" s="627"/>
      <c r="H397" s="627"/>
      <c r="I397" s="627"/>
      <c r="J397" s="627"/>
      <c r="K397" s="627"/>
      <c r="L397" s="627"/>
      <c r="M397" s="627"/>
      <c r="N397" s="627"/>
      <c r="O397" s="627"/>
      <c r="P397" s="627"/>
      <c r="Q397" s="719"/>
      <c r="R397" s="627"/>
      <c r="S397" s="627"/>
      <c r="T397" s="627"/>
      <c r="U397" s="627"/>
      <c r="V397" s="627"/>
      <c r="W397" s="627"/>
      <c r="X397" s="627"/>
      <c r="Y397" s="627"/>
      <c r="Z397" s="627"/>
      <c r="AA397" s="627"/>
      <c r="AB397" s="627"/>
      <c r="AC397" s="627"/>
      <c r="AD397" s="627"/>
      <c r="AE397" s="627"/>
      <c r="AF397" s="627"/>
      <c r="AG397" s="627"/>
      <c r="AH397" s="627"/>
      <c r="AI397" s="627"/>
      <c r="AJ397" s="627"/>
      <c r="AK397" s="627"/>
      <c r="AL397" s="627"/>
      <c r="AM397" s="627"/>
      <c r="AN397" s="627"/>
      <c r="AO397" s="627"/>
      <c r="AP397" s="627"/>
      <c r="AQ397" s="627"/>
      <c r="AR397" s="627"/>
      <c r="AS397" s="627"/>
      <c r="AT397" s="627"/>
      <c r="AU397" s="627"/>
      <c r="AV397" s="627"/>
      <c r="AW397" s="627"/>
      <c r="AX397" s="627"/>
      <c r="AY397" s="627"/>
      <c r="AZ397" s="627"/>
      <c r="BA397" s="627"/>
      <c r="BB397" s="627"/>
      <c r="BC397" s="627"/>
      <c r="BD397" s="627"/>
      <c r="BE397" s="627"/>
      <c r="BF397" s="627"/>
      <c r="BG397" s="627"/>
      <c r="BH397" s="627"/>
      <c r="BI397" s="627"/>
      <c r="BJ397" s="627"/>
      <c r="BK397" s="627"/>
      <c r="BL397" s="627"/>
      <c r="BM397" s="627"/>
      <c r="BN397" s="627"/>
      <c r="BO397" s="627"/>
      <c r="BP397" s="1446"/>
      <c r="BQ397" s="1446"/>
      <c r="BR397" s="1446"/>
      <c r="BS397" s="627"/>
    </row>
    <row r="398" spans="1:71" ht="7.5" customHeight="1" x14ac:dyDescent="0.35">
      <c r="A398" s="988"/>
      <c r="B398" s="627"/>
      <c r="C398" s="627"/>
      <c r="D398" s="627"/>
      <c r="E398" s="627"/>
      <c r="F398" s="627"/>
      <c r="G398" s="627"/>
      <c r="H398" s="627"/>
      <c r="I398" s="627"/>
      <c r="J398" s="627"/>
      <c r="K398" s="627"/>
      <c r="L398" s="627"/>
      <c r="M398" s="627"/>
      <c r="N398" s="627"/>
      <c r="O398" s="627"/>
      <c r="P398" s="627"/>
      <c r="Q398" s="719"/>
      <c r="R398" s="627"/>
      <c r="S398" s="627"/>
      <c r="T398" s="627"/>
      <c r="U398" s="627"/>
      <c r="V398" s="627"/>
      <c r="W398" s="627"/>
      <c r="X398" s="627"/>
      <c r="Y398" s="627"/>
      <c r="Z398" s="627"/>
      <c r="AA398" s="627"/>
      <c r="AB398" s="627"/>
      <c r="AC398" s="627"/>
      <c r="AD398" s="627"/>
      <c r="AE398" s="627"/>
      <c r="AF398" s="627"/>
      <c r="AG398" s="627"/>
      <c r="AH398" s="627"/>
      <c r="AI398" s="627"/>
      <c r="AJ398" s="627"/>
      <c r="AK398" s="627"/>
      <c r="AL398" s="627"/>
      <c r="AM398" s="627"/>
      <c r="AN398" s="627"/>
      <c r="AO398" s="627"/>
      <c r="AP398" s="627"/>
      <c r="AQ398" s="627"/>
      <c r="AR398" s="627"/>
      <c r="AS398" s="627"/>
      <c r="AT398" s="627"/>
      <c r="AU398" s="627"/>
      <c r="AV398" s="627"/>
      <c r="AW398" s="627"/>
      <c r="AX398" s="627"/>
      <c r="AY398" s="627"/>
      <c r="AZ398" s="627"/>
      <c r="BA398" s="627"/>
      <c r="BB398" s="627"/>
      <c r="BC398" s="627"/>
      <c r="BD398" s="627"/>
      <c r="BE398" s="627"/>
      <c r="BF398" s="627"/>
      <c r="BG398" s="627"/>
      <c r="BH398" s="627"/>
      <c r="BI398" s="627"/>
      <c r="BJ398" s="627"/>
      <c r="BK398" s="627"/>
      <c r="BL398" s="627"/>
      <c r="BM398" s="627"/>
      <c r="BN398" s="627"/>
      <c r="BO398" s="627"/>
      <c r="BP398" s="1446"/>
      <c r="BQ398" s="1446"/>
      <c r="BR398" s="1446"/>
      <c r="BS398" s="627"/>
    </row>
    <row r="399" spans="1:71" ht="12.75" customHeight="1" x14ac:dyDescent="0.35">
      <c r="A399" s="988"/>
      <c r="B399" s="627"/>
      <c r="C399" s="1330">
        <f>IF(C397="X","Intervalo entre o término e o início dos tanques:",0)</f>
        <v>0</v>
      </c>
      <c r="D399" s="1331"/>
      <c r="E399" s="1332"/>
      <c r="F399" s="627"/>
      <c r="G399" s="627"/>
      <c r="H399" s="627"/>
      <c r="I399" s="627"/>
      <c r="J399" s="627"/>
      <c r="K399" s="627"/>
      <c r="L399" s="627"/>
      <c r="M399" s="627"/>
      <c r="N399" s="627"/>
      <c r="O399" s="627"/>
      <c r="P399" s="627"/>
      <c r="Q399" s="719"/>
      <c r="R399" s="195" t="s">
        <v>52</v>
      </c>
      <c r="S399" s="627"/>
      <c r="T399" s="627"/>
      <c r="U399" s="627"/>
      <c r="V399" s="627"/>
      <c r="W399" s="627"/>
      <c r="X399" s="627"/>
      <c r="Y399" s="627"/>
      <c r="Z399" s="627"/>
      <c r="AA399" s="627"/>
      <c r="AB399" s="627"/>
      <c r="AC399" s="627"/>
      <c r="AD399" s="627"/>
      <c r="AE399" s="627"/>
      <c r="AF399" s="627"/>
      <c r="AG399" s="627"/>
      <c r="AH399" s="627"/>
      <c r="AI399" s="627"/>
      <c r="AJ399" s="627"/>
      <c r="AK399" s="627"/>
      <c r="AL399" s="627"/>
      <c r="AM399" s="627"/>
      <c r="AN399" s="627"/>
      <c r="AO399" s="627"/>
      <c r="AP399" s="627"/>
      <c r="AQ399" s="627"/>
      <c r="AR399" s="627"/>
      <c r="AS399" s="627"/>
      <c r="AT399" s="627"/>
      <c r="AU399" s="627"/>
      <c r="AV399" s="627"/>
      <c r="AW399" s="627"/>
      <c r="AX399" s="627"/>
      <c r="AY399" s="627"/>
      <c r="AZ399" s="627"/>
      <c r="BA399" s="627"/>
      <c r="BB399" s="627"/>
      <c r="BC399" s="627"/>
      <c r="BD399" s="627"/>
      <c r="BE399" s="627"/>
      <c r="BF399" s="627"/>
      <c r="BG399" s="627"/>
      <c r="BH399" s="627"/>
      <c r="BI399" s="627"/>
      <c r="BJ399" s="627"/>
      <c r="BK399" s="627"/>
      <c r="BL399" s="627"/>
      <c r="BM399" s="627"/>
      <c r="BN399" s="627"/>
      <c r="BO399" s="627"/>
      <c r="BP399" s="1446"/>
      <c r="BQ399" s="1446"/>
      <c r="BR399" s="1446"/>
      <c r="BS399" s="627"/>
    </row>
    <row r="400" spans="1:71" ht="24" customHeight="1" x14ac:dyDescent="0.35">
      <c r="A400" s="988"/>
      <c r="B400" s="627"/>
      <c r="C400" s="1333"/>
      <c r="D400" s="1334"/>
      <c r="E400" s="1335"/>
      <c r="F400" s="627"/>
      <c r="G400" s="627"/>
      <c r="H400" s="627"/>
      <c r="I400" s="627"/>
      <c r="J400" s="627"/>
      <c r="K400" s="627"/>
      <c r="L400" s="627"/>
      <c r="M400" s="627"/>
      <c r="N400" s="627"/>
      <c r="O400" s="627"/>
      <c r="P400" s="627"/>
      <c r="Q400" s="719"/>
      <c r="R400" s="195" t="s">
        <v>53</v>
      </c>
      <c r="S400" s="627"/>
      <c r="T400" s="627"/>
      <c r="U400" s="627"/>
      <c r="V400" s="627"/>
      <c r="W400" s="627"/>
      <c r="X400" s="627"/>
      <c r="Y400" s="627"/>
      <c r="Z400" s="627"/>
      <c r="AA400" s="627"/>
      <c r="AB400" s="627"/>
      <c r="AC400" s="627"/>
      <c r="AD400" s="627"/>
      <c r="AE400" s="627"/>
      <c r="AF400" s="627"/>
      <c r="AG400" s="627"/>
      <c r="AH400" s="627"/>
      <c r="AI400" s="627"/>
      <c r="AJ400" s="627"/>
      <c r="AK400" s="627"/>
      <c r="AL400" s="627"/>
      <c r="AM400" s="627"/>
      <c r="AN400" s="627"/>
      <c r="AO400" s="627"/>
      <c r="AP400" s="627"/>
      <c r="AQ400" s="627"/>
      <c r="AR400" s="627"/>
      <c r="AS400" s="627"/>
      <c r="AT400" s="627"/>
      <c r="AU400" s="627"/>
      <c r="AV400" s="627"/>
      <c r="AW400" s="627"/>
      <c r="AX400" s="627"/>
      <c r="AY400" s="627"/>
      <c r="AZ400" s="627"/>
      <c r="BA400" s="627"/>
      <c r="BB400" s="627"/>
      <c r="BC400" s="627"/>
      <c r="BD400" s="627"/>
      <c r="BE400" s="627"/>
      <c r="BF400" s="627"/>
      <c r="BG400" s="627"/>
      <c r="BH400" s="627"/>
      <c r="BI400" s="627"/>
      <c r="BJ400" s="627"/>
      <c r="BK400" s="627"/>
      <c r="BL400" s="627"/>
      <c r="BM400" s="627"/>
      <c r="BN400" s="627"/>
      <c r="BO400" s="627"/>
      <c r="BP400" s="1446"/>
      <c r="BQ400" s="1446"/>
      <c r="BR400" s="1446"/>
      <c r="BS400" s="627"/>
    </row>
    <row r="401" spans="1:71" ht="15" customHeight="1" x14ac:dyDescent="0.35">
      <c r="A401" s="988"/>
      <c r="B401" s="195">
        <f>IF(D401&gt;0,1,0)</f>
        <v>0</v>
      </c>
      <c r="C401" s="628">
        <f>IF(C397="X",IF(F22&gt;1,"1º para 2º =",0),0)</f>
        <v>0</v>
      </c>
      <c r="D401" s="1091"/>
      <c r="E401" s="629">
        <f>IF(C401=0,0,"dias")</f>
        <v>0</v>
      </c>
      <c r="F401" s="627"/>
      <c r="G401" s="627"/>
      <c r="H401" s="627"/>
      <c r="I401" s="627"/>
      <c r="J401" s="627"/>
      <c r="K401" s="627"/>
      <c r="L401" s="627"/>
      <c r="M401" s="627"/>
      <c r="N401" s="627"/>
      <c r="O401" s="627"/>
      <c r="P401" s="627"/>
      <c r="Q401" s="719"/>
      <c r="R401" s="627"/>
      <c r="S401" s="627"/>
      <c r="T401" s="627"/>
      <c r="U401" s="627"/>
      <c r="V401" s="627"/>
      <c r="W401" s="627"/>
      <c r="X401" s="627"/>
      <c r="Y401" s="627"/>
      <c r="Z401" s="627"/>
      <c r="AA401" s="627"/>
      <c r="AB401" s="627"/>
      <c r="AC401" s="627"/>
      <c r="AD401" s="627"/>
      <c r="AE401" s="627"/>
      <c r="AF401" s="627"/>
      <c r="AG401" s="627"/>
      <c r="AH401" s="627"/>
      <c r="AI401" s="627"/>
      <c r="AJ401" s="627"/>
      <c r="AK401" s="627"/>
      <c r="AL401" s="627"/>
      <c r="AM401" s="627"/>
      <c r="AN401" s="627"/>
      <c r="AO401" s="627"/>
      <c r="AP401" s="627"/>
      <c r="AQ401" s="627"/>
      <c r="AR401" s="627"/>
      <c r="AS401" s="627"/>
      <c r="AT401" s="627"/>
      <c r="AU401" s="627"/>
      <c r="AV401" s="627"/>
      <c r="AW401" s="627"/>
      <c r="AX401" s="627"/>
      <c r="AY401" s="627"/>
      <c r="AZ401" s="627"/>
      <c r="BA401" s="627"/>
      <c r="BB401" s="627"/>
      <c r="BC401" s="627"/>
      <c r="BD401" s="627"/>
      <c r="BE401" s="627"/>
      <c r="BF401" s="627"/>
      <c r="BG401" s="627"/>
      <c r="BH401" s="627"/>
      <c r="BI401" s="627"/>
      <c r="BJ401" s="627"/>
      <c r="BK401" s="627"/>
      <c r="BL401" s="627"/>
      <c r="BM401" s="627"/>
      <c r="BN401" s="627"/>
      <c r="BO401" s="627"/>
      <c r="BP401" s="626">
        <f>IF(D401=0,0,IF(F401="não",1,0))</f>
        <v>0</v>
      </c>
      <c r="BQ401" s="626">
        <f>IF(F401="sim",D401,0)</f>
        <v>0</v>
      </c>
      <c r="BR401" s="626">
        <f>IF(D401=0,0,IF(H401="não",1,0))</f>
        <v>0</v>
      </c>
      <c r="BS401" s="675">
        <f>IF(D401=0,0,D401+2)</f>
        <v>0</v>
      </c>
    </row>
    <row r="402" spans="1:71" ht="15" customHeight="1" x14ac:dyDescent="0.35">
      <c r="A402" s="988"/>
      <c r="B402" s="195">
        <f t="shared" ref="B402:B410" si="6">IF(D402&gt;0,1,0)</f>
        <v>0</v>
      </c>
      <c r="C402" s="628">
        <f>IF(C397="X",IF(F22=2,0,IF(F22&gt;2,"2º para 3º =",0)),0)</f>
        <v>0</v>
      </c>
      <c r="D402" s="1091"/>
      <c r="E402" s="629">
        <f>IF(C402=0,0,"dias")</f>
        <v>0</v>
      </c>
      <c r="F402" s="627"/>
      <c r="G402" s="627"/>
      <c r="H402" s="627"/>
      <c r="I402" s="627"/>
      <c r="J402" s="627"/>
      <c r="K402" s="627"/>
      <c r="L402" s="627"/>
      <c r="M402" s="627"/>
      <c r="N402" s="627"/>
      <c r="O402" s="627"/>
      <c r="P402" s="627"/>
      <c r="Q402" s="719"/>
      <c r="R402" s="627"/>
      <c r="S402" s="627"/>
      <c r="T402" s="627"/>
      <c r="U402" s="627"/>
      <c r="V402" s="627"/>
      <c r="W402" s="627"/>
      <c r="X402" s="627"/>
      <c r="Y402" s="627"/>
      <c r="Z402" s="627"/>
      <c r="AA402" s="627"/>
      <c r="AB402" s="627"/>
      <c r="AC402" s="627"/>
      <c r="AD402" s="627"/>
      <c r="AE402" s="627"/>
      <c r="AF402" s="627"/>
      <c r="AG402" s="627"/>
      <c r="AH402" s="627"/>
      <c r="AI402" s="627"/>
      <c r="AJ402" s="627"/>
      <c r="AK402" s="627"/>
      <c r="AL402" s="627"/>
      <c r="AM402" s="627"/>
      <c r="AN402" s="627"/>
      <c r="AO402" s="627"/>
      <c r="AP402" s="627"/>
      <c r="AQ402" s="627"/>
      <c r="AR402" s="627"/>
      <c r="AS402" s="627"/>
      <c r="AT402" s="627"/>
      <c r="AU402" s="627"/>
      <c r="AV402" s="627"/>
      <c r="AW402" s="627"/>
      <c r="AX402" s="627"/>
      <c r="AY402" s="627"/>
      <c r="AZ402" s="627"/>
      <c r="BA402" s="627"/>
      <c r="BB402" s="627"/>
      <c r="BC402" s="627"/>
      <c r="BD402" s="627"/>
      <c r="BE402" s="627"/>
      <c r="BF402" s="627"/>
      <c r="BG402" s="627"/>
      <c r="BH402" s="627"/>
      <c r="BI402" s="627"/>
      <c r="BJ402" s="627"/>
      <c r="BK402" s="627"/>
      <c r="BL402" s="627"/>
      <c r="BM402" s="627"/>
      <c r="BN402" s="627"/>
      <c r="BO402" s="627"/>
      <c r="BP402" s="626">
        <f>IF(D402=0,0,IF(F402="não",1,0))</f>
        <v>0</v>
      </c>
      <c r="BQ402" s="626">
        <f>IF(F402="sim",D402,0)</f>
        <v>0</v>
      </c>
      <c r="BR402" s="626">
        <f>IF(D402=0,0,IF(H402="não",1,0))</f>
        <v>0</v>
      </c>
      <c r="BS402" s="675">
        <f>IF(D402=0,0,D402+2)</f>
        <v>0</v>
      </c>
    </row>
    <row r="403" spans="1:71" ht="15" customHeight="1" x14ac:dyDescent="0.35">
      <c r="A403" s="988"/>
      <c r="B403" s="195">
        <f t="shared" si="6"/>
        <v>0</v>
      </c>
      <c r="C403" s="628">
        <f>IF(C397="X",IF(F22=3,0,IF(F22&gt;3,"3º para 4º =",0)),0)</f>
        <v>0</v>
      </c>
      <c r="D403" s="1091"/>
      <c r="E403" s="629">
        <f>IF(C403=0,0,"dias")</f>
        <v>0</v>
      </c>
      <c r="F403" s="627"/>
      <c r="G403" s="627"/>
      <c r="H403" s="627"/>
      <c r="I403" s="627"/>
      <c r="J403" s="627"/>
      <c r="K403" s="627"/>
      <c r="L403" s="627"/>
      <c r="M403" s="627"/>
      <c r="N403" s="627"/>
      <c r="O403" s="627"/>
      <c r="P403" s="627"/>
      <c r="Q403" s="719"/>
      <c r="R403" s="627"/>
      <c r="S403" s="627"/>
      <c r="T403" s="627"/>
      <c r="U403" s="627"/>
      <c r="V403" s="627"/>
      <c r="W403" s="627"/>
      <c r="X403" s="627"/>
      <c r="Y403" s="627"/>
      <c r="Z403" s="627"/>
      <c r="AA403" s="627"/>
      <c r="AB403" s="627"/>
      <c r="AC403" s="627"/>
      <c r="AD403" s="627"/>
      <c r="AE403" s="627"/>
      <c r="AF403" s="627"/>
      <c r="AG403" s="627"/>
      <c r="AH403" s="627"/>
      <c r="AI403" s="627"/>
      <c r="AJ403" s="627"/>
      <c r="AK403" s="627"/>
      <c r="AL403" s="627"/>
      <c r="AM403" s="627"/>
      <c r="AN403" s="627"/>
      <c r="AO403" s="627"/>
      <c r="AP403" s="627"/>
      <c r="AQ403" s="627"/>
      <c r="AR403" s="627"/>
      <c r="AS403" s="627"/>
      <c r="AT403" s="627"/>
      <c r="AU403" s="627"/>
      <c r="AV403" s="627"/>
      <c r="AW403" s="627"/>
      <c r="AX403" s="627"/>
      <c r="AY403" s="627"/>
      <c r="AZ403" s="627"/>
      <c r="BA403" s="627"/>
      <c r="BB403" s="627"/>
      <c r="BC403" s="627"/>
      <c r="BD403" s="627"/>
      <c r="BE403" s="627"/>
      <c r="BF403" s="627"/>
      <c r="BG403" s="627"/>
      <c r="BH403" s="627"/>
      <c r="BI403" s="627"/>
      <c r="BJ403" s="627"/>
      <c r="BK403" s="627"/>
      <c r="BL403" s="627"/>
      <c r="BM403" s="627"/>
      <c r="BN403" s="627"/>
      <c r="BO403" s="627"/>
      <c r="BP403" s="626">
        <f>IF(D403=0,0,IF(F403="não",1,0))</f>
        <v>0</v>
      </c>
      <c r="BQ403" s="626">
        <f>IF(F403="sim",D403,0)</f>
        <v>0</v>
      </c>
      <c r="BR403" s="626">
        <f>IF(D403=0,0,IF(H403="não",1,0))</f>
        <v>0</v>
      </c>
      <c r="BS403" s="675">
        <f>IF(D403=0,0,D403+2)</f>
        <v>0</v>
      </c>
    </row>
    <row r="404" spans="1:71" ht="15" hidden="1" customHeight="1" x14ac:dyDescent="0.4">
      <c r="A404" s="988"/>
      <c r="B404" s="195"/>
      <c r="C404" s="659"/>
      <c r="D404" s="357"/>
      <c r="E404" s="357"/>
      <c r="F404" s="627"/>
      <c r="G404" s="627"/>
      <c r="H404" s="627"/>
      <c r="I404" s="627"/>
      <c r="J404" s="627"/>
      <c r="K404" s="627"/>
      <c r="L404" s="627"/>
      <c r="M404" s="627"/>
      <c r="N404" s="627"/>
      <c r="O404" s="627"/>
      <c r="P404" s="627"/>
      <c r="Q404" s="719"/>
      <c r="R404" s="627"/>
      <c r="S404" s="627"/>
      <c r="T404" s="627"/>
      <c r="U404" s="627"/>
      <c r="V404" s="627"/>
      <c r="W404" s="627"/>
      <c r="X404" s="627"/>
      <c r="Y404" s="627"/>
      <c r="Z404" s="627"/>
      <c r="AA404" s="627"/>
      <c r="AB404" s="627"/>
      <c r="AC404" s="627"/>
      <c r="AD404" s="627"/>
      <c r="AE404" s="627"/>
      <c r="AF404" s="627"/>
      <c r="AG404" s="627"/>
      <c r="AH404" s="627"/>
      <c r="AI404" s="627"/>
      <c r="AJ404" s="627"/>
      <c r="AK404" s="627"/>
      <c r="AL404" s="627"/>
      <c r="AM404" s="627"/>
      <c r="AN404" s="627"/>
      <c r="AO404" s="627"/>
      <c r="AP404" s="627"/>
      <c r="AQ404" s="627"/>
      <c r="AR404" s="627"/>
      <c r="AS404" s="627"/>
      <c r="AT404" s="627"/>
      <c r="AU404" s="627"/>
      <c r="AV404" s="627"/>
      <c r="AW404" s="627"/>
      <c r="AX404" s="627"/>
      <c r="AY404" s="627"/>
      <c r="AZ404" s="627"/>
      <c r="BA404" s="627"/>
      <c r="BB404" s="627"/>
      <c r="BC404" s="627"/>
      <c r="BD404" s="627"/>
      <c r="BE404" s="627"/>
      <c r="BF404" s="627"/>
      <c r="BG404" s="627"/>
      <c r="BH404" s="627"/>
      <c r="BI404" s="627"/>
      <c r="BJ404" s="627"/>
      <c r="BK404" s="627"/>
      <c r="BL404" s="627"/>
      <c r="BM404" s="627"/>
      <c r="BN404" s="627"/>
      <c r="BO404" s="627"/>
      <c r="BP404" s="627"/>
      <c r="BQ404" s="627"/>
      <c r="BR404" s="627"/>
      <c r="BS404" s="675"/>
    </row>
    <row r="405" spans="1:71" ht="15" customHeight="1" x14ac:dyDescent="0.35">
      <c r="A405" s="988"/>
      <c r="B405" s="195">
        <f t="shared" si="6"/>
        <v>0</v>
      </c>
      <c r="C405" s="628">
        <f>IF(C397="X",IF(F22=4,0,IF(F22&gt;4,"4º para 5º =",0)),0)</f>
        <v>0</v>
      </c>
      <c r="D405" s="1091"/>
      <c r="E405" s="629">
        <f>IF(C405=0,0,"dias")</f>
        <v>0</v>
      </c>
      <c r="F405" s="627"/>
      <c r="G405" s="627"/>
      <c r="H405" s="627"/>
      <c r="I405" s="627"/>
      <c r="J405" s="627"/>
      <c r="K405" s="627"/>
      <c r="L405" s="627"/>
      <c r="M405" s="627"/>
      <c r="N405" s="627"/>
      <c r="O405" s="627"/>
      <c r="P405" s="627"/>
      <c r="Q405" s="719"/>
      <c r="R405" s="627"/>
      <c r="S405" s="627"/>
      <c r="T405" s="627"/>
      <c r="U405" s="627"/>
      <c r="V405" s="627"/>
      <c r="W405" s="627"/>
      <c r="X405" s="627"/>
      <c r="Y405" s="627"/>
      <c r="Z405" s="627"/>
      <c r="AA405" s="627"/>
      <c r="AB405" s="627"/>
      <c r="AC405" s="627"/>
      <c r="AD405" s="627"/>
      <c r="AE405" s="627"/>
      <c r="AF405" s="627"/>
      <c r="AG405" s="627"/>
      <c r="AH405" s="627"/>
      <c r="AI405" s="627"/>
      <c r="AJ405" s="627"/>
      <c r="AK405" s="627"/>
      <c r="AL405" s="627"/>
      <c r="AM405" s="627"/>
      <c r="AN405" s="627"/>
      <c r="AO405" s="627"/>
      <c r="AP405" s="627"/>
      <c r="AQ405" s="627"/>
      <c r="AR405" s="627"/>
      <c r="AS405" s="627"/>
      <c r="AT405" s="627"/>
      <c r="AU405" s="627"/>
      <c r="AV405" s="627"/>
      <c r="AW405" s="627"/>
      <c r="AX405" s="627"/>
      <c r="AY405" s="627"/>
      <c r="AZ405" s="627"/>
      <c r="BA405" s="627"/>
      <c r="BB405" s="627"/>
      <c r="BC405" s="627"/>
      <c r="BD405" s="627"/>
      <c r="BE405" s="627"/>
      <c r="BF405" s="627"/>
      <c r="BG405" s="627"/>
      <c r="BH405" s="627"/>
      <c r="BI405" s="627"/>
      <c r="BJ405" s="627"/>
      <c r="BK405" s="627"/>
      <c r="BL405" s="627"/>
      <c r="BM405" s="627"/>
      <c r="BN405" s="627"/>
      <c r="BO405" s="627"/>
      <c r="BP405" s="626">
        <f t="shared" ref="BP405:BP410" si="7">IF(D405=0,0,IF(F405="não",1,0))</f>
        <v>0</v>
      </c>
      <c r="BQ405" s="626">
        <f t="shared" ref="BQ405:BQ410" si="8">IF(F405="sim",D405,0)</f>
        <v>0</v>
      </c>
      <c r="BR405" s="626">
        <f t="shared" ref="BR405:BR410" si="9">IF(D405=0,0,IF(H405="não",1,0))</f>
        <v>0</v>
      </c>
      <c r="BS405" s="675">
        <f t="shared" ref="BS405:BS410" si="10">IF(D405=0,0,D405+2)</f>
        <v>0</v>
      </c>
    </row>
    <row r="406" spans="1:71" ht="15" customHeight="1" x14ac:dyDescent="0.35">
      <c r="A406" s="988"/>
      <c r="B406" s="195">
        <f t="shared" si="6"/>
        <v>0</v>
      </c>
      <c r="C406" s="628">
        <f>IF(C397="X",IF(F22=5,0,IF(F22&gt;5,"5º para 6º =",0)),0)</f>
        <v>0</v>
      </c>
      <c r="D406" s="1091"/>
      <c r="E406" s="629">
        <f>IF(C406=0,0,"dias")</f>
        <v>0</v>
      </c>
      <c r="F406" s="627"/>
      <c r="G406" s="627"/>
      <c r="H406" s="627"/>
      <c r="I406" s="627"/>
      <c r="J406" s="627"/>
      <c r="K406" s="627"/>
      <c r="L406" s="627"/>
      <c r="M406" s="627"/>
      <c r="N406" s="627"/>
      <c r="O406" s="627"/>
      <c r="P406" s="627"/>
      <c r="Q406" s="719"/>
      <c r="R406" s="627"/>
      <c r="S406" s="627"/>
      <c r="T406" s="627"/>
      <c r="U406" s="627"/>
      <c r="V406" s="627"/>
      <c r="W406" s="627"/>
      <c r="X406" s="627"/>
      <c r="Y406" s="627"/>
      <c r="Z406" s="627"/>
      <c r="AA406" s="627"/>
      <c r="AB406" s="627"/>
      <c r="AC406" s="627"/>
      <c r="AD406" s="627"/>
      <c r="AE406" s="627"/>
      <c r="AF406" s="627"/>
      <c r="AG406" s="627"/>
      <c r="AH406" s="627"/>
      <c r="AI406" s="627"/>
      <c r="AJ406" s="627"/>
      <c r="AK406" s="627"/>
      <c r="AL406" s="627"/>
      <c r="AM406" s="627"/>
      <c r="AN406" s="627"/>
      <c r="AO406" s="627"/>
      <c r="AP406" s="627"/>
      <c r="AQ406" s="627"/>
      <c r="AR406" s="627"/>
      <c r="AS406" s="627"/>
      <c r="AT406" s="627"/>
      <c r="AU406" s="627"/>
      <c r="AV406" s="627"/>
      <c r="AW406" s="627"/>
      <c r="AX406" s="627"/>
      <c r="AY406" s="627"/>
      <c r="AZ406" s="627"/>
      <c r="BA406" s="627"/>
      <c r="BB406" s="627"/>
      <c r="BC406" s="627"/>
      <c r="BD406" s="627"/>
      <c r="BE406" s="627"/>
      <c r="BF406" s="627"/>
      <c r="BG406" s="627"/>
      <c r="BH406" s="627"/>
      <c r="BI406" s="627"/>
      <c r="BJ406" s="627"/>
      <c r="BK406" s="627"/>
      <c r="BL406" s="627"/>
      <c r="BM406" s="627"/>
      <c r="BN406" s="627"/>
      <c r="BO406" s="627"/>
      <c r="BP406" s="626">
        <f t="shared" si="7"/>
        <v>0</v>
      </c>
      <c r="BQ406" s="626">
        <f t="shared" si="8"/>
        <v>0</v>
      </c>
      <c r="BR406" s="626">
        <f t="shared" si="9"/>
        <v>0</v>
      </c>
      <c r="BS406" s="675">
        <f t="shared" si="10"/>
        <v>0</v>
      </c>
    </row>
    <row r="407" spans="1:71" ht="15" customHeight="1" x14ac:dyDescent="0.35">
      <c r="A407" s="988"/>
      <c r="B407" s="195">
        <f t="shared" si="6"/>
        <v>0</v>
      </c>
      <c r="C407" s="628">
        <f>IF(C397="X",IF(F22=6,0,IF(F22&gt;6,"6º para 7º =",0)),0)</f>
        <v>0</v>
      </c>
      <c r="D407" s="1091"/>
      <c r="E407" s="629">
        <f t="shared" ref="E407:E410" si="11">IF(C407=0,0,"dias")</f>
        <v>0</v>
      </c>
      <c r="F407" s="627"/>
      <c r="G407" s="627"/>
      <c r="H407" s="627"/>
      <c r="I407" s="627"/>
      <c r="J407" s="627"/>
      <c r="K407" s="627"/>
      <c r="L407" s="627"/>
      <c r="M407" s="627"/>
      <c r="N407" s="627"/>
      <c r="O407" s="627"/>
      <c r="P407" s="627"/>
      <c r="Q407" s="719"/>
      <c r="R407" s="627"/>
      <c r="S407" s="627"/>
      <c r="T407" s="627"/>
      <c r="U407" s="627"/>
      <c r="V407" s="627"/>
      <c r="W407" s="627"/>
      <c r="X407" s="627"/>
      <c r="Y407" s="627"/>
      <c r="Z407" s="627"/>
      <c r="AA407" s="627"/>
      <c r="AB407" s="627"/>
      <c r="AC407" s="627"/>
      <c r="AD407" s="627"/>
      <c r="AE407" s="627"/>
      <c r="AF407" s="627"/>
      <c r="AG407" s="627"/>
      <c r="AH407" s="627"/>
      <c r="AI407" s="627"/>
      <c r="AJ407" s="627"/>
      <c r="AK407" s="627"/>
      <c r="AL407" s="627"/>
      <c r="AM407" s="627"/>
      <c r="AN407" s="627"/>
      <c r="AO407" s="627"/>
      <c r="AP407" s="627"/>
      <c r="AQ407" s="627"/>
      <c r="AR407" s="627"/>
      <c r="AS407" s="627"/>
      <c r="AT407" s="627"/>
      <c r="AU407" s="627"/>
      <c r="AV407" s="627"/>
      <c r="AW407" s="627"/>
      <c r="AX407" s="627"/>
      <c r="AY407" s="627"/>
      <c r="AZ407" s="627"/>
      <c r="BA407" s="627"/>
      <c r="BB407" s="627"/>
      <c r="BC407" s="627"/>
      <c r="BD407" s="627"/>
      <c r="BE407" s="627"/>
      <c r="BF407" s="627"/>
      <c r="BG407" s="627"/>
      <c r="BH407" s="627"/>
      <c r="BI407" s="627"/>
      <c r="BJ407" s="627"/>
      <c r="BK407" s="627"/>
      <c r="BL407" s="627"/>
      <c r="BM407" s="627"/>
      <c r="BN407" s="627"/>
      <c r="BO407" s="627"/>
      <c r="BP407" s="626">
        <f t="shared" si="7"/>
        <v>0</v>
      </c>
      <c r="BQ407" s="626">
        <f t="shared" si="8"/>
        <v>0</v>
      </c>
      <c r="BR407" s="626">
        <f t="shared" si="9"/>
        <v>0</v>
      </c>
      <c r="BS407" s="675">
        <f t="shared" si="10"/>
        <v>0</v>
      </c>
    </row>
    <row r="408" spans="1:71" ht="15" customHeight="1" x14ac:dyDescent="0.35">
      <c r="A408" s="988"/>
      <c r="B408" s="195">
        <f t="shared" si="6"/>
        <v>0</v>
      </c>
      <c r="C408" s="628">
        <f>IF(C397="X",IF(F22=7,0,IF(F22&gt;7,"7º para 8º =",0)),0)</f>
        <v>0</v>
      </c>
      <c r="D408" s="1091"/>
      <c r="E408" s="629">
        <f t="shared" si="11"/>
        <v>0</v>
      </c>
      <c r="F408" s="627"/>
      <c r="G408" s="627"/>
      <c r="H408" s="627"/>
      <c r="I408" s="627"/>
      <c r="J408" s="627"/>
      <c r="K408" s="627"/>
      <c r="L408" s="627"/>
      <c r="M408" s="627"/>
      <c r="N408" s="627"/>
      <c r="O408" s="627"/>
      <c r="P408" s="627"/>
      <c r="Q408" s="719"/>
      <c r="R408" s="627"/>
      <c r="S408" s="627"/>
      <c r="T408" s="627"/>
      <c r="U408" s="627"/>
      <c r="V408" s="627"/>
      <c r="W408" s="627"/>
      <c r="X408" s="627"/>
      <c r="Y408" s="627"/>
      <c r="Z408" s="627"/>
      <c r="AA408" s="627"/>
      <c r="AB408" s="627"/>
      <c r="AC408" s="627"/>
      <c r="AD408" s="627"/>
      <c r="AE408" s="627"/>
      <c r="AF408" s="627"/>
      <c r="AG408" s="627"/>
      <c r="AH408" s="627"/>
      <c r="AI408" s="627"/>
      <c r="AJ408" s="627"/>
      <c r="AK408" s="627"/>
      <c r="AL408" s="627"/>
      <c r="AM408" s="627"/>
      <c r="AN408" s="627"/>
      <c r="AO408" s="627"/>
      <c r="AP408" s="627"/>
      <c r="AQ408" s="627"/>
      <c r="AR408" s="627"/>
      <c r="AS408" s="627"/>
      <c r="AT408" s="627"/>
      <c r="AU408" s="627"/>
      <c r="AV408" s="627"/>
      <c r="AW408" s="627"/>
      <c r="AX408" s="627"/>
      <c r="AY408" s="627"/>
      <c r="AZ408" s="627"/>
      <c r="BA408" s="627"/>
      <c r="BB408" s="627"/>
      <c r="BC408" s="627"/>
      <c r="BD408" s="627"/>
      <c r="BE408" s="627"/>
      <c r="BF408" s="627"/>
      <c r="BG408" s="627"/>
      <c r="BH408" s="627"/>
      <c r="BI408" s="627"/>
      <c r="BJ408" s="627"/>
      <c r="BK408" s="627"/>
      <c r="BL408" s="627"/>
      <c r="BM408" s="627"/>
      <c r="BN408" s="627"/>
      <c r="BO408" s="627"/>
      <c r="BP408" s="626">
        <f t="shared" si="7"/>
        <v>0</v>
      </c>
      <c r="BQ408" s="626">
        <f t="shared" si="8"/>
        <v>0</v>
      </c>
      <c r="BR408" s="626">
        <f t="shared" si="9"/>
        <v>0</v>
      </c>
      <c r="BS408" s="675">
        <f t="shared" si="10"/>
        <v>0</v>
      </c>
    </row>
    <row r="409" spans="1:71" ht="15" customHeight="1" x14ac:dyDescent="0.35">
      <c r="A409" s="988"/>
      <c r="B409" s="195">
        <f t="shared" si="6"/>
        <v>0</v>
      </c>
      <c r="C409" s="628">
        <f>IF(C397="X",IF(F22=8,0,IF(F22&gt;8,"8º para 9º =",0)),0)</f>
        <v>0</v>
      </c>
      <c r="D409" s="1091"/>
      <c r="E409" s="629">
        <f t="shared" si="11"/>
        <v>0</v>
      </c>
      <c r="F409" s="627"/>
      <c r="G409" s="627"/>
      <c r="H409" s="627"/>
      <c r="I409" s="627"/>
      <c r="J409" s="627"/>
      <c r="K409" s="627"/>
      <c r="L409" s="627"/>
      <c r="M409" s="627"/>
      <c r="N409" s="627"/>
      <c r="O409" s="627"/>
      <c r="P409" s="627"/>
      <c r="Q409" s="719"/>
      <c r="R409" s="627"/>
      <c r="S409" s="627"/>
      <c r="T409" s="627"/>
      <c r="U409" s="627"/>
      <c r="V409" s="627"/>
      <c r="W409" s="627"/>
      <c r="X409" s="627"/>
      <c r="Y409" s="627"/>
      <c r="Z409" s="627"/>
      <c r="AA409" s="627"/>
      <c r="AB409" s="627"/>
      <c r="AC409" s="627"/>
      <c r="AD409" s="627"/>
      <c r="AE409" s="627"/>
      <c r="AF409" s="627"/>
      <c r="AG409" s="627"/>
      <c r="AH409" s="627"/>
      <c r="AI409" s="627"/>
      <c r="AJ409" s="627"/>
      <c r="AK409" s="627"/>
      <c r="AL409" s="627"/>
      <c r="AM409" s="627"/>
      <c r="AN409" s="627"/>
      <c r="AO409" s="627"/>
      <c r="AP409" s="627"/>
      <c r="AQ409" s="627"/>
      <c r="AR409" s="627"/>
      <c r="AS409" s="627"/>
      <c r="AT409" s="627"/>
      <c r="AU409" s="627"/>
      <c r="AV409" s="627"/>
      <c r="AW409" s="627"/>
      <c r="AX409" s="627"/>
      <c r="AY409" s="627"/>
      <c r="AZ409" s="627"/>
      <c r="BA409" s="627"/>
      <c r="BB409" s="627"/>
      <c r="BC409" s="627"/>
      <c r="BD409" s="627"/>
      <c r="BE409" s="627"/>
      <c r="BF409" s="627"/>
      <c r="BG409" s="627"/>
      <c r="BH409" s="627"/>
      <c r="BI409" s="627"/>
      <c r="BJ409" s="627"/>
      <c r="BK409" s="627"/>
      <c r="BL409" s="627"/>
      <c r="BM409" s="627"/>
      <c r="BN409" s="627"/>
      <c r="BO409" s="627"/>
      <c r="BP409" s="626">
        <f t="shared" si="7"/>
        <v>0</v>
      </c>
      <c r="BQ409" s="626">
        <f t="shared" si="8"/>
        <v>0</v>
      </c>
      <c r="BR409" s="626">
        <f t="shared" si="9"/>
        <v>0</v>
      </c>
      <c r="BS409" s="675">
        <f t="shared" si="10"/>
        <v>0</v>
      </c>
    </row>
    <row r="410" spans="1:71" ht="15" customHeight="1" x14ac:dyDescent="0.35">
      <c r="A410" s="988"/>
      <c r="B410" s="195">
        <f t="shared" si="6"/>
        <v>0</v>
      </c>
      <c r="C410" s="632">
        <f>IF(C397="X",IF(F22=9,0,IF(F22&gt;9,"9º para 10º =",0)),0)</f>
        <v>0</v>
      </c>
      <c r="D410" s="1091"/>
      <c r="E410" s="629">
        <f t="shared" si="11"/>
        <v>0</v>
      </c>
      <c r="F410" s="627"/>
      <c r="G410" s="627"/>
      <c r="H410" s="627"/>
      <c r="I410" s="627"/>
      <c r="J410" s="627"/>
      <c r="K410" s="627"/>
      <c r="L410" s="627"/>
      <c r="M410" s="627"/>
      <c r="N410" s="627"/>
      <c r="O410" s="627"/>
      <c r="P410" s="627"/>
      <c r="Q410" s="719"/>
      <c r="R410" s="627"/>
      <c r="S410" s="627"/>
      <c r="T410" s="627"/>
      <c r="U410" s="627"/>
      <c r="V410" s="627"/>
      <c r="W410" s="627"/>
      <c r="X410" s="627"/>
      <c r="Y410" s="627"/>
      <c r="Z410" s="627"/>
      <c r="AA410" s="627"/>
      <c r="AB410" s="627"/>
      <c r="AC410" s="627"/>
      <c r="AD410" s="627"/>
      <c r="AE410" s="627"/>
      <c r="AF410" s="627"/>
      <c r="AG410" s="627"/>
      <c r="AH410" s="627"/>
      <c r="AI410" s="627"/>
      <c r="AJ410" s="627"/>
      <c r="AK410" s="627"/>
      <c r="AL410" s="627"/>
      <c r="AM410" s="627"/>
      <c r="AN410" s="627"/>
      <c r="AO410" s="627"/>
      <c r="AP410" s="627"/>
      <c r="AQ410" s="627"/>
      <c r="AR410" s="627"/>
      <c r="AS410" s="627"/>
      <c r="AT410" s="627"/>
      <c r="AU410" s="627"/>
      <c r="AV410" s="627"/>
      <c r="AW410" s="627"/>
      <c r="AX410" s="627"/>
      <c r="AY410" s="627"/>
      <c r="AZ410" s="627"/>
      <c r="BA410" s="627"/>
      <c r="BB410" s="627"/>
      <c r="BC410" s="627"/>
      <c r="BD410" s="627"/>
      <c r="BE410" s="627"/>
      <c r="BF410" s="627"/>
      <c r="BG410" s="627"/>
      <c r="BH410" s="627"/>
      <c r="BI410" s="627"/>
      <c r="BJ410" s="627"/>
      <c r="BK410" s="627"/>
      <c r="BL410" s="627"/>
      <c r="BM410" s="627"/>
      <c r="BN410" s="627"/>
      <c r="BO410" s="627"/>
      <c r="BP410" s="626">
        <f t="shared" si="7"/>
        <v>0</v>
      </c>
      <c r="BQ410" s="626">
        <f t="shared" si="8"/>
        <v>0</v>
      </c>
      <c r="BR410" s="626">
        <f t="shared" si="9"/>
        <v>0</v>
      </c>
      <c r="BS410" s="675">
        <f t="shared" si="10"/>
        <v>0</v>
      </c>
    </row>
    <row r="411" spans="1:71" ht="9.75" customHeight="1" x14ac:dyDescent="0.35">
      <c r="A411" s="988"/>
      <c r="B411" s="195">
        <f>SUM(B401:B409)</f>
        <v>0</v>
      </c>
      <c r="C411" s="627"/>
      <c r="D411" s="627"/>
      <c r="E411" s="627"/>
      <c r="F411" s="627"/>
      <c r="G411" s="627"/>
      <c r="H411" s="627"/>
      <c r="I411" s="627"/>
      <c r="J411" s="627"/>
      <c r="K411" s="627"/>
      <c r="L411" s="627"/>
      <c r="M411" s="627"/>
      <c r="N411" s="627"/>
      <c r="O411" s="627"/>
      <c r="P411" s="627"/>
      <c r="Q411" s="719"/>
      <c r="R411" s="627"/>
      <c r="S411" s="627"/>
      <c r="T411" s="627"/>
      <c r="U411" s="627"/>
      <c r="V411" s="627"/>
      <c r="W411" s="627"/>
      <c r="X411" s="627"/>
      <c r="Y411" s="627"/>
      <c r="Z411" s="627"/>
      <c r="AA411" s="627"/>
      <c r="AB411" s="627"/>
      <c r="AC411" s="627"/>
      <c r="AD411" s="627"/>
      <c r="AE411" s="627"/>
      <c r="AF411" s="627"/>
      <c r="AG411" s="627"/>
      <c r="AH411" s="627"/>
      <c r="AI411" s="627"/>
      <c r="AJ411" s="627"/>
      <c r="AK411" s="627"/>
      <c r="AL411" s="627"/>
      <c r="AM411" s="627"/>
      <c r="AN411" s="627"/>
      <c r="AO411" s="627"/>
      <c r="AP411" s="627"/>
      <c r="AQ411" s="627"/>
      <c r="AR411" s="627"/>
      <c r="AS411" s="627"/>
      <c r="AT411" s="627"/>
      <c r="AU411" s="627"/>
      <c r="AV411" s="627"/>
      <c r="AW411" s="627"/>
      <c r="AX411" s="627"/>
      <c r="AY411" s="627"/>
      <c r="AZ411" s="627"/>
      <c r="BA411" s="627"/>
      <c r="BB411" s="627"/>
      <c r="BC411" s="627"/>
      <c r="BD411" s="627"/>
      <c r="BE411" s="627"/>
      <c r="BF411" s="627"/>
      <c r="BG411" s="627"/>
      <c r="BH411" s="627"/>
      <c r="BI411" s="627"/>
      <c r="BJ411" s="627"/>
      <c r="BK411" s="627"/>
      <c r="BL411" s="627"/>
      <c r="BM411" s="627"/>
      <c r="BN411" s="627"/>
      <c r="BO411" s="627"/>
      <c r="BP411" s="626">
        <f>SUM(BP401:BP403)+SUM(BP405:BP410)</f>
        <v>0</v>
      </c>
      <c r="BQ411" s="626">
        <f>SUM(BQ401:BQ403)+SUM(BQ405:BQ410)</f>
        <v>0</v>
      </c>
      <c r="BR411" s="626">
        <f>SUM(BR401:BR403)+SUM(BR405:BR410)</f>
        <v>0</v>
      </c>
      <c r="BS411" s="675"/>
    </row>
    <row r="412" spans="1:71" x14ac:dyDescent="0.35">
      <c r="A412" s="988"/>
      <c r="B412" s="627"/>
      <c r="C412" s="627" t="s">
        <v>281</v>
      </c>
      <c r="D412" s="627">
        <f>IF(I15&gt;18,"altura do painel &gt; que 18,00m. Verificar com engenharia !",0)</f>
        <v>0</v>
      </c>
      <c r="E412" s="627"/>
      <c r="F412" s="627"/>
      <c r="G412" s="627"/>
      <c r="H412" s="627"/>
      <c r="I412" s="627"/>
      <c r="J412" s="627"/>
      <c r="K412" s="627"/>
      <c r="L412" s="627"/>
      <c r="M412" s="627"/>
      <c r="N412" s="627"/>
      <c r="O412" s="627"/>
      <c r="P412" s="627"/>
      <c r="Q412" s="719"/>
      <c r="R412" s="627"/>
      <c r="S412" s="627"/>
      <c r="T412" s="627"/>
      <c r="U412" s="627"/>
      <c r="V412" s="627"/>
      <c r="W412" s="627"/>
      <c r="X412" s="627"/>
      <c r="Y412" s="627"/>
      <c r="Z412" s="627"/>
      <c r="AA412" s="627"/>
      <c r="AB412" s="627"/>
      <c r="AC412" s="627"/>
      <c r="AD412" s="627"/>
      <c r="AE412" s="627"/>
      <c r="AF412" s="627"/>
      <c r="AG412" s="627"/>
      <c r="AH412" s="627"/>
      <c r="AI412" s="627"/>
      <c r="AJ412" s="627"/>
      <c r="AK412" s="627"/>
      <c r="AL412" s="627"/>
      <c r="AM412" s="627"/>
      <c r="AN412" s="627"/>
      <c r="AO412" s="627"/>
      <c r="AP412" s="627"/>
      <c r="AQ412" s="627"/>
      <c r="AR412" s="627"/>
      <c r="AS412" s="627"/>
      <c r="AT412" s="627"/>
      <c r="AU412" s="627"/>
      <c r="AV412" s="627"/>
      <c r="AW412" s="627"/>
      <c r="AX412" s="627"/>
      <c r="AY412" s="627"/>
      <c r="AZ412" s="627"/>
      <c r="BA412" s="627"/>
      <c r="BB412" s="627"/>
      <c r="BC412" s="627"/>
      <c r="BD412" s="627"/>
      <c r="BE412" s="627"/>
      <c r="BF412" s="627"/>
      <c r="BG412" s="627"/>
      <c r="BH412" s="627"/>
      <c r="BI412" s="627"/>
      <c r="BJ412" s="627"/>
      <c r="BK412" s="627"/>
      <c r="BL412" s="627"/>
      <c r="BM412" s="627"/>
      <c r="BN412" s="627"/>
      <c r="BO412" s="627"/>
      <c r="BP412" s="627"/>
      <c r="BQ412" s="627"/>
      <c r="BR412" s="627"/>
      <c r="BS412" s="627"/>
    </row>
    <row r="413" spans="1:71" ht="13.15" x14ac:dyDescent="0.4">
      <c r="A413" s="988"/>
      <c r="B413" s="627"/>
      <c r="C413" s="1409" t="s">
        <v>282</v>
      </c>
      <c r="D413" s="1410"/>
      <c r="E413" s="1410"/>
      <c r="F413" s="1410"/>
      <c r="G413" s="1411"/>
      <c r="H413" s="1318" t="s">
        <v>283</v>
      </c>
      <c r="I413" s="1400"/>
      <c r="J413" s="627"/>
      <c r="K413" s="627"/>
      <c r="L413" s="627"/>
      <c r="M413" s="627"/>
      <c r="N413" s="627"/>
      <c r="O413" s="627"/>
      <c r="P413" s="627"/>
      <c r="Q413" s="719"/>
      <c r="R413" s="627"/>
      <c r="S413" s="627"/>
      <c r="T413" s="627"/>
      <c r="U413" s="627"/>
      <c r="V413" s="627"/>
      <c r="W413" s="627"/>
      <c r="X413" s="627"/>
      <c r="Y413" s="627"/>
      <c r="Z413" s="627"/>
      <c r="AA413" s="627"/>
      <c r="AB413" s="627"/>
      <c r="AC413" s="627"/>
      <c r="AD413" s="627"/>
      <c r="AE413" s="627"/>
      <c r="AF413" s="627"/>
      <c r="AG413" s="627"/>
      <c r="AH413" s="627"/>
      <c r="AI413" s="627"/>
      <c r="AJ413" s="627"/>
      <c r="AK413" s="627"/>
      <c r="AL413" s="627"/>
      <c r="AM413" s="627"/>
      <c r="AN413" s="627"/>
      <c r="AO413" s="627"/>
      <c r="AP413" s="627"/>
      <c r="AQ413" s="627"/>
      <c r="AR413" s="627"/>
      <c r="AS413" s="627"/>
      <c r="AT413" s="627"/>
      <c r="AU413" s="627"/>
      <c r="AV413" s="627"/>
      <c r="AW413" s="627"/>
      <c r="AX413" s="627"/>
      <c r="AY413" s="627"/>
      <c r="AZ413" s="627"/>
      <c r="BA413" s="627"/>
      <c r="BB413" s="627"/>
      <c r="BC413" s="627"/>
      <c r="BD413" s="627"/>
      <c r="BE413" s="627"/>
      <c r="BF413" s="627"/>
      <c r="BG413" s="627"/>
      <c r="BH413" s="627"/>
      <c r="BI413" s="627"/>
      <c r="BJ413" s="627"/>
      <c r="BK413" s="627"/>
      <c r="BL413" s="627"/>
      <c r="BM413" s="627"/>
      <c r="BN413" s="627"/>
      <c r="BO413" s="627"/>
      <c r="BP413" s="627"/>
      <c r="BQ413" s="627"/>
      <c r="BR413" s="627"/>
      <c r="BS413" s="627"/>
    </row>
    <row r="414" spans="1:71" x14ac:dyDescent="0.35">
      <c r="A414" s="988"/>
      <c r="B414" s="627"/>
      <c r="C414" s="674" t="s">
        <v>284</v>
      </c>
      <c r="D414" s="1341" t="s">
        <v>285</v>
      </c>
      <c r="E414" s="1342"/>
      <c r="F414" s="1341" t="s">
        <v>286</v>
      </c>
      <c r="G414" s="1342"/>
      <c r="H414" s="1418" t="s">
        <v>287</v>
      </c>
      <c r="I414" s="1419"/>
      <c r="J414" s="627"/>
      <c r="K414" s="627"/>
      <c r="L414" s="627"/>
      <c r="M414" s="627"/>
      <c r="N414" s="627"/>
      <c r="O414" s="627"/>
      <c r="P414" s="627"/>
      <c r="Q414" s="719"/>
      <c r="R414" s="627"/>
      <c r="S414" s="627"/>
      <c r="T414" s="627"/>
      <c r="U414" s="627"/>
      <c r="V414" s="627"/>
      <c r="W414" s="627"/>
      <c r="X414" s="627"/>
      <c r="Y414" s="627"/>
      <c r="Z414" s="627"/>
      <c r="AA414" s="627"/>
      <c r="AB414" s="627"/>
      <c r="AC414" s="627"/>
      <c r="AD414" s="627"/>
      <c r="AE414" s="627"/>
      <c r="AF414" s="627"/>
      <c r="AG414" s="627"/>
      <c r="AH414" s="627"/>
      <c r="AI414" s="627"/>
      <c r="AJ414" s="627"/>
      <c r="AK414" s="627"/>
      <c r="AL414" s="627"/>
      <c r="AM414" s="627"/>
      <c r="AN414" s="627"/>
      <c r="AO414" s="627"/>
      <c r="AP414" s="627"/>
      <c r="AQ414" s="627"/>
      <c r="AR414" s="627"/>
      <c r="AS414" s="627"/>
      <c r="AT414" s="627"/>
      <c r="AU414" s="627"/>
      <c r="AV414" s="627"/>
      <c r="AW414" s="627"/>
      <c r="AX414" s="627"/>
      <c r="AY414" s="627"/>
      <c r="AZ414" s="627"/>
      <c r="BA414" s="627"/>
      <c r="BB414" s="627"/>
      <c r="BC414" s="627"/>
      <c r="BD414" s="627"/>
      <c r="BE414" s="627"/>
      <c r="BF414" s="627"/>
      <c r="BG414" s="627"/>
      <c r="BH414" s="627"/>
      <c r="BI414" s="627"/>
      <c r="BJ414" s="627"/>
      <c r="BK414" s="627"/>
      <c r="BL414" s="627"/>
      <c r="BM414" s="627"/>
      <c r="BN414" s="627"/>
      <c r="BO414" s="627"/>
      <c r="BP414" s="627"/>
      <c r="BQ414" s="627"/>
      <c r="BR414" s="627"/>
      <c r="BS414" s="627"/>
    </row>
    <row r="415" spans="1:71" x14ac:dyDescent="0.35">
      <c r="A415" s="988"/>
      <c r="B415" s="627"/>
      <c r="C415" s="673" t="s">
        <v>288</v>
      </c>
      <c r="D415" s="1412" t="s">
        <v>258</v>
      </c>
      <c r="E415" s="1414"/>
      <c r="F415" s="1412" t="s">
        <v>289</v>
      </c>
      <c r="G415" s="1414"/>
      <c r="H415" s="741" t="s">
        <v>290</v>
      </c>
      <c r="I415" s="994"/>
      <c r="J415" s="627"/>
      <c r="K415" s="627"/>
      <c r="L415" s="627"/>
      <c r="M415" s="627"/>
      <c r="N415" s="627"/>
      <c r="O415" s="627"/>
      <c r="P415" s="627"/>
      <c r="Q415" s="719"/>
      <c r="R415" s="627"/>
      <c r="S415" s="627"/>
      <c r="T415" s="627"/>
      <c r="U415" s="627"/>
      <c r="V415" s="627"/>
      <c r="W415" s="627"/>
      <c r="X415" s="627"/>
      <c r="Y415" s="627"/>
      <c r="Z415" s="627"/>
      <c r="AA415" s="627"/>
      <c r="AB415" s="627"/>
      <c r="AC415" s="627"/>
      <c r="AD415" s="627"/>
      <c r="AE415" s="627"/>
      <c r="AF415" s="627"/>
      <c r="AG415" s="627"/>
      <c r="AH415" s="627"/>
      <c r="AI415" s="627"/>
      <c r="AJ415" s="627"/>
      <c r="AK415" s="627"/>
      <c r="AL415" s="627"/>
      <c r="AM415" s="627"/>
      <c r="AN415" s="627"/>
      <c r="AO415" s="627"/>
      <c r="AP415" s="627"/>
      <c r="AQ415" s="627"/>
      <c r="AR415" s="627"/>
      <c r="AS415" s="627"/>
      <c r="AT415" s="627"/>
      <c r="AU415" s="627"/>
      <c r="AV415" s="627"/>
      <c r="AW415" s="627"/>
      <c r="AX415" s="627"/>
      <c r="AY415" s="627"/>
      <c r="AZ415" s="627"/>
      <c r="BA415" s="627"/>
      <c r="BB415" s="627"/>
      <c r="BC415" s="627"/>
      <c r="BD415" s="627"/>
      <c r="BE415" s="627"/>
      <c r="BF415" s="627"/>
      <c r="BG415" s="627"/>
      <c r="BH415" s="627"/>
      <c r="BI415" s="627"/>
      <c r="BJ415" s="627"/>
      <c r="BK415" s="627"/>
      <c r="BL415" s="627"/>
      <c r="BM415" s="627"/>
      <c r="BN415" s="627"/>
      <c r="BO415" s="627"/>
      <c r="BP415" s="627"/>
      <c r="BQ415" s="627"/>
      <c r="BR415" s="627"/>
      <c r="BS415" s="627"/>
    </row>
    <row r="416" spans="1:71" ht="13.15" x14ac:dyDescent="0.4">
      <c r="A416" s="988"/>
      <c r="B416" s="627"/>
      <c r="C416" s="383">
        <f>IF(AND($E$15&gt;0,$E$15&lt;=3),"X",0)</f>
        <v>0</v>
      </c>
      <c r="D416" s="1337" t="s">
        <v>291</v>
      </c>
      <c r="E416" s="1337"/>
      <c r="F416" s="1337">
        <f>IF(AND(E15&gt;0,E15&lt;=3),IF(H416=0,13,H416),0)</f>
        <v>0</v>
      </c>
      <c r="G416" s="1337"/>
      <c r="H416" s="1338"/>
      <c r="I416" s="1339"/>
      <c r="J416" s="627"/>
      <c r="K416" s="627"/>
      <c r="L416" s="627"/>
      <c r="M416" s="627"/>
      <c r="N416" s="627"/>
      <c r="O416" s="627"/>
      <c r="P416" s="627"/>
      <c r="Q416" s="719"/>
      <c r="R416" s="627"/>
      <c r="S416" s="627"/>
      <c r="T416" s="627"/>
      <c r="U416" s="627"/>
      <c r="V416" s="627"/>
      <c r="W416" s="627"/>
      <c r="X416" s="627"/>
      <c r="Y416" s="627"/>
      <c r="Z416" s="627"/>
      <c r="AA416" s="627"/>
      <c r="AB416" s="627"/>
      <c r="AC416" s="627"/>
      <c r="AD416" s="627"/>
      <c r="AE416" s="627"/>
      <c r="AF416" s="627"/>
      <c r="AG416" s="627"/>
      <c r="AH416" s="627"/>
      <c r="AI416" s="627"/>
      <c r="AJ416" s="627"/>
      <c r="AK416" s="627"/>
      <c r="AL416" s="627"/>
      <c r="AM416" s="627"/>
      <c r="AN416" s="627"/>
      <c r="AO416" s="627"/>
      <c r="AP416" s="627"/>
      <c r="AQ416" s="627"/>
      <c r="AR416" s="627"/>
      <c r="AS416" s="627"/>
      <c r="AT416" s="627"/>
      <c r="AU416" s="627"/>
      <c r="AV416" s="627"/>
      <c r="AW416" s="627"/>
      <c r="AX416" s="627"/>
      <c r="AY416" s="627"/>
      <c r="AZ416" s="627"/>
      <c r="BA416" s="627"/>
      <c r="BB416" s="627"/>
      <c r="BC416" s="627"/>
      <c r="BD416" s="627"/>
      <c r="BE416" s="627"/>
      <c r="BF416" s="627"/>
      <c r="BG416" s="627"/>
      <c r="BH416" s="627"/>
      <c r="BI416" s="627"/>
      <c r="BJ416" s="627"/>
      <c r="BK416" s="627"/>
      <c r="BL416" s="627"/>
      <c r="BM416" s="627"/>
      <c r="BN416" s="627"/>
      <c r="BO416" s="627"/>
      <c r="BP416" s="627"/>
      <c r="BQ416" s="627"/>
      <c r="BR416" s="627"/>
      <c r="BS416" s="627"/>
    </row>
    <row r="417" spans="1:71" ht="13.15" x14ac:dyDescent="0.4">
      <c r="A417" s="988"/>
      <c r="B417" s="627"/>
      <c r="C417" s="383">
        <f>IF(AND($E$15&gt;3,$E$15&lt;=6),"X",0)</f>
        <v>0</v>
      </c>
      <c r="D417" s="1337" t="s">
        <v>292</v>
      </c>
      <c r="E417" s="1337"/>
      <c r="F417" s="1337">
        <f>IF(AND(E15&gt;3,E15&lt;=6),IF(H417=0,12,IF(F248="X",12-1,H417)),0)</f>
        <v>0</v>
      </c>
      <c r="G417" s="1337"/>
      <c r="H417" s="1338"/>
      <c r="I417" s="1339"/>
      <c r="J417" s="627"/>
      <c r="K417" s="627"/>
      <c r="L417" s="627"/>
      <c r="M417" s="627"/>
      <c r="N417" s="627"/>
      <c r="O417" s="627"/>
      <c r="P417" s="627"/>
      <c r="Q417" s="719"/>
      <c r="R417" s="627"/>
      <c r="S417" s="627"/>
      <c r="T417" s="627"/>
      <c r="U417" s="627"/>
      <c r="V417" s="627"/>
      <c r="W417" s="627"/>
      <c r="X417" s="627"/>
      <c r="Y417" s="627"/>
      <c r="Z417" s="627"/>
      <c r="AA417" s="627"/>
      <c r="AB417" s="627"/>
      <c r="AC417" s="627"/>
      <c r="AD417" s="627"/>
      <c r="AE417" s="627"/>
      <c r="AF417" s="627"/>
      <c r="AG417" s="627"/>
      <c r="AH417" s="627"/>
      <c r="AI417" s="627"/>
      <c r="AJ417" s="627"/>
      <c r="AK417" s="627"/>
      <c r="AL417" s="627"/>
      <c r="AM417" s="627"/>
      <c r="AN417" s="627"/>
      <c r="AO417" s="627"/>
      <c r="AP417" s="627"/>
      <c r="AQ417" s="627"/>
      <c r="AR417" s="627"/>
      <c r="AS417" s="627"/>
      <c r="AT417" s="627"/>
      <c r="AU417" s="627"/>
      <c r="AV417" s="627"/>
      <c r="AW417" s="627"/>
      <c r="AX417" s="627"/>
      <c r="AY417" s="627"/>
      <c r="AZ417" s="627"/>
      <c r="BA417" s="627"/>
      <c r="BB417" s="627"/>
      <c r="BC417" s="627"/>
      <c r="BD417" s="627"/>
      <c r="BE417" s="627"/>
      <c r="BF417" s="627"/>
      <c r="BG417" s="627"/>
      <c r="BH417" s="627"/>
      <c r="BI417" s="627"/>
      <c r="BJ417" s="627"/>
      <c r="BK417" s="627"/>
      <c r="BL417" s="627"/>
      <c r="BM417" s="627"/>
      <c r="BN417" s="627"/>
      <c r="BO417" s="627"/>
      <c r="BP417" s="627"/>
      <c r="BQ417" s="627"/>
      <c r="BR417" s="627"/>
      <c r="BS417" s="627"/>
    </row>
    <row r="418" spans="1:71" ht="13.15" x14ac:dyDescent="0.4">
      <c r="A418" s="988"/>
      <c r="B418" s="627"/>
      <c r="C418" s="383" t="str">
        <f>IF(AND($E$15&gt;6,$E$15&lt;=10),"X",0)</f>
        <v>X</v>
      </c>
      <c r="D418" s="1337" t="s">
        <v>293</v>
      </c>
      <c r="E418" s="1337"/>
      <c r="F418" s="1337">
        <f>IF(AND(E15&gt;6,E15&lt;=10),IF(AND(E15&gt;6,E15&lt;=8),IF(H418=0,IF(G66="X",IF(F248="X",11-1,11),IF(F248="X",10-1,10)),H418),IF(AND(E15&gt;8,E15&lt;=10),IF(H418=0,IF(G66="X",IF(F248="X",10-1,10),IF(F248="X",9-1,9)),H418))),0)</f>
        <v>7</v>
      </c>
      <c r="G418" s="1337"/>
      <c r="H418" s="1338">
        <v>7</v>
      </c>
      <c r="I418" s="1339"/>
      <c r="J418" s="627"/>
      <c r="K418" s="627"/>
      <c r="L418" s="627"/>
      <c r="M418" s="627"/>
      <c r="N418" s="627"/>
      <c r="O418" s="627"/>
      <c r="P418" s="627"/>
      <c r="Q418" s="719"/>
      <c r="R418" s="627"/>
      <c r="S418" s="627"/>
      <c r="T418" s="627"/>
      <c r="U418" s="627"/>
      <c r="V418" s="627"/>
      <c r="W418" s="627"/>
      <c r="X418" s="627"/>
      <c r="Y418" s="627"/>
      <c r="Z418" s="627"/>
      <c r="AA418" s="627"/>
      <c r="AB418" s="627"/>
      <c r="AC418" s="627"/>
      <c r="AD418" s="627"/>
      <c r="AE418" s="627"/>
      <c r="AF418" s="627"/>
      <c r="AG418" s="627"/>
      <c r="AH418" s="627"/>
      <c r="AI418" s="627"/>
      <c r="AJ418" s="627"/>
      <c r="AK418" s="627"/>
      <c r="AL418" s="627"/>
      <c r="AM418" s="627"/>
      <c r="AN418" s="627"/>
      <c r="AO418" s="627"/>
      <c r="AP418" s="627"/>
      <c r="AQ418" s="627"/>
      <c r="AR418" s="627"/>
      <c r="AS418" s="627"/>
      <c r="AT418" s="627"/>
      <c r="AU418" s="627"/>
      <c r="AV418" s="627"/>
      <c r="AW418" s="627"/>
      <c r="AX418" s="627"/>
      <c r="AY418" s="627"/>
      <c r="AZ418" s="627"/>
      <c r="BA418" s="627"/>
      <c r="BB418" s="627"/>
      <c r="BC418" s="627"/>
      <c r="BD418" s="627"/>
      <c r="BE418" s="627"/>
      <c r="BF418" s="627"/>
      <c r="BG418" s="627"/>
      <c r="BH418" s="627"/>
      <c r="BI418" s="627"/>
      <c r="BJ418" s="627"/>
      <c r="BK418" s="627"/>
      <c r="BL418" s="627"/>
      <c r="BM418" s="627"/>
      <c r="BN418" s="627"/>
      <c r="BO418" s="627"/>
      <c r="BP418" s="627"/>
      <c r="BQ418" s="627"/>
      <c r="BR418" s="627"/>
      <c r="BS418" s="627"/>
    </row>
    <row r="419" spans="1:71" ht="13.15" x14ac:dyDescent="0.4">
      <c r="A419" s="988"/>
      <c r="B419" s="627"/>
      <c r="C419" s="383">
        <f>IF(AND($E$15&gt;10,$E$15&lt;=14),"X",0)</f>
        <v>0</v>
      </c>
      <c r="D419" s="1337" t="s">
        <v>294</v>
      </c>
      <c r="E419" s="1337"/>
      <c r="F419" s="1337">
        <f>IF(AND(E15&gt;10,E15&lt;=14),IF(AND(E15&gt;10,E15&lt;=12),IF(H419=0,IF(G66="X",IF(F248="X",9-1,9),IF(F248="X",7-1,7)),H419),IF(AND(E15&gt;12,E15&lt;=14),IF(H419=0,IF(G66="X",IF(F248="X",8-1,8),IF(F248="X",6-1,6)),H419))),0)</f>
        <v>0</v>
      </c>
      <c r="G419" s="1337"/>
      <c r="H419" s="1338"/>
      <c r="I419" s="1339"/>
      <c r="J419" s="627"/>
      <c r="K419" s="627"/>
      <c r="L419" s="627"/>
      <c r="M419" s="627"/>
      <c r="N419" s="627"/>
      <c r="O419" s="627"/>
      <c r="P419" s="627"/>
      <c r="Q419" s="719"/>
      <c r="R419" s="627"/>
      <c r="S419" s="627"/>
      <c r="T419" s="627"/>
      <c r="U419" s="627"/>
      <c r="V419" s="627"/>
      <c r="W419" s="627"/>
      <c r="X419" s="627"/>
      <c r="Y419" s="627"/>
      <c r="Z419" s="627"/>
      <c r="AA419" s="627"/>
      <c r="AB419" s="627"/>
      <c r="AC419" s="627"/>
      <c r="AD419" s="627"/>
      <c r="AE419" s="627"/>
      <c r="AF419" s="627"/>
      <c r="AG419" s="627"/>
      <c r="AH419" s="627"/>
      <c r="AI419" s="627"/>
      <c r="AJ419" s="627"/>
      <c r="AK419" s="627"/>
      <c r="AL419" s="627"/>
      <c r="AM419" s="627"/>
      <c r="AN419" s="627"/>
      <c r="AO419" s="627"/>
      <c r="AP419" s="627"/>
      <c r="AQ419" s="627"/>
      <c r="AR419" s="627"/>
      <c r="AS419" s="627"/>
      <c r="AT419" s="627"/>
      <c r="AU419" s="627"/>
      <c r="AV419" s="627"/>
      <c r="AW419" s="627"/>
      <c r="AX419" s="627"/>
      <c r="AY419" s="627"/>
      <c r="AZ419" s="627"/>
      <c r="BA419" s="627"/>
      <c r="BB419" s="627"/>
      <c r="BC419" s="627"/>
      <c r="BD419" s="627"/>
      <c r="BE419" s="627"/>
      <c r="BF419" s="627"/>
      <c r="BG419" s="627"/>
      <c r="BH419" s="627"/>
      <c r="BI419" s="627"/>
      <c r="BJ419" s="627"/>
      <c r="BK419" s="627"/>
      <c r="BL419" s="627"/>
      <c r="BM419" s="627"/>
      <c r="BN419" s="627"/>
      <c r="BO419" s="627"/>
      <c r="BP419" s="627"/>
      <c r="BQ419" s="627"/>
      <c r="BR419" s="627"/>
      <c r="BS419" s="627"/>
    </row>
    <row r="420" spans="1:71" ht="13.15" x14ac:dyDescent="0.4">
      <c r="A420" s="988"/>
      <c r="B420" s="627"/>
      <c r="C420" s="383">
        <f>IF(AND($E$15&gt;14,$E$15&lt;=18),0,0)</f>
        <v>0</v>
      </c>
      <c r="D420" s="1343" t="s">
        <v>295</v>
      </c>
      <c r="E420" s="1343"/>
      <c r="F420" s="1343">
        <f>IF(H420=0,6,H420)</f>
        <v>6</v>
      </c>
      <c r="G420" s="1343"/>
      <c r="H420" s="1338"/>
      <c r="I420" s="1339"/>
      <c r="J420" s="627"/>
      <c r="K420" s="627"/>
      <c r="L420" s="627"/>
      <c r="M420" s="627"/>
      <c r="N420" s="627"/>
      <c r="O420" s="627"/>
      <c r="P420" s="627"/>
      <c r="Q420" s="719"/>
      <c r="R420" s="627"/>
      <c r="S420" s="627"/>
      <c r="T420" s="627"/>
      <c r="U420" s="627"/>
      <c r="V420" s="627"/>
      <c r="W420" s="627"/>
      <c r="X420" s="627"/>
      <c r="Y420" s="627"/>
      <c r="Z420" s="627"/>
      <c r="AA420" s="627"/>
      <c r="AB420" s="627"/>
      <c r="AC420" s="627"/>
      <c r="AD420" s="627"/>
      <c r="AE420" s="627"/>
      <c r="AF420" s="627"/>
      <c r="AG420" s="627"/>
      <c r="AH420" s="627"/>
      <c r="AI420" s="627"/>
      <c r="AJ420" s="627"/>
      <c r="AK420" s="627"/>
      <c r="AL420" s="627"/>
      <c r="AM420" s="627"/>
      <c r="AN420" s="627"/>
      <c r="AO420" s="627"/>
      <c r="AP420" s="627"/>
      <c r="AQ420" s="627"/>
      <c r="AR420" s="627"/>
      <c r="AS420" s="627"/>
      <c r="AT420" s="627"/>
      <c r="AU420" s="627"/>
      <c r="AV420" s="627"/>
      <c r="AW420" s="627"/>
      <c r="AX420" s="627"/>
      <c r="AY420" s="627"/>
      <c r="AZ420" s="627"/>
      <c r="BA420" s="627"/>
      <c r="BB420" s="627"/>
      <c r="BC420" s="627"/>
      <c r="BD420" s="627"/>
      <c r="BE420" s="627"/>
      <c r="BF420" s="627"/>
      <c r="BG420" s="627"/>
      <c r="BH420" s="627"/>
      <c r="BI420" s="627"/>
      <c r="BJ420" s="627"/>
      <c r="BK420" s="627"/>
      <c r="BL420" s="627"/>
      <c r="BM420" s="627"/>
      <c r="BN420" s="627"/>
      <c r="BO420" s="627"/>
      <c r="BP420" s="627"/>
      <c r="BQ420" s="627"/>
      <c r="BR420" s="627"/>
      <c r="BS420" s="627"/>
    </row>
    <row r="421" spans="1:71" ht="6.75" customHeight="1" x14ac:dyDescent="0.4">
      <c r="A421" s="988"/>
      <c r="B421" s="627"/>
      <c r="C421" s="378"/>
      <c r="D421" s="378"/>
      <c r="E421" s="378"/>
      <c r="F421" s="378"/>
      <c r="G421" s="378"/>
      <c r="H421" s="627"/>
      <c r="I421" s="627"/>
      <c r="J421" s="627"/>
      <c r="K421" s="627"/>
      <c r="L421" s="627"/>
      <c r="M421" s="627"/>
      <c r="N421" s="627"/>
      <c r="O421" s="627"/>
      <c r="P421" s="627"/>
      <c r="Q421" s="719"/>
      <c r="R421" s="627"/>
      <c r="S421" s="627"/>
      <c r="T421" s="627"/>
      <c r="U421" s="627"/>
      <c r="V421" s="627"/>
      <c r="W421" s="627"/>
      <c r="X421" s="627"/>
      <c r="Y421" s="627"/>
      <c r="Z421" s="627"/>
      <c r="AA421" s="627"/>
      <c r="AB421" s="627"/>
      <c r="AC421" s="627"/>
      <c r="AD421" s="627"/>
      <c r="AE421" s="627"/>
      <c r="AF421" s="627"/>
      <c r="AG421" s="627"/>
      <c r="AH421" s="627"/>
      <c r="AI421" s="627"/>
      <c r="AJ421" s="627"/>
      <c r="AK421" s="627"/>
      <c r="AL421" s="627"/>
      <c r="AM421" s="627"/>
      <c r="AN421" s="627"/>
      <c r="AO421" s="627"/>
      <c r="AP421" s="627"/>
      <c r="AQ421" s="627"/>
      <c r="AR421" s="627"/>
      <c r="AS421" s="627"/>
      <c r="AT421" s="627"/>
      <c r="AU421" s="627"/>
      <c r="AV421" s="627"/>
      <c r="AW421" s="627"/>
      <c r="AX421" s="627"/>
      <c r="AY421" s="627"/>
      <c r="AZ421" s="627"/>
      <c r="BA421" s="627"/>
      <c r="BB421" s="627"/>
      <c r="BC421" s="627"/>
      <c r="BD421" s="627"/>
      <c r="BE421" s="627"/>
      <c r="BF421" s="627"/>
      <c r="BG421" s="627"/>
      <c r="BH421" s="627"/>
      <c r="BI421" s="627"/>
      <c r="BJ421" s="627"/>
      <c r="BK421" s="627"/>
      <c r="BL421" s="627"/>
      <c r="BM421" s="627"/>
      <c r="BN421" s="627"/>
      <c r="BO421" s="627"/>
      <c r="BP421" s="627"/>
      <c r="BQ421" s="627"/>
      <c r="BR421" s="627"/>
      <c r="BS421" s="627"/>
    </row>
    <row r="422" spans="1:71" x14ac:dyDescent="0.35">
      <c r="A422" s="988"/>
      <c r="B422" s="627"/>
      <c r="C422" s="633" t="s">
        <v>296</v>
      </c>
      <c r="D422" s="646"/>
      <c r="E422" s="646"/>
      <c r="F422" s="646"/>
      <c r="G422" s="646"/>
      <c r="H422" s="1441">
        <f>IF(E15=0,0,VLOOKUP(BJ8,C416:F420,4,0))</f>
        <v>7</v>
      </c>
      <c r="I422" s="1339"/>
      <c r="J422" s="627" t="s">
        <v>297</v>
      </c>
      <c r="K422" s="627"/>
      <c r="L422" s="627"/>
      <c r="M422" s="627"/>
      <c r="N422" s="627"/>
      <c r="O422" s="627"/>
      <c r="P422" s="627"/>
      <c r="Q422" s="719"/>
      <c r="R422" s="627"/>
      <c r="S422" s="627"/>
      <c r="T422" s="627"/>
      <c r="U422" s="627"/>
      <c r="V422" s="627"/>
      <c r="W422" s="627"/>
      <c r="X422" s="627"/>
      <c r="Y422" s="627"/>
      <c r="Z422" s="627"/>
      <c r="AA422" s="627"/>
      <c r="AB422" s="627"/>
      <c r="AC422" s="627"/>
      <c r="AD422" s="627"/>
      <c r="AE422" s="627"/>
      <c r="AF422" s="627"/>
      <c r="AG422" s="627"/>
      <c r="AH422" s="627"/>
      <c r="AI422" s="627"/>
      <c r="AJ422" s="627"/>
      <c r="AK422" s="627"/>
      <c r="AL422" s="627"/>
      <c r="AM422" s="627"/>
      <c r="AN422" s="627"/>
      <c r="AO422" s="627"/>
      <c r="AP422" s="627"/>
      <c r="AQ422" s="627"/>
      <c r="AR422" s="627"/>
      <c r="AS422" s="627"/>
      <c r="AT422" s="627"/>
      <c r="AU422" s="627"/>
      <c r="AV422" s="627"/>
      <c r="AW422" s="627"/>
      <c r="AX422" s="627"/>
      <c r="AY422" s="627"/>
      <c r="AZ422" s="627"/>
      <c r="BA422" s="627"/>
      <c r="BB422" s="627"/>
      <c r="BC422" s="627"/>
      <c r="BD422" s="627"/>
      <c r="BE422" s="627"/>
      <c r="BF422" s="627"/>
      <c r="BG422" s="627"/>
      <c r="BH422" s="627"/>
      <c r="BI422" s="627"/>
      <c r="BJ422" s="627"/>
      <c r="BK422" s="627"/>
      <c r="BL422" s="627"/>
      <c r="BM422" s="627"/>
      <c r="BN422" s="627"/>
      <c r="BO422" s="627"/>
      <c r="BP422" s="627"/>
      <c r="BQ422" s="627"/>
      <c r="BR422" s="627"/>
      <c r="BS422" s="627"/>
    </row>
    <row r="423" spans="1:71" hidden="1" x14ac:dyDescent="0.35">
      <c r="A423" s="988"/>
      <c r="B423" s="627"/>
      <c r="C423" s="627"/>
      <c r="D423" s="627"/>
      <c r="E423" s="627"/>
      <c r="F423" s="627"/>
      <c r="G423" s="627"/>
      <c r="H423" s="627"/>
      <c r="I423" s="627"/>
      <c r="J423" s="627"/>
      <c r="K423" s="627"/>
      <c r="L423" s="627"/>
      <c r="M423" s="627"/>
      <c r="N423" s="627"/>
      <c r="O423" s="627"/>
      <c r="P423" s="627"/>
      <c r="Q423" s="719"/>
      <c r="R423" s="627"/>
      <c r="S423" s="627"/>
      <c r="T423" s="627"/>
      <c r="U423" s="627"/>
      <c r="V423" s="627"/>
      <c r="W423" s="627"/>
      <c r="X423" s="627"/>
      <c r="Y423" s="627"/>
      <c r="Z423" s="627"/>
      <c r="AA423" s="627"/>
      <c r="AB423" s="627"/>
      <c r="AC423" s="627"/>
      <c r="AD423" s="627"/>
      <c r="AE423" s="627"/>
      <c r="AF423" s="627"/>
      <c r="AG423" s="627"/>
      <c r="AH423" s="627"/>
      <c r="AI423" s="627"/>
      <c r="AJ423" s="627"/>
      <c r="AK423" s="627"/>
      <c r="AL423" s="627"/>
      <c r="AM423" s="627"/>
      <c r="AN423" s="627"/>
      <c r="AO423" s="627"/>
      <c r="AP423" s="627"/>
      <c r="AQ423" s="627"/>
      <c r="AR423" s="627"/>
      <c r="AS423" s="627"/>
      <c r="AT423" s="627"/>
      <c r="AU423" s="627"/>
      <c r="AV423" s="627"/>
      <c r="AW423" s="627"/>
      <c r="AX423" s="627"/>
      <c r="AY423" s="627"/>
      <c r="AZ423" s="627"/>
      <c r="BA423" s="627"/>
      <c r="BB423" s="627"/>
      <c r="BC423" s="627"/>
      <c r="BD423" s="627"/>
      <c r="BE423" s="627"/>
      <c r="BF423" s="627"/>
      <c r="BG423" s="627"/>
      <c r="BH423" s="627"/>
      <c r="BI423" s="627"/>
      <c r="BJ423" s="627"/>
      <c r="BK423" s="627"/>
      <c r="BL423" s="627"/>
      <c r="BM423" s="627"/>
      <c r="BN423" s="627"/>
      <c r="BO423" s="627"/>
      <c r="BP423" s="627"/>
      <c r="BQ423" s="627"/>
      <c r="BR423" s="627"/>
      <c r="BS423" s="627"/>
    </row>
    <row r="424" spans="1:71" hidden="1" x14ac:dyDescent="0.35">
      <c r="A424" s="988"/>
      <c r="B424" s="627"/>
      <c r="C424" s="627" t="s">
        <v>298</v>
      </c>
      <c r="D424" s="627">
        <f>IF(I15&gt;18,"altura do painel &gt; que 18,00m. Verificar com engenharia !",0)</f>
        <v>0</v>
      </c>
      <c r="E424" s="627"/>
      <c r="F424" s="627"/>
      <c r="G424" s="627"/>
      <c r="H424" s="627"/>
      <c r="I424" s="627"/>
      <c r="J424" s="627"/>
      <c r="K424" s="627"/>
      <c r="L424" s="627"/>
      <c r="M424" s="627"/>
      <c r="N424" s="627"/>
      <c r="O424" s="627"/>
      <c r="P424" s="627"/>
      <c r="Q424" s="719"/>
      <c r="R424" s="627"/>
      <c r="S424" s="627"/>
      <c r="T424" s="627"/>
      <c r="U424" s="627"/>
      <c r="V424" s="627"/>
      <c r="W424" s="627"/>
      <c r="X424" s="627"/>
      <c r="Y424" s="627"/>
      <c r="Z424" s="627"/>
      <c r="AA424" s="627"/>
      <c r="AB424" s="627"/>
      <c r="AC424" s="627"/>
      <c r="AD424" s="627"/>
      <c r="AE424" s="627"/>
      <c r="AF424" s="627"/>
      <c r="AG424" s="627"/>
      <c r="AH424" s="627"/>
      <c r="AI424" s="627"/>
      <c r="AJ424" s="627"/>
      <c r="AK424" s="627"/>
      <c r="AL424" s="627"/>
      <c r="AM424" s="627"/>
      <c r="AN424" s="627"/>
      <c r="AO424" s="627"/>
      <c r="AP424" s="627"/>
      <c r="AQ424" s="627"/>
      <c r="AR424" s="627"/>
      <c r="AS424" s="627"/>
      <c r="AT424" s="627"/>
      <c r="AU424" s="627"/>
      <c r="AV424" s="627"/>
      <c r="AW424" s="627"/>
      <c r="AX424" s="627"/>
      <c r="AY424" s="627"/>
      <c r="AZ424" s="627"/>
      <c r="BA424" s="627"/>
      <c r="BB424" s="627"/>
      <c r="BC424" s="627"/>
      <c r="BD424" s="627"/>
      <c r="BE424" s="627"/>
      <c r="BF424" s="627"/>
      <c r="BG424" s="627"/>
      <c r="BH424" s="627"/>
      <c r="BI424" s="627"/>
      <c r="BJ424" s="627"/>
      <c r="BK424" s="627"/>
      <c r="BL424" s="627"/>
      <c r="BM424" s="627"/>
      <c r="BN424" s="627"/>
      <c r="BO424" s="627"/>
      <c r="BP424" s="627"/>
      <c r="BQ424" s="627"/>
      <c r="BR424" s="627"/>
      <c r="BS424" s="627"/>
    </row>
    <row r="425" spans="1:71" ht="13.15" hidden="1" x14ac:dyDescent="0.4">
      <c r="A425" s="988"/>
      <c r="B425" s="627"/>
      <c r="C425" s="1340" t="s">
        <v>299</v>
      </c>
      <c r="D425" s="1340"/>
      <c r="E425" s="1340"/>
      <c r="F425" s="1340"/>
      <c r="G425" s="1340"/>
      <c r="H425" s="1340"/>
      <c r="I425" s="1340"/>
      <c r="J425" s="627"/>
      <c r="K425" s="627"/>
      <c r="L425" s="627"/>
      <c r="M425" s="627"/>
      <c r="N425" s="627"/>
      <c r="O425" s="627"/>
      <c r="P425" s="627"/>
      <c r="Q425" s="719"/>
      <c r="R425" s="627"/>
      <c r="S425" s="627"/>
      <c r="T425" s="627"/>
      <c r="U425" s="627"/>
      <c r="V425" s="627"/>
      <c r="W425" s="627"/>
      <c r="X425" s="627"/>
      <c r="Y425" s="627"/>
      <c r="Z425" s="627"/>
      <c r="AA425" s="627"/>
      <c r="AB425" s="627"/>
      <c r="AC425" s="627"/>
      <c r="AD425" s="627"/>
      <c r="AE425" s="627"/>
      <c r="AF425" s="627"/>
      <c r="AG425" s="627"/>
      <c r="AH425" s="627"/>
      <c r="AI425" s="627"/>
      <c r="AJ425" s="627"/>
      <c r="AK425" s="627"/>
      <c r="AL425" s="627"/>
      <c r="AM425" s="627"/>
      <c r="AN425" s="627"/>
      <c r="AO425" s="627"/>
      <c r="AP425" s="627"/>
      <c r="AQ425" s="627"/>
      <c r="AR425" s="627"/>
      <c r="AS425" s="627"/>
      <c r="AT425" s="627"/>
      <c r="AU425" s="627"/>
      <c r="AV425" s="627"/>
      <c r="AW425" s="627"/>
      <c r="AX425" s="627"/>
      <c r="AY425" s="627"/>
      <c r="AZ425" s="627"/>
      <c r="BA425" s="627"/>
      <c r="BB425" s="627"/>
      <c r="BC425" s="627"/>
      <c r="BD425" s="627"/>
      <c r="BE425" s="627"/>
      <c r="BF425" s="627"/>
      <c r="BG425" s="627"/>
      <c r="BH425" s="627"/>
      <c r="BI425" s="627"/>
      <c r="BJ425" s="627"/>
      <c r="BK425" s="627"/>
      <c r="BL425" s="627"/>
      <c r="BM425" s="627"/>
      <c r="BN425" s="627"/>
      <c r="BO425" s="627"/>
      <c r="BP425" s="627"/>
      <c r="BQ425" s="627"/>
      <c r="BR425" s="627"/>
      <c r="BS425" s="627"/>
    </row>
    <row r="426" spans="1:71" hidden="1" x14ac:dyDescent="0.35">
      <c r="A426" s="988"/>
      <c r="B426" s="627"/>
      <c r="C426" s="705" t="s">
        <v>284</v>
      </c>
      <c r="D426" s="1341" t="s">
        <v>285</v>
      </c>
      <c r="E426" s="1342"/>
      <c r="F426" s="1341" t="s">
        <v>300</v>
      </c>
      <c r="G426" s="1342"/>
      <c r="H426" s="1341" t="s">
        <v>301</v>
      </c>
      <c r="I426" s="1342"/>
      <c r="J426" s="627"/>
      <c r="K426" s="627"/>
      <c r="L426" s="627"/>
      <c r="M426" s="627"/>
      <c r="N426" s="627"/>
      <c r="O426" s="627"/>
      <c r="P426" s="627"/>
      <c r="Q426" s="719"/>
      <c r="R426" s="627"/>
      <c r="S426" s="627"/>
      <c r="T426" s="627"/>
      <c r="U426" s="627"/>
      <c r="V426" s="627"/>
      <c r="W426" s="627"/>
      <c r="X426" s="627"/>
      <c r="Y426" s="627"/>
      <c r="Z426" s="627"/>
      <c r="AA426" s="627"/>
      <c r="AB426" s="627"/>
      <c r="AC426" s="627"/>
      <c r="AD426" s="627"/>
      <c r="AE426" s="627"/>
      <c r="AF426" s="627"/>
      <c r="AG426" s="627"/>
      <c r="AH426" s="627"/>
      <c r="AI426" s="627"/>
      <c r="AJ426" s="627"/>
      <c r="AK426" s="627"/>
      <c r="AL426" s="627"/>
      <c r="AM426" s="627"/>
      <c r="AN426" s="627"/>
      <c r="AO426" s="627"/>
      <c r="AP426" s="627"/>
      <c r="AQ426" s="627"/>
      <c r="AR426" s="627"/>
      <c r="AS426" s="627"/>
      <c r="AT426" s="627"/>
      <c r="AU426" s="627"/>
      <c r="AV426" s="627"/>
      <c r="AW426" s="627"/>
      <c r="AX426" s="627"/>
      <c r="AY426" s="627"/>
      <c r="AZ426" s="627"/>
      <c r="BA426" s="627"/>
      <c r="BB426" s="627"/>
      <c r="BC426" s="627"/>
      <c r="BD426" s="627"/>
      <c r="BE426" s="627"/>
      <c r="BF426" s="627"/>
      <c r="BG426" s="627"/>
      <c r="BH426" s="627"/>
      <c r="BI426" s="627"/>
      <c r="BJ426" s="627"/>
      <c r="BK426" s="627"/>
      <c r="BL426" s="627"/>
      <c r="BM426" s="627"/>
      <c r="BN426" s="627"/>
      <c r="BO426" s="627"/>
      <c r="BP426" s="627"/>
      <c r="BQ426" s="627"/>
      <c r="BR426" s="627"/>
      <c r="BS426" s="627"/>
    </row>
    <row r="427" spans="1:71" hidden="1" x14ac:dyDescent="0.35">
      <c r="A427" s="988"/>
      <c r="B427" s="627"/>
      <c r="C427" s="673" t="s">
        <v>288</v>
      </c>
      <c r="D427" s="1412" t="s">
        <v>258</v>
      </c>
      <c r="E427" s="1414"/>
      <c r="F427" s="1412" t="s">
        <v>302</v>
      </c>
      <c r="G427" s="1414"/>
      <c r="H427" s="1412" t="s">
        <v>303</v>
      </c>
      <c r="I427" s="1414"/>
      <c r="J427" s="627"/>
      <c r="K427" s="627"/>
      <c r="L427" s="627"/>
      <c r="M427" s="627"/>
      <c r="N427" s="627"/>
      <c r="O427" s="627"/>
      <c r="P427" s="627"/>
      <c r="Q427" s="719"/>
      <c r="R427" s="627"/>
      <c r="S427" s="627"/>
      <c r="T427" s="627"/>
      <c r="U427" s="627"/>
      <c r="V427" s="627"/>
      <c r="W427" s="627"/>
      <c r="X427" s="627"/>
      <c r="Y427" s="627"/>
      <c r="Z427" s="627"/>
      <c r="AA427" s="627"/>
      <c r="AB427" s="627"/>
      <c r="AC427" s="627"/>
      <c r="AD427" s="627"/>
      <c r="AE427" s="627"/>
      <c r="AF427" s="627"/>
      <c r="AG427" s="627"/>
      <c r="AH427" s="627"/>
      <c r="AI427" s="627"/>
      <c r="AJ427" s="627"/>
      <c r="AK427" s="627"/>
      <c r="AL427" s="627"/>
      <c r="AM427" s="627"/>
      <c r="AN427" s="627"/>
      <c r="AO427" s="627"/>
      <c r="AP427" s="627"/>
      <c r="AQ427" s="627"/>
      <c r="AR427" s="627"/>
      <c r="AS427" s="627"/>
      <c r="AT427" s="627"/>
      <c r="AU427" s="627"/>
      <c r="AV427" s="627"/>
      <c r="AW427" s="627"/>
      <c r="AX427" s="627"/>
      <c r="AY427" s="627"/>
      <c r="AZ427" s="627"/>
      <c r="BA427" s="627"/>
      <c r="BB427" s="627"/>
      <c r="BC427" s="627"/>
      <c r="BD427" s="627"/>
      <c r="BE427" s="627"/>
      <c r="BF427" s="627"/>
      <c r="BG427" s="627"/>
      <c r="BH427" s="627"/>
      <c r="BI427" s="627"/>
      <c r="BJ427" s="627"/>
      <c r="BK427" s="627"/>
      <c r="BL427" s="627"/>
      <c r="BM427" s="627"/>
      <c r="BN427" s="627"/>
      <c r="BO427" s="627"/>
      <c r="BP427" s="627"/>
      <c r="BQ427" s="627"/>
      <c r="BR427" s="627"/>
      <c r="BS427" s="627"/>
    </row>
    <row r="428" spans="1:71" ht="13.15" hidden="1" x14ac:dyDescent="0.4">
      <c r="A428" s="988"/>
      <c r="B428" s="627"/>
      <c r="C428" s="383">
        <f>IF(AND($I$15&gt;0,$I$15&lt;=4),"X",0)</f>
        <v>0</v>
      </c>
      <c r="D428" s="1337" t="s">
        <v>304</v>
      </c>
      <c r="E428" s="1337"/>
      <c r="F428" s="1337">
        <f>IF(AND($I$15&gt;0,$I$15&lt;=4),1,0)</f>
        <v>0</v>
      </c>
      <c r="G428" s="1337"/>
      <c r="H428" s="1337">
        <f>IF(AND($I$15&gt;0,$I$15&lt;=4),2.5,0)</f>
        <v>0</v>
      </c>
      <c r="I428" s="1337"/>
      <c r="J428" s="627"/>
      <c r="K428" s="627"/>
      <c r="L428" s="627"/>
      <c r="M428" s="627"/>
      <c r="N428" s="627"/>
      <c r="O428" s="627"/>
      <c r="P428" s="627"/>
      <c r="Q428" s="719"/>
      <c r="R428" s="627"/>
      <c r="S428" s="627"/>
      <c r="T428" s="627"/>
      <c r="U428" s="627"/>
      <c r="V428" s="627"/>
      <c r="W428" s="627"/>
      <c r="X428" s="627"/>
      <c r="Y428" s="627"/>
      <c r="Z428" s="627"/>
      <c r="AA428" s="627"/>
      <c r="AB428" s="627"/>
      <c r="AC428" s="627"/>
      <c r="AD428" s="627"/>
      <c r="AE428" s="627"/>
      <c r="AF428" s="627"/>
      <c r="AG428" s="627"/>
      <c r="AH428" s="627"/>
      <c r="AI428" s="627"/>
      <c r="AJ428" s="627"/>
      <c r="AK428" s="627"/>
      <c r="AL428" s="627"/>
      <c r="AM428" s="627"/>
      <c r="AN428" s="627"/>
      <c r="AO428" s="627"/>
      <c r="AP428" s="627"/>
      <c r="AQ428" s="627"/>
      <c r="AR428" s="627"/>
      <c r="AS428" s="627"/>
      <c r="AT428" s="627"/>
      <c r="AU428" s="627"/>
      <c r="AV428" s="627"/>
      <c r="AW428" s="627"/>
      <c r="AX428" s="627"/>
      <c r="AY428" s="627"/>
      <c r="AZ428" s="627"/>
      <c r="BA428" s="627"/>
      <c r="BB428" s="627"/>
      <c r="BC428" s="627"/>
      <c r="BD428" s="627"/>
      <c r="BE428" s="627"/>
      <c r="BF428" s="627"/>
      <c r="BG428" s="627"/>
      <c r="BH428" s="627"/>
      <c r="BI428" s="627"/>
      <c r="BJ428" s="627"/>
      <c r="BK428" s="627"/>
      <c r="BL428" s="627"/>
      <c r="BM428" s="627"/>
      <c r="BN428" s="627"/>
      <c r="BO428" s="627"/>
      <c r="BP428" s="627"/>
      <c r="BQ428" s="627"/>
      <c r="BR428" s="627"/>
      <c r="BS428" s="627"/>
    </row>
    <row r="429" spans="1:71" ht="13.15" hidden="1" x14ac:dyDescent="0.4">
      <c r="A429" s="988"/>
      <c r="B429" s="627"/>
      <c r="C429" s="383">
        <f>IF(AND($I$15&gt;4,$I$15&lt;=6),"X",0)</f>
        <v>0</v>
      </c>
      <c r="D429" s="1337" t="s">
        <v>305</v>
      </c>
      <c r="E429" s="1337"/>
      <c r="F429" s="1337">
        <f>IF(AND($I$15&gt;4,$I$15&lt;=6),1,0)</f>
        <v>0</v>
      </c>
      <c r="G429" s="1337"/>
      <c r="H429" s="1337">
        <f>IF(AND($I$15&gt;4,$I$15&lt;=6),3.8,0)</f>
        <v>0</v>
      </c>
      <c r="I429" s="1337"/>
      <c r="J429" s="627"/>
      <c r="K429" s="627"/>
      <c r="L429" s="627"/>
      <c r="M429" s="627"/>
      <c r="N429" s="627"/>
      <c r="O429" s="627"/>
      <c r="P429" s="627"/>
      <c r="Q429" s="719"/>
      <c r="R429" s="627"/>
      <c r="S429" s="627"/>
      <c r="T429" s="627"/>
      <c r="U429" s="627"/>
      <c r="V429" s="627"/>
      <c r="W429" s="627"/>
      <c r="X429" s="627"/>
      <c r="Y429" s="627"/>
      <c r="Z429" s="627"/>
      <c r="AA429" s="627"/>
      <c r="AB429" s="627"/>
      <c r="AC429" s="627"/>
      <c r="AD429" s="627"/>
      <c r="AE429" s="627"/>
      <c r="AF429" s="627"/>
      <c r="AG429" s="627"/>
      <c r="AH429" s="627"/>
      <c r="AI429" s="627"/>
      <c r="AJ429" s="627"/>
      <c r="AK429" s="627"/>
      <c r="AL429" s="627"/>
      <c r="AM429" s="627"/>
      <c r="AN429" s="627"/>
      <c r="AO429" s="627"/>
      <c r="AP429" s="627"/>
      <c r="AQ429" s="627"/>
      <c r="AR429" s="627"/>
      <c r="AS429" s="627"/>
      <c r="AT429" s="627"/>
      <c r="AU429" s="627"/>
      <c r="AV429" s="627"/>
      <c r="AW429" s="627"/>
      <c r="AX429" s="627"/>
      <c r="AY429" s="627"/>
      <c r="AZ429" s="627"/>
      <c r="BA429" s="627"/>
      <c r="BB429" s="627"/>
      <c r="BC429" s="627"/>
      <c r="BD429" s="627"/>
      <c r="BE429" s="627"/>
      <c r="BF429" s="627"/>
      <c r="BG429" s="627"/>
      <c r="BH429" s="627"/>
      <c r="BI429" s="627"/>
      <c r="BJ429" s="627"/>
      <c r="BK429" s="627"/>
      <c r="BL429" s="627"/>
      <c r="BM429" s="627"/>
      <c r="BN429" s="627"/>
      <c r="BO429" s="627"/>
      <c r="BP429" s="627"/>
      <c r="BQ429" s="627"/>
      <c r="BR429" s="627"/>
      <c r="BS429" s="627"/>
    </row>
    <row r="430" spans="1:71" ht="13.15" hidden="1" x14ac:dyDescent="0.4">
      <c r="A430" s="988"/>
      <c r="B430" s="627"/>
      <c r="C430" s="383" t="str">
        <f>IF(AND($I$15&gt;6,$I$15&lt;=10),"X",0)</f>
        <v>X</v>
      </c>
      <c r="D430" s="1337" t="s">
        <v>293</v>
      </c>
      <c r="E430" s="1337"/>
      <c r="F430" s="1337">
        <f>IF(AND($I$15&gt;6,$I$15&lt;=10),1,0)</f>
        <v>1</v>
      </c>
      <c r="G430" s="1337"/>
      <c r="H430" s="1337">
        <f>IF(AND($I$15&gt;6,$I$15&lt;=10),5.8,0)</f>
        <v>5.8</v>
      </c>
      <c r="I430" s="1337"/>
      <c r="J430" s="627"/>
      <c r="K430" s="627"/>
      <c r="L430" s="627"/>
      <c r="M430" s="627"/>
      <c r="N430" s="627"/>
      <c r="O430" s="627"/>
      <c r="P430" s="627"/>
      <c r="Q430" s="719"/>
      <c r="R430" s="627"/>
      <c r="S430" s="627"/>
      <c r="T430" s="627"/>
      <c r="U430" s="627"/>
      <c r="V430" s="627"/>
      <c r="W430" s="627"/>
      <c r="X430" s="627"/>
      <c r="Y430" s="627"/>
      <c r="Z430" s="627"/>
      <c r="AA430" s="627"/>
      <c r="AB430" s="627"/>
      <c r="AC430" s="627"/>
      <c r="AD430" s="627"/>
      <c r="AE430" s="627"/>
      <c r="AF430" s="627"/>
      <c r="AG430" s="627"/>
      <c r="AH430" s="627"/>
      <c r="AI430" s="627"/>
      <c r="AJ430" s="627"/>
      <c r="AK430" s="627"/>
      <c r="AL430" s="627"/>
      <c r="AM430" s="627"/>
      <c r="AN430" s="627"/>
      <c r="AO430" s="627"/>
      <c r="AP430" s="627"/>
      <c r="AQ430" s="627"/>
      <c r="AR430" s="627"/>
      <c r="AS430" s="627"/>
      <c r="AT430" s="627"/>
      <c r="AU430" s="627"/>
      <c r="AV430" s="627"/>
      <c r="AW430" s="627"/>
      <c r="AX430" s="627"/>
      <c r="AY430" s="627"/>
      <c r="AZ430" s="627"/>
      <c r="BA430" s="627"/>
      <c r="BB430" s="627"/>
      <c r="BC430" s="627"/>
      <c r="BD430" s="627"/>
      <c r="BE430" s="627"/>
      <c r="BF430" s="627"/>
      <c r="BG430" s="627"/>
      <c r="BH430" s="627"/>
      <c r="BI430" s="627"/>
      <c r="BJ430" s="627"/>
      <c r="BK430" s="627"/>
      <c r="BL430" s="627"/>
      <c r="BM430" s="627"/>
      <c r="BN430" s="627"/>
      <c r="BO430" s="627"/>
      <c r="BP430" s="627"/>
      <c r="BQ430" s="627"/>
      <c r="BR430" s="627"/>
      <c r="BS430" s="627"/>
    </row>
    <row r="431" spans="1:71" ht="13.15" hidden="1" x14ac:dyDescent="0.4">
      <c r="A431" s="988"/>
      <c r="B431" s="627"/>
      <c r="C431" s="383">
        <f>IF(AND($I$15&gt;10,$I$15&lt;=14),"X",0)</f>
        <v>0</v>
      </c>
      <c r="D431" s="1337" t="s">
        <v>306</v>
      </c>
      <c r="E431" s="1337"/>
      <c r="F431" s="1337">
        <f>IF(AND($I$15&gt;10,$I$15&lt;=14),1,0)</f>
        <v>0</v>
      </c>
      <c r="G431" s="1337"/>
      <c r="H431" s="1337">
        <f>IF(AND($I$15&gt;10,$I$15&lt;=14),6,0)</f>
        <v>0</v>
      </c>
      <c r="I431" s="1337"/>
      <c r="J431" s="627"/>
      <c r="K431" s="627"/>
      <c r="L431" s="627"/>
      <c r="M431" s="627"/>
      <c r="N431" s="627"/>
      <c r="O431" s="627"/>
      <c r="P431" s="627"/>
      <c r="Q431" s="719"/>
      <c r="R431" s="627"/>
      <c r="S431" s="627"/>
      <c r="T431" s="627"/>
      <c r="U431" s="627"/>
      <c r="V431" s="627"/>
      <c r="W431" s="627"/>
      <c r="X431" s="627"/>
      <c r="Y431" s="627"/>
      <c r="Z431" s="627"/>
      <c r="AA431" s="627"/>
      <c r="AB431" s="627"/>
      <c r="AC431" s="627"/>
      <c r="AD431" s="627"/>
      <c r="AE431" s="627"/>
      <c r="AF431" s="627"/>
      <c r="AG431" s="627"/>
      <c r="AH431" s="627"/>
      <c r="AI431" s="627"/>
      <c r="AJ431" s="627"/>
      <c r="AK431" s="627"/>
      <c r="AL431" s="627"/>
      <c r="AM431" s="627"/>
      <c r="AN431" s="627"/>
      <c r="AO431" s="627"/>
      <c r="AP431" s="627"/>
      <c r="AQ431" s="627"/>
      <c r="AR431" s="627"/>
      <c r="AS431" s="627"/>
      <c r="AT431" s="627"/>
      <c r="AU431" s="627"/>
      <c r="AV431" s="627"/>
      <c r="AW431" s="627"/>
      <c r="AX431" s="627"/>
      <c r="AY431" s="627"/>
      <c r="AZ431" s="627"/>
      <c r="BA431" s="627"/>
      <c r="BB431" s="627"/>
      <c r="BC431" s="627"/>
      <c r="BD431" s="627"/>
      <c r="BE431" s="627"/>
      <c r="BF431" s="627"/>
      <c r="BG431" s="627"/>
      <c r="BH431" s="627"/>
      <c r="BI431" s="627"/>
      <c r="BJ431" s="627"/>
      <c r="BK431" s="627"/>
      <c r="BL431" s="627"/>
      <c r="BM431" s="627"/>
      <c r="BN431" s="627"/>
      <c r="BO431" s="627"/>
      <c r="BP431" s="627"/>
      <c r="BQ431" s="627"/>
      <c r="BR431" s="627"/>
      <c r="BS431" s="627"/>
    </row>
    <row r="432" spans="1:71" ht="13.15" hidden="1" x14ac:dyDescent="0.4">
      <c r="A432" s="988"/>
      <c r="B432" s="627"/>
      <c r="C432" s="383">
        <f>IF(AND($I$15&gt;14,$I$15&lt;=18),0,0)</f>
        <v>0</v>
      </c>
      <c r="D432" s="1343" t="s">
        <v>295</v>
      </c>
      <c r="E432" s="1343"/>
      <c r="F432" s="1337">
        <f>IF(AND($I$15&gt;14,$I$15&lt;=18),0,0)</f>
        <v>0</v>
      </c>
      <c r="G432" s="1337"/>
      <c r="H432" s="1337">
        <f>IF(AND($I$15&gt;14,$I$15&lt;=18),0,0)</f>
        <v>0</v>
      </c>
      <c r="I432" s="1337"/>
      <c r="J432" s="627"/>
      <c r="K432" s="627"/>
      <c r="L432" s="627"/>
      <c r="M432" s="627"/>
      <c r="N432" s="627"/>
      <c r="O432" s="627"/>
      <c r="P432" s="627"/>
      <c r="Q432" s="719"/>
      <c r="R432" s="627"/>
      <c r="S432" s="627"/>
      <c r="T432" s="627"/>
      <c r="U432" s="627"/>
      <c r="V432" s="627"/>
      <c r="W432" s="627"/>
      <c r="X432" s="627"/>
      <c r="Y432" s="627"/>
      <c r="Z432" s="627"/>
      <c r="AA432" s="627"/>
      <c r="AB432" s="627"/>
      <c r="AC432" s="627"/>
      <c r="AD432" s="627"/>
      <c r="AE432" s="627"/>
      <c r="AF432" s="627"/>
      <c r="AG432" s="627"/>
      <c r="AH432" s="627"/>
      <c r="AI432" s="627"/>
      <c r="AJ432" s="627"/>
      <c r="AK432" s="627"/>
      <c r="AL432" s="627"/>
      <c r="AM432" s="627"/>
      <c r="AN432" s="627"/>
      <c r="AO432" s="627"/>
      <c r="AP432" s="627"/>
      <c r="AQ432" s="627"/>
      <c r="AR432" s="627"/>
      <c r="AS432" s="627"/>
      <c r="AT432" s="627"/>
      <c r="AU432" s="627"/>
      <c r="AV432" s="627"/>
      <c r="AW432" s="627"/>
      <c r="AX432" s="627"/>
      <c r="AY432" s="627"/>
      <c r="AZ432" s="627"/>
      <c r="BA432" s="627"/>
      <c r="BB432" s="627"/>
      <c r="BC432" s="627"/>
      <c r="BD432" s="627"/>
      <c r="BE432" s="627"/>
      <c r="BF432" s="627"/>
      <c r="BG432" s="627"/>
      <c r="BH432" s="627"/>
      <c r="BI432" s="627"/>
      <c r="BJ432" s="627"/>
      <c r="BK432" s="627"/>
      <c r="BL432" s="627"/>
      <c r="BM432" s="627"/>
      <c r="BN432" s="627"/>
      <c r="BO432" s="627"/>
      <c r="BP432" s="627"/>
      <c r="BQ432" s="627"/>
      <c r="BR432" s="627"/>
      <c r="BS432" s="627"/>
    </row>
    <row r="433" spans="1:17" hidden="1" x14ac:dyDescent="0.35">
      <c r="A433" s="988"/>
      <c r="B433" s="627"/>
      <c r="C433" s="627"/>
      <c r="D433" s="627"/>
      <c r="E433" s="627"/>
      <c r="F433" s="627"/>
      <c r="G433" s="627"/>
      <c r="H433" s="627"/>
      <c r="I433" s="627"/>
      <c r="J433" s="627"/>
      <c r="K433" s="627"/>
      <c r="L433" s="627"/>
      <c r="M433" s="627"/>
      <c r="N433" s="627"/>
      <c r="O433" s="627"/>
      <c r="P433" s="627"/>
      <c r="Q433" s="719"/>
    </row>
    <row r="434" spans="1:17" hidden="1" x14ac:dyDescent="0.35">
      <c r="A434" s="988"/>
      <c r="B434" s="627"/>
      <c r="C434" s="627" t="s">
        <v>307</v>
      </c>
      <c r="D434" s="627">
        <f>IF(I67&gt;18,"altura do painel &gt; que 18,00m. Verificar com engenharia !",0)</f>
        <v>0</v>
      </c>
      <c r="E434" s="627"/>
      <c r="F434" s="627"/>
      <c r="G434" s="627"/>
      <c r="H434" s="627"/>
      <c r="I434" s="627"/>
      <c r="J434" s="627"/>
      <c r="K434" s="627"/>
      <c r="L434" s="627"/>
      <c r="M434" s="627"/>
      <c r="N434" s="627"/>
      <c r="O434" s="627"/>
      <c r="P434" s="627"/>
      <c r="Q434" s="719"/>
    </row>
    <row r="435" spans="1:17" ht="13.15" hidden="1" x14ac:dyDescent="0.4">
      <c r="A435" s="988"/>
      <c r="B435" s="627"/>
      <c r="C435" s="1340" t="s">
        <v>308</v>
      </c>
      <c r="D435" s="1340"/>
      <c r="E435" s="1340"/>
      <c r="F435" s="1340"/>
      <c r="G435" s="1340"/>
      <c r="H435" s="1340"/>
      <c r="I435" s="1340"/>
      <c r="J435" s="627"/>
      <c r="K435" s="627"/>
      <c r="L435" s="627"/>
      <c r="M435" s="627"/>
      <c r="N435" s="627"/>
      <c r="O435" s="627"/>
      <c r="P435" s="627"/>
      <c r="Q435" s="719"/>
    </row>
    <row r="436" spans="1:17" hidden="1" x14ac:dyDescent="0.35">
      <c r="A436" s="988"/>
      <c r="B436" s="627"/>
      <c r="C436" s="705" t="s">
        <v>284</v>
      </c>
      <c r="D436" s="1341" t="s">
        <v>285</v>
      </c>
      <c r="E436" s="1342"/>
      <c r="F436" s="1341" t="s">
        <v>309</v>
      </c>
      <c r="G436" s="1342"/>
      <c r="H436" s="1341" t="s">
        <v>310</v>
      </c>
      <c r="I436" s="1342"/>
      <c r="J436" s="627"/>
      <c r="K436" s="627"/>
      <c r="L436" s="627"/>
      <c r="M436" s="627"/>
      <c r="N436" s="627"/>
      <c r="O436" s="627"/>
      <c r="P436" s="627"/>
      <c r="Q436" s="719"/>
    </row>
    <row r="437" spans="1:17" hidden="1" x14ac:dyDescent="0.35">
      <c r="A437" s="988"/>
      <c r="B437" s="627"/>
      <c r="C437" s="673" t="s">
        <v>288</v>
      </c>
      <c r="D437" s="1412" t="s">
        <v>258</v>
      </c>
      <c r="E437" s="1414"/>
      <c r="F437" s="1412" t="s">
        <v>311</v>
      </c>
      <c r="G437" s="1414"/>
      <c r="H437" s="1412" t="s">
        <v>311</v>
      </c>
      <c r="I437" s="1414"/>
      <c r="J437" s="627"/>
      <c r="K437" s="627"/>
      <c r="L437" s="627"/>
      <c r="M437" s="627"/>
      <c r="N437" s="627"/>
      <c r="O437" s="627"/>
      <c r="P437" s="627"/>
      <c r="Q437" s="719"/>
    </row>
    <row r="438" spans="1:17" ht="13.15" hidden="1" x14ac:dyDescent="0.4">
      <c r="A438" s="988"/>
      <c r="B438" s="627"/>
      <c r="C438" s="383">
        <f ca="1">CÁLCULOS!C118</f>
        <v>0</v>
      </c>
      <c r="D438" s="1337" t="s">
        <v>304</v>
      </c>
      <c r="E438" s="1337"/>
      <c r="F438" s="1337">
        <f>CÁLCULOS!F118</f>
        <v>0</v>
      </c>
      <c r="G438" s="1337"/>
      <c r="H438" s="1337">
        <f>CÁLCULOS!H118</f>
        <v>0</v>
      </c>
      <c r="I438" s="1337"/>
      <c r="J438" s="627"/>
      <c r="K438" s="627"/>
      <c r="L438" s="627"/>
      <c r="M438" s="627"/>
      <c r="N438" s="627"/>
      <c r="O438" s="627"/>
      <c r="P438" s="627"/>
      <c r="Q438" s="719"/>
    </row>
    <row r="439" spans="1:17" ht="13.15" hidden="1" x14ac:dyDescent="0.4">
      <c r="A439" s="988"/>
      <c r="B439" s="627"/>
      <c r="C439" s="383">
        <f ca="1">CÁLCULOS!C119</f>
        <v>0</v>
      </c>
      <c r="D439" s="1337" t="s">
        <v>305</v>
      </c>
      <c r="E439" s="1337"/>
      <c r="F439" s="1337">
        <f>CÁLCULOS!F119</f>
        <v>0</v>
      </c>
      <c r="G439" s="1337"/>
      <c r="H439" s="1337">
        <f>CÁLCULOS!H119</f>
        <v>0</v>
      </c>
      <c r="I439" s="1337"/>
      <c r="J439" s="627"/>
      <c r="K439" s="627"/>
      <c r="L439" s="627"/>
      <c r="M439" s="627"/>
      <c r="N439" s="627"/>
      <c r="O439" s="627"/>
      <c r="P439" s="627"/>
      <c r="Q439" s="719"/>
    </row>
    <row r="440" spans="1:17" ht="13.15" hidden="1" x14ac:dyDescent="0.4">
      <c r="A440" s="988"/>
      <c r="B440" s="627"/>
      <c r="C440" s="383" t="str">
        <f ca="1">CÁLCULOS!C120</f>
        <v>X</v>
      </c>
      <c r="D440" s="1337" t="s">
        <v>312</v>
      </c>
      <c r="E440" s="1337"/>
      <c r="F440" s="1337">
        <f>CÁLCULOS!F120</f>
        <v>0</v>
      </c>
      <c r="G440" s="1337"/>
      <c r="H440" s="1337">
        <f ca="1">CÁLCULOS!H120</f>
        <v>60</v>
      </c>
      <c r="I440" s="1337"/>
      <c r="J440" s="627"/>
      <c r="K440" s="627"/>
      <c r="L440" s="627"/>
      <c r="M440" s="627"/>
      <c r="N440" s="627"/>
      <c r="O440" s="627"/>
      <c r="P440" s="627"/>
      <c r="Q440" s="719"/>
    </row>
    <row r="441" spans="1:17" ht="13.15" hidden="1" x14ac:dyDescent="0.4">
      <c r="A441" s="988"/>
      <c r="B441" s="627"/>
      <c r="C441" s="383">
        <f ca="1">CÁLCULOS!C121</f>
        <v>0</v>
      </c>
      <c r="D441" s="1337" t="s">
        <v>313</v>
      </c>
      <c r="E441" s="1337"/>
      <c r="F441" s="1337">
        <f>CÁLCULOS!F121</f>
        <v>0</v>
      </c>
      <c r="G441" s="1337"/>
      <c r="H441" s="1337">
        <f ca="1">CÁLCULOS!H121</f>
        <v>0</v>
      </c>
      <c r="I441" s="1337"/>
      <c r="J441" s="627"/>
      <c r="K441" s="627"/>
      <c r="L441" s="627"/>
      <c r="M441" s="627"/>
      <c r="N441" s="627"/>
      <c r="O441" s="627"/>
      <c r="P441" s="627"/>
      <c r="Q441" s="719"/>
    </row>
    <row r="442" spans="1:17" ht="13.15" hidden="1" x14ac:dyDescent="0.4">
      <c r="A442" s="988"/>
      <c r="B442" s="627"/>
      <c r="C442" s="383">
        <f ca="1">CÁLCULOS!C122</f>
        <v>0</v>
      </c>
      <c r="D442" s="1337" t="s">
        <v>314</v>
      </c>
      <c r="E442" s="1337"/>
      <c r="F442" s="1337">
        <f>CÁLCULOS!F122</f>
        <v>0</v>
      </c>
      <c r="G442" s="1337"/>
      <c r="H442" s="1337">
        <f ca="1">CÁLCULOS!H122</f>
        <v>0</v>
      </c>
      <c r="I442" s="1337"/>
      <c r="J442" s="627"/>
      <c r="K442" s="627"/>
      <c r="L442" s="627"/>
      <c r="M442" s="627"/>
      <c r="N442" s="627"/>
      <c r="O442" s="627"/>
      <c r="P442" s="627"/>
      <c r="Q442" s="719"/>
    </row>
    <row r="443" spans="1:17" ht="13.15" hidden="1" x14ac:dyDescent="0.4">
      <c r="A443" s="988"/>
      <c r="B443" s="627"/>
      <c r="C443" s="383">
        <f ca="1">CÁLCULOS!C123</f>
        <v>0</v>
      </c>
      <c r="D443" s="1337" t="s">
        <v>315</v>
      </c>
      <c r="E443" s="1337"/>
      <c r="F443" s="1337">
        <f>CÁLCULOS!F123</f>
        <v>0</v>
      </c>
      <c r="G443" s="1337"/>
      <c r="H443" s="1337">
        <f ca="1">CÁLCULOS!H123</f>
        <v>0</v>
      </c>
      <c r="I443" s="1337"/>
      <c r="J443" s="627"/>
      <c r="K443" s="627"/>
      <c r="L443" s="627"/>
      <c r="M443" s="627"/>
      <c r="N443" s="627"/>
      <c r="O443" s="627"/>
      <c r="P443" s="627"/>
      <c r="Q443" s="719"/>
    </row>
    <row r="444" spans="1:17" ht="13.15" hidden="1" x14ac:dyDescent="0.4">
      <c r="A444" s="988"/>
      <c r="B444" s="627"/>
      <c r="C444" s="383">
        <f ca="1">CÁLCULOS!C124</f>
        <v>0</v>
      </c>
      <c r="D444" s="1343" t="s">
        <v>316</v>
      </c>
      <c r="E444" s="1337"/>
      <c r="F444" s="1337">
        <f>CÁLCULOS!F124</f>
        <v>0</v>
      </c>
      <c r="G444" s="1337"/>
      <c r="H444" s="1337">
        <f ca="1">CÁLCULOS!H124</f>
        <v>0</v>
      </c>
      <c r="I444" s="1337"/>
      <c r="J444" s="627"/>
      <c r="K444" s="627"/>
      <c r="L444" s="627"/>
      <c r="M444" s="627"/>
      <c r="N444" s="627"/>
      <c r="O444" s="627"/>
      <c r="P444" s="627"/>
      <c r="Q444" s="719"/>
    </row>
    <row r="445" spans="1:17" ht="13.15" hidden="1" x14ac:dyDescent="0.4">
      <c r="A445" s="988"/>
      <c r="B445" s="627"/>
      <c r="C445" s="383">
        <f ca="1">CÁLCULOS!C125</f>
        <v>0</v>
      </c>
      <c r="D445" s="1343" t="s">
        <v>295</v>
      </c>
      <c r="E445" s="1343"/>
      <c r="F445" s="1337">
        <f>CÁLCULOS!F125</f>
        <v>0</v>
      </c>
      <c r="G445" s="1337"/>
      <c r="H445" s="1337">
        <f ca="1">CÁLCULOS!H125</f>
        <v>0</v>
      </c>
      <c r="I445" s="1337"/>
      <c r="J445" s="627"/>
      <c r="K445" s="627"/>
      <c r="L445" s="627"/>
      <c r="M445" s="627"/>
      <c r="N445" s="627"/>
      <c r="O445" s="627"/>
      <c r="P445" s="627"/>
      <c r="Q445" s="719"/>
    </row>
    <row r="446" spans="1:17" ht="15" customHeight="1" x14ac:dyDescent="0.35">
      <c r="A446" s="988"/>
      <c r="B446" s="627"/>
      <c r="C446" s="627" t="s">
        <v>317</v>
      </c>
      <c r="D446" s="627"/>
      <c r="E446" s="627"/>
      <c r="F446" s="627"/>
      <c r="G446" s="627"/>
      <c r="H446" s="627"/>
      <c r="I446" s="627"/>
      <c r="J446" s="195"/>
      <c r="K446" s="195"/>
      <c r="L446" s="195"/>
      <c r="M446" s="627"/>
      <c r="N446" s="627"/>
      <c r="O446" s="627"/>
      <c r="P446" s="627"/>
      <c r="Q446" s="719"/>
    </row>
    <row r="447" spans="1:17" ht="5.25" hidden="1" customHeight="1" x14ac:dyDescent="0.35">
      <c r="A447" s="988"/>
      <c r="B447" s="627"/>
      <c r="C447" s="627"/>
      <c r="D447" s="627"/>
      <c r="E447" s="627"/>
      <c r="F447" s="627"/>
      <c r="G447" s="627"/>
      <c r="H447" s="627"/>
      <c r="I447" s="627"/>
      <c r="J447" s="627"/>
      <c r="K447" s="627"/>
      <c r="L447" s="627"/>
      <c r="M447" s="627"/>
      <c r="N447" s="627"/>
      <c r="O447" s="627"/>
      <c r="P447" s="627"/>
      <c r="Q447" s="719"/>
    </row>
    <row r="448" spans="1:17" x14ac:dyDescent="0.35">
      <c r="A448" s="988"/>
      <c r="B448" s="627"/>
      <c r="C448" s="627" t="s">
        <v>318</v>
      </c>
      <c r="D448" s="627"/>
      <c r="E448" s="627"/>
      <c r="F448" s="627"/>
      <c r="G448" s="626" t="s">
        <v>35</v>
      </c>
      <c r="H448" s="627" t="s">
        <v>52</v>
      </c>
      <c r="I448" s="626"/>
      <c r="J448" s="627" t="s">
        <v>53</v>
      </c>
      <c r="K448" s="195"/>
      <c r="L448" s="195"/>
      <c r="M448" s="627"/>
      <c r="N448" s="627"/>
      <c r="O448" s="627"/>
      <c r="P448" s="627"/>
      <c r="Q448" s="719"/>
    </row>
    <row r="449" spans="1:68" ht="16.5" customHeight="1" x14ac:dyDescent="0.35">
      <c r="A449" s="988"/>
      <c r="B449" s="627"/>
      <c r="C449" s="627"/>
      <c r="D449" s="627" t="s">
        <v>319</v>
      </c>
      <c r="E449" s="627"/>
      <c r="F449" s="627"/>
      <c r="G449" s="627"/>
      <c r="H449" s="627"/>
      <c r="I449" s="627"/>
      <c r="J449" s="627"/>
      <c r="K449" s="627"/>
      <c r="L449" s="627"/>
      <c r="M449" s="627"/>
      <c r="N449" s="627"/>
      <c r="O449" s="627"/>
      <c r="P449" s="627"/>
      <c r="Q449" s="719"/>
      <c r="R449" s="627"/>
      <c r="S449" s="627"/>
      <c r="T449" s="627"/>
      <c r="U449" s="627"/>
      <c r="V449" s="627"/>
      <c r="W449" s="627"/>
      <c r="X449" s="627"/>
      <c r="Y449" s="627"/>
      <c r="Z449" s="627"/>
      <c r="AA449" s="627"/>
      <c r="AB449" s="627"/>
      <c r="AC449" s="627"/>
      <c r="AD449" s="627"/>
      <c r="AE449" s="627"/>
      <c r="AF449" s="627"/>
      <c r="AG449" s="627"/>
      <c r="AH449" s="627"/>
      <c r="AI449" s="627"/>
      <c r="AJ449" s="627"/>
      <c r="AK449" s="627"/>
      <c r="AL449" s="627"/>
      <c r="AM449" s="627"/>
      <c r="AN449" s="627"/>
      <c r="AO449" s="627"/>
      <c r="AP449" s="627"/>
      <c r="AQ449" s="627"/>
      <c r="AR449" s="627"/>
      <c r="AS449" s="627"/>
      <c r="AT449" s="627"/>
      <c r="AU449" s="627"/>
      <c r="AV449" s="627"/>
      <c r="AW449" s="627"/>
      <c r="AX449" s="627"/>
      <c r="AY449" s="627"/>
      <c r="AZ449" s="627"/>
      <c r="BA449" s="627"/>
      <c r="BB449" s="627"/>
      <c r="BC449" s="627"/>
      <c r="BD449" s="627"/>
      <c r="BE449" s="627"/>
      <c r="BF449" s="627"/>
      <c r="BG449" s="627"/>
      <c r="BH449" s="627"/>
      <c r="BI449" s="627"/>
      <c r="BJ449" s="627"/>
      <c r="BK449" s="627"/>
      <c r="BL449" s="627"/>
      <c r="BM449" s="627"/>
      <c r="BN449" s="627"/>
      <c r="BO449" s="627"/>
      <c r="BP449" s="627"/>
    </row>
    <row r="450" spans="1:68" ht="8.25" customHeight="1" x14ac:dyDescent="0.35">
      <c r="A450" s="988"/>
      <c r="B450" s="627"/>
      <c r="C450" s="627"/>
      <c r="D450" s="627"/>
      <c r="E450" s="627"/>
      <c r="F450" s="627"/>
      <c r="G450" s="627"/>
      <c r="H450" s="627"/>
      <c r="I450" s="627"/>
      <c r="J450" s="627"/>
      <c r="K450" s="627"/>
      <c r="L450" s="627"/>
      <c r="M450" s="627"/>
      <c r="N450" s="627"/>
      <c r="O450" s="627"/>
      <c r="P450" s="627"/>
      <c r="Q450" s="719"/>
      <c r="R450" s="627"/>
      <c r="S450" s="627"/>
      <c r="T450" s="627"/>
      <c r="U450" s="627"/>
      <c r="V450" s="627"/>
      <c r="W450" s="627"/>
      <c r="X450" s="627"/>
      <c r="Y450" s="627"/>
      <c r="Z450" s="627"/>
      <c r="AA450" s="627"/>
      <c r="AB450" s="627"/>
      <c r="AC450" s="627"/>
      <c r="AD450" s="627"/>
      <c r="AE450" s="627"/>
      <c r="AF450" s="627"/>
      <c r="AG450" s="627"/>
      <c r="AH450" s="627"/>
      <c r="AI450" s="627"/>
      <c r="AJ450" s="627"/>
      <c r="AK450" s="627"/>
      <c r="AL450" s="627"/>
      <c r="AM450" s="627"/>
      <c r="AN450" s="627"/>
      <c r="AO450" s="627"/>
      <c r="AP450" s="627"/>
      <c r="AQ450" s="627"/>
      <c r="AR450" s="627"/>
      <c r="AS450" s="627"/>
      <c r="AT450" s="627"/>
      <c r="AU450" s="627"/>
      <c r="AV450" s="627"/>
      <c r="AW450" s="627"/>
      <c r="AX450" s="627"/>
      <c r="AY450" s="627"/>
      <c r="AZ450" s="627"/>
      <c r="BA450" s="627"/>
      <c r="BB450" s="627"/>
      <c r="BC450" s="627"/>
      <c r="BD450" s="627"/>
      <c r="BE450" s="627"/>
      <c r="BF450" s="627"/>
      <c r="BG450" s="627"/>
      <c r="BH450" s="627"/>
      <c r="BI450" s="627"/>
      <c r="BJ450" s="627"/>
      <c r="BK450" s="627"/>
      <c r="BL450" s="627"/>
      <c r="BM450" s="627"/>
      <c r="BN450" s="627"/>
      <c r="BO450" s="627"/>
      <c r="BP450" s="627"/>
    </row>
    <row r="451" spans="1:68" ht="13.5" customHeight="1" x14ac:dyDescent="0.35">
      <c r="A451" s="988"/>
      <c r="B451" s="627"/>
      <c r="C451" s="627"/>
      <c r="D451" s="627" t="str">
        <f>IF(I448="X",0,CÁLCULOS!C277)</f>
        <v>PLATAFORMA ELEVATÓRIA ARTICULADA (PTA) TIPO 450AJ</v>
      </c>
      <c r="E451" s="627"/>
      <c r="F451" s="627"/>
      <c r="G451" s="627"/>
      <c r="H451" s="627"/>
      <c r="I451" s="627"/>
      <c r="J451" s="627"/>
      <c r="K451" s="627"/>
      <c r="L451" s="627"/>
      <c r="M451" s="627"/>
      <c r="N451" s="627"/>
      <c r="O451" s="627"/>
      <c r="P451" s="627"/>
      <c r="Q451" s="719"/>
      <c r="R451" s="627"/>
      <c r="S451" s="627"/>
      <c r="T451" s="627"/>
      <c r="U451" s="627"/>
      <c r="V451" s="627"/>
      <c r="W451" s="627"/>
      <c r="X451" s="627"/>
      <c r="Y451" s="627"/>
      <c r="Z451" s="627"/>
      <c r="AA451" s="627"/>
      <c r="AB451" s="627"/>
      <c r="AC451" s="627"/>
      <c r="AD451" s="627"/>
      <c r="AE451" s="627"/>
      <c r="AF451" s="627"/>
      <c r="AG451" s="627"/>
      <c r="AH451" s="627"/>
      <c r="AI451" s="627"/>
      <c r="AJ451" s="627"/>
      <c r="AK451" s="627"/>
      <c r="AL451" s="627"/>
      <c r="AM451" s="627"/>
      <c r="AN451" s="627"/>
      <c r="AO451" s="627"/>
      <c r="AP451" s="627"/>
      <c r="AQ451" s="627"/>
      <c r="AR451" s="627"/>
      <c r="AS451" s="627"/>
      <c r="AT451" s="627"/>
      <c r="AU451" s="627"/>
      <c r="AV451" s="627"/>
      <c r="AW451" s="627"/>
      <c r="AX451" s="627"/>
      <c r="AY451" s="627"/>
      <c r="AZ451" s="627"/>
      <c r="BA451" s="627"/>
      <c r="BB451" s="627"/>
      <c r="BC451" s="627"/>
      <c r="BD451" s="627"/>
      <c r="BE451" s="627"/>
      <c r="BF451" s="627"/>
      <c r="BG451" s="627"/>
      <c r="BH451" s="627"/>
      <c r="BI451" s="627"/>
      <c r="BJ451" s="627"/>
      <c r="BK451" s="627"/>
      <c r="BL451" s="627"/>
      <c r="BM451" s="627"/>
      <c r="BN451" s="627"/>
      <c r="BO451" s="627"/>
      <c r="BP451" s="627"/>
    </row>
    <row r="452" spans="1:68" ht="12.75" customHeight="1" x14ac:dyDescent="0.35">
      <c r="A452" s="988"/>
      <c r="B452" s="627"/>
      <c r="C452" s="627" t="s">
        <v>317</v>
      </c>
      <c r="D452" s="627"/>
      <c r="E452" s="627"/>
      <c r="F452" s="627"/>
      <c r="G452" s="627"/>
      <c r="H452" s="627"/>
      <c r="I452" s="627"/>
      <c r="J452" s="195"/>
      <c r="K452" s="195"/>
      <c r="L452" s="195"/>
      <c r="M452" s="627"/>
      <c r="N452" s="627"/>
      <c r="O452" s="627"/>
      <c r="P452" s="627"/>
      <c r="Q452" s="719"/>
      <c r="R452" s="627"/>
      <c r="S452" s="627"/>
      <c r="T452" s="627"/>
      <c r="U452" s="627"/>
      <c r="V452" s="627"/>
      <c r="W452" s="627"/>
      <c r="X452" s="627"/>
      <c r="Y452" s="627"/>
      <c r="Z452" s="627"/>
      <c r="AA452" s="627"/>
      <c r="AB452" s="627"/>
      <c r="AC452" s="627"/>
      <c r="AD452" s="627"/>
      <c r="AE452" s="627"/>
      <c r="AF452" s="627"/>
      <c r="AG452" s="627"/>
      <c r="AH452" s="627"/>
      <c r="AI452" s="627"/>
      <c r="AJ452" s="627"/>
      <c r="AK452" s="627"/>
      <c r="AL452" s="627"/>
      <c r="AM452" s="627"/>
      <c r="AN452" s="627"/>
      <c r="AO452" s="627"/>
      <c r="AP452" s="627"/>
      <c r="AQ452" s="627"/>
      <c r="AR452" s="627"/>
      <c r="AS452" s="627"/>
      <c r="AT452" s="627"/>
      <c r="AU452" s="627"/>
      <c r="AV452" s="627"/>
      <c r="AW452" s="627"/>
      <c r="AX452" s="627"/>
      <c r="AY452" s="627"/>
      <c r="AZ452" s="627"/>
      <c r="BA452" s="627"/>
      <c r="BB452" s="627"/>
      <c r="BC452" s="627"/>
      <c r="BD452" s="627"/>
      <c r="BE452" s="627"/>
      <c r="BF452" s="627"/>
      <c r="BG452" s="627"/>
      <c r="BH452" s="627"/>
      <c r="BI452" s="627"/>
      <c r="BJ452" s="627"/>
      <c r="BK452" s="627"/>
      <c r="BL452" s="627"/>
      <c r="BM452" s="627"/>
      <c r="BN452" s="627"/>
      <c r="BO452" s="627"/>
      <c r="BP452" s="627"/>
    </row>
    <row r="453" spans="1:68" x14ac:dyDescent="0.35">
      <c r="A453" s="988"/>
      <c r="B453" s="627"/>
      <c r="C453" s="627" t="s">
        <v>320</v>
      </c>
      <c r="D453" s="627"/>
      <c r="E453" s="631">
        <f>IF(G453&gt;0,G453,M11)</f>
        <v>1000</v>
      </c>
      <c r="F453" s="627" t="s">
        <v>17</v>
      </c>
      <c r="G453" s="631"/>
      <c r="H453" s="627" t="s">
        <v>321</v>
      </c>
      <c r="I453" s="627"/>
      <c r="J453" s="195"/>
      <c r="K453" s="195"/>
      <c r="L453" s="195"/>
      <c r="M453" s="627"/>
      <c r="N453" s="627"/>
      <c r="O453" s="627"/>
      <c r="P453" s="627"/>
      <c r="Q453" s="719"/>
      <c r="R453" s="627"/>
      <c r="S453" s="627"/>
      <c r="T453" s="627"/>
      <c r="U453" s="627"/>
      <c r="V453" s="627"/>
      <c r="W453" s="627"/>
      <c r="X453" s="627"/>
      <c r="Y453" s="627"/>
      <c r="Z453" s="627"/>
      <c r="AA453" s="627"/>
      <c r="AB453" s="627"/>
      <c r="AC453" s="627"/>
      <c r="AD453" s="627"/>
      <c r="AE453" s="627"/>
      <c r="AF453" s="627"/>
      <c r="AG453" s="627"/>
      <c r="AH453" s="627"/>
      <c r="AI453" s="627"/>
      <c r="AJ453" s="627"/>
      <c r="AK453" s="627"/>
      <c r="AL453" s="627"/>
      <c r="AM453" s="627"/>
      <c r="AN453" s="627"/>
      <c r="AO453" s="627"/>
      <c r="AP453" s="627"/>
      <c r="AQ453" s="627"/>
      <c r="AR453" s="627"/>
      <c r="AS453" s="627"/>
      <c r="AT453" s="627"/>
      <c r="AU453" s="627"/>
      <c r="AV453" s="627"/>
      <c r="AW453" s="627"/>
      <c r="AX453" s="627"/>
      <c r="AY453" s="627"/>
      <c r="AZ453" s="627"/>
      <c r="BA453" s="627"/>
      <c r="BB453" s="627"/>
      <c r="BC453" s="627"/>
      <c r="BD453" s="627"/>
      <c r="BE453" s="627"/>
      <c r="BF453" s="627"/>
      <c r="BG453" s="627"/>
      <c r="BH453" s="627"/>
      <c r="BI453" s="627"/>
      <c r="BJ453" s="627"/>
      <c r="BK453" s="627"/>
      <c r="BL453" s="627"/>
      <c r="BM453" s="627"/>
      <c r="BN453" s="627"/>
      <c r="BO453" s="627"/>
      <c r="BP453" s="627"/>
    </row>
    <row r="454" spans="1:68" ht="3.75" customHeight="1" x14ac:dyDescent="0.35">
      <c r="A454" s="988"/>
      <c r="B454" s="627"/>
      <c r="C454" s="627"/>
      <c r="D454" s="627"/>
      <c r="E454" s="627"/>
      <c r="F454" s="627"/>
      <c r="G454" s="627"/>
      <c r="H454" s="627"/>
      <c r="I454" s="627"/>
      <c r="J454" s="195"/>
      <c r="K454" s="195"/>
      <c r="L454" s="195"/>
      <c r="M454" s="627"/>
      <c r="N454" s="627"/>
      <c r="O454" s="627"/>
      <c r="P454" s="627"/>
      <c r="Q454" s="719"/>
      <c r="R454" s="627"/>
      <c r="S454" s="627"/>
      <c r="T454" s="627"/>
      <c r="U454" s="627"/>
      <c r="V454" s="627"/>
      <c r="W454" s="627"/>
      <c r="X454" s="627"/>
      <c r="Y454" s="627"/>
      <c r="Z454" s="627"/>
      <c r="AA454" s="627"/>
      <c r="AB454" s="627"/>
      <c r="AC454" s="627"/>
      <c r="AD454" s="627"/>
      <c r="AE454" s="627"/>
      <c r="AF454" s="627"/>
      <c r="AG454" s="627"/>
      <c r="AH454" s="627"/>
      <c r="AI454" s="627"/>
      <c r="AJ454" s="627"/>
      <c r="AK454" s="627"/>
      <c r="AL454" s="627"/>
      <c r="AM454" s="627"/>
      <c r="AN454" s="627"/>
      <c r="AO454" s="627"/>
      <c r="AP454" s="627"/>
      <c r="AQ454" s="627"/>
      <c r="AR454" s="627"/>
      <c r="AS454" s="627"/>
      <c r="AT454" s="627"/>
      <c r="AU454" s="627"/>
      <c r="AV454" s="627"/>
      <c r="AW454" s="627"/>
      <c r="AX454" s="627"/>
      <c r="AY454" s="627"/>
      <c r="AZ454" s="627"/>
      <c r="BA454" s="627"/>
      <c r="BB454" s="627"/>
      <c r="BC454" s="627"/>
      <c r="BD454" s="627"/>
      <c r="BE454" s="627"/>
      <c r="BF454" s="627"/>
      <c r="BG454" s="627"/>
      <c r="BH454" s="627"/>
      <c r="BI454" s="627"/>
      <c r="BJ454" s="627"/>
      <c r="BK454" s="627"/>
      <c r="BL454" s="627"/>
      <c r="BM454" s="627"/>
      <c r="BN454" s="627"/>
      <c r="BO454" s="627"/>
      <c r="BP454" s="627"/>
    </row>
    <row r="455" spans="1:68" ht="3.75" customHeight="1" x14ac:dyDescent="0.35">
      <c r="A455" s="988"/>
      <c r="B455" s="627"/>
      <c r="C455" s="627"/>
      <c r="D455" s="627"/>
      <c r="E455" s="627"/>
      <c r="F455" s="627"/>
      <c r="G455" s="627"/>
      <c r="H455" s="627"/>
      <c r="I455" s="627"/>
      <c r="J455" s="195"/>
      <c r="K455" s="195"/>
      <c r="L455" s="195"/>
      <c r="M455" s="627"/>
      <c r="N455" s="627"/>
      <c r="O455" s="627"/>
      <c r="P455" s="627"/>
      <c r="Q455" s="719"/>
      <c r="R455" s="627"/>
      <c r="S455" s="627"/>
      <c r="T455" s="627"/>
      <c r="U455" s="627"/>
      <c r="V455" s="627"/>
      <c r="W455" s="627"/>
      <c r="X455" s="627"/>
      <c r="Y455" s="627"/>
      <c r="Z455" s="627"/>
      <c r="AA455" s="627"/>
      <c r="AB455" s="627"/>
      <c r="AC455" s="627"/>
      <c r="AD455" s="627"/>
      <c r="AE455" s="627"/>
      <c r="AF455" s="627"/>
      <c r="AG455" s="627"/>
      <c r="AH455" s="627"/>
      <c r="AI455" s="627"/>
      <c r="AJ455" s="627"/>
      <c r="AK455" s="627"/>
      <c r="AL455" s="627"/>
      <c r="AM455" s="627"/>
      <c r="AN455" s="627"/>
      <c r="AO455" s="627"/>
      <c r="AP455" s="627"/>
      <c r="AQ455" s="627"/>
      <c r="AR455" s="627"/>
      <c r="AS455" s="627"/>
      <c r="AT455" s="627"/>
      <c r="AU455" s="627"/>
      <c r="AV455" s="627"/>
      <c r="AW455" s="627"/>
      <c r="AX455" s="627"/>
      <c r="AY455" s="627"/>
      <c r="AZ455" s="627"/>
      <c r="BA455" s="627"/>
      <c r="BB455" s="627"/>
      <c r="BC455" s="627"/>
      <c r="BD455" s="627"/>
      <c r="BE455" s="627"/>
      <c r="BF455" s="627"/>
      <c r="BG455" s="627"/>
      <c r="BH455" s="627"/>
      <c r="BI455" s="627"/>
      <c r="BJ455" s="627"/>
      <c r="BK455" s="627"/>
      <c r="BL455" s="627"/>
      <c r="BM455" s="627"/>
      <c r="BN455" s="627"/>
      <c r="BO455" s="627"/>
      <c r="BP455" s="627"/>
    </row>
    <row r="456" spans="1:68" x14ac:dyDescent="0.35">
      <c r="A456" s="988"/>
      <c r="B456" s="627"/>
      <c r="C456" s="627"/>
      <c r="D456" s="627" t="s">
        <v>322</v>
      </c>
      <c r="E456" s="627"/>
      <c r="F456" s="627"/>
      <c r="G456" s="627"/>
      <c r="H456" s="627"/>
      <c r="I456" s="627"/>
      <c r="J456" s="195"/>
      <c r="K456" s="195"/>
      <c r="L456" s="195"/>
      <c r="M456" s="627"/>
      <c r="N456" s="627"/>
      <c r="O456" s="627"/>
      <c r="P456" s="627"/>
      <c r="Q456" s="719"/>
      <c r="R456" s="627"/>
      <c r="S456" s="627"/>
      <c r="T456" s="627"/>
      <c r="U456" s="627"/>
      <c r="V456" s="627"/>
      <c r="W456" s="627"/>
      <c r="X456" s="627"/>
      <c r="Y456" s="627"/>
      <c r="Z456" s="627"/>
      <c r="AA456" s="627"/>
      <c r="AB456" s="627"/>
      <c r="AC456" s="627"/>
      <c r="AD456" s="627"/>
      <c r="AE456" s="627"/>
      <c r="AF456" s="627"/>
      <c r="AG456" s="627"/>
      <c r="AH456" s="627"/>
      <c r="AI456" s="627"/>
      <c r="AJ456" s="627"/>
      <c r="AK456" s="627"/>
      <c r="AL456" s="627"/>
      <c r="AM456" s="627"/>
      <c r="AN456" s="627"/>
      <c r="AO456" s="627"/>
      <c r="AP456" s="627"/>
      <c r="AQ456" s="627"/>
      <c r="AR456" s="627"/>
      <c r="AS456" s="627"/>
      <c r="AT456" s="627"/>
      <c r="AU456" s="627"/>
      <c r="AV456" s="627"/>
      <c r="AW456" s="627"/>
      <c r="AX456" s="627"/>
      <c r="AY456" s="627"/>
      <c r="AZ456" s="627"/>
      <c r="BA456" s="627"/>
      <c r="BB456" s="627"/>
      <c r="BC456" s="627"/>
      <c r="BD456" s="627"/>
      <c r="BE456" s="627"/>
      <c r="BF456" s="627"/>
      <c r="BG456" s="627"/>
      <c r="BH456" s="627"/>
      <c r="BI456" s="627"/>
      <c r="BJ456" s="627"/>
      <c r="BK456" s="627"/>
      <c r="BL456" s="627"/>
      <c r="BM456" s="627"/>
      <c r="BN456" s="627"/>
      <c r="BO456" s="627"/>
      <c r="BP456" s="627"/>
    </row>
    <row r="457" spans="1:68" x14ac:dyDescent="0.35">
      <c r="A457" s="988"/>
      <c r="B457" s="627"/>
      <c r="C457" s="627"/>
      <c r="D457" s="627"/>
      <c r="E457" s="627"/>
      <c r="F457" s="627"/>
      <c r="G457" s="627"/>
      <c r="H457" s="627"/>
      <c r="I457" s="627"/>
      <c r="J457" s="195"/>
      <c r="K457" s="195"/>
      <c r="L457" s="195"/>
      <c r="M457" s="627"/>
      <c r="N457" s="627"/>
      <c r="O457" s="627"/>
      <c r="P457" s="627"/>
      <c r="Q457" s="719"/>
      <c r="R457" s="627"/>
      <c r="S457" s="627"/>
      <c r="T457" s="627"/>
      <c r="U457" s="627"/>
      <c r="V457" s="627"/>
      <c r="W457" s="627"/>
      <c r="X457" s="627"/>
      <c r="Y457" s="627"/>
      <c r="Z457" s="627"/>
      <c r="AA457" s="627"/>
      <c r="AB457" s="627"/>
      <c r="AC457" s="627"/>
      <c r="AD457" s="627"/>
      <c r="AE457" s="627"/>
      <c r="AF457" s="627"/>
      <c r="AG457" s="627"/>
      <c r="AH457" s="627"/>
      <c r="AI457" s="627"/>
      <c r="AJ457" s="627"/>
      <c r="AK457" s="627"/>
      <c r="AL457" s="627"/>
      <c r="AM457" s="627"/>
      <c r="AN457" s="627"/>
      <c r="AO457" s="627"/>
      <c r="AP457" s="627"/>
      <c r="AQ457" s="627"/>
      <c r="AR457" s="627"/>
      <c r="AS457" s="627"/>
      <c r="AT457" s="627"/>
      <c r="AU457" s="627"/>
      <c r="AV457" s="627"/>
      <c r="AW457" s="627"/>
      <c r="AX457" s="627"/>
      <c r="AY457" s="627"/>
      <c r="AZ457" s="627"/>
      <c r="BA457" s="627"/>
      <c r="BB457" s="627"/>
      <c r="BC457" s="627"/>
      <c r="BD457" s="627"/>
      <c r="BE457" s="627"/>
      <c r="BF457" s="627"/>
      <c r="BG457" s="627"/>
      <c r="BH457" s="627"/>
      <c r="BI457" s="627"/>
      <c r="BJ457" s="627"/>
      <c r="BK457" s="627"/>
      <c r="BL457" s="627"/>
      <c r="BM457" s="627"/>
      <c r="BN457" s="627"/>
      <c r="BO457" s="627"/>
      <c r="BP457" s="627"/>
    </row>
    <row r="458" spans="1:68" x14ac:dyDescent="0.35">
      <c r="A458" s="988"/>
      <c r="B458" s="627"/>
      <c r="C458" s="183">
        <f>IF(I15&gt;12.3,"ALERTA: PAINÉIS DE PAREDE MAIORES QUE 12,3 m. USO DE CARRETA EXTENSIVA ! ",0)</f>
        <v>0</v>
      </c>
      <c r="D458" s="183"/>
      <c r="E458" s="183"/>
      <c r="F458" s="183"/>
      <c r="G458" s="183"/>
      <c r="H458" s="183"/>
      <c r="I458" s="183"/>
      <c r="J458" s="183"/>
      <c r="K458" s="195"/>
      <c r="L458" s="195"/>
      <c r="M458" s="627"/>
      <c r="N458" s="627"/>
      <c r="O458" s="627"/>
      <c r="P458" s="627"/>
      <c r="Q458" s="719"/>
      <c r="R458" s="627"/>
      <c r="S458" s="627"/>
      <c r="T458" s="627"/>
      <c r="U458" s="627"/>
      <c r="V458" s="627"/>
      <c r="W458" s="627"/>
      <c r="X458" s="627"/>
      <c r="Y458" s="627"/>
      <c r="Z458" s="627"/>
      <c r="AA458" s="627"/>
      <c r="AB458" s="627"/>
      <c r="AC458" s="627"/>
      <c r="AD458" s="627"/>
      <c r="AE458" s="627"/>
      <c r="AF458" s="627"/>
      <c r="AG458" s="627"/>
      <c r="AH458" s="627"/>
      <c r="AI458" s="627"/>
      <c r="AJ458" s="627"/>
      <c r="AK458" s="627"/>
      <c r="AL458" s="627"/>
      <c r="AM458" s="627"/>
      <c r="AN458" s="627"/>
      <c r="AO458" s="627"/>
      <c r="AP458" s="627"/>
      <c r="AQ458" s="627"/>
      <c r="AR458" s="627"/>
      <c r="AS458" s="627"/>
      <c r="AT458" s="627"/>
      <c r="AU458" s="627"/>
      <c r="AV458" s="627"/>
      <c r="AW458" s="627"/>
      <c r="AX458" s="627"/>
      <c r="AY458" s="627"/>
      <c r="AZ458" s="627"/>
      <c r="BA458" s="627"/>
      <c r="BB458" s="627"/>
      <c r="BC458" s="627"/>
      <c r="BD458" s="627"/>
      <c r="BE458" s="627"/>
      <c r="BF458" s="627"/>
      <c r="BG458" s="627"/>
      <c r="BH458" s="627"/>
      <c r="BI458" s="627"/>
      <c r="BJ458" s="627"/>
      <c r="BK458" s="627"/>
      <c r="BL458" s="627"/>
      <c r="BM458" s="627"/>
      <c r="BN458" s="627"/>
      <c r="BO458" s="627"/>
      <c r="BP458" s="627"/>
    </row>
    <row r="459" spans="1:68" ht="38.25" x14ac:dyDescent="0.35">
      <c r="A459" s="988"/>
      <c r="B459" s="627"/>
      <c r="C459" s="195"/>
      <c r="D459" s="1421" t="s">
        <v>323</v>
      </c>
      <c r="E459" s="1318" t="s">
        <v>324</v>
      </c>
      <c r="F459" s="1319"/>
      <c r="G459" s="1400"/>
      <c r="H459" s="1092" t="s">
        <v>325</v>
      </c>
      <c r="I459" s="1046" t="s">
        <v>326</v>
      </c>
      <c r="J459" s="340"/>
      <c r="K459" s="199"/>
      <c r="L459" s="199"/>
      <c r="M459" s="652"/>
      <c r="N459" s="652"/>
      <c r="O459" s="987"/>
      <c r="P459" s="627"/>
      <c r="Q459" s="719"/>
      <c r="R459" s="627"/>
      <c r="S459" s="627"/>
      <c r="T459" s="627"/>
      <c r="U459" s="627"/>
      <c r="V459" s="627"/>
      <c r="W459" s="627"/>
      <c r="X459" s="627"/>
      <c r="Y459" s="627"/>
      <c r="Z459" s="627"/>
      <c r="AA459" s="627"/>
      <c r="AB459" s="627"/>
      <c r="AC459" s="627"/>
      <c r="AD459" s="627"/>
      <c r="AE459" s="627"/>
      <c r="AF459" s="627"/>
      <c r="AG459" s="627"/>
      <c r="AH459" s="627"/>
      <c r="AI459" s="627"/>
      <c r="AJ459" s="627"/>
      <c r="AK459" s="627"/>
      <c r="AL459" s="627"/>
      <c r="AM459" s="627"/>
      <c r="AN459" s="627"/>
      <c r="AO459" s="627"/>
      <c r="AP459" s="627"/>
      <c r="AQ459" s="627"/>
      <c r="AR459" s="627"/>
      <c r="AS459" s="627"/>
      <c r="AT459" s="627"/>
      <c r="AU459" s="627"/>
      <c r="AV459" s="627"/>
      <c r="AW459" s="627"/>
      <c r="AX459" s="627"/>
      <c r="AY459" s="627"/>
      <c r="AZ459" s="627"/>
      <c r="BA459" s="627"/>
      <c r="BB459" s="627"/>
      <c r="BC459" s="627"/>
      <c r="BD459" s="627"/>
      <c r="BE459" s="627"/>
      <c r="BF459" s="627"/>
      <c r="BG459" s="1338" t="s">
        <v>327</v>
      </c>
      <c r="BH459" s="1441"/>
      <c r="BI459" s="1441"/>
      <c r="BJ459" s="1441"/>
      <c r="BK459" s="1441"/>
      <c r="BL459" s="1441"/>
      <c r="BM459" s="1441"/>
      <c r="BN459" s="1441"/>
      <c r="BO459" s="1441"/>
      <c r="BP459" s="1339"/>
    </row>
    <row r="460" spans="1:68" x14ac:dyDescent="0.35">
      <c r="A460" s="988"/>
      <c r="B460" s="627"/>
      <c r="C460" s="195"/>
      <c r="D460" s="1422"/>
      <c r="E460" s="1471"/>
      <c r="F460" s="1472"/>
      <c r="G460" s="1473"/>
      <c r="H460" s="673" t="s">
        <v>328</v>
      </c>
      <c r="I460" s="673" t="s">
        <v>20</v>
      </c>
      <c r="J460" s="1474" t="s">
        <v>329</v>
      </c>
      <c r="K460" s="1475"/>
      <c r="L460" s="1475"/>
      <c r="M460" s="1475"/>
      <c r="N460" s="1475"/>
      <c r="O460" s="1476"/>
      <c r="P460" s="627"/>
      <c r="Q460" s="719"/>
      <c r="R460" s="627"/>
      <c r="S460" s="627"/>
      <c r="T460" s="627"/>
      <c r="U460" s="627"/>
      <c r="V460" s="627"/>
      <c r="W460" s="627"/>
      <c r="X460" s="627"/>
      <c r="Y460" s="627"/>
      <c r="Z460" s="627"/>
      <c r="AA460" s="627"/>
      <c r="AB460" s="627"/>
      <c r="AC460" s="627"/>
      <c r="AD460" s="627"/>
      <c r="AE460" s="627"/>
      <c r="AF460" s="627"/>
      <c r="AG460" s="627"/>
      <c r="AH460" s="627"/>
      <c r="AI460" s="627"/>
      <c r="AJ460" s="627"/>
      <c r="AK460" s="627"/>
      <c r="AL460" s="627"/>
      <c r="AM460" s="627"/>
      <c r="AN460" s="627"/>
      <c r="AO460" s="627"/>
      <c r="AP460" s="627"/>
      <c r="AQ460" s="627"/>
      <c r="AR460" s="627"/>
      <c r="AS460" s="627"/>
      <c r="AT460" s="627"/>
      <c r="AU460" s="627"/>
      <c r="AV460" s="627"/>
      <c r="AW460" s="627"/>
      <c r="AX460" s="627"/>
      <c r="AY460" s="627"/>
      <c r="AZ460" s="627"/>
      <c r="BA460" s="627"/>
      <c r="BB460" s="627"/>
      <c r="BC460" s="627"/>
      <c r="BD460" s="627"/>
      <c r="BE460" s="627"/>
      <c r="BF460" s="627"/>
      <c r="BG460" s="1421" t="s">
        <v>323</v>
      </c>
      <c r="BH460" s="1318" t="s">
        <v>324</v>
      </c>
      <c r="BI460" s="1319"/>
      <c r="BJ460" s="1319"/>
      <c r="BK460" s="1400"/>
      <c r="BL460" s="1421" t="s">
        <v>330</v>
      </c>
      <c r="BM460" s="1421" t="s">
        <v>331</v>
      </c>
      <c r="BN460" s="750" t="s">
        <v>275</v>
      </c>
      <c r="BO460" s="750" t="s">
        <v>332</v>
      </c>
      <c r="BP460" s="705" t="s">
        <v>333</v>
      </c>
    </row>
    <row r="461" spans="1:68" x14ac:dyDescent="0.35">
      <c r="A461" s="988">
        <f t="shared" ref="A461:A475" si="12">IF(C461="x",1,0)</f>
        <v>1</v>
      </c>
      <c r="B461" s="195">
        <f t="shared" ref="B461:B475" si="13">IF(C461="X",1,0)</f>
        <v>1</v>
      </c>
      <c r="C461" s="195" t="s">
        <v>35</v>
      </c>
      <c r="D461" s="729">
        <v>1</v>
      </c>
      <c r="E461" s="633" t="s">
        <v>334</v>
      </c>
      <c r="F461" s="646"/>
      <c r="G461" s="629"/>
      <c r="H461" s="1062">
        <v>25</v>
      </c>
      <c r="I461" s="1060">
        <v>12.4</v>
      </c>
      <c r="J461" s="1474" t="s">
        <v>335</v>
      </c>
      <c r="K461" s="1475"/>
      <c r="L461" s="1475"/>
      <c r="M461" s="1475"/>
      <c r="N461" s="1475"/>
      <c r="O461" s="1476"/>
      <c r="P461" s="627"/>
      <c r="Q461" s="719"/>
      <c r="R461" s="627"/>
      <c r="S461" s="627"/>
      <c r="T461" s="627"/>
      <c r="U461" s="627"/>
      <c r="V461" s="627"/>
      <c r="W461" s="627"/>
      <c r="X461" s="627"/>
      <c r="Y461" s="627"/>
      <c r="Z461" s="627"/>
      <c r="AA461" s="627"/>
      <c r="AB461" s="627"/>
      <c r="AC461" s="627"/>
      <c r="AD461" s="627"/>
      <c r="AE461" s="627"/>
      <c r="AF461" s="627"/>
      <c r="AG461" s="627"/>
      <c r="AH461" s="627"/>
      <c r="AI461" s="627"/>
      <c r="AJ461" s="627"/>
      <c r="AK461" s="627"/>
      <c r="AL461" s="627"/>
      <c r="AM461" s="627"/>
      <c r="AN461" s="627"/>
      <c r="AO461" s="627"/>
      <c r="AP461" s="627"/>
      <c r="AQ461" s="627"/>
      <c r="AR461" s="627"/>
      <c r="AS461" s="627"/>
      <c r="AT461" s="627"/>
      <c r="AU461" s="627"/>
      <c r="AV461" s="627"/>
      <c r="AW461" s="627"/>
      <c r="AX461" s="627"/>
      <c r="AY461" s="627"/>
      <c r="AZ461" s="627"/>
      <c r="BA461" s="627"/>
      <c r="BB461" s="627"/>
      <c r="BC461" s="627"/>
      <c r="BD461" s="627"/>
      <c r="BE461" s="627"/>
      <c r="BF461" s="627"/>
      <c r="BG461" s="1422"/>
      <c r="BH461" s="1471"/>
      <c r="BI461" s="1472"/>
      <c r="BJ461" s="1472"/>
      <c r="BK461" s="1473"/>
      <c r="BL461" s="1422"/>
      <c r="BM461" s="1422"/>
      <c r="BN461" s="639" t="s">
        <v>336</v>
      </c>
      <c r="BO461" s="639" t="s">
        <v>337</v>
      </c>
      <c r="BP461" s="673" t="s">
        <v>338</v>
      </c>
    </row>
    <row r="462" spans="1:68" x14ac:dyDescent="0.35">
      <c r="A462" s="988">
        <f t="shared" si="12"/>
        <v>1</v>
      </c>
      <c r="B462" s="195">
        <f t="shared" si="13"/>
        <v>1</v>
      </c>
      <c r="C462" s="195" t="s">
        <v>35</v>
      </c>
      <c r="D462" s="729">
        <v>2</v>
      </c>
      <c r="E462" s="633" t="s">
        <v>339</v>
      </c>
      <c r="F462" s="646"/>
      <c r="G462" s="629"/>
      <c r="H462" s="1062">
        <v>31</v>
      </c>
      <c r="I462" s="1060">
        <v>12.4</v>
      </c>
      <c r="J462" s="988"/>
      <c r="K462" s="195"/>
      <c r="L462" s="195"/>
      <c r="M462" s="627"/>
      <c r="N462" s="627"/>
      <c r="O462" s="719"/>
      <c r="P462" s="627"/>
      <c r="Q462" s="719"/>
      <c r="R462" s="627"/>
      <c r="S462" s="627"/>
      <c r="T462" s="627"/>
      <c r="U462" s="627"/>
      <c r="V462" s="627"/>
      <c r="W462" s="636"/>
      <c r="X462" s="652"/>
      <c r="Y462" s="652" t="s">
        <v>340</v>
      </c>
      <c r="Z462" s="652"/>
      <c r="AA462" s="652"/>
      <c r="AB462" s="652"/>
      <c r="AC462" s="652"/>
      <c r="AD462" s="987"/>
      <c r="AE462" s="627"/>
      <c r="AF462" s="627"/>
      <c r="AG462" s="636"/>
      <c r="AH462" s="652"/>
      <c r="AI462" s="652" t="s">
        <v>341</v>
      </c>
      <c r="AJ462" s="652"/>
      <c r="AK462" s="652"/>
      <c r="AL462" s="652"/>
      <c r="AM462" s="652"/>
      <c r="AN462" s="987"/>
      <c r="AO462" s="627"/>
      <c r="AP462" s="627"/>
      <c r="AQ462" s="674"/>
      <c r="AR462" s="674"/>
      <c r="AS462" s="674"/>
      <c r="AT462" s="1095"/>
      <c r="AU462" s="674"/>
      <c r="AV462" s="674"/>
      <c r="AW462" s="674"/>
      <c r="AX462" s="1095" t="s">
        <v>342</v>
      </c>
      <c r="AY462" s="638" t="s">
        <v>343</v>
      </c>
      <c r="AZ462" s="627"/>
      <c r="BA462" s="627"/>
      <c r="BB462" s="627"/>
      <c r="BC462" s="627"/>
      <c r="BD462" s="627"/>
      <c r="BE462" s="627"/>
      <c r="BF462" s="627"/>
      <c r="BG462" s="626">
        <f>IF(BH462=0,0,1)</f>
        <v>1</v>
      </c>
      <c r="BH462" s="633" t="str">
        <f>AZ465</f>
        <v xml:space="preserve">CARRETA ABERTA </v>
      </c>
      <c r="BI462" s="646"/>
      <c r="BJ462" s="646"/>
      <c r="BK462" s="629"/>
      <c r="BL462" s="729">
        <f>H461</f>
        <v>25</v>
      </c>
      <c r="BM462" s="729" t="str">
        <f>IF(BN462=0,0,"ton")</f>
        <v>ton</v>
      </c>
      <c r="BN462" s="1096">
        <f>AY465</f>
        <v>32</v>
      </c>
      <c r="BO462" s="1096">
        <f>IF(BN462=0,0,AT465)</f>
        <v>2</v>
      </c>
      <c r="BP462" s="626" t="str">
        <f>IF(BH462=0,0,IF(BN462=0,"NÃO","SIM"))</f>
        <v>SIM</v>
      </c>
    </row>
    <row r="463" spans="1:68" ht="12" customHeight="1" x14ac:dyDescent="0.35">
      <c r="A463" s="988">
        <f t="shared" si="12"/>
        <v>1</v>
      </c>
      <c r="B463" s="195">
        <f t="shared" si="13"/>
        <v>1</v>
      </c>
      <c r="C463" s="195" t="s">
        <v>35</v>
      </c>
      <c r="D463" s="729">
        <v>3</v>
      </c>
      <c r="E463" s="633" t="s">
        <v>344</v>
      </c>
      <c r="F463" s="646"/>
      <c r="G463" s="629"/>
      <c r="H463" s="1062">
        <v>25</v>
      </c>
      <c r="I463" s="1060">
        <v>15</v>
      </c>
      <c r="J463" s="1474" t="s">
        <v>345</v>
      </c>
      <c r="K463" s="1475"/>
      <c r="L463" s="1475"/>
      <c r="M463" s="1475"/>
      <c r="N463" s="1475"/>
      <c r="O463" s="1476"/>
      <c r="P463" s="627"/>
      <c r="Q463" s="719"/>
      <c r="R463" s="627"/>
      <c r="S463" s="627"/>
      <c r="T463" s="627"/>
      <c r="U463" s="627"/>
      <c r="V463" s="627"/>
      <c r="W463" s="988"/>
      <c r="X463" s="627"/>
      <c r="Y463" s="627"/>
      <c r="Z463" s="636" t="s">
        <v>67</v>
      </c>
      <c r="AA463" s="987"/>
      <c r="AB463" s="636" t="s">
        <v>68</v>
      </c>
      <c r="AC463" s="987"/>
      <c r="AD463" s="719"/>
      <c r="AE463" s="627"/>
      <c r="AF463" s="627"/>
      <c r="AG463" s="988"/>
      <c r="AH463" s="627"/>
      <c r="AI463" s="627"/>
      <c r="AJ463" s="636" t="s">
        <v>67</v>
      </c>
      <c r="AK463" s="987"/>
      <c r="AL463" s="636" t="s">
        <v>68</v>
      </c>
      <c r="AM463" s="987"/>
      <c r="AN463" s="719"/>
      <c r="AO463" s="627"/>
      <c r="AP463" s="627"/>
      <c r="AQ463" s="1097"/>
      <c r="AR463" s="1097" t="s">
        <v>346</v>
      </c>
      <c r="AS463" s="1097"/>
      <c r="AT463" s="1098" t="s">
        <v>148</v>
      </c>
      <c r="AU463" s="1097"/>
      <c r="AV463" s="1097"/>
      <c r="AW463" s="1097" t="s">
        <v>347</v>
      </c>
      <c r="AX463" s="1098" t="s">
        <v>348</v>
      </c>
      <c r="AY463" s="750" t="s">
        <v>349</v>
      </c>
      <c r="AZ463" s="1352" t="s">
        <v>324</v>
      </c>
      <c r="BA463" s="1352"/>
      <c r="BB463" s="1352"/>
      <c r="BC463" s="1352"/>
      <c r="BD463" s="1352" t="s">
        <v>330</v>
      </c>
      <c r="BE463" s="1352" t="s">
        <v>331</v>
      </c>
      <c r="BF463" s="627"/>
      <c r="BG463" s="626">
        <f>IF(BH463=0,0,2)</f>
        <v>2</v>
      </c>
      <c r="BH463" s="633" t="str">
        <f>AZ466</f>
        <v>CARRETA LS</v>
      </c>
      <c r="BI463" s="646"/>
      <c r="BJ463" s="646"/>
      <c r="BK463" s="629"/>
      <c r="BL463" s="729">
        <f>H462</f>
        <v>31</v>
      </c>
      <c r="BM463" s="729" t="str">
        <f>IF(BN463=0,0,"ton")</f>
        <v>ton</v>
      </c>
      <c r="BN463" s="1096">
        <f>AY466</f>
        <v>22</v>
      </c>
      <c r="BO463" s="1096">
        <f>IF(BN463=0,0,AT466)</f>
        <v>3</v>
      </c>
      <c r="BP463" s="626" t="str">
        <f>IF(BH463=0,0,IF(BN463=0,"NÃO","SIM"))</f>
        <v>SIM</v>
      </c>
    </row>
    <row r="464" spans="1:68" ht="12" customHeight="1" x14ac:dyDescent="0.35">
      <c r="A464" s="988">
        <f t="shared" si="12"/>
        <v>1</v>
      </c>
      <c r="B464" s="195">
        <f t="shared" si="13"/>
        <v>1</v>
      </c>
      <c r="C464" s="195" t="s">
        <v>35</v>
      </c>
      <c r="D464" s="729">
        <v>4</v>
      </c>
      <c r="E464" s="633" t="s">
        <v>344</v>
      </c>
      <c r="F464" s="646"/>
      <c r="G464" s="629"/>
      <c r="H464" s="1062">
        <v>31</v>
      </c>
      <c r="I464" s="1060">
        <v>15</v>
      </c>
      <c r="J464" s="1474" t="s">
        <v>350</v>
      </c>
      <c r="K464" s="1475"/>
      <c r="L464" s="1475"/>
      <c r="M464" s="1475"/>
      <c r="N464" s="1475"/>
      <c r="O464" s="1476"/>
      <c r="P464" s="627"/>
      <c r="Q464" s="719"/>
      <c r="R464" s="627"/>
      <c r="S464" s="627"/>
      <c r="T464" s="627"/>
      <c r="U464" s="627"/>
      <c r="V464" s="627"/>
      <c r="W464" s="772" t="s">
        <v>351</v>
      </c>
      <c r="X464" s="1044"/>
      <c r="Y464" s="1042">
        <v>25</v>
      </c>
      <c r="Z464" s="630" t="s">
        <v>352</v>
      </c>
      <c r="AA464" s="630" t="s">
        <v>353</v>
      </c>
      <c r="AB464" s="630" t="s">
        <v>352</v>
      </c>
      <c r="AC464" s="630" t="s">
        <v>353</v>
      </c>
      <c r="AD464" s="719"/>
      <c r="AE464" s="627"/>
      <c r="AF464" s="627"/>
      <c r="AG464" s="988"/>
      <c r="AH464" s="627"/>
      <c r="AI464" s="627"/>
      <c r="AJ464" s="630" t="s">
        <v>352</v>
      </c>
      <c r="AK464" s="630" t="s">
        <v>353</v>
      </c>
      <c r="AL464" s="630" t="s">
        <v>352</v>
      </c>
      <c r="AM464" s="630" t="s">
        <v>353</v>
      </c>
      <c r="AN464" s="719"/>
      <c r="AO464" s="627"/>
      <c r="AP464" s="627"/>
      <c r="AQ464" s="1047" t="s">
        <v>354</v>
      </c>
      <c r="AR464" s="1047" t="s">
        <v>355</v>
      </c>
      <c r="AS464" s="1047" t="s">
        <v>356</v>
      </c>
      <c r="AT464" s="1099" t="s">
        <v>357</v>
      </c>
      <c r="AU464" s="1047" t="s">
        <v>358</v>
      </c>
      <c r="AV464" s="1047" t="s">
        <v>359</v>
      </c>
      <c r="AW464" s="1047" t="s">
        <v>360</v>
      </c>
      <c r="AX464" s="1099" t="s">
        <v>357</v>
      </c>
      <c r="AY464" s="639" t="s">
        <v>361</v>
      </c>
      <c r="AZ464" s="1352"/>
      <c r="BA464" s="1352"/>
      <c r="BB464" s="1352"/>
      <c r="BC464" s="1352"/>
      <c r="BD464" s="1352"/>
      <c r="BE464" s="1352"/>
      <c r="BF464" s="627"/>
      <c r="BG464" s="626">
        <f>IF(BH464=0,0,3)</f>
        <v>3</v>
      </c>
      <c r="BH464" s="633" t="str">
        <f>AZ467</f>
        <v>CARRETA VANDERLEIA</v>
      </c>
      <c r="BI464" s="646"/>
      <c r="BJ464" s="646"/>
      <c r="BK464" s="629"/>
      <c r="BL464" s="729">
        <f>H463</f>
        <v>25</v>
      </c>
      <c r="BM464" s="729" t="str">
        <f>IF(BN464=0,0,"ton")</f>
        <v>ton</v>
      </c>
      <c r="BN464" s="1096">
        <f>AY467</f>
        <v>32</v>
      </c>
      <c r="BO464" s="1096">
        <f>IF(BN464=0,0,AT467)</f>
        <v>2</v>
      </c>
      <c r="BP464" s="626" t="str">
        <f>IF(BH464=0,0,IF(BN464=0,"NÃO","SIM"))</f>
        <v>SIM</v>
      </c>
    </row>
    <row r="465" spans="1:68" x14ac:dyDescent="0.35">
      <c r="A465" s="988">
        <f t="shared" si="12"/>
        <v>1</v>
      </c>
      <c r="B465" s="195">
        <f t="shared" si="13"/>
        <v>1</v>
      </c>
      <c r="C465" s="195" t="s">
        <v>35</v>
      </c>
      <c r="D465" s="729">
        <v>5</v>
      </c>
      <c r="E465" s="633" t="s">
        <v>344</v>
      </c>
      <c r="F465" s="646"/>
      <c r="G465" s="629"/>
      <c r="H465" s="626">
        <v>35</v>
      </c>
      <c r="I465" s="1060">
        <v>15</v>
      </c>
      <c r="J465" s="637"/>
      <c r="K465" s="198"/>
      <c r="L465" s="198"/>
      <c r="M465" s="749"/>
      <c r="N465" s="749"/>
      <c r="O465" s="748"/>
      <c r="P465" s="627"/>
      <c r="Q465" s="719"/>
      <c r="R465" s="627"/>
      <c r="S465" s="627"/>
      <c r="T465" s="627"/>
      <c r="U465" s="627"/>
      <c r="V465" s="627"/>
      <c r="W465" s="988"/>
      <c r="X465" s="639">
        <f>Y464/100+1</f>
        <v>1.25</v>
      </c>
      <c r="Y465" s="639" t="s">
        <v>362</v>
      </c>
      <c r="Z465" s="1064">
        <f>(2.4*0.185+0.26*0.055*2)</f>
        <v>0.47260000000000002</v>
      </c>
      <c r="AA465" s="1064">
        <f>(1.13*0.15)+((2.4*0.185+0.26*0.055*2))</f>
        <v>0.6421</v>
      </c>
      <c r="AB465" s="1064">
        <f>(2.4*0.245+0.26*0.055*2)</f>
        <v>0.61659999999999993</v>
      </c>
      <c r="AC465" s="1064">
        <f>(1.13*0.15)+((2.4*0.245+0.26*0.055*2))</f>
        <v>0.78609999999999991</v>
      </c>
      <c r="AD465" s="719"/>
      <c r="AE465" s="627"/>
      <c r="AF465" s="627"/>
      <c r="AG465" s="988"/>
      <c r="AH465" s="627"/>
      <c r="AI465" s="630" t="s">
        <v>362</v>
      </c>
      <c r="AJ465" s="660">
        <f>(2.4*0.185+0.27*0.07*2)</f>
        <v>0.48180000000000001</v>
      </c>
      <c r="AK465" s="660">
        <f>(1.13*0.15)+((2.4*0.185+0.27*0.07*2))</f>
        <v>0.65129999999999999</v>
      </c>
      <c r="AL465" s="660">
        <f>(2.4*0.245+0.27*0.07*2)</f>
        <v>0.62580000000000002</v>
      </c>
      <c r="AM465" s="660">
        <f>(1.13*0.15)+((2.4*0.245+0.27*0.07*2))</f>
        <v>0.79530000000000001</v>
      </c>
      <c r="AN465" s="719"/>
      <c r="AO465" s="627"/>
      <c r="AP465" s="627">
        <f>IF(AY465=0,1,0)</f>
        <v>0</v>
      </c>
      <c r="AQ465" s="673" t="str">
        <f>IF(A461=1,"X",IF($I$15&gt;12,0,IF(AY465=0,0,IF(AY465&gt;=AY464,0,"X"))))</f>
        <v>X</v>
      </c>
      <c r="AR465" s="626">
        <f>D461</f>
        <v>1</v>
      </c>
      <c r="AS465" s="626">
        <f>H461</f>
        <v>25</v>
      </c>
      <c r="AT465" s="1043">
        <f>IF($E$15=0,0,IF($C$60="X",ROUNDDOWN(AS465/($AJ$477+$AJ$482),0),IF($E$60="X",ROUNDDOWN(AS465/($AL$477+$AL$482),0),0)))</f>
        <v>2</v>
      </c>
      <c r="AU465" s="1062">
        <f>IF($E$15=0,0,ROUNDDOWN(AS465/($AK$477+$AK$482),0))</f>
        <v>2</v>
      </c>
      <c r="AV465" s="1062">
        <f>IF(AS465=0,0,$G$91+$G$93)</f>
        <v>2</v>
      </c>
      <c r="AW465" s="1062">
        <f>IF(AU465-AV465&lt;0,0,AU465-AV465)</f>
        <v>0</v>
      </c>
      <c r="AX465" s="1100">
        <f>IF(AU465-AV465&lt;0,AU465,AV465+AW465)</f>
        <v>2</v>
      </c>
      <c r="AY465" s="1062">
        <f>IF(AU465=0,0,ROUNDUP(IF(AV465&lt;=AU465,((($G$91+$G$93+$G$97)-(AW465))/AT465)+1,($G$97/AT465)+(AV465/AU465)),0))</f>
        <v>32</v>
      </c>
      <c r="AZ465" s="633" t="str">
        <f>E461</f>
        <v xml:space="preserve">CARRETA ABERTA </v>
      </c>
      <c r="BA465" s="646"/>
      <c r="BB465" s="646"/>
      <c r="BC465" s="629"/>
      <c r="BD465" s="729">
        <f>IF(AQ465="x",AS465,0)</f>
        <v>25</v>
      </c>
      <c r="BE465" s="729" t="str">
        <f>IF(BD465=0,0,"ton")</f>
        <v>ton</v>
      </c>
      <c r="BF465" s="627"/>
      <c r="BG465" s="626">
        <f>IF(BH465=0,0,4)</f>
        <v>4</v>
      </c>
      <c r="BH465" s="633" t="str">
        <f>AZ468</f>
        <v>CARRETA VANDERLEIA</v>
      </c>
      <c r="BI465" s="646"/>
      <c r="BJ465" s="646"/>
      <c r="BK465" s="629"/>
      <c r="BL465" s="729">
        <f>H464</f>
        <v>31</v>
      </c>
      <c r="BM465" s="729" t="str">
        <f>IF(BN465=0,0,"ton")</f>
        <v>ton</v>
      </c>
      <c r="BN465" s="1096">
        <f>AY468</f>
        <v>22</v>
      </c>
      <c r="BO465" s="1096">
        <f>IF(BN465=0,0,AT468)</f>
        <v>3</v>
      </c>
      <c r="BP465" s="626" t="str">
        <f>IF(BH465=0,0,IF(BN465=0,"NÃO","SIM"))</f>
        <v>SIM</v>
      </c>
    </row>
    <row r="466" spans="1:68" hidden="1" x14ac:dyDescent="0.35">
      <c r="A466" s="988">
        <f t="shared" si="12"/>
        <v>1</v>
      </c>
      <c r="B466" s="195">
        <f t="shared" si="13"/>
        <v>1</v>
      </c>
      <c r="C466" s="195" t="s">
        <v>35</v>
      </c>
      <c r="D466" s="729">
        <v>6</v>
      </c>
      <c r="E466" s="633"/>
      <c r="F466" s="646"/>
      <c r="G466" s="629"/>
      <c r="H466" s="626"/>
      <c r="I466" s="195">
        <f t="shared" ref="I466:I474" si="14">IF(H467=0,0,IF(H466&gt;H467,1,0))</f>
        <v>0</v>
      </c>
      <c r="J466" s="627"/>
      <c r="K466" s="195"/>
      <c r="L466" s="195"/>
      <c r="M466" s="627"/>
      <c r="N466" s="627"/>
      <c r="O466" s="627"/>
      <c r="P466" s="627"/>
      <c r="Q466" s="719"/>
      <c r="R466" s="627"/>
      <c r="S466" s="627"/>
      <c r="T466" s="627"/>
      <c r="U466" s="627"/>
      <c r="V466" s="627"/>
      <c r="W466" s="988"/>
      <c r="X466" s="627"/>
      <c r="Y466" s="630" t="s">
        <v>363</v>
      </c>
      <c r="Z466" s="660">
        <f>Z465*2.5</f>
        <v>1.1815</v>
      </c>
      <c r="AA466" s="660">
        <f>AA465*2.5</f>
        <v>1.6052500000000001</v>
      </c>
      <c r="AB466" s="660">
        <f>AB465*2.5</f>
        <v>1.5414999999999999</v>
      </c>
      <c r="AC466" s="660">
        <f>AC465*2.5</f>
        <v>1.9652499999999997</v>
      </c>
      <c r="AD466" s="719"/>
      <c r="AE466" s="627"/>
      <c r="AF466" s="627"/>
      <c r="AG466" s="988"/>
      <c r="AH466" s="627"/>
      <c r="AI466" s="630" t="s">
        <v>363</v>
      </c>
      <c r="AJ466" s="660">
        <f>AJ465*2.5</f>
        <v>1.2044999999999999</v>
      </c>
      <c r="AK466" s="660">
        <f>AK465*2.5</f>
        <v>1.62825</v>
      </c>
      <c r="AL466" s="660">
        <f>AL465*2.5</f>
        <v>1.5645</v>
      </c>
      <c r="AM466" s="660">
        <f>AM465*2.5</f>
        <v>1.9882500000000001</v>
      </c>
      <c r="AN466" s="719"/>
      <c r="AO466" s="627"/>
      <c r="AP466" s="627">
        <f>IF(AY466=0,1,0)</f>
        <v>0</v>
      </c>
      <c r="AQ466" s="673" t="str">
        <f>IF(A462=1,"X",IF($I$15&gt;12,0,IF(AY466=0,0,IF(AP465=1,"x",IF(AY466&gt;=AY465,0,"X")))))</f>
        <v>X</v>
      </c>
      <c r="AR466" s="626">
        <f>D462</f>
        <v>2</v>
      </c>
      <c r="AS466" s="626">
        <f>H462</f>
        <v>31</v>
      </c>
      <c r="AT466" s="1043">
        <f>IF($E$15=0,0,IF($C$60="X",ROUNDDOWN(AS466/($AJ$477+$AJ$482),0),IF($E$60="X",ROUNDDOWN(AS466/($AL$477+$AL$482),0),0)))</f>
        <v>3</v>
      </c>
      <c r="AU466" s="1062">
        <f>IF($E$15=0,0,ROUNDDOWN(AS466/($AK$477+$AK$482),0))</f>
        <v>2</v>
      </c>
      <c r="AV466" s="1062">
        <f>IF(AS466=0,0,$G$91+$G$93)</f>
        <v>2</v>
      </c>
      <c r="AW466" s="1062">
        <f>IF(AU466-AV466&lt;0,0,AU466-AV466)</f>
        <v>0</v>
      </c>
      <c r="AX466" s="1100">
        <f>IF(AU466-AV466&lt;0,AU466,AV466+AW466)</f>
        <v>2</v>
      </c>
      <c r="AY466" s="1062">
        <f>IF(AU466=0,0,ROUNDUP(IF(AV466&lt;=AU466,((($G$91+$G$93+$G$97)-(AW466))/AT466)+1,($G$97/AT466)+(AV466/AU466)),0))</f>
        <v>22</v>
      </c>
      <c r="AZ466" s="633" t="str">
        <f>E462</f>
        <v>CARRETA LS</v>
      </c>
      <c r="BA466" s="646"/>
      <c r="BB466" s="646"/>
      <c r="BC466" s="629"/>
      <c r="BD466" s="729">
        <f>IF(AQ466="x",AS466,0)</f>
        <v>31</v>
      </c>
      <c r="BE466" s="729" t="str">
        <f>IF(BD466=0,0,"ton")</f>
        <v>ton</v>
      </c>
      <c r="BF466" s="627"/>
      <c r="BG466" s="626">
        <f>IF(BH466=0,0,5)</f>
        <v>5</v>
      </c>
      <c r="BH466" s="633" t="str">
        <f>AZ469</f>
        <v>CARRETA VANDERLEIA</v>
      </c>
      <c r="BI466" s="646"/>
      <c r="BJ466" s="646"/>
      <c r="BK466" s="629"/>
      <c r="BL466" s="729">
        <f>H465</f>
        <v>35</v>
      </c>
      <c r="BM466" s="729" t="str">
        <f>IF(BN466=0,0,"ton")</f>
        <v>ton</v>
      </c>
      <c r="BN466" s="1096">
        <f>AY469</f>
        <v>22</v>
      </c>
      <c r="BO466" s="1096">
        <f>IF(BN466=0,0,AT469)</f>
        <v>3</v>
      </c>
      <c r="BP466" s="626" t="str">
        <f>IF(BH466=0,0,IF(BN466=0,"NÃO","SIM"))</f>
        <v>SIM</v>
      </c>
    </row>
    <row r="467" spans="1:68" hidden="1" x14ac:dyDescent="0.35">
      <c r="A467" s="988">
        <f t="shared" si="12"/>
        <v>1</v>
      </c>
      <c r="B467" s="195">
        <f t="shared" si="13"/>
        <v>1</v>
      </c>
      <c r="C467" s="195" t="s">
        <v>35</v>
      </c>
      <c r="D467" s="729">
        <v>7</v>
      </c>
      <c r="E467" s="633"/>
      <c r="F467" s="646"/>
      <c r="G467" s="629"/>
      <c r="H467" s="626"/>
      <c r="I467" s="195">
        <f t="shared" si="14"/>
        <v>0</v>
      </c>
      <c r="J467" s="627">
        <f t="shared" ref="J467:J474" si="15">IF(H466=0,0,IF(H466&lt;=H467,1,0))</f>
        <v>0</v>
      </c>
      <c r="K467" s="195"/>
      <c r="L467" s="195"/>
      <c r="M467" s="627"/>
      <c r="N467" s="627"/>
      <c r="O467" s="627"/>
      <c r="P467" s="627"/>
      <c r="Q467" s="719"/>
      <c r="R467" s="627"/>
      <c r="S467" s="627"/>
      <c r="T467" s="627"/>
      <c r="U467" s="627"/>
      <c r="V467" s="627"/>
      <c r="W467" s="988"/>
      <c r="X467" s="627"/>
      <c r="Y467" s="630" t="s">
        <v>364</v>
      </c>
      <c r="Z467" s="660">
        <f>$F$115/1000</f>
        <v>0</v>
      </c>
      <c r="AA467" s="660">
        <f>$F$115/1000</f>
        <v>0</v>
      </c>
      <c r="AB467" s="660">
        <f>$F$115/1000</f>
        <v>0</v>
      </c>
      <c r="AC467" s="660">
        <f>$F$115/1000</f>
        <v>0</v>
      </c>
      <c r="AD467" s="719"/>
      <c r="AE467" s="627"/>
      <c r="AF467" s="627"/>
      <c r="AG467" s="988"/>
      <c r="AH467" s="627"/>
      <c r="AI467" s="630" t="s">
        <v>364</v>
      </c>
      <c r="AJ467" s="660">
        <f>$F$115/1000</f>
        <v>0</v>
      </c>
      <c r="AK467" s="660">
        <f>$F$115/1000</f>
        <v>0</v>
      </c>
      <c r="AL467" s="660">
        <f>$F$115/1000</f>
        <v>0</v>
      </c>
      <c r="AM467" s="660">
        <f>$F$115/1000</f>
        <v>0</v>
      </c>
      <c r="AN467" s="719"/>
      <c r="AO467" s="627"/>
      <c r="AP467" s="627">
        <f>IF(AY467=0,1,0)</f>
        <v>0</v>
      </c>
      <c r="AQ467" s="673" t="str">
        <f>IF(A463=1,"X",IF($I$15&gt;12,0,IF(AY467=0,0,IF(AP466=1,"x",IF(AY467&gt;=AY466,0,"X")))))</f>
        <v>X</v>
      </c>
      <c r="AR467" s="626">
        <f>D463</f>
        <v>3</v>
      </c>
      <c r="AS467" s="626">
        <f>H463</f>
        <v>25</v>
      </c>
      <c r="AT467" s="1043">
        <f>IF($E$15=0,0,IF($C$60="X",ROUNDDOWN(AS467/($AJ$477+$AJ$482),0),IF($E$60="X",ROUNDDOWN(AS467/($AL$477+$AL$482),0),0)))</f>
        <v>2</v>
      </c>
      <c r="AU467" s="1062">
        <f>IF($E$15=0,0,ROUNDDOWN(AS467/($AK$477+$AK$482),0))</f>
        <v>2</v>
      </c>
      <c r="AV467" s="1062">
        <f>IF(AS467=0,0,$G$91+$G$93)</f>
        <v>2</v>
      </c>
      <c r="AW467" s="1062">
        <f>IF(AU467-AV467&lt;0,0,AU467-AV467)</f>
        <v>0</v>
      </c>
      <c r="AX467" s="1100">
        <f>IF(AU467-AV467&lt;0,AU467,AV467+AW467)</f>
        <v>2</v>
      </c>
      <c r="AY467" s="1062">
        <f>IF(AU467=0,0,ROUNDUP(IF(AV467&lt;=AU467,((($G$91+$G$93+$G$97)-(AW467))/AT467)+1,($G$97/AT467)+(AV467/AU467)),0))</f>
        <v>32</v>
      </c>
      <c r="AZ467" s="633" t="str">
        <f>E463</f>
        <v>CARRETA VANDERLEIA</v>
      </c>
      <c r="BA467" s="646"/>
      <c r="BB467" s="646"/>
      <c r="BC467" s="629"/>
      <c r="BD467" s="729">
        <f>IF(AQ467="x",AS467,0)</f>
        <v>25</v>
      </c>
      <c r="BE467" s="729" t="str">
        <f>IF(BD467=0,0,"ton")</f>
        <v>ton</v>
      </c>
      <c r="BF467" s="627"/>
      <c r="BG467" s="626"/>
      <c r="BH467" s="633"/>
      <c r="BI467" s="646"/>
      <c r="BJ467" s="646"/>
      <c r="BK467" s="629"/>
      <c r="BL467" s="729"/>
      <c r="BM467" s="729"/>
      <c r="BN467" s="1096"/>
      <c r="BO467" s="1096"/>
      <c r="BP467" s="626"/>
    </row>
    <row r="468" spans="1:68" hidden="1" x14ac:dyDescent="0.35">
      <c r="A468" s="988">
        <f t="shared" si="12"/>
        <v>1</v>
      </c>
      <c r="B468" s="195">
        <f t="shared" si="13"/>
        <v>1</v>
      </c>
      <c r="C468" s="195" t="s">
        <v>35</v>
      </c>
      <c r="D468" s="729">
        <v>8</v>
      </c>
      <c r="E468" s="633"/>
      <c r="F468" s="646"/>
      <c r="G468" s="629"/>
      <c r="H468" s="626"/>
      <c r="I468" s="195">
        <f t="shared" si="14"/>
        <v>0</v>
      </c>
      <c r="J468" s="627">
        <f t="shared" si="15"/>
        <v>0</v>
      </c>
      <c r="K468" s="195"/>
      <c r="L468" s="195"/>
      <c r="M468" s="627"/>
      <c r="N468" s="627"/>
      <c r="O468" s="627"/>
      <c r="P468" s="627"/>
      <c r="Q468" s="719"/>
      <c r="R468" s="627"/>
      <c r="S468" s="627"/>
      <c r="T468" s="627"/>
      <c r="U468" s="627"/>
      <c r="V468" s="627"/>
      <c r="W468" s="988"/>
      <c r="X468" s="627"/>
      <c r="Y468" s="630" t="s">
        <v>365</v>
      </c>
      <c r="Z468" s="660">
        <f>$F$117/1000</f>
        <v>0</v>
      </c>
      <c r="AA468" s="660">
        <f>$F$117/1000</f>
        <v>0</v>
      </c>
      <c r="AB468" s="660">
        <f>$F$117/1000</f>
        <v>0</v>
      </c>
      <c r="AC468" s="660">
        <f>$F$117/1000</f>
        <v>0</v>
      </c>
      <c r="AD468" s="719"/>
      <c r="AE468" s="627"/>
      <c r="AF468" s="627"/>
      <c r="AG468" s="988"/>
      <c r="AH468" s="627"/>
      <c r="AI468" s="630" t="s">
        <v>365</v>
      </c>
      <c r="AJ468" s="660">
        <f>$F$117/1000</f>
        <v>0</v>
      </c>
      <c r="AK468" s="660">
        <f>$F$117/1000</f>
        <v>0</v>
      </c>
      <c r="AL468" s="660">
        <f>$F$117/1000</f>
        <v>0</v>
      </c>
      <c r="AM468" s="660">
        <f>$F$117/1000</f>
        <v>0</v>
      </c>
      <c r="AN468" s="719"/>
      <c r="AO468" s="627"/>
      <c r="AP468" s="627">
        <f>IF(AY468=0,1,0)</f>
        <v>0</v>
      </c>
      <c r="AQ468" s="673" t="str">
        <f>IF(A464=1,"X",IF($I$15&gt;12,0,IF(AY468=0,0,IF(AP467=1,"x",IF(AY468&gt;=AY467,0,"X")))))</f>
        <v>X</v>
      </c>
      <c r="AR468" s="626">
        <f>D464</f>
        <v>4</v>
      </c>
      <c r="AS468" s="626">
        <f>H464</f>
        <v>31</v>
      </c>
      <c r="AT468" s="1043">
        <f>IF($E$15=0,0,IF($C$60="X",ROUNDDOWN(AS468/($AJ$477+$AJ$482),0),IF($E$60="X",ROUNDDOWN(AS468/($AL$477+$AL$482),0),0)))</f>
        <v>3</v>
      </c>
      <c r="AU468" s="1062">
        <f>IF($E$15=0,0,ROUNDDOWN(AS468/($AK$477+$AK$482),0))</f>
        <v>2</v>
      </c>
      <c r="AV468" s="1062">
        <f>IF(AS468=0,0,$G$91+$G$93)</f>
        <v>2</v>
      </c>
      <c r="AW468" s="1062">
        <f>IF(AU468-AV468&lt;0,0,AU468-AV468)</f>
        <v>0</v>
      </c>
      <c r="AX468" s="1100">
        <f>IF(AU468-AV468&lt;0,AU468,AV468+AW468)</f>
        <v>2</v>
      </c>
      <c r="AY468" s="1062">
        <f>IF(AU468=0,0,ROUNDUP(IF(AV468&lt;=AU468,((($G$91+$G$93+$G$97)-(AW468))/AT468)+1,($G$97/AT468)+(AV468/AU468)),0))</f>
        <v>22</v>
      </c>
      <c r="AZ468" s="633" t="str">
        <f>E464</f>
        <v>CARRETA VANDERLEIA</v>
      </c>
      <c r="BA468" s="646"/>
      <c r="BB468" s="646"/>
      <c r="BC468" s="629"/>
      <c r="BD468" s="729">
        <f>IF(AQ468="x",AS468,0)</f>
        <v>31</v>
      </c>
      <c r="BE468" s="729" t="str">
        <f>IF(BD468=0,0,"ton")</f>
        <v>ton</v>
      </c>
      <c r="BF468" s="627"/>
      <c r="BG468" s="626"/>
      <c r="BH468" s="633"/>
      <c r="BI468" s="646"/>
      <c r="BJ468" s="646"/>
      <c r="BK468" s="629"/>
      <c r="BL468" s="729"/>
      <c r="BM468" s="729"/>
      <c r="BN468" s="1096"/>
      <c r="BO468" s="1096"/>
      <c r="BP468" s="626"/>
    </row>
    <row r="469" spans="1:68" hidden="1" x14ac:dyDescent="0.35">
      <c r="A469" s="988">
        <f t="shared" si="12"/>
        <v>1</v>
      </c>
      <c r="B469" s="195">
        <f t="shared" si="13"/>
        <v>1</v>
      </c>
      <c r="C469" s="195" t="s">
        <v>35</v>
      </c>
      <c r="D469" s="729">
        <v>9</v>
      </c>
      <c r="E469" s="633"/>
      <c r="F469" s="646"/>
      <c r="G469" s="629"/>
      <c r="H469" s="626"/>
      <c r="I469" s="195">
        <f t="shared" si="14"/>
        <v>0</v>
      </c>
      <c r="J469" s="627">
        <f t="shared" si="15"/>
        <v>0</v>
      </c>
      <c r="K469" s="195"/>
      <c r="L469" s="195"/>
      <c r="M469" s="627"/>
      <c r="N469" s="627"/>
      <c r="O469" s="627"/>
      <c r="P469" s="627"/>
      <c r="Q469" s="719"/>
      <c r="R469" s="627"/>
      <c r="S469" s="627"/>
      <c r="T469" s="627"/>
      <c r="U469" s="627"/>
      <c r="V469" s="627"/>
      <c r="W469" s="988"/>
      <c r="X469" s="627"/>
      <c r="Y469" s="630" t="s">
        <v>366</v>
      </c>
      <c r="Z469" s="660">
        <f>(Z466*$I$15)+Z467+Z468</f>
        <v>8.6249500000000001</v>
      </c>
      <c r="AA469" s="660">
        <f>(AA466*$I$15)+AA467+AA468</f>
        <v>11.718325000000002</v>
      </c>
      <c r="AB469" s="660">
        <f>(AB466*$I$15)+AB467+AB468</f>
        <v>11.25295</v>
      </c>
      <c r="AC469" s="660">
        <f>(AC466*$I$15)+AC467+AC468</f>
        <v>14.346325</v>
      </c>
      <c r="AD469" s="719"/>
      <c r="AE469" s="627"/>
      <c r="AF469" s="627"/>
      <c r="AG469" s="988"/>
      <c r="AH469" s="627"/>
      <c r="AI469" s="630" t="s">
        <v>366</v>
      </c>
      <c r="AJ469" s="660">
        <f>(AJ466*$I$15)+AJ467+AJ468</f>
        <v>8.7928499999999996</v>
      </c>
      <c r="AK469" s="660">
        <f>(AK466*$I$15)+AK467+AK468</f>
        <v>11.886225000000001</v>
      </c>
      <c r="AL469" s="660">
        <f>(AL466*$I$15)+AL467+AL468</f>
        <v>11.420850000000002</v>
      </c>
      <c r="AM469" s="660">
        <f>(AM466*$I$15)+AM467+AM468</f>
        <v>14.514225000000001</v>
      </c>
      <c r="AN469" s="719"/>
      <c r="AO469" s="627"/>
      <c r="AP469" s="627">
        <f>IF(AY469=0,1,0)</f>
        <v>0</v>
      </c>
      <c r="AQ469" s="673" t="str">
        <f>IF(A465=1,"X",IF($I$15&gt;12,0,IF(AY469=0,0,IF(AP468=1,"x",IF(AY469&gt;=AY468,0,"X")))))</f>
        <v>X</v>
      </c>
      <c r="AR469" s="626">
        <f>D465</f>
        <v>5</v>
      </c>
      <c r="AS469" s="626">
        <f>H465</f>
        <v>35</v>
      </c>
      <c r="AT469" s="1043">
        <f>IF($E$15=0,0,IF($C$60="X",ROUNDDOWN(AS469/($AJ$477+$AJ$482),0),IF($E$60="X",ROUNDDOWN(AS469/($AL$477+$AL$482),0),0)))</f>
        <v>3</v>
      </c>
      <c r="AU469" s="1062">
        <f>IF($E$15=0,0,ROUNDDOWN(AS469/($AK$477+$AK$482),0))</f>
        <v>2</v>
      </c>
      <c r="AV469" s="1062">
        <f>IF(AS469=0,0,$G$91+$G$93)</f>
        <v>2</v>
      </c>
      <c r="AW469" s="1062">
        <f>IF(AU469-AV469&lt;0,0,AU469-AV469)</f>
        <v>0</v>
      </c>
      <c r="AX469" s="1100">
        <f>IF(AU469-AV469&lt;0,AU469,AV469+AW469)</f>
        <v>2</v>
      </c>
      <c r="AY469" s="1062">
        <f>IF(AU469=0,0,ROUNDUP(IF(AV469&lt;=AU469,((($G$91+$G$93+$G$97)-(AW469))/AT469)+1,($G$97/AT469)+(AV469/AU469)),0))</f>
        <v>22</v>
      </c>
      <c r="AZ469" s="633" t="str">
        <f>E465</f>
        <v>CARRETA VANDERLEIA</v>
      </c>
      <c r="BA469" s="646"/>
      <c r="BB469" s="646"/>
      <c r="BC469" s="629"/>
      <c r="BD469" s="729">
        <f>IF(AQ469="x",AS469,0)</f>
        <v>35</v>
      </c>
      <c r="BE469" s="729" t="str">
        <f>IF(BD469=0,0,"ton")</f>
        <v>ton</v>
      </c>
      <c r="BF469" s="627"/>
      <c r="BG469" s="626">
        <f>IF(BH469=0,0,6)</f>
        <v>0</v>
      </c>
      <c r="BH469" s="633">
        <f t="shared" ref="BH469:BH472" si="16">AZ472</f>
        <v>0</v>
      </c>
      <c r="BI469" s="646"/>
      <c r="BJ469" s="646"/>
      <c r="BK469" s="629"/>
      <c r="BL469" s="729">
        <f t="shared" ref="BL469:BL475" si="17">H466</f>
        <v>0</v>
      </c>
      <c r="BM469" s="729">
        <f t="shared" ref="BM469:BM476" si="18">IF(BN469=0,0,"ton")</f>
        <v>0</v>
      </c>
      <c r="BN469" s="1096">
        <f t="shared" ref="BN469:BN472" si="19">AY472</f>
        <v>0</v>
      </c>
      <c r="BO469" s="1096">
        <f t="shared" ref="BO469:BO472" si="20">IF(BN469=0,0,AT472)</f>
        <v>0</v>
      </c>
      <c r="BP469" s="626">
        <f t="shared" ref="BP469:BP476" si="21">IF(BH469=0,0,IF(BN469=0,"NÃO","SIM"))</f>
        <v>0</v>
      </c>
    </row>
    <row r="470" spans="1:68" hidden="1" x14ac:dyDescent="0.35">
      <c r="A470" s="988">
        <f t="shared" si="12"/>
        <v>1</v>
      </c>
      <c r="B470" s="195">
        <f t="shared" si="13"/>
        <v>1</v>
      </c>
      <c r="C470" s="195" t="s">
        <v>35</v>
      </c>
      <c r="D470" s="729">
        <v>10</v>
      </c>
      <c r="E470" s="633"/>
      <c r="F470" s="646"/>
      <c r="G470" s="629"/>
      <c r="H470" s="626"/>
      <c r="I470" s="195">
        <f t="shared" si="14"/>
        <v>0</v>
      </c>
      <c r="J470" s="627">
        <f t="shared" si="15"/>
        <v>0</v>
      </c>
      <c r="K470" s="195"/>
      <c r="L470" s="195"/>
      <c r="M470" s="627"/>
      <c r="N470" s="627"/>
      <c r="O470" s="627"/>
      <c r="P470" s="627"/>
      <c r="Q470" s="719"/>
      <c r="R470" s="627"/>
      <c r="S470" s="627"/>
      <c r="T470" s="627"/>
      <c r="U470" s="627"/>
      <c r="V470" s="627"/>
      <c r="W470" s="988"/>
      <c r="X470" s="627"/>
      <c r="Y470" s="627"/>
      <c r="Z470" s="761"/>
      <c r="AA470" s="761"/>
      <c r="AB470" s="761"/>
      <c r="AC470" s="761"/>
      <c r="AD470" s="719"/>
      <c r="AE470" s="627"/>
      <c r="AF470" s="627"/>
      <c r="AG470" s="988"/>
      <c r="AH470" s="627"/>
      <c r="AI470" s="627"/>
      <c r="AJ470" s="761"/>
      <c r="AK470" s="761"/>
      <c r="AL470" s="761"/>
      <c r="AM470" s="761"/>
      <c r="AN470" s="719"/>
      <c r="AO470" s="627"/>
      <c r="AP470" s="627"/>
      <c r="AQ470" s="673"/>
      <c r="AR470" s="626"/>
      <c r="AS470" s="626"/>
      <c r="AT470" s="1043"/>
      <c r="AU470" s="1062"/>
      <c r="AV470" s="1062"/>
      <c r="AW470" s="1062"/>
      <c r="AX470" s="1100"/>
      <c r="AY470" s="1062"/>
      <c r="AZ470" s="633"/>
      <c r="BA470" s="646"/>
      <c r="BB470" s="646"/>
      <c r="BC470" s="629"/>
      <c r="BD470" s="729"/>
      <c r="BE470" s="729"/>
      <c r="BF470" s="627"/>
      <c r="BG470" s="626">
        <f>IF(BH470=0,0,7)</f>
        <v>0</v>
      </c>
      <c r="BH470" s="633">
        <f t="shared" si="16"/>
        <v>0</v>
      </c>
      <c r="BI470" s="646"/>
      <c r="BJ470" s="646"/>
      <c r="BK470" s="629"/>
      <c r="BL470" s="729">
        <f t="shared" si="17"/>
        <v>0</v>
      </c>
      <c r="BM470" s="729">
        <f t="shared" si="18"/>
        <v>0</v>
      </c>
      <c r="BN470" s="1096">
        <f t="shared" si="19"/>
        <v>0</v>
      </c>
      <c r="BO470" s="1096">
        <f t="shared" si="20"/>
        <v>0</v>
      </c>
      <c r="BP470" s="626">
        <f t="shared" si="21"/>
        <v>0</v>
      </c>
    </row>
    <row r="471" spans="1:68" hidden="1" x14ac:dyDescent="0.35">
      <c r="A471" s="988">
        <f t="shared" si="12"/>
        <v>1</v>
      </c>
      <c r="B471" s="195">
        <f t="shared" si="13"/>
        <v>1</v>
      </c>
      <c r="C471" s="195" t="s">
        <v>35</v>
      </c>
      <c r="D471" s="729">
        <v>11</v>
      </c>
      <c r="E471" s="633"/>
      <c r="F471" s="646"/>
      <c r="G471" s="629"/>
      <c r="H471" s="626"/>
      <c r="I471" s="195">
        <f t="shared" si="14"/>
        <v>0</v>
      </c>
      <c r="J471" s="627">
        <f t="shared" si="15"/>
        <v>0</v>
      </c>
      <c r="K471" s="195"/>
      <c r="L471" s="195"/>
      <c r="M471" s="627"/>
      <c r="N471" s="627"/>
      <c r="O471" s="627"/>
      <c r="P471" s="627"/>
      <c r="Q471" s="719"/>
      <c r="R471" s="627"/>
      <c r="S471" s="627"/>
      <c r="T471" s="627"/>
      <c r="U471" s="627"/>
      <c r="V471" s="627"/>
      <c r="W471" s="988" t="s">
        <v>367</v>
      </c>
      <c r="X471" s="627"/>
      <c r="Y471" s="630" t="s">
        <v>368</v>
      </c>
      <c r="Z471" s="660">
        <f>IF($C$105+$C$111&gt;100,0,(Z466*$I$15)*$X$465)</f>
        <v>10.7811875</v>
      </c>
      <c r="AA471" s="1008">
        <f>IF($C$105+$C$111&gt;100,0,(AA466*$I$15)*X465)</f>
        <v>14.647906250000002</v>
      </c>
      <c r="AB471" s="660">
        <f>IF($C$105+$C$111&gt;100,0,(AB466*$I$15)*X465)</f>
        <v>14.0661875</v>
      </c>
      <c r="AC471" s="1008">
        <f>IF($C$105+$C$111&gt;100,0,(AC466*$I$15)*X465)</f>
        <v>17.932906250000002</v>
      </c>
      <c r="AD471" s="719"/>
      <c r="AE471" s="627"/>
      <c r="AF471" s="627"/>
      <c r="AG471" s="988"/>
      <c r="AH471" s="627"/>
      <c r="AI471" s="627"/>
      <c r="AJ471" s="761"/>
      <c r="AK471" s="761"/>
      <c r="AL471" s="761"/>
      <c r="AM471" s="761"/>
      <c r="AN471" s="719"/>
      <c r="AO471" s="627"/>
      <c r="AP471" s="627"/>
      <c r="AQ471" s="673"/>
      <c r="AR471" s="626"/>
      <c r="AS471" s="626"/>
      <c r="AT471" s="1043"/>
      <c r="AU471" s="1062"/>
      <c r="AV471" s="1062"/>
      <c r="AW471" s="1062"/>
      <c r="AX471" s="1100"/>
      <c r="AY471" s="1062"/>
      <c r="AZ471" s="633"/>
      <c r="BA471" s="646"/>
      <c r="BB471" s="646"/>
      <c r="BC471" s="629"/>
      <c r="BD471" s="729"/>
      <c r="BE471" s="729"/>
      <c r="BF471" s="627"/>
      <c r="BG471" s="626">
        <f>IF(BH471=0,0,8)</f>
        <v>0</v>
      </c>
      <c r="BH471" s="633">
        <f t="shared" si="16"/>
        <v>0</v>
      </c>
      <c r="BI471" s="646"/>
      <c r="BJ471" s="646"/>
      <c r="BK471" s="629"/>
      <c r="BL471" s="729">
        <f t="shared" si="17"/>
        <v>0</v>
      </c>
      <c r="BM471" s="729">
        <f t="shared" si="18"/>
        <v>0</v>
      </c>
      <c r="BN471" s="1096">
        <f t="shared" si="19"/>
        <v>0</v>
      </c>
      <c r="BO471" s="1096">
        <f t="shared" si="20"/>
        <v>0</v>
      </c>
      <c r="BP471" s="626">
        <f t="shared" si="21"/>
        <v>0</v>
      </c>
    </row>
    <row r="472" spans="1:68" hidden="1" x14ac:dyDescent="0.35">
      <c r="A472" s="988">
        <f t="shared" si="12"/>
        <v>1</v>
      </c>
      <c r="B472" s="195">
        <f t="shared" si="13"/>
        <v>1</v>
      </c>
      <c r="C472" s="195" t="s">
        <v>35</v>
      </c>
      <c r="D472" s="729">
        <v>12</v>
      </c>
      <c r="E472" s="633"/>
      <c r="F472" s="646"/>
      <c r="G472" s="629"/>
      <c r="H472" s="626"/>
      <c r="I472" s="195">
        <f t="shared" si="14"/>
        <v>0</v>
      </c>
      <c r="J472" s="627">
        <f t="shared" si="15"/>
        <v>0</v>
      </c>
      <c r="K472" s="195"/>
      <c r="L472" s="195"/>
      <c r="M472" s="627"/>
      <c r="N472" s="627"/>
      <c r="O472" s="627"/>
      <c r="P472" s="627"/>
      <c r="Q472" s="719"/>
      <c r="R472" s="627"/>
      <c r="S472" s="627"/>
      <c r="T472" s="627"/>
      <c r="U472" s="627"/>
      <c r="V472" s="627"/>
      <c r="W472" s="988" t="s">
        <v>369</v>
      </c>
      <c r="X472" s="627"/>
      <c r="Y472" s="630" t="s">
        <v>368</v>
      </c>
      <c r="Z472" s="660">
        <f>IF($C$105+$C$111&gt;100,Z469*$X$465,0)</f>
        <v>0</v>
      </c>
      <c r="AA472" s="1008">
        <f>IF($C$105+$C$111&gt;100,AA469*X465,0)</f>
        <v>0</v>
      </c>
      <c r="AB472" s="660">
        <f>IF($C$105+$C$111&gt;100,AB469*X465,0)</f>
        <v>0</v>
      </c>
      <c r="AC472" s="1008">
        <f>IF($C$105+$C$111&gt;100,AC469*X465,0)</f>
        <v>0</v>
      </c>
      <c r="AD472" s="719"/>
      <c r="AE472" s="627"/>
      <c r="AF472" s="627"/>
      <c r="AG472" s="988"/>
      <c r="AH472" s="627"/>
      <c r="AI472" s="627"/>
      <c r="AJ472" s="761"/>
      <c r="AK472" s="761"/>
      <c r="AL472" s="761"/>
      <c r="AM472" s="761"/>
      <c r="AN472" s="719"/>
      <c r="AO472" s="627"/>
      <c r="AP472" s="627">
        <f t="shared" ref="AP472:AP485" si="22">IF(AY472=0,1,0)</f>
        <v>1</v>
      </c>
      <c r="AQ472" s="673" t="str">
        <f>IF(A466=1,"X",IF($I$15&gt;12,0,IF(AY472=0,0,IF(AP469=1,"x",IF(AY472&gt;=AY469,0,"X")))))</f>
        <v>X</v>
      </c>
      <c r="AR472" s="626">
        <f t="shared" ref="AR472:AR475" si="23">D466</f>
        <v>6</v>
      </c>
      <c r="AS472" s="626">
        <f t="shared" ref="AS472:AS475" si="24">H466</f>
        <v>0</v>
      </c>
      <c r="AT472" s="1043">
        <f t="shared" ref="AT472:AT477" si="25">IF($E$15=0,0,IF($C$60="X",ROUNDDOWN(AS472/($AJ$477+$AJ$482),0),IF($E$60="X",ROUNDDOWN(AS472/($AL$477+$AL$482),0),0)))</f>
        <v>0</v>
      </c>
      <c r="AU472" s="1062">
        <f t="shared" ref="AU472:AU477" si="26">IF($E$15=0,0,ROUNDDOWN(AS472/($AK$477+$AK$482),0))</f>
        <v>0</v>
      </c>
      <c r="AV472" s="1062">
        <f t="shared" ref="AV472:AV485" si="27">IF(AS472=0,0,$G$91+$G$93)</f>
        <v>0</v>
      </c>
      <c r="AW472" s="1062">
        <f t="shared" ref="AW472:AW485" si="28">IF(AU472-AV472&lt;0,0,AU472-AV472)</f>
        <v>0</v>
      </c>
      <c r="AX472" s="1100">
        <f t="shared" ref="AX472:AX485" si="29">IF(AU472-AV472&lt;0,AU472,AV472+AW472)</f>
        <v>0</v>
      </c>
      <c r="AY472" s="1062">
        <f t="shared" ref="AY472:AY485" si="30">IF(AU472=0,0,ROUNDUP(IF(AV472&lt;=AU472,((($G$91+$G$93+$G$97)-(AW472))/AT472)+1,($G$97/AT472)+(AV472/AU472)),0))</f>
        <v>0</v>
      </c>
      <c r="AZ472" s="633">
        <f t="shared" ref="AZ472:AZ475" si="31">E466</f>
        <v>0</v>
      </c>
      <c r="BA472" s="646"/>
      <c r="BB472" s="646"/>
      <c r="BC472" s="629"/>
      <c r="BD472" s="729">
        <f t="shared" ref="BD472:BD485" si="32">IF(AQ472="x",AS472,0)</f>
        <v>0</v>
      </c>
      <c r="BE472" s="729">
        <f t="shared" ref="BE472:BE485" si="33">IF(BD472=0,0,"ton")</f>
        <v>0</v>
      </c>
      <c r="BF472" s="627"/>
      <c r="BG472" s="626">
        <f>IF(BH472=0,0,9)</f>
        <v>0</v>
      </c>
      <c r="BH472" s="633">
        <f t="shared" si="16"/>
        <v>0</v>
      </c>
      <c r="BI472" s="646"/>
      <c r="BJ472" s="646"/>
      <c r="BK472" s="629"/>
      <c r="BL472" s="729">
        <f t="shared" si="17"/>
        <v>0</v>
      </c>
      <c r="BM472" s="729">
        <f t="shared" si="18"/>
        <v>0</v>
      </c>
      <c r="BN472" s="1096">
        <f t="shared" si="19"/>
        <v>0</v>
      </c>
      <c r="BO472" s="1096">
        <f t="shared" si="20"/>
        <v>0</v>
      </c>
      <c r="BP472" s="626">
        <f t="shared" si="21"/>
        <v>0</v>
      </c>
    </row>
    <row r="473" spans="1:68" hidden="1" x14ac:dyDescent="0.35">
      <c r="A473" s="988">
        <f t="shared" si="12"/>
        <v>1</v>
      </c>
      <c r="B473" s="195">
        <f t="shared" si="13"/>
        <v>1</v>
      </c>
      <c r="C473" s="195" t="s">
        <v>35</v>
      </c>
      <c r="D473" s="729">
        <v>13</v>
      </c>
      <c r="E473" s="633"/>
      <c r="F473" s="646"/>
      <c r="G473" s="629"/>
      <c r="H473" s="626"/>
      <c r="I473" s="195">
        <f t="shared" si="14"/>
        <v>0</v>
      </c>
      <c r="J473" s="627">
        <f t="shared" si="15"/>
        <v>0</v>
      </c>
      <c r="K473" s="195"/>
      <c r="L473" s="195"/>
      <c r="M473" s="627"/>
      <c r="N473" s="627"/>
      <c r="O473" s="627"/>
      <c r="P473" s="627"/>
      <c r="Q473" s="719"/>
      <c r="R473" s="627"/>
      <c r="S473" s="627"/>
      <c r="T473" s="627"/>
      <c r="U473" s="627"/>
      <c r="V473" s="627"/>
      <c r="W473" s="988"/>
      <c r="X473" s="627"/>
      <c r="Y473" s="627"/>
      <c r="Z473" s="627"/>
      <c r="AA473" s="627"/>
      <c r="AB473" s="627"/>
      <c r="AC473" s="627"/>
      <c r="AD473" s="719"/>
      <c r="AE473" s="627"/>
      <c r="AF473" s="627"/>
      <c r="AG473" s="988" t="s">
        <v>367</v>
      </c>
      <c r="AH473" s="627"/>
      <c r="AI473" s="630" t="s">
        <v>370</v>
      </c>
      <c r="AJ473" s="660">
        <f>IF($C$105+$C$111&gt;100,0,(AJ466*$I$15))</f>
        <v>8.7928499999999996</v>
      </c>
      <c r="AK473" s="1008">
        <f>IF($C$105+$C$111&gt;100,0,(AK466*$I$15))</f>
        <v>11.886225000000001</v>
      </c>
      <c r="AL473" s="660">
        <f>IF($C$105+$C$111&gt;100,0,(AL466*$I$15))</f>
        <v>11.420850000000002</v>
      </c>
      <c r="AM473" s="1008">
        <f>IF($C$105+$C$111&gt;100,0,(AM466*$I$15))</f>
        <v>14.514225000000001</v>
      </c>
      <c r="AN473" s="719"/>
      <c r="AO473" s="627"/>
      <c r="AP473" s="627">
        <f t="shared" si="22"/>
        <v>1</v>
      </c>
      <c r="AQ473" s="673" t="str">
        <f t="shared" ref="AQ473:AQ475" si="34">IF(A467=1,"X",IF($I$15&gt;12,0,IF(AY473=0,0,IF(AP472=1,"x",IF(AY473&gt;=AY472,0,"X")))))</f>
        <v>X</v>
      </c>
      <c r="AR473" s="626">
        <f t="shared" si="23"/>
        <v>7</v>
      </c>
      <c r="AS473" s="626">
        <f t="shared" si="24"/>
        <v>0</v>
      </c>
      <c r="AT473" s="1043">
        <f t="shared" si="25"/>
        <v>0</v>
      </c>
      <c r="AU473" s="1062">
        <f t="shared" si="26"/>
        <v>0</v>
      </c>
      <c r="AV473" s="1062">
        <f t="shared" si="27"/>
        <v>0</v>
      </c>
      <c r="AW473" s="1062">
        <f t="shared" si="28"/>
        <v>0</v>
      </c>
      <c r="AX473" s="1100">
        <f t="shared" si="29"/>
        <v>0</v>
      </c>
      <c r="AY473" s="1062">
        <f t="shared" si="30"/>
        <v>0</v>
      </c>
      <c r="AZ473" s="633">
        <f t="shared" si="31"/>
        <v>0</v>
      </c>
      <c r="BA473" s="646"/>
      <c r="BB473" s="646"/>
      <c r="BC473" s="629"/>
      <c r="BD473" s="729">
        <f t="shared" si="32"/>
        <v>0</v>
      </c>
      <c r="BE473" s="729">
        <f t="shared" si="33"/>
        <v>0</v>
      </c>
      <c r="BF473" s="627"/>
      <c r="BG473" s="626">
        <f>IF(BH473=0,0,10)</f>
        <v>0</v>
      </c>
      <c r="BH473" s="633">
        <f>AZ476</f>
        <v>0</v>
      </c>
      <c r="BI473" s="646"/>
      <c r="BJ473" s="646"/>
      <c r="BK473" s="629"/>
      <c r="BL473" s="729">
        <f t="shared" si="17"/>
        <v>0</v>
      </c>
      <c r="BM473" s="729">
        <f t="shared" si="18"/>
        <v>0</v>
      </c>
      <c r="BN473" s="1096">
        <f>AY476</f>
        <v>0</v>
      </c>
      <c r="BO473" s="1096">
        <f>IF(BN473=0,0,AT476)</f>
        <v>0</v>
      </c>
      <c r="BP473" s="626">
        <f t="shared" si="21"/>
        <v>0</v>
      </c>
    </row>
    <row r="474" spans="1:68" hidden="1" x14ac:dyDescent="0.35">
      <c r="A474" s="988">
        <f t="shared" si="12"/>
        <v>1</v>
      </c>
      <c r="B474" s="195">
        <f t="shared" si="13"/>
        <v>1</v>
      </c>
      <c r="C474" s="195" t="s">
        <v>35</v>
      </c>
      <c r="D474" s="729">
        <v>14</v>
      </c>
      <c r="E474" s="633"/>
      <c r="F474" s="646"/>
      <c r="G474" s="629"/>
      <c r="H474" s="626"/>
      <c r="I474" s="195">
        <f t="shared" si="14"/>
        <v>0</v>
      </c>
      <c r="J474" s="627">
        <f t="shared" si="15"/>
        <v>0</v>
      </c>
      <c r="K474" s="195"/>
      <c r="L474" s="195"/>
      <c r="M474" s="627"/>
      <c r="N474" s="627"/>
      <c r="O474" s="627"/>
      <c r="P474" s="627"/>
      <c r="Q474" s="719"/>
      <c r="R474" s="627"/>
      <c r="S474" s="627"/>
      <c r="T474" s="627"/>
      <c r="U474" s="627"/>
      <c r="V474" s="627"/>
      <c r="W474" s="988"/>
      <c r="X474" s="627"/>
      <c r="Y474" s="627"/>
      <c r="Z474" s="627"/>
      <c r="AA474" s="627"/>
      <c r="AB474" s="627"/>
      <c r="AC474" s="627"/>
      <c r="AD474" s="719"/>
      <c r="AE474" s="627"/>
      <c r="AF474" s="627"/>
      <c r="AG474" s="988" t="s">
        <v>369</v>
      </c>
      <c r="AH474" s="627"/>
      <c r="AI474" s="630" t="s">
        <v>370</v>
      </c>
      <c r="AJ474" s="660">
        <f>IF($C$105+$C$111&gt;100,AJ469,0)</f>
        <v>0</v>
      </c>
      <c r="AK474" s="1008">
        <f>IF($C$105+$C$111&gt;100,AK469,0)</f>
        <v>0</v>
      </c>
      <c r="AL474" s="660">
        <f>IF($C$105+$C$111&gt;100,AL469,0)</f>
        <v>0</v>
      </c>
      <c r="AM474" s="1008">
        <f>IF($C$105+$C$111&gt;100,AM469,0)</f>
        <v>0</v>
      </c>
      <c r="AN474" s="719"/>
      <c r="AO474" s="627"/>
      <c r="AP474" s="627">
        <f t="shared" si="22"/>
        <v>1</v>
      </c>
      <c r="AQ474" s="673" t="str">
        <f t="shared" si="34"/>
        <v>X</v>
      </c>
      <c r="AR474" s="626">
        <f t="shared" si="23"/>
        <v>8</v>
      </c>
      <c r="AS474" s="626">
        <f t="shared" si="24"/>
        <v>0</v>
      </c>
      <c r="AT474" s="1043">
        <f t="shared" si="25"/>
        <v>0</v>
      </c>
      <c r="AU474" s="1062">
        <f t="shared" si="26"/>
        <v>0</v>
      </c>
      <c r="AV474" s="1062">
        <f t="shared" si="27"/>
        <v>0</v>
      </c>
      <c r="AW474" s="1062">
        <f t="shared" si="28"/>
        <v>0</v>
      </c>
      <c r="AX474" s="1100">
        <f t="shared" si="29"/>
        <v>0</v>
      </c>
      <c r="AY474" s="1062">
        <f t="shared" si="30"/>
        <v>0</v>
      </c>
      <c r="AZ474" s="633">
        <f t="shared" si="31"/>
        <v>0</v>
      </c>
      <c r="BA474" s="646"/>
      <c r="BB474" s="646"/>
      <c r="BC474" s="629"/>
      <c r="BD474" s="729">
        <f t="shared" si="32"/>
        <v>0</v>
      </c>
      <c r="BE474" s="729">
        <f t="shared" si="33"/>
        <v>0</v>
      </c>
      <c r="BF474" s="627"/>
      <c r="BG474" s="626">
        <f>IF(BH474=0,0,11)</f>
        <v>0</v>
      </c>
      <c r="BH474" s="633">
        <f>AZ477</f>
        <v>0</v>
      </c>
      <c r="BI474" s="646"/>
      <c r="BJ474" s="646"/>
      <c r="BK474" s="629"/>
      <c r="BL474" s="729">
        <f t="shared" si="17"/>
        <v>0</v>
      </c>
      <c r="BM474" s="729">
        <f t="shared" si="18"/>
        <v>0</v>
      </c>
      <c r="BN474" s="1096">
        <f>AY477</f>
        <v>0</v>
      </c>
      <c r="BO474" s="1096">
        <f>IF(BN474=0,0,AT477)</f>
        <v>0</v>
      </c>
      <c r="BP474" s="626">
        <f t="shared" si="21"/>
        <v>0</v>
      </c>
    </row>
    <row r="475" spans="1:68" hidden="1" x14ac:dyDescent="0.35">
      <c r="A475" s="988">
        <f t="shared" si="12"/>
        <v>1</v>
      </c>
      <c r="B475" s="195">
        <f t="shared" si="13"/>
        <v>1</v>
      </c>
      <c r="C475" s="195" t="s">
        <v>35</v>
      </c>
      <c r="D475" s="729">
        <v>15</v>
      </c>
      <c r="E475" s="633"/>
      <c r="F475" s="646"/>
      <c r="G475" s="629"/>
      <c r="H475" s="626"/>
      <c r="I475" s="195"/>
      <c r="J475" s="627">
        <f>IF(H474=0,0,IF(H474&lt;=H475,1,0))</f>
        <v>0</v>
      </c>
      <c r="K475" s="195"/>
      <c r="L475" s="195"/>
      <c r="M475" s="627"/>
      <c r="N475" s="627"/>
      <c r="O475" s="627"/>
      <c r="P475" s="627"/>
      <c r="Q475" s="719"/>
      <c r="R475" s="627"/>
      <c r="S475" s="627"/>
      <c r="T475" s="627"/>
      <c r="U475" s="627"/>
      <c r="V475" s="627"/>
      <c r="W475" s="988"/>
      <c r="X475" s="627"/>
      <c r="Y475" s="627"/>
      <c r="Z475" s="634" t="s">
        <v>371</v>
      </c>
      <c r="AA475" s="634" t="s">
        <v>372</v>
      </c>
      <c r="AB475" s="627" t="s">
        <v>373</v>
      </c>
      <c r="AC475" s="627" t="s">
        <v>374</v>
      </c>
      <c r="AD475" s="719" t="s">
        <v>375</v>
      </c>
      <c r="AE475" s="627"/>
      <c r="AF475" s="627"/>
      <c r="AG475" s="988"/>
      <c r="AH475" s="627"/>
      <c r="AI475" s="627"/>
      <c r="AJ475" s="627"/>
      <c r="AK475" s="627"/>
      <c r="AL475" s="627"/>
      <c r="AM475" s="627"/>
      <c r="AN475" s="719"/>
      <c r="AO475" s="627"/>
      <c r="AP475" s="627">
        <f t="shared" si="22"/>
        <v>1</v>
      </c>
      <c r="AQ475" s="673" t="str">
        <f t="shared" si="34"/>
        <v>X</v>
      </c>
      <c r="AR475" s="626">
        <f t="shared" si="23"/>
        <v>9</v>
      </c>
      <c r="AS475" s="626">
        <f t="shared" si="24"/>
        <v>0</v>
      </c>
      <c r="AT475" s="1043">
        <f t="shared" si="25"/>
        <v>0</v>
      </c>
      <c r="AU475" s="1062">
        <f t="shared" si="26"/>
        <v>0</v>
      </c>
      <c r="AV475" s="1062">
        <f t="shared" si="27"/>
        <v>0</v>
      </c>
      <c r="AW475" s="1062">
        <f t="shared" si="28"/>
        <v>0</v>
      </c>
      <c r="AX475" s="1100">
        <f t="shared" si="29"/>
        <v>0</v>
      </c>
      <c r="AY475" s="1062">
        <f t="shared" si="30"/>
        <v>0</v>
      </c>
      <c r="AZ475" s="633">
        <f t="shared" si="31"/>
        <v>0</v>
      </c>
      <c r="BA475" s="646"/>
      <c r="BB475" s="646"/>
      <c r="BC475" s="629"/>
      <c r="BD475" s="729">
        <f t="shared" si="32"/>
        <v>0</v>
      </c>
      <c r="BE475" s="729">
        <f t="shared" si="33"/>
        <v>0</v>
      </c>
      <c r="BF475" s="627"/>
      <c r="BG475" s="626">
        <f>IF(BH475=0,0,12)</f>
        <v>0</v>
      </c>
      <c r="BH475" s="633">
        <f>AZ482</f>
        <v>0</v>
      </c>
      <c r="BI475" s="646"/>
      <c r="BJ475" s="646"/>
      <c r="BK475" s="629"/>
      <c r="BL475" s="729">
        <f t="shared" si="17"/>
        <v>0</v>
      </c>
      <c r="BM475" s="729">
        <f t="shared" si="18"/>
        <v>0</v>
      </c>
      <c r="BN475" s="1096">
        <f>AY482</f>
        <v>0</v>
      </c>
      <c r="BO475" s="1096">
        <f>IF(BN475=0,0,AT482)</f>
        <v>0</v>
      </c>
      <c r="BP475" s="626">
        <f t="shared" si="21"/>
        <v>0</v>
      </c>
    </row>
    <row r="476" spans="1:68" x14ac:dyDescent="0.35">
      <c r="A476" s="988"/>
      <c r="B476" s="627"/>
      <c r="C476" s="627"/>
      <c r="D476" s="627"/>
      <c r="E476" s="627"/>
      <c r="F476" s="627"/>
      <c r="G476" s="627"/>
      <c r="H476" s="627"/>
      <c r="I476" s="627"/>
      <c r="J476" s="195"/>
      <c r="K476" s="195"/>
      <c r="L476" s="195"/>
      <c r="M476" s="627"/>
      <c r="N476" s="627"/>
      <c r="O476" s="627"/>
      <c r="P476" s="627"/>
      <c r="Q476" s="719"/>
      <c r="R476" s="627"/>
      <c r="S476" s="627"/>
      <c r="T476" s="627"/>
      <c r="U476" s="627"/>
      <c r="V476" s="627"/>
      <c r="W476" s="988" t="s">
        <v>376</v>
      </c>
      <c r="X476" s="627">
        <f>IF($C$105+$C$111&gt;100,1000,1)</f>
        <v>1</v>
      </c>
      <c r="Y476" s="627" t="s">
        <v>377</v>
      </c>
      <c r="Z476" s="627">
        <v>4</v>
      </c>
      <c r="AA476" s="627">
        <v>30</v>
      </c>
      <c r="AB476" s="627"/>
      <c r="AC476" s="630">
        <f>IF(X476=1000,0,AA476)</f>
        <v>30</v>
      </c>
      <c r="AD476" s="987"/>
      <c r="AE476" s="627"/>
      <c r="AF476" s="627"/>
      <c r="AG476" s="633" t="s">
        <v>378</v>
      </c>
      <c r="AH476" s="646"/>
      <c r="AI476" s="646"/>
      <c r="AJ476" s="629" t="s">
        <v>130</v>
      </c>
      <c r="AK476" s="627" t="s">
        <v>379</v>
      </c>
      <c r="AL476" s="627"/>
      <c r="AM476" s="627"/>
      <c r="AN476" s="719"/>
      <c r="AO476" s="627"/>
      <c r="AP476" s="627">
        <f t="shared" si="22"/>
        <v>1</v>
      </c>
      <c r="AQ476" s="673" t="str">
        <f>IF(A470=1,"X",IF($I$15&gt;12,0,IF(AY476=0,0,IF(AP475=1,"x",IF(AY476&gt;=AY475,0,"X")))))</f>
        <v>X</v>
      </c>
      <c r="AR476" s="626">
        <f>D470</f>
        <v>10</v>
      </c>
      <c r="AS476" s="626">
        <f>H470</f>
        <v>0</v>
      </c>
      <c r="AT476" s="1043">
        <f t="shared" si="25"/>
        <v>0</v>
      </c>
      <c r="AU476" s="1062">
        <f t="shared" si="26"/>
        <v>0</v>
      </c>
      <c r="AV476" s="1062">
        <f t="shared" si="27"/>
        <v>0</v>
      </c>
      <c r="AW476" s="1062">
        <f t="shared" si="28"/>
        <v>0</v>
      </c>
      <c r="AX476" s="1100">
        <f t="shared" si="29"/>
        <v>0</v>
      </c>
      <c r="AY476" s="1062">
        <f t="shared" si="30"/>
        <v>0</v>
      </c>
      <c r="AZ476" s="633">
        <f>E470</f>
        <v>0</v>
      </c>
      <c r="BA476" s="646"/>
      <c r="BB476" s="646"/>
      <c r="BC476" s="629"/>
      <c r="BD476" s="729">
        <f t="shared" si="32"/>
        <v>0</v>
      </c>
      <c r="BE476" s="729">
        <f t="shared" si="33"/>
        <v>0</v>
      </c>
      <c r="BF476" s="627"/>
      <c r="BG476" s="626">
        <f>IF(BH476=0,0,13)</f>
        <v>0</v>
      </c>
      <c r="BH476" s="633">
        <f>AZ483</f>
        <v>0</v>
      </c>
      <c r="BI476" s="646"/>
      <c r="BJ476" s="646"/>
      <c r="BK476" s="629"/>
      <c r="BL476" s="729">
        <f>H473</f>
        <v>0</v>
      </c>
      <c r="BM476" s="729">
        <f t="shared" si="18"/>
        <v>0</v>
      </c>
      <c r="BN476" s="1096">
        <f>AY483</f>
        <v>0</v>
      </c>
      <c r="BO476" s="1096">
        <f>IF(BN476=0,0,AT483)</f>
        <v>0</v>
      </c>
      <c r="BP476" s="626">
        <f t="shared" si="21"/>
        <v>0</v>
      </c>
    </row>
    <row r="477" spans="1:68" hidden="1" x14ac:dyDescent="0.35">
      <c r="A477" s="637"/>
      <c r="B477" s="749"/>
      <c r="C477" s="749"/>
      <c r="D477" s="749"/>
      <c r="E477" s="749"/>
      <c r="F477" s="749"/>
      <c r="G477" s="749"/>
      <c r="H477" s="749"/>
      <c r="I477" s="749"/>
      <c r="J477" s="198"/>
      <c r="K477" s="198"/>
      <c r="L477" s="198"/>
      <c r="M477" s="749"/>
      <c r="N477" s="749"/>
      <c r="O477" s="749"/>
      <c r="P477" s="749"/>
      <c r="Q477" s="748"/>
      <c r="R477" s="627"/>
      <c r="S477" s="627"/>
      <c r="T477" s="627"/>
      <c r="U477" s="627"/>
      <c r="V477" s="627"/>
      <c r="W477" s="988" t="s">
        <v>376</v>
      </c>
      <c r="X477" s="627">
        <f>IF($C$105+$C$111&gt;100,1000,1)</f>
        <v>1</v>
      </c>
      <c r="Y477" s="627" t="s">
        <v>380</v>
      </c>
      <c r="Z477" s="627">
        <v>4</v>
      </c>
      <c r="AA477" s="627">
        <v>40</v>
      </c>
      <c r="AB477" s="627"/>
      <c r="AC477" s="630">
        <f>IF(X477=1000,AA477,0)</f>
        <v>0</v>
      </c>
      <c r="AD477" s="719"/>
      <c r="AE477" s="627"/>
      <c r="AF477" s="627"/>
      <c r="AG477" s="633" t="s">
        <v>367</v>
      </c>
      <c r="AH477" s="629"/>
      <c r="AI477" s="630" t="s">
        <v>381</v>
      </c>
      <c r="AJ477" s="660">
        <f t="shared" ref="AJ477:AM477" si="35">AJ473*(1-$AI$476/100)</f>
        <v>8.7928499999999996</v>
      </c>
      <c r="AK477" s="764">
        <f t="shared" si="35"/>
        <v>11.886225000000001</v>
      </c>
      <c r="AL477" s="764">
        <f t="shared" si="35"/>
        <v>11.420850000000002</v>
      </c>
      <c r="AM477" s="764">
        <f t="shared" si="35"/>
        <v>14.514225000000001</v>
      </c>
      <c r="AN477" s="719"/>
      <c r="AO477" s="627"/>
      <c r="AP477" s="627">
        <f t="shared" si="22"/>
        <v>1</v>
      </c>
      <c r="AQ477" s="673" t="str">
        <f>IF(A471=1,"X",IF($I$15&gt;12,0,IF(AY477=0,0,IF(AP476=1,"x",IF(AY477&gt;=AY476,0,"X")))))</f>
        <v>X</v>
      </c>
      <c r="AR477" s="626">
        <f>D471</f>
        <v>11</v>
      </c>
      <c r="AS477" s="626">
        <f>H471</f>
        <v>0</v>
      </c>
      <c r="AT477" s="1043">
        <f t="shared" si="25"/>
        <v>0</v>
      </c>
      <c r="AU477" s="1062">
        <f t="shared" si="26"/>
        <v>0</v>
      </c>
      <c r="AV477" s="1062">
        <f t="shared" si="27"/>
        <v>0</v>
      </c>
      <c r="AW477" s="1062">
        <f t="shared" si="28"/>
        <v>0</v>
      </c>
      <c r="AX477" s="1100">
        <f t="shared" si="29"/>
        <v>0</v>
      </c>
      <c r="AY477" s="1062">
        <f t="shared" si="30"/>
        <v>0</v>
      </c>
      <c r="AZ477" s="633">
        <f>E471</f>
        <v>0</v>
      </c>
      <c r="BA477" s="646"/>
      <c r="BB477" s="646"/>
      <c r="BC477" s="629"/>
      <c r="BD477" s="729">
        <f t="shared" si="32"/>
        <v>0</v>
      </c>
      <c r="BE477" s="729">
        <f t="shared" si="33"/>
        <v>0</v>
      </c>
      <c r="BF477" s="627"/>
      <c r="BG477" s="627"/>
      <c r="BH477" s="627"/>
      <c r="BI477" s="627"/>
      <c r="BJ477" s="627"/>
      <c r="BK477" s="627"/>
      <c r="BL477" s="627"/>
      <c r="BM477" s="627"/>
      <c r="BN477" s="627"/>
      <c r="BO477" s="627"/>
      <c r="BP477" s="627"/>
    </row>
    <row r="478" spans="1:68" x14ac:dyDescent="0.35">
      <c r="A478" s="988"/>
      <c r="B478" s="627"/>
      <c r="C478" s="627" t="s">
        <v>382</v>
      </c>
      <c r="D478" s="627"/>
      <c r="E478" s="627"/>
      <c r="F478" s="627"/>
      <c r="G478" s="626"/>
      <c r="H478" s="627" t="s">
        <v>52</v>
      </c>
      <c r="I478" s="626" t="s">
        <v>35</v>
      </c>
      <c r="J478" s="627" t="s">
        <v>53</v>
      </c>
      <c r="K478" s="195"/>
      <c r="L478" s="195"/>
      <c r="M478" s="627"/>
      <c r="N478" s="627"/>
      <c r="O478" s="627"/>
      <c r="P478" s="627"/>
      <c r="Q478" s="719"/>
      <c r="R478" s="627"/>
      <c r="S478" s="627"/>
      <c r="T478" s="627"/>
      <c r="U478" s="627"/>
      <c r="V478" s="627"/>
      <c r="W478" s="988"/>
      <c r="X478" s="627"/>
      <c r="Y478" s="627"/>
      <c r="Z478" s="627"/>
      <c r="AA478" s="627"/>
      <c r="AB478" s="627"/>
      <c r="AC478" s="630"/>
      <c r="AD478" s="719"/>
      <c r="AE478" s="627"/>
      <c r="AF478" s="627"/>
      <c r="AG478" s="633"/>
      <c r="AH478" s="629"/>
      <c r="AI478" s="630"/>
      <c r="AJ478" s="660"/>
      <c r="AK478" s="764"/>
      <c r="AL478" s="764"/>
      <c r="AM478" s="764"/>
      <c r="AN478" s="719"/>
      <c r="AO478" s="627"/>
      <c r="AP478" s="627"/>
      <c r="AQ478" s="673"/>
      <c r="AR478" s="626"/>
      <c r="AS478" s="626"/>
      <c r="AT478" s="1043"/>
      <c r="AU478" s="1062"/>
      <c r="AV478" s="1062"/>
      <c r="AW478" s="1062"/>
      <c r="AX478" s="1100"/>
      <c r="AY478" s="1062"/>
      <c r="AZ478" s="633"/>
      <c r="BA478" s="646"/>
      <c r="BB478" s="646"/>
      <c r="BC478" s="629"/>
      <c r="BD478" s="729"/>
      <c r="BE478" s="729"/>
      <c r="BF478" s="627"/>
      <c r="BG478" s="627"/>
      <c r="BH478" s="627"/>
      <c r="BI478" s="627"/>
      <c r="BJ478" s="627"/>
      <c r="BK478" s="627"/>
      <c r="BL478" s="627"/>
      <c r="BM478" s="627"/>
      <c r="BN478" s="627"/>
      <c r="BO478" s="627"/>
      <c r="BP478" s="627"/>
    </row>
    <row r="479" spans="1:68" ht="4.5" customHeight="1" x14ac:dyDescent="0.35">
      <c r="A479" s="988"/>
      <c r="B479" s="627"/>
      <c r="C479" s="627"/>
      <c r="D479" s="627"/>
      <c r="E479" s="627"/>
      <c r="F479" s="627"/>
      <c r="G479" s="627"/>
      <c r="H479" s="627"/>
      <c r="I479" s="627"/>
      <c r="J479" s="627"/>
      <c r="K479" s="627"/>
      <c r="L479" s="627"/>
      <c r="M479" s="627"/>
      <c r="N479" s="627"/>
      <c r="O479" s="627"/>
      <c r="P479" s="627"/>
      <c r="Q479" s="719"/>
      <c r="R479" s="627"/>
      <c r="S479" s="627"/>
      <c r="T479" s="627"/>
      <c r="U479" s="627"/>
      <c r="V479" s="627"/>
      <c r="W479" s="988"/>
      <c r="X479" s="627"/>
      <c r="Y479" s="627"/>
      <c r="Z479" s="627"/>
      <c r="AA479" s="627"/>
      <c r="AB479" s="627"/>
      <c r="AC479" s="630"/>
      <c r="AD479" s="719"/>
      <c r="AE479" s="627"/>
      <c r="AF479" s="627"/>
      <c r="AG479" s="633"/>
      <c r="AH479" s="629"/>
      <c r="AI479" s="630"/>
      <c r="AJ479" s="660"/>
      <c r="AK479" s="764"/>
      <c r="AL479" s="764"/>
      <c r="AM479" s="764"/>
      <c r="AN479" s="719"/>
      <c r="AO479" s="627"/>
      <c r="AP479" s="627"/>
      <c r="AQ479" s="673"/>
      <c r="AR479" s="626"/>
      <c r="AS479" s="626"/>
      <c r="AT479" s="1043"/>
      <c r="AU479" s="1062"/>
      <c r="AV479" s="1062"/>
      <c r="AW479" s="1062"/>
      <c r="AX479" s="1100"/>
      <c r="AY479" s="1062"/>
      <c r="AZ479" s="633"/>
      <c r="BA479" s="646"/>
      <c r="BB479" s="646"/>
      <c r="BC479" s="629"/>
      <c r="BD479" s="729"/>
      <c r="BE479" s="729"/>
      <c r="BF479" s="627"/>
      <c r="BG479" s="627"/>
      <c r="BH479" s="627"/>
      <c r="BI479" s="627"/>
      <c r="BJ479" s="627"/>
      <c r="BK479" s="627"/>
      <c r="BL479" s="627"/>
      <c r="BM479" s="627"/>
      <c r="BN479" s="627"/>
      <c r="BO479" s="627"/>
      <c r="BP479" s="627"/>
    </row>
    <row r="480" spans="1:68" x14ac:dyDescent="0.35">
      <c r="A480" s="988"/>
      <c r="B480" s="627"/>
      <c r="C480" s="627">
        <f>IF(G478="x","QUAL PERCENTUAL ?",0)</f>
        <v>0</v>
      </c>
      <c r="D480" s="627"/>
      <c r="E480" s="660"/>
      <c r="F480" s="627">
        <f>IF(G478="x","%",0)</f>
        <v>0</v>
      </c>
      <c r="G480" s="627"/>
      <c r="H480" s="627"/>
      <c r="I480" s="627"/>
      <c r="J480" s="627"/>
      <c r="K480" s="195"/>
      <c r="L480" s="195"/>
      <c r="M480" s="627"/>
      <c r="N480" s="627"/>
      <c r="O480" s="627"/>
      <c r="P480" s="627"/>
      <c r="Q480" s="719"/>
      <c r="R480" s="627"/>
      <c r="S480" s="627"/>
      <c r="T480" s="627"/>
      <c r="U480" s="627"/>
      <c r="V480" s="627"/>
      <c r="W480" s="988"/>
      <c r="X480" s="627"/>
      <c r="Y480" s="627"/>
      <c r="Z480" s="627"/>
      <c r="AA480" s="627"/>
      <c r="AB480" s="627"/>
      <c r="AC480" s="630"/>
      <c r="AD480" s="719"/>
      <c r="AE480" s="627"/>
      <c r="AF480" s="627"/>
      <c r="AG480" s="633"/>
      <c r="AH480" s="629"/>
      <c r="AI480" s="630"/>
      <c r="AJ480" s="660"/>
      <c r="AK480" s="764"/>
      <c r="AL480" s="764"/>
      <c r="AM480" s="764"/>
      <c r="AN480" s="719"/>
      <c r="AO480" s="627"/>
      <c r="AP480" s="627"/>
      <c r="AQ480" s="673"/>
      <c r="AR480" s="626"/>
      <c r="AS480" s="626"/>
      <c r="AT480" s="1043"/>
      <c r="AU480" s="1062"/>
      <c r="AV480" s="1062"/>
      <c r="AW480" s="1062"/>
      <c r="AX480" s="1100"/>
      <c r="AY480" s="1062"/>
      <c r="AZ480" s="633"/>
      <c r="BA480" s="646"/>
      <c r="BB480" s="646"/>
      <c r="BC480" s="629"/>
      <c r="BD480" s="729"/>
      <c r="BE480" s="729"/>
      <c r="BF480" s="627"/>
      <c r="BG480" s="627"/>
      <c r="BH480" s="627"/>
      <c r="BI480" s="627"/>
      <c r="BJ480" s="627"/>
      <c r="BK480" s="627"/>
      <c r="BL480" s="627"/>
      <c r="BM480" s="627"/>
      <c r="BN480" s="627"/>
      <c r="BO480" s="627"/>
      <c r="BP480" s="627"/>
    </row>
    <row r="481" spans="1:68" x14ac:dyDescent="0.35">
      <c r="A481" s="988"/>
      <c r="B481" s="627"/>
      <c r="C481" s="627"/>
      <c r="D481" s="627"/>
      <c r="E481" s="627"/>
      <c r="F481" s="627"/>
      <c r="G481" s="627"/>
      <c r="H481" s="627"/>
      <c r="I481" s="627"/>
      <c r="J481" s="195"/>
      <c r="K481" s="195"/>
      <c r="L481" s="195"/>
      <c r="M481" s="627"/>
      <c r="N481" s="627"/>
      <c r="O481" s="627"/>
      <c r="P481" s="627"/>
      <c r="Q481" s="719"/>
      <c r="R481" s="627"/>
      <c r="S481" s="627"/>
      <c r="T481" s="627"/>
      <c r="U481" s="627"/>
      <c r="V481" s="627"/>
      <c r="W481" s="988"/>
      <c r="X481" s="627"/>
      <c r="Y481" s="627"/>
      <c r="Z481" s="627"/>
      <c r="AA481" s="627"/>
      <c r="AB481" s="627"/>
      <c r="AC481" s="630"/>
      <c r="AD481" s="719"/>
      <c r="AE481" s="627"/>
      <c r="AF481" s="627"/>
      <c r="AG481" s="633"/>
      <c r="AH481" s="629"/>
      <c r="AI481" s="630"/>
      <c r="AJ481" s="660"/>
      <c r="AK481" s="764"/>
      <c r="AL481" s="764"/>
      <c r="AM481" s="764"/>
      <c r="AN481" s="719"/>
      <c r="AO481" s="627"/>
      <c r="AP481" s="627"/>
      <c r="AQ481" s="673"/>
      <c r="AR481" s="626"/>
      <c r="AS481" s="626"/>
      <c r="AT481" s="1043"/>
      <c r="AU481" s="1062"/>
      <c r="AV481" s="1062"/>
      <c r="AW481" s="1062"/>
      <c r="AX481" s="1100"/>
      <c r="AY481" s="1062"/>
      <c r="AZ481" s="633"/>
      <c r="BA481" s="646"/>
      <c r="BB481" s="646"/>
      <c r="BC481" s="629"/>
      <c r="BD481" s="729"/>
      <c r="BE481" s="729"/>
      <c r="BF481" s="627"/>
      <c r="BG481" s="627"/>
      <c r="BH481" s="627"/>
      <c r="BI481" s="627"/>
      <c r="BJ481" s="627"/>
      <c r="BK481" s="627"/>
      <c r="BL481" s="627"/>
      <c r="BM481" s="627"/>
      <c r="BN481" s="627"/>
      <c r="BO481" s="627"/>
      <c r="BP481" s="627"/>
    </row>
    <row r="482" spans="1:68" x14ac:dyDescent="0.35">
      <c r="A482" s="636"/>
      <c r="B482" s="652"/>
      <c r="C482" s="652"/>
      <c r="D482" s="652"/>
      <c r="E482" s="652"/>
      <c r="F482" s="652"/>
      <c r="G482" s="652"/>
      <c r="H482" s="652"/>
      <c r="I482" s="199"/>
      <c r="J482" s="199"/>
      <c r="K482" s="199"/>
      <c r="L482" s="199"/>
      <c r="M482" s="652"/>
      <c r="N482" s="652"/>
      <c r="O482" s="652"/>
      <c r="P482" s="652"/>
      <c r="Q482" s="987"/>
      <c r="R482" s="627"/>
      <c r="S482" s="627"/>
      <c r="T482" s="627"/>
      <c r="U482" s="627"/>
      <c r="V482" s="627"/>
      <c r="W482" s="988" t="s">
        <v>376</v>
      </c>
      <c r="X482" s="627">
        <f>IF($C$105+$C$111&gt;100,1000,1)</f>
        <v>1</v>
      </c>
      <c r="Y482" s="627" t="s">
        <v>377</v>
      </c>
      <c r="Z482" s="627">
        <v>6</v>
      </c>
      <c r="AA482" s="627">
        <v>50</v>
      </c>
      <c r="AB482" s="627"/>
      <c r="AC482" s="630">
        <f>IF(X482=1000,0,AA482)</f>
        <v>50</v>
      </c>
      <c r="AD482" s="719"/>
      <c r="AE482" s="627"/>
      <c r="AF482" s="627"/>
      <c r="AG482" s="633" t="s">
        <v>369</v>
      </c>
      <c r="AH482" s="629"/>
      <c r="AI482" s="630" t="s">
        <v>381</v>
      </c>
      <c r="AJ482" s="660">
        <f>AJ474*(1-$AI$476/100)</f>
        <v>0</v>
      </c>
      <c r="AK482" s="764">
        <f>AK474*(1-$AI$476/100)</f>
        <v>0</v>
      </c>
      <c r="AL482" s="764">
        <f>AL474*(1-$AI$476/100)</f>
        <v>0</v>
      </c>
      <c r="AM482" s="764">
        <f>AM474*(1-$AI$476/100)</f>
        <v>0</v>
      </c>
      <c r="AN482" s="719"/>
      <c r="AO482" s="627"/>
      <c r="AP482" s="627">
        <f t="shared" si="22"/>
        <v>1</v>
      </c>
      <c r="AQ482" s="673" t="str">
        <f>IF(A472=1,"X",IF($I$15&gt;12,0,IF(AY482=0,0,IF(AP477=1,"x",IF(AY482&gt;=AY477,0,"X")))))</f>
        <v>X</v>
      </c>
      <c r="AR482" s="626">
        <f>D472</f>
        <v>12</v>
      </c>
      <c r="AS482" s="626">
        <f>H472</f>
        <v>0</v>
      </c>
      <c r="AT482" s="1043">
        <f>IF($E$15=0,0,IF($C$60="X",ROUNDDOWN(AS482/($AJ$477+$AJ$482),0),IF($E$60="X",ROUNDDOWN(AS482/($AL$477+$AL$482),0),0)))</f>
        <v>0</v>
      </c>
      <c r="AU482" s="1062">
        <f>IF($E$15=0,0,ROUNDDOWN(AS482/($AK$477+$AK$482),0))</f>
        <v>0</v>
      </c>
      <c r="AV482" s="1062">
        <f t="shared" si="27"/>
        <v>0</v>
      </c>
      <c r="AW482" s="1062">
        <f t="shared" si="28"/>
        <v>0</v>
      </c>
      <c r="AX482" s="1100">
        <f t="shared" si="29"/>
        <v>0</v>
      </c>
      <c r="AY482" s="1062">
        <f t="shared" si="30"/>
        <v>0</v>
      </c>
      <c r="AZ482" s="633">
        <f>E472</f>
        <v>0</v>
      </c>
      <c r="BA482" s="646"/>
      <c r="BB482" s="646"/>
      <c r="BC482" s="629"/>
      <c r="BD482" s="729">
        <f t="shared" si="32"/>
        <v>0</v>
      </c>
      <c r="BE482" s="729">
        <f t="shared" si="33"/>
        <v>0</v>
      </c>
      <c r="BF482" s="627"/>
      <c r="BG482" s="627"/>
      <c r="BH482" s="627"/>
      <c r="BI482" s="627"/>
      <c r="BJ482" s="627"/>
      <c r="BK482" s="627"/>
      <c r="BL482" s="627"/>
      <c r="BM482" s="627"/>
      <c r="BN482" s="627"/>
      <c r="BO482" s="627"/>
      <c r="BP482" s="627"/>
    </row>
    <row r="483" spans="1:68" ht="13.15" hidden="1" x14ac:dyDescent="0.4">
      <c r="A483" s="988"/>
      <c r="B483" s="636"/>
      <c r="C483" s="337" t="s">
        <v>383</v>
      </c>
      <c r="D483" s="652"/>
      <c r="E483" s="652"/>
      <c r="F483" s="652"/>
      <c r="G483" s="652"/>
      <c r="H483" s="652"/>
      <c r="I483" s="652"/>
      <c r="J483" s="652"/>
      <c r="K483" s="652"/>
      <c r="L483" s="652"/>
      <c r="M483" s="652"/>
      <c r="N483" s="652"/>
      <c r="O483" s="987"/>
      <c r="P483" s="627"/>
      <c r="Q483" s="719"/>
      <c r="R483" s="627"/>
      <c r="S483" s="627"/>
      <c r="T483" s="627"/>
      <c r="U483" s="627"/>
      <c r="V483" s="627"/>
      <c r="W483" s="988" t="s">
        <v>376</v>
      </c>
      <c r="X483" s="627">
        <f t="shared" ref="X483:X495" si="36">IF($C$105+$C$111&gt;100,1000,1)</f>
        <v>1</v>
      </c>
      <c r="Y483" s="627" t="s">
        <v>380</v>
      </c>
      <c r="Z483" s="627">
        <v>6</v>
      </c>
      <c r="AA483" s="627">
        <v>60</v>
      </c>
      <c r="AB483" s="627"/>
      <c r="AC483" s="630">
        <f>IF(X483=1000,AA483,0)</f>
        <v>0</v>
      </c>
      <c r="AD483" s="719"/>
      <c r="AE483" s="627"/>
      <c r="AF483" s="627"/>
      <c r="AG483" s="637"/>
      <c r="AH483" s="749"/>
      <c r="AI483" s="749"/>
      <c r="AJ483" s="749"/>
      <c r="AK483" s="749"/>
      <c r="AL483" s="749"/>
      <c r="AM483" s="749"/>
      <c r="AN483" s="748"/>
      <c r="AO483" s="627"/>
      <c r="AP483" s="627">
        <f t="shared" si="22"/>
        <v>1</v>
      </c>
      <c r="AQ483" s="673" t="str">
        <f>IF(A473=1,"X",IF($I$15&gt;12,0,IF(AY483=0,0,IF(AP482=1,"x",IF(AY483&gt;=AY482,0,"X")))))</f>
        <v>X</v>
      </c>
      <c r="AR483" s="626">
        <f>D473</f>
        <v>13</v>
      </c>
      <c r="AS483" s="626">
        <f>H473</f>
        <v>0</v>
      </c>
      <c r="AT483" s="1043">
        <f>IF($E$15=0,0,IF($C$60="X",ROUNDDOWN(AS483/($AJ$477+$AJ$482),0),IF($E$60="X",ROUNDDOWN(AS483/($AL$477+$AL$482),0),0)))</f>
        <v>0</v>
      </c>
      <c r="AU483" s="1062">
        <f>IF($E$15=0,0,ROUNDDOWN(AS483/($AK$477+$AK$482),0))</f>
        <v>0</v>
      </c>
      <c r="AV483" s="1062">
        <f t="shared" si="27"/>
        <v>0</v>
      </c>
      <c r="AW483" s="1062">
        <f t="shared" si="28"/>
        <v>0</v>
      </c>
      <c r="AX483" s="1100">
        <f t="shared" si="29"/>
        <v>0</v>
      </c>
      <c r="AY483" s="1062">
        <f t="shared" si="30"/>
        <v>0</v>
      </c>
      <c r="AZ483" s="633">
        <f>E473</f>
        <v>0</v>
      </c>
      <c r="BA483" s="646"/>
      <c r="BB483" s="646"/>
      <c r="BC483" s="629"/>
      <c r="BD483" s="729">
        <f t="shared" si="32"/>
        <v>0</v>
      </c>
      <c r="BE483" s="729">
        <f t="shared" si="33"/>
        <v>0</v>
      </c>
      <c r="BF483" s="627"/>
      <c r="BG483" s="627"/>
      <c r="BH483" s="627"/>
      <c r="BI483" s="627"/>
      <c r="BJ483" s="627"/>
      <c r="BK483" s="627"/>
      <c r="BL483" s="627"/>
      <c r="BM483" s="627"/>
      <c r="BN483" s="627"/>
      <c r="BO483" s="627"/>
      <c r="BP483" s="627"/>
    </row>
    <row r="484" spans="1:68" hidden="1" x14ac:dyDescent="0.35">
      <c r="A484" s="988"/>
      <c r="B484" s="988"/>
      <c r="C484" s="627" t="s">
        <v>320</v>
      </c>
      <c r="D484" s="627"/>
      <c r="E484" s="1009">
        <f>E453</f>
        <v>1000</v>
      </c>
      <c r="F484" s="627" t="s">
        <v>17</v>
      </c>
      <c r="G484" s="627"/>
      <c r="H484" s="627"/>
      <c r="I484" s="627"/>
      <c r="J484" s="627"/>
      <c r="K484" s="627"/>
      <c r="L484" s="627"/>
      <c r="M484" s="627"/>
      <c r="N484" s="627"/>
      <c r="O484" s="719"/>
      <c r="P484" s="627"/>
      <c r="Q484" s="719"/>
      <c r="R484" s="627"/>
      <c r="S484" s="627"/>
      <c r="T484" s="627"/>
      <c r="U484" s="627"/>
      <c r="V484" s="627"/>
      <c r="W484" s="988" t="s">
        <v>376</v>
      </c>
      <c r="X484" s="627">
        <f t="shared" si="36"/>
        <v>1</v>
      </c>
      <c r="Y484" s="627" t="s">
        <v>377</v>
      </c>
      <c r="Z484" s="627">
        <v>8</v>
      </c>
      <c r="AA484" s="627">
        <v>70</v>
      </c>
      <c r="AB484" s="627"/>
      <c r="AC484" s="630">
        <f>IF(X484=1000,0,AA484)</f>
        <v>70</v>
      </c>
      <c r="AD484" s="719"/>
      <c r="AE484" s="627"/>
      <c r="AF484" s="627"/>
      <c r="AG484" s="627"/>
      <c r="AH484" s="627"/>
      <c r="AI484" s="627"/>
      <c r="AJ484" s="627"/>
      <c r="AK484" s="627"/>
      <c r="AL484" s="627"/>
      <c r="AM484" s="627"/>
      <c r="AN484" s="627"/>
      <c r="AO484" s="627"/>
      <c r="AP484" s="627">
        <f t="shared" si="22"/>
        <v>1</v>
      </c>
      <c r="AQ484" s="673" t="str">
        <f>IF(A474=1,"X",IF($I$15&gt;12,0,IF(AY484=0,0,IF(AP483=1,"x",IF(AY484&gt;=AY483,0,"X")))))</f>
        <v>X</v>
      </c>
      <c r="AR484" s="626">
        <f>D474</f>
        <v>14</v>
      </c>
      <c r="AS484" s="626">
        <f>H474</f>
        <v>0</v>
      </c>
      <c r="AT484" s="1043">
        <f>IF($E$15=0,0,IF($C$60="X",ROUNDDOWN(AS484/($AJ$477+$AJ$482),0),IF($E$60="X",ROUNDDOWN(AS484/($AL$477+$AL$482),0),0)))</f>
        <v>0</v>
      </c>
      <c r="AU484" s="1062">
        <f>IF($E$15=0,0,ROUNDDOWN(AS484/($AK$477+$AK$482),0))</f>
        <v>0</v>
      </c>
      <c r="AV484" s="1062">
        <f t="shared" si="27"/>
        <v>0</v>
      </c>
      <c r="AW484" s="1062">
        <f t="shared" si="28"/>
        <v>0</v>
      </c>
      <c r="AX484" s="1100">
        <f t="shared" si="29"/>
        <v>0</v>
      </c>
      <c r="AY484" s="1062">
        <f t="shared" si="30"/>
        <v>0</v>
      </c>
      <c r="AZ484" s="633">
        <f>E474</f>
        <v>0</v>
      </c>
      <c r="BA484" s="646"/>
      <c r="BB484" s="646"/>
      <c r="BC484" s="629"/>
      <c r="BD484" s="729">
        <f t="shared" si="32"/>
        <v>0</v>
      </c>
      <c r="BE484" s="729">
        <f t="shared" si="33"/>
        <v>0</v>
      </c>
      <c r="BF484" s="627"/>
      <c r="BG484" s="626">
        <f>IF(BH484=0,0,14)</f>
        <v>0</v>
      </c>
      <c r="BH484" s="633">
        <f>AZ484</f>
        <v>0</v>
      </c>
      <c r="BI484" s="646"/>
      <c r="BJ484" s="646"/>
      <c r="BK484" s="629"/>
      <c r="BL484" s="729">
        <f>H474</f>
        <v>0</v>
      </c>
      <c r="BM484" s="729">
        <f>IF(BN484=0,0,"ton")</f>
        <v>0</v>
      </c>
      <c r="BN484" s="1096">
        <f>AY484</f>
        <v>0</v>
      </c>
      <c r="BO484" s="1096">
        <f>IF(BN484=0,0,AT484)</f>
        <v>0</v>
      </c>
      <c r="BP484" s="626">
        <f>IF(BH484=0,0,IF(BN484=0,"NÃO","SIM"))</f>
        <v>0</v>
      </c>
    </row>
    <row r="485" spans="1:68" hidden="1" x14ac:dyDescent="0.35">
      <c r="A485" s="988"/>
      <c r="B485" s="988"/>
      <c r="C485" s="627"/>
      <c r="D485" s="627"/>
      <c r="E485" s="627"/>
      <c r="F485" s="627"/>
      <c r="G485" s="627"/>
      <c r="H485" s="627"/>
      <c r="I485" s="627"/>
      <c r="J485" s="627"/>
      <c r="K485" s="627"/>
      <c r="L485" s="627"/>
      <c r="M485" s="627"/>
      <c r="N485" s="627"/>
      <c r="O485" s="719"/>
      <c r="P485" s="627"/>
      <c r="Q485" s="719"/>
      <c r="R485" s="627"/>
      <c r="S485" s="627"/>
      <c r="T485" s="627"/>
      <c r="U485" s="627"/>
      <c r="V485" s="627"/>
      <c r="W485" s="988" t="s">
        <v>376</v>
      </c>
      <c r="X485" s="627">
        <f t="shared" si="36"/>
        <v>1</v>
      </c>
      <c r="Y485" s="627" t="s">
        <v>380</v>
      </c>
      <c r="Z485" s="627">
        <v>8</v>
      </c>
      <c r="AA485" s="627">
        <v>80</v>
      </c>
      <c r="AB485" s="627"/>
      <c r="AC485" s="630">
        <f>IF(X485=1000,AA485,0)</f>
        <v>0</v>
      </c>
      <c r="AD485" s="719"/>
      <c r="AE485" s="627"/>
      <c r="AF485" s="627"/>
      <c r="AG485" s="627"/>
      <c r="AH485" s="627"/>
      <c r="AI485" s="627"/>
      <c r="AJ485" s="627"/>
      <c r="AK485" s="627"/>
      <c r="AL485" s="627"/>
      <c r="AM485" s="627"/>
      <c r="AN485" s="627"/>
      <c r="AO485" s="627"/>
      <c r="AP485" s="627">
        <f t="shared" si="22"/>
        <v>1</v>
      </c>
      <c r="AQ485" s="673" t="str">
        <f>IF(A475=1,"X",IF($I$15&gt;12,0,IF(AY485=0,0,IF(AP484=1,"x",IF(AY485&gt;=AY484,0,"X")))))</f>
        <v>X</v>
      </c>
      <c r="AR485" s="626">
        <f>D475</f>
        <v>15</v>
      </c>
      <c r="AS485" s="626">
        <f>H475</f>
        <v>0</v>
      </c>
      <c r="AT485" s="1043">
        <f>IF($E$15=0,0,IF($C$60="X",ROUNDDOWN(AS485/($AJ$477+$AJ$482),0),IF($E$60="X",ROUNDDOWN(AS485/($AL$477+$AL$482),0),0)))</f>
        <v>0</v>
      </c>
      <c r="AU485" s="1062">
        <f>IF($E$15=0,0,ROUNDDOWN(AS485/($AK$477+$AK$482),0))</f>
        <v>0</v>
      </c>
      <c r="AV485" s="1062">
        <f t="shared" si="27"/>
        <v>0</v>
      </c>
      <c r="AW485" s="1062">
        <f t="shared" si="28"/>
        <v>0</v>
      </c>
      <c r="AX485" s="1100">
        <f t="shared" si="29"/>
        <v>0</v>
      </c>
      <c r="AY485" s="1062">
        <f t="shared" si="30"/>
        <v>0</v>
      </c>
      <c r="AZ485" s="633">
        <f>E475</f>
        <v>0</v>
      </c>
      <c r="BA485" s="646"/>
      <c r="BB485" s="646"/>
      <c r="BC485" s="629"/>
      <c r="BD485" s="729">
        <f t="shared" si="32"/>
        <v>0</v>
      </c>
      <c r="BE485" s="729">
        <f t="shared" si="33"/>
        <v>0</v>
      </c>
      <c r="BF485" s="627"/>
      <c r="BG485" s="626">
        <f>IF(BH485=0,0,15)</f>
        <v>0</v>
      </c>
      <c r="BH485" s="633">
        <f>AZ485</f>
        <v>0</v>
      </c>
      <c r="BI485" s="646"/>
      <c r="BJ485" s="646"/>
      <c r="BK485" s="629"/>
      <c r="BL485" s="729">
        <f>H475</f>
        <v>0</v>
      </c>
      <c r="BM485" s="729">
        <f>IF(BN485=0,0,"ton")</f>
        <v>0</v>
      </c>
      <c r="BN485" s="1096">
        <f>AY485</f>
        <v>0</v>
      </c>
      <c r="BO485" s="1096">
        <f>IF(BN485=0,0,AT485)</f>
        <v>0</v>
      </c>
      <c r="BP485" s="626">
        <f>IF(BH485=0,0,IF(BN485=0,"NÃO","SIM"))</f>
        <v>0</v>
      </c>
    </row>
    <row r="486" spans="1:68" hidden="1" x14ac:dyDescent="0.35">
      <c r="A486" s="988"/>
      <c r="B486" s="988"/>
      <c r="C486" s="183" t="str">
        <f>IF(I15&gt;12.2,"ALERTA: PAINÉIS MAIORES QUE 12,2 m ! A CARRETA TEM QUE SER ESPECÍFICA. ANALISAR E DESCREVER NA TABELA ACIMA .","ESCOLHA a CONFIGURAÇÃO ABAIXO para TRANSPORTE: (marcar X) ")</f>
        <v xml:space="preserve">ESCOLHA a CONFIGURAÇÃO ABAIXO para TRANSPORTE: (marcar X) </v>
      </c>
      <c r="D486" s="627"/>
      <c r="E486" s="627"/>
      <c r="F486" s="627"/>
      <c r="G486" s="627"/>
      <c r="H486" s="627"/>
      <c r="I486" s="627"/>
      <c r="J486" s="627"/>
      <c r="K486" s="627"/>
      <c r="L486" s="627"/>
      <c r="M486" s="627"/>
      <c r="N486" s="627"/>
      <c r="O486" s="719"/>
      <c r="P486" s="627"/>
      <c r="Q486" s="719"/>
      <c r="R486" s="627"/>
      <c r="S486" s="627"/>
      <c r="T486" s="627"/>
      <c r="U486" s="627"/>
      <c r="V486" s="627"/>
      <c r="W486" s="988" t="s">
        <v>376</v>
      </c>
      <c r="X486" s="627">
        <f t="shared" si="36"/>
        <v>1</v>
      </c>
      <c r="Y486" s="627" t="s">
        <v>377</v>
      </c>
      <c r="Z486" s="627">
        <v>10</v>
      </c>
      <c r="AA486" s="627">
        <v>90</v>
      </c>
      <c r="AB486" s="627"/>
      <c r="AC486" s="630">
        <f>IF(X486=1000,0,AA486)</f>
        <v>90</v>
      </c>
      <c r="AD486" s="719"/>
      <c r="AE486" s="627"/>
      <c r="AF486" s="627"/>
      <c r="AG486" s="627"/>
      <c r="AH486" s="627"/>
      <c r="AI486" s="627"/>
      <c r="AJ486" s="627"/>
      <c r="AK486" s="627"/>
      <c r="AL486" s="627"/>
      <c r="AM486" s="627"/>
      <c r="AN486" s="627"/>
      <c r="AO486" s="627"/>
      <c r="AP486" s="627"/>
      <c r="AQ486" s="627"/>
      <c r="AR486" s="627"/>
      <c r="AS486" s="627"/>
      <c r="AT486" s="627"/>
      <c r="AU486" s="627"/>
      <c r="AV486" s="627"/>
      <c r="AW486" s="627"/>
      <c r="AX486" s="627"/>
      <c r="AY486" s="627"/>
      <c r="AZ486" s="627"/>
      <c r="BA486" s="627"/>
      <c r="BB486" s="627"/>
      <c r="BC486" s="627"/>
      <c r="BD486" s="627"/>
      <c r="BE486" s="627"/>
      <c r="BF486" s="627"/>
      <c r="BG486" s="627"/>
      <c r="BH486" s="627"/>
      <c r="BI486" s="627"/>
      <c r="BJ486" s="627"/>
      <c r="BK486" s="627"/>
      <c r="BL486" s="627"/>
      <c r="BM486" s="627"/>
      <c r="BN486" s="627"/>
      <c r="BO486" s="627"/>
      <c r="BP486" s="627"/>
    </row>
    <row r="487" spans="1:68" hidden="1" x14ac:dyDescent="0.35">
      <c r="A487" s="988"/>
      <c r="B487" s="988"/>
      <c r="C487" s="627"/>
      <c r="D487" s="627"/>
      <c r="E487" s="627"/>
      <c r="F487" s="627"/>
      <c r="G487" s="627"/>
      <c r="H487" s="627"/>
      <c r="I487" s="627"/>
      <c r="J487" s="627"/>
      <c r="K487" s="627"/>
      <c r="L487" s="627"/>
      <c r="M487" s="627"/>
      <c r="N487" s="627"/>
      <c r="O487" s="719"/>
      <c r="P487" s="627"/>
      <c r="Q487" s="719"/>
      <c r="R487" s="627"/>
      <c r="S487" s="627"/>
      <c r="T487" s="627"/>
      <c r="U487" s="627"/>
      <c r="V487" s="627"/>
      <c r="W487" s="988" t="s">
        <v>376</v>
      </c>
      <c r="X487" s="627">
        <f t="shared" si="36"/>
        <v>1</v>
      </c>
      <c r="Y487" s="627" t="s">
        <v>380</v>
      </c>
      <c r="Z487" s="627">
        <v>10</v>
      </c>
      <c r="AA487" s="627">
        <v>90</v>
      </c>
      <c r="AB487" s="627"/>
      <c r="AC487" s="630">
        <f>IF(X487=1000,AA487,0)</f>
        <v>0</v>
      </c>
      <c r="AD487" s="748"/>
      <c r="AE487" s="627"/>
      <c r="AF487" s="627"/>
      <c r="AG487" s="627"/>
      <c r="AH487" s="627"/>
      <c r="AI487" s="627"/>
      <c r="AJ487" s="627"/>
      <c r="AK487" s="627"/>
      <c r="AL487" s="627"/>
      <c r="AM487" s="627"/>
      <c r="AN487" s="627"/>
      <c r="AO487" s="627"/>
      <c r="AP487" s="627"/>
      <c r="AQ487" s="627"/>
      <c r="AR487" s="627"/>
      <c r="AS487" s="627"/>
      <c r="AT487" s="627"/>
      <c r="AU487" s="627"/>
      <c r="AV487" s="627"/>
      <c r="AW487" s="627"/>
      <c r="AX487" s="627"/>
      <c r="AY487" s="627"/>
      <c r="AZ487" s="627"/>
      <c r="BA487" s="627"/>
      <c r="BB487" s="627"/>
      <c r="BC487" s="627"/>
      <c r="BD487" s="627"/>
      <c r="BE487" s="627"/>
      <c r="BF487" s="627"/>
      <c r="BG487" s="627"/>
      <c r="BH487" s="627"/>
      <c r="BI487" s="627"/>
      <c r="BJ487" s="627"/>
      <c r="BK487" s="627"/>
      <c r="BL487" s="627"/>
      <c r="BM487" s="627"/>
      <c r="BN487" s="627"/>
      <c r="BO487" s="627"/>
      <c r="BP487" s="627"/>
    </row>
    <row r="488" spans="1:68" hidden="1" x14ac:dyDescent="0.35">
      <c r="A488" s="988">
        <f>IF(C488="x",1,0)</f>
        <v>0</v>
      </c>
      <c r="B488" s="200">
        <v>1</v>
      </c>
      <c r="C488" s="626"/>
      <c r="D488" s="627" t="str">
        <f ca="1">CÁLCULOS!D176</f>
        <v>CARRETA ABERTA   capac.= 25 ton</v>
      </c>
      <c r="E488" s="627"/>
      <c r="F488" s="627"/>
      <c r="G488" s="627"/>
      <c r="H488" s="627">
        <f ca="1">CÁLCULOS!H176</f>
        <v>125</v>
      </c>
      <c r="I488" s="627" t="str">
        <f ca="1">CÁLCULOS!I176</f>
        <v>FRETES TRANSPORTANDO:</v>
      </c>
      <c r="J488" s="627"/>
      <c r="K488" s="627"/>
      <c r="L488" s="627"/>
      <c r="M488" s="627"/>
      <c r="N488" s="627"/>
      <c r="O488" s="719"/>
      <c r="P488" s="627"/>
      <c r="Q488" s="719"/>
      <c r="R488" s="627"/>
      <c r="S488" s="627"/>
      <c r="T488" s="627"/>
      <c r="U488" s="627"/>
      <c r="V488" s="627"/>
      <c r="W488" s="988" t="s">
        <v>384</v>
      </c>
      <c r="X488" s="627">
        <f t="shared" si="36"/>
        <v>1</v>
      </c>
      <c r="Y488" s="627" t="s">
        <v>377</v>
      </c>
      <c r="Z488" s="627">
        <v>12</v>
      </c>
      <c r="AA488" s="627">
        <v>100</v>
      </c>
      <c r="AB488" s="627">
        <v>50</v>
      </c>
      <c r="AC488" s="630">
        <f>IF(X488=1000,0,AA488)</f>
        <v>100</v>
      </c>
      <c r="AD488" s="630">
        <f>IF(X488=1000,0,AB488)</f>
        <v>50</v>
      </c>
      <c r="AE488" s="627"/>
      <c r="AF488" s="627"/>
      <c r="AG488" s="627"/>
      <c r="AH488" s="627"/>
      <c r="AI488" s="627"/>
      <c r="AJ488" s="627"/>
      <c r="AK488" s="627"/>
      <c r="AL488" s="627"/>
      <c r="AM488" s="627"/>
      <c r="AN488" s="627"/>
      <c r="AO488" s="627"/>
      <c r="AP488" s="627"/>
      <c r="AQ488" s="627"/>
      <c r="AR488" s="627"/>
      <c r="AS488" s="627"/>
      <c r="AT488" s="627"/>
      <c r="AU488" s="627"/>
      <c r="AV488" s="627"/>
      <c r="AW488" s="627"/>
      <c r="AX488" s="627"/>
      <c r="AY488" s="627"/>
      <c r="AZ488" s="627"/>
      <c r="BA488" s="627"/>
      <c r="BB488" s="627"/>
      <c r="BC488" s="627"/>
      <c r="BD488" s="627"/>
      <c r="BE488" s="627"/>
      <c r="BF488" s="627"/>
      <c r="BG488" s="627"/>
      <c r="BH488" s="627"/>
      <c r="BI488" s="627"/>
      <c r="BJ488" s="627"/>
      <c r="BK488" s="627"/>
      <c r="BL488" s="627"/>
      <c r="BM488" s="627"/>
      <c r="BN488" s="627"/>
      <c r="BO488" s="627"/>
      <c r="BP488" s="627"/>
    </row>
    <row r="489" spans="1:68" hidden="1" x14ac:dyDescent="0.35">
      <c r="A489" s="988"/>
      <c r="B489" s="200"/>
      <c r="C489" s="195">
        <f>IF(C488="X","Y",0)</f>
        <v>0</v>
      </c>
      <c r="D489" s="502" t="str">
        <f ca="1">IF(D488=0,0,"comp.= "&amp;I461&amp;" m")</f>
        <v>comp.= 12,4 m</v>
      </c>
      <c r="E489" s="627">
        <f ca="1">CÁLCULOS!E177</f>
        <v>2</v>
      </c>
      <c r="F489" s="627" t="str">
        <f ca="1">CÁLCULOS!F177</f>
        <v>painéis empilhados c/ largura =2,40 m, espessura= 0,25 m e comprimento=</v>
      </c>
      <c r="G489" s="627"/>
      <c r="H489" s="627"/>
      <c r="I489" s="627"/>
      <c r="J489" s="627"/>
      <c r="K489" s="627"/>
      <c r="L489" s="627"/>
      <c r="M489" s="627"/>
      <c r="N489" s="627">
        <f ca="1">CÁLCULOS!N177</f>
        <v>7.3000000000000007</v>
      </c>
      <c r="O489" s="719" t="str">
        <f ca="1">CÁLCULOS!O177</f>
        <v>m</v>
      </c>
      <c r="P489" s="627"/>
      <c r="Q489" s="719"/>
      <c r="R489" s="627"/>
      <c r="S489" s="627"/>
      <c r="T489" s="627"/>
      <c r="U489" s="627"/>
      <c r="V489" s="627"/>
      <c r="W489" s="988" t="s">
        <v>384</v>
      </c>
      <c r="X489" s="627">
        <f t="shared" si="36"/>
        <v>1</v>
      </c>
      <c r="Y489" s="627" t="s">
        <v>380</v>
      </c>
      <c r="Z489" s="627">
        <v>12</v>
      </c>
      <c r="AA489" s="627">
        <v>130</v>
      </c>
      <c r="AB489" s="627">
        <v>50</v>
      </c>
      <c r="AC489" s="630">
        <f>IF(X489=1000,AA489,0)</f>
        <v>0</v>
      </c>
      <c r="AD489" s="630">
        <f>IF(X489=1000,AB489,0)</f>
        <v>0</v>
      </c>
      <c r="AE489" s="627"/>
      <c r="AF489" s="627"/>
      <c r="AG489" s="627"/>
      <c r="AH489" s="627"/>
      <c r="AI489" s="627"/>
      <c r="AJ489" s="627"/>
      <c r="AK489" s="627"/>
      <c r="AL489" s="627"/>
      <c r="AM489" s="627"/>
      <c r="AN489" s="627"/>
      <c r="AO489" s="627"/>
      <c r="AP489" s="627"/>
      <c r="AQ489" s="627"/>
      <c r="AR489" s="627"/>
      <c r="AS489" s="627"/>
      <c r="AT489" s="627"/>
      <c r="AU489" s="627"/>
      <c r="AV489" s="627"/>
      <c r="AW489" s="627"/>
      <c r="AX489" s="627"/>
      <c r="AY489" s="627"/>
      <c r="AZ489" s="627"/>
      <c r="BA489" s="627"/>
      <c r="BB489" s="627"/>
      <c r="BC489" s="627"/>
      <c r="BD489" s="627"/>
      <c r="BE489" s="627"/>
      <c r="BF489" s="627"/>
      <c r="BG489" s="627"/>
      <c r="BH489" s="627"/>
      <c r="BI489" s="627"/>
      <c r="BJ489" s="627"/>
      <c r="BK489" s="627"/>
      <c r="BL489" s="627"/>
      <c r="BM489" s="627"/>
      <c r="BN489" s="627"/>
      <c r="BO489" s="627"/>
      <c r="BP489" s="627"/>
    </row>
    <row r="490" spans="1:68" hidden="1" x14ac:dyDescent="0.35">
      <c r="A490" s="988"/>
      <c r="B490" s="200"/>
      <c r="C490" s="627"/>
      <c r="D490" s="627"/>
      <c r="E490" s="627"/>
      <c r="F490" s="627"/>
      <c r="G490" s="627"/>
      <c r="H490" s="627"/>
      <c r="I490" s="627"/>
      <c r="J490" s="627"/>
      <c r="K490" s="627"/>
      <c r="L490" s="627"/>
      <c r="M490" s="627"/>
      <c r="N490" s="627"/>
      <c r="O490" s="719"/>
      <c r="P490" s="627"/>
      <c r="Q490" s="719"/>
      <c r="R490" s="627"/>
      <c r="S490" s="627"/>
      <c r="T490" s="627"/>
      <c r="U490" s="627"/>
      <c r="V490" s="627"/>
      <c r="W490" s="988" t="s">
        <v>384</v>
      </c>
      <c r="X490" s="627">
        <f t="shared" si="36"/>
        <v>1</v>
      </c>
      <c r="Y490" s="627" t="s">
        <v>377</v>
      </c>
      <c r="Z490" s="627">
        <v>14</v>
      </c>
      <c r="AA490" s="627">
        <v>130</v>
      </c>
      <c r="AB490" s="627">
        <v>55</v>
      </c>
      <c r="AC490" s="630">
        <f>IF(X490=1000,0,AA490)</f>
        <v>130</v>
      </c>
      <c r="AD490" s="630">
        <f>IF(X490=1000,0,AB490)</f>
        <v>55</v>
      </c>
      <c r="AE490" s="627"/>
      <c r="AF490" s="627"/>
      <c r="AG490" s="627"/>
      <c r="AH490" s="627"/>
      <c r="AI490" s="627"/>
      <c r="AJ490" s="627"/>
      <c r="AK490" s="627"/>
      <c r="AL490" s="627"/>
      <c r="AM490" s="627"/>
      <c r="AN490" s="647"/>
      <c r="AO490" s="627"/>
      <c r="AP490" s="627"/>
      <c r="AQ490" s="627"/>
      <c r="AR490" s="627"/>
      <c r="AS490" s="627"/>
      <c r="AT490" s="627"/>
      <c r="AU490" s="627"/>
      <c r="AV490" s="627"/>
      <c r="AW490" s="627"/>
      <c r="AX490" s="627"/>
      <c r="AY490" s="627"/>
      <c r="AZ490" s="627"/>
      <c r="BA490" s="627"/>
      <c r="BB490" s="627"/>
      <c r="BC490" s="627"/>
      <c r="BD490" s="627"/>
      <c r="BE490" s="627"/>
      <c r="BF490" s="627"/>
      <c r="BG490" s="627"/>
      <c r="BH490" s="627"/>
      <c r="BI490" s="627"/>
      <c r="BJ490" s="627"/>
      <c r="BK490" s="627"/>
      <c r="BL490" s="627"/>
      <c r="BM490" s="627"/>
      <c r="BN490" s="627"/>
      <c r="BO490" s="627"/>
      <c r="BP490" s="627"/>
    </row>
    <row r="491" spans="1:68" hidden="1" x14ac:dyDescent="0.35">
      <c r="A491" s="988">
        <f>IF(C491="x",1,0)</f>
        <v>0</v>
      </c>
      <c r="B491" s="200">
        <v>2</v>
      </c>
      <c r="C491" s="626"/>
      <c r="D491" s="627" t="str">
        <f ca="1">CÁLCULOS!D179</f>
        <v xml:space="preserve">CARRETA LS  capac.= 31 ton </v>
      </c>
      <c r="E491" s="627"/>
      <c r="F491" s="627"/>
      <c r="G491" s="627"/>
      <c r="H491" s="627">
        <f ca="1">CÁLCULOS!H179</f>
        <v>84</v>
      </c>
      <c r="I491" s="627" t="str">
        <f ca="1">CÁLCULOS!I179</f>
        <v>FRETES TRANSPORTANDO:</v>
      </c>
      <c r="J491" s="627"/>
      <c r="K491" s="627"/>
      <c r="L491" s="627"/>
      <c r="M491" s="627"/>
      <c r="N491" s="627"/>
      <c r="O491" s="719"/>
      <c r="P491" s="627"/>
      <c r="Q491" s="719"/>
      <c r="R491" s="627"/>
      <c r="S491" s="627"/>
      <c r="T491" s="627"/>
      <c r="U491" s="627"/>
      <c r="V491" s="627"/>
      <c r="W491" s="988" t="s">
        <v>384</v>
      </c>
      <c r="X491" s="627">
        <f t="shared" si="36"/>
        <v>1</v>
      </c>
      <c r="Y491" s="627" t="s">
        <v>380</v>
      </c>
      <c r="Z491" s="627">
        <v>14</v>
      </c>
      <c r="AA491" s="627">
        <v>150</v>
      </c>
      <c r="AB491" s="627">
        <v>60</v>
      </c>
      <c r="AC491" s="630">
        <f>IF(X491=1000,AA491,0)</f>
        <v>0</v>
      </c>
      <c r="AD491" s="630">
        <f>IF(X491=1000,AB491,0)</f>
        <v>0</v>
      </c>
      <c r="AE491" s="627"/>
      <c r="AF491" s="627"/>
      <c r="AG491" s="627"/>
      <c r="AH491" s="627"/>
      <c r="AI491" s="627"/>
      <c r="AJ491" s="627"/>
      <c r="AK491" s="627"/>
      <c r="AL491" s="627"/>
      <c r="AM491" s="627"/>
      <c r="AN491" s="647"/>
      <c r="AO491" s="761"/>
      <c r="AP491" s="627"/>
      <c r="AQ491" s="627"/>
      <c r="AR491" s="627"/>
      <c r="AS491" s="627"/>
      <c r="AT491" s="627"/>
      <c r="AU491" s="627"/>
      <c r="AV491" s="627"/>
      <c r="AW491" s="627"/>
      <c r="AX491" s="627"/>
      <c r="AY491" s="627"/>
      <c r="AZ491" s="627"/>
      <c r="BA491" s="627"/>
      <c r="BB491" s="627"/>
      <c r="BC491" s="627"/>
      <c r="BD491" s="627"/>
      <c r="BE491" s="627"/>
      <c r="BF491" s="627"/>
      <c r="BG491" s="627"/>
      <c r="BH491" s="627"/>
      <c r="BI491" s="627"/>
      <c r="BJ491" s="627"/>
      <c r="BK491" s="627"/>
      <c r="BL491" s="627"/>
      <c r="BM491" s="627"/>
      <c r="BN491" s="627"/>
      <c r="BO491" s="627"/>
      <c r="BP491" s="627"/>
    </row>
    <row r="492" spans="1:68" hidden="1" x14ac:dyDescent="0.35">
      <c r="A492" s="988"/>
      <c r="B492" s="200"/>
      <c r="C492" s="195">
        <f>IF(C491="X","Y",0)</f>
        <v>0</v>
      </c>
      <c r="D492" s="502" t="str">
        <f ca="1">IF(D491=0,0,"comp.= "&amp;I462&amp;" m")</f>
        <v>comp.= 12,4 m</v>
      </c>
      <c r="E492" s="627">
        <f ca="1">CÁLCULOS!E180</f>
        <v>3</v>
      </c>
      <c r="F492" s="627" t="str">
        <f ca="1">CÁLCULOS!F180</f>
        <v>painéis empilhados c/ largura =2,40 m, espessura= 0,25 m e comprimento=</v>
      </c>
      <c r="G492" s="627"/>
      <c r="H492" s="627"/>
      <c r="I492" s="627"/>
      <c r="J492" s="627"/>
      <c r="K492" s="627"/>
      <c r="L492" s="627"/>
      <c r="M492" s="627"/>
      <c r="N492" s="627">
        <f ca="1">CÁLCULOS!N180</f>
        <v>7.3000000000000007</v>
      </c>
      <c r="O492" s="719" t="str">
        <f ca="1">CÁLCULOS!O180</f>
        <v>m</v>
      </c>
      <c r="P492" s="627"/>
      <c r="Q492" s="719"/>
      <c r="R492" s="627"/>
      <c r="S492" s="627"/>
      <c r="T492" s="627"/>
      <c r="U492" s="627"/>
      <c r="V492" s="627"/>
      <c r="W492" s="988" t="s">
        <v>384</v>
      </c>
      <c r="X492" s="627">
        <f t="shared" si="36"/>
        <v>1</v>
      </c>
      <c r="Y492" s="627" t="s">
        <v>377</v>
      </c>
      <c r="Z492" s="627">
        <v>16</v>
      </c>
      <c r="AA492" s="627">
        <v>160</v>
      </c>
      <c r="AB492" s="627">
        <v>60</v>
      </c>
      <c r="AC492" s="630">
        <f>IF(X492=1000,0,AA492)</f>
        <v>160</v>
      </c>
      <c r="AD492" s="630">
        <f>IF(X492=1000,0,AB492)</f>
        <v>60</v>
      </c>
      <c r="AE492" s="627"/>
      <c r="AF492" s="627"/>
      <c r="AG492" s="627"/>
      <c r="AH492" s="627"/>
      <c r="AI492" s="627"/>
      <c r="AJ492" s="627"/>
      <c r="AK492" s="627"/>
      <c r="AL492" s="627"/>
      <c r="AM492" s="627"/>
      <c r="AN492" s="647"/>
      <c r="AO492" s="761"/>
      <c r="AP492" s="627"/>
      <c r="AQ492" s="627"/>
      <c r="AR492" s="627"/>
      <c r="AS492" s="627"/>
      <c r="AT492" s="627"/>
      <c r="AU492" s="627"/>
      <c r="AV492" s="627"/>
      <c r="AW492" s="627"/>
      <c r="AX492" s="627"/>
      <c r="AY492" s="627"/>
      <c r="AZ492" s="627"/>
      <c r="BA492" s="627"/>
      <c r="BB492" s="627"/>
      <c r="BC492" s="627"/>
      <c r="BD492" s="627"/>
      <c r="BE492" s="627"/>
      <c r="BF492" s="627"/>
      <c r="BG492" s="627"/>
      <c r="BH492" s="627"/>
      <c r="BI492" s="627"/>
      <c r="BJ492" s="627"/>
      <c r="BK492" s="627"/>
      <c r="BL492" s="627"/>
      <c r="BM492" s="627"/>
      <c r="BN492" s="627"/>
      <c r="BO492" s="627"/>
      <c r="BP492" s="627"/>
    </row>
    <row r="493" spans="1:68" hidden="1" x14ac:dyDescent="0.35">
      <c r="A493" s="988"/>
      <c r="B493" s="200"/>
      <c r="C493" s="627"/>
      <c r="D493" s="627"/>
      <c r="E493" s="627"/>
      <c r="F493" s="627"/>
      <c r="G493" s="627"/>
      <c r="H493" s="627"/>
      <c r="I493" s="627"/>
      <c r="J493" s="627"/>
      <c r="K493" s="627"/>
      <c r="L493" s="627"/>
      <c r="M493" s="627"/>
      <c r="N493" s="627"/>
      <c r="O493" s="719"/>
      <c r="P493" s="627"/>
      <c r="Q493" s="719"/>
      <c r="R493" s="627"/>
      <c r="S493" s="627"/>
      <c r="T493" s="627"/>
      <c r="U493" s="627"/>
      <c r="V493" s="627"/>
      <c r="W493" s="988" t="s">
        <v>384</v>
      </c>
      <c r="X493" s="627">
        <f t="shared" si="36"/>
        <v>1</v>
      </c>
      <c r="Y493" s="627" t="s">
        <v>380</v>
      </c>
      <c r="Z493" s="627">
        <v>16</v>
      </c>
      <c r="AA493" s="627">
        <v>160</v>
      </c>
      <c r="AB493" s="627">
        <v>70</v>
      </c>
      <c r="AC493" s="630">
        <f>IF(X493=1000,AA493,0)</f>
        <v>0</v>
      </c>
      <c r="AD493" s="630">
        <f>IF(X493=1000,AB493,0)</f>
        <v>0</v>
      </c>
      <c r="AE493" s="627"/>
      <c r="AF493" s="627"/>
      <c r="AG493" s="627"/>
      <c r="AH493" s="627"/>
      <c r="AI493" s="627"/>
      <c r="AJ493" s="627"/>
      <c r="AK493" s="627"/>
      <c r="AL493" s="627"/>
      <c r="AM493" s="627"/>
      <c r="AN493" s="647"/>
      <c r="AO493" s="761"/>
      <c r="AP493" s="627"/>
      <c r="AQ493" s="627"/>
      <c r="AR493" s="627"/>
      <c r="AS493" s="627"/>
      <c r="AT493" s="627"/>
      <c r="AU493" s="627"/>
      <c r="AV493" s="627"/>
      <c r="AW493" s="627"/>
      <c r="AX493" s="627"/>
      <c r="AY493" s="627"/>
      <c r="AZ493" s="627"/>
      <c r="BA493" s="627"/>
      <c r="BB493" s="627"/>
      <c r="BC493" s="627"/>
      <c r="BD493" s="627"/>
      <c r="BE493" s="627"/>
      <c r="BF493" s="627"/>
      <c r="BG493" s="627"/>
      <c r="BH493" s="627"/>
      <c r="BI493" s="627"/>
      <c r="BJ493" s="627"/>
      <c r="BK493" s="627"/>
      <c r="BL493" s="627"/>
      <c r="BM493" s="627"/>
      <c r="BN493" s="627"/>
      <c r="BO493" s="627"/>
      <c r="BP493" s="627"/>
    </row>
    <row r="494" spans="1:68" hidden="1" x14ac:dyDescent="0.35">
      <c r="A494" s="988">
        <f>IF(C494="x",1,0)</f>
        <v>0</v>
      </c>
      <c r="B494" s="200">
        <v>3</v>
      </c>
      <c r="C494" s="626"/>
      <c r="D494" s="627" t="str">
        <f ca="1">CÁLCULOS!D182</f>
        <v>CARRETA VANDERLEIA  capac.= 25 ton</v>
      </c>
      <c r="E494" s="627"/>
      <c r="F494" s="627"/>
      <c r="G494" s="627"/>
      <c r="H494" s="627">
        <f ca="1">CÁLCULOS!H182</f>
        <v>125</v>
      </c>
      <c r="I494" s="627" t="str">
        <f ca="1">CÁLCULOS!I182</f>
        <v>FRETES TRANSPORTANDO:</v>
      </c>
      <c r="J494" s="627"/>
      <c r="K494" s="627"/>
      <c r="L494" s="627"/>
      <c r="M494" s="627"/>
      <c r="N494" s="627"/>
      <c r="O494" s="719"/>
      <c r="P494" s="627"/>
      <c r="Q494" s="719"/>
      <c r="R494" s="627"/>
      <c r="S494" s="627"/>
      <c r="T494" s="627"/>
      <c r="U494" s="627"/>
      <c r="V494" s="627"/>
      <c r="W494" s="988" t="s">
        <v>384</v>
      </c>
      <c r="X494" s="627">
        <f t="shared" si="36"/>
        <v>1</v>
      </c>
      <c r="Y494" s="627" t="s">
        <v>377</v>
      </c>
      <c r="Z494" s="627">
        <v>18</v>
      </c>
      <c r="AA494" s="627">
        <v>200</v>
      </c>
      <c r="AB494" s="627">
        <v>70</v>
      </c>
      <c r="AC494" s="630">
        <f>IF(X494=1000,0,AA494)</f>
        <v>200</v>
      </c>
      <c r="AD494" s="630">
        <f>IF(X494=1000,0,AB494)</f>
        <v>70</v>
      </c>
      <c r="AE494" s="627"/>
      <c r="AF494" s="627"/>
      <c r="AG494" s="627"/>
      <c r="AH494" s="627"/>
      <c r="AI494" s="627"/>
      <c r="AJ494" s="627"/>
      <c r="AK494" s="627"/>
      <c r="AL494" s="627"/>
      <c r="AM494" s="627"/>
      <c r="AN494" s="647"/>
      <c r="AO494" s="761"/>
      <c r="AP494" s="627"/>
      <c r="AQ494" s="627"/>
      <c r="AR494" s="627"/>
      <c r="AS494" s="627"/>
      <c r="AT494" s="627"/>
      <c r="AU494" s="627"/>
      <c r="AV494" s="627"/>
      <c r="AW494" s="627"/>
      <c r="AX494" s="627"/>
      <c r="AY494" s="627"/>
      <c r="AZ494" s="627"/>
      <c r="BA494" s="627"/>
      <c r="BB494" s="627"/>
      <c r="BC494" s="627"/>
      <c r="BD494" s="627"/>
      <c r="BE494" s="627"/>
      <c r="BF494" s="627"/>
      <c r="BG494" s="627"/>
      <c r="BH494" s="627"/>
      <c r="BI494" s="627"/>
      <c r="BJ494" s="627"/>
      <c r="BK494" s="627"/>
      <c r="BL494" s="627"/>
      <c r="BM494" s="627"/>
      <c r="BN494" s="627"/>
      <c r="BO494" s="627"/>
      <c r="BP494" s="627"/>
    </row>
    <row r="495" spans="1:68" hidden="1" x14ac:dyDescent="0.35">
      <c r="A495" s="988"/>
      <c r="B495" s="200"/>
      <c r="C495" s="195">
        <f>IF(C494="X","Y",0)</f>
        <v>0</v>
      </c>
      <c r="D495" s="502" t="str">
        <f ca="1">IF(D494=0,0,"comp.= "&amp;I463&amp;" m")</f>
        <v>comp.= 15 m</v>
      </c>
      <c r="E495" s="627">
        <f ca="1">CÁLCULOS!E183</f>
        <v>2</v>
      </c>
      <c r="F495" s="627" t="str">
        <f ca="1">CÁLCULOS!F183</f>
        <v>painéis empilhados c/ largura =2,40 m, espessura= 0,25 m e comprimento=</v>
      </c>
      <c r="G495" s="627"/>
      <c r="H495" s="627"/>
      <c r="I495" s="627"/>
      <c r="J495" s="627"/>
      <c r="K495" s="627"/>
      <c r="L495" s="627"/>
      <c r="M495" s="627"/>
      <c r="N495" s="627">
        <f ca="1">CÁLCULOS!N183</f>
        <v>7.3000000000000007</v>
      </c>
      <c r="O495" s="719" t="str">
        <f ca="1">CÁLCULOS!O183</f>
        <v>m</v>
      </c>
      <c r="P495" s="627"/>
      <c r="Q495" s="719"/>
      <c r="R495" s="627"/>
      <c r="S495" s="627"/>
      <c r="T495" s="627"/>
      <c r="U495" s="627"/>
      <c r="V495" s="627"/>
      <c r="W495" s="637" t="s">
        <v>384</v>
      </c>
      <c r="X495" s="749">
        <f t="shared" si="36"/>
        <v>1</v>
      </c>
      <c r="Y495" s="749" t="s">
        <v>380</v>
      </c>
      <c r="Z495" s="749">
        <v>18</v>
      </c>
      <c r="AA495" s="749">
        <v>200</v>
      </c>
      <c r="AB495" s="749">
        <v>70</v>
      </c>
      <c r="AC495" s="630">
        <f>IF(X495=1000,AA495,0)</f>
        <v>0</v>
      </c>
      <c r="AD495" s="630">
        <f>IF(X495=1000,AB495,0)</f>
        <v>0</v>
      </c>
      <c r="AE495" s="627"/>
      <c r="AF495" s="627"/>
      <c r="AG495" s="627"/>
      <c r="AH495" s="627"/>
      <c r="AI495" s="627"/>
      <c r="AJ495" s="627"/>
      <c r="AK495" s="627"/>
      <c r="AL495" s="627"/>
      <c r="AM495" s="627"/>
      <c r="AN495" s="647"/>
      <c r="AO495" s="761"/>
      <c r="AP495" s="627"/>
      <c r="AQ495" s="627"/>
      <c r="AR495" s="627"/>
      <c r="AS495" s="627"/>
      <c r="AT495" s="627"/>
      <c r="AU495" s="627"/>
      <c r="AV495" s="627"/>
      <c r="AW495" s="627"/>
      <c r="AX495" s="627"/>
      <c r="AY495" s="627"/>
      <c r="AZ495" s="627"/>
      <c r="BA495" s="627"/>
      <c r="BB495" s="627"/>
      <c r="BC495" s="627"/>
      <c r="BD495" s="627"/>
      <c r="BE495" s="627"/>
      <c r="BF495" s="627"/>
      <c r="BG495" s="627"/>
      <c r="BH495" s="627"/>
      <c r="BI495" s="627"/>
      <c r="BJ495" s="627"/>
      <c r="BK495" s="627"/>
      <c r="BL495" s="627"/>
      <c r="BM495" s="627"/>
      <c r="BN495" s="627"/>
      <c r="BO495" s="627"/>
      <c r="BP495" s="627"/>
    </row>
    <row r="496" spans="1:68" hidden="1" x14ac:dyDescent="0.35">
      <c r="A496" s="988"/>
      <c r="B496" s="200"/>
      <c r="C496" s="627"/>
      <c r="D496" s="647"/>
      <c r="E496" s="627"/>
      <c r="F496" s="627"/>
      <c r="G496" s="627"/>
      <c r="H496" s="627"/>
      <c r="I496" s="627"/>
      <c r="J496" s="627"/>
      <c r="K496" s="627"/>
      <c r="L496" s="627"/>
      <c r="M496" s="627"/>
      <c r="N496" s="761"/>
      <c r="O496" s="719"/>
      <c r="P496" s="627"/>
      <c r="Q496" s="719"/>
      <c r="R496" s="627"/>
      <c r="S496" s="627"/>
      <c r="T496" s="627"/>
      <c r="U496" s="627"/>
      <c r="V496" s="627"/>
      <c r="W496" s="627"/>
      <c r="X496" s="627"/>
      <c r="Y496" s="627"/>
      <c r="Z496" s="627"/>
      <c r="AA496" s="627"/>
      <c r="AB496" s="627"/>
      <c r="AC496" s="627"/>
      <c r="AD496" s="627"/>
      <c r="AE496" s="627"/>
      <c r="AF496" s="627"/>
      <c r="AG496" s="627"/>
      <c r="AH496" s="627"/>
      <c r="AI496" s="627"/>
      <c r="AJ496" s="627"/>
      <c r="AK496" s="627"/>
      <c r="AL496" s="627"/>
      <c r="AM496" s="627"/>
      <c r="AN496" s="647"/>
      <c r="AO496" s="761"/>
      <c r="AP496" s="627"/>
      <c r="AQ496" s="627"/>
      <c r="AR496" s="627"/>
      <c r="AS496" s="627"/>
      <c r="AT496" s="627"/>
      <c r="AU496" s="627"/>
      <c r="AV496" s="627"/>
      <c r="AW496" s="627"/>
      <c r="AX496" s="627"/>
      <c r="AY496" s="627"/>
      <c r="AZ496" s="627"/>
      <c r="BA496" s="627"/>
      <c r="BB496" s="627"/>
      <c r="BC496" s="627"/>
      <c r="BD496" s="627"/>
      <c r="BE496" s="627"/>
      <c r="BF496" s="627"/>
      <c r="BG496" s="627"/>
      <c r="BH496" s="627"/>
      <c r="BI496" s="627"/>
      <c r="BJ496" s="627"/>
      <c r="BK496" s="627"/>
      <c r="BL496" s="627"/>
      <c r="BM496" s="627"/>
      <c r="BN496" s="627"/>
      <c r="BO496" s="627"/>
      <c r="BP496" s="627"/>
    </row>
    <row r="497" spans="1:68" hidden="1" x14ac:dyDescent="0.35">
      <c r="A497" s="988">
        <f>IF(C497="x",1,0)</f>
        <v>0</v>
      </c>
      <c r="B497" s="200">
        <v>4</v>
      </c>
      <c r="C497" s="626"/>
      <c r="D497" s="627" t="str">
        <f ca="1">CÁLCULOS!D185</f>
        <v>CARRETA VANDERLEIA  capac.= 31 ton</v>
      </c>
      <c r="E497" s="627"/>
      <c r="F497" s="627"/>
      <c r="G497" s="627"/>
      <c r="H497" s="627">
        <f ca="1">CÁLCULOS!H185</f>
        <v>84</v>
      </c>
      <c r="I497" s="627" t="str">
        <f ca="1">CÁLCULOS!I185</f>
        <v>FRETES TRANSPORTANDO:</v>
      </c>
      <c r="J497" s="627"/>
      <c r="K497" s="627"/>
      <c r="L497" s="627"/>
      <c r="M497" s="627"/>
      <c r="N497" s="627"/>
      <c r="O497" s="719"/>
      <c r="P497" s="627"/>
      <c r="Q497" s="719"/>
      <c r="R497" s="627"/>
      <c r="S497" s="627"/>
      <c r="T497" s="627"/>
      <c r="U497" s="627"/>
      <c r="V497" s="627"/>
      <c r="W497" s="627"/>
      <c r="X497" s="627"/>
      <c r="Y497" s="627"/>
      <c r="Z497" s="627"/>
      <c r="AA497" s="627"/>
      <c r="AB497" s="627"/>
      <c r="AC497" s="627"/>
      <c r="AD497" s="627"/>
      <c r="AE497" s="627"/>
      <c r="AF497" s="627"/>
      <c r="AG497" s="627"/>
      <c r="AH497" s="627"/>
      <c r="AI497" s="627"/>
      <c r="AJ497" s="627"/>
      <c r="AK497" s="627"/>
      <c r="AL497" s="627"/>
      <c r="AM497" s="627"/>
      <c r="AN497" s="627"/>
      <c r="AO497" s="627"/>
      <c r="AP497" s="627"/>
      <c r="AQ497" s="627"/>
      <c r="AR497" s="627"/>
      <c r="AS497" s="627"/>
      <c r="AT497" s="627"/>
      <c r="AU497" s="627"/>
      <c r="AV497" s="627"/>
      <c r="AW497" s="627"/>
      <c r="AX497" s="627"/>
      <c r="AY497" s="627"/>
      <c r="AZ497" s="627"/>
      <c r="BA497" s="627"/>
      <c r="BB497" s="627"/>
      <c r="BC497" s="627"/>
      <c r="BD497" s="627"/>
      <c r="BE497" s="627"/>
      <c r="BF497" s="627"/>
      <c r="BG497" s="627"/>
      <c r="BH497" s="627"/>
      <c r="BI497" s="627"/>
      <c r="BJ497" s="627"/>
      <c r="BK497" s="627"/>
      <c r="BL497" s="627"/>
      <c r="BM497" s="627"/>
      <c r="BN497" s="627"/>
      <c r="BO497" s="627"/>
      <c r="BP497" s="627"/>
    </row>
    <row r="498" spans="1:68" hidden="1" x14ac:dyDescent="0.35">
      <c r="A498" s="988"/>
      <c r="B498" s="200"/>
      <c r="C498" s="195">
        <f>IF(C497="X","Y",0)</f>
        <v>0</v>
      </c>
      <c r="D498" s="502" t="str">
        <f ca="1">IF(D497=0,0,"comp.= "&amp;I464&amp;" m")</f>
        <v>comp.= 15 m</v>
      </c>
      <c r="E498" s="627">
        <f ca="1">CÁLCULOS!E186</f>
        <v>3</v>
      </c>
      <c r="F498" s="627" t="str">
        <f ca="1">CÁLCULOS!F186</f>
        <v>painéis empilhados c/ largura =2,40 m, espessura= 0,25 m e comprimento=</v>
      </c>
      <c r="G498" s="627"/>
      <c r="H498" s="627"/>
      <c r="I498" s="627"/>
      <c r="J498" s="627"/>
      <c r="K498" s="627"/>
      <c r="L498" s="627"/>
      <c r="M498" s="627"/>
      <c r="N498" s="627">
        <f ca="1">CÁLCULOS!N186</f>
        <v>7.3000000000000007</v>
      </c>
      <c r="O498" s="719" t="str">
        <f ca="1">CÁLCULOS!O186</f>
        <v>m</v>
      </c>
      <c r="P498" s="627"/>
      <c r="Q498" s="719"/>
      <c r="R498" s="627"/>
      <c r="S498" s="627"/>
      <c r="T498" s="627"/>
      <c r="U498" s="627"/>
      <c r="V498" s="627"/>
      <c r="W498" s="627"/>
      <c r="X498" s="627"/>
      <c r="Y498" s="627"/>
      <c r="Z498" s="627"/>
      <c r="AA498" s="627"/>
      <c r="AB498" s="627"/>
      <c r="AC498" s="627"/>
      <c r="AD498" s="627"/>
      <c r="AE498" s="627"/>
      <c r="AF498" s="627"/>
      <c r="AG498" s="627"/>
      <c r="AH498" s="627"/>
      <c r="AI498" s="627"/>
      <c r="AJ498" s="627"/>
      <c r="AK498" s="627"/>
      <c r="AL498" s="627"/>
      <c r="AM498" s="627"/>
      <c r="AN498" s="627"/>
      <c r="AO498" s="627"/>
      <c r="AP498" s="627"/>
      <c r="AQ498" s="627"/>
      <c r="AR498" s="627"/>
      <c r="AS498" s="627"/>
      <c r="AT498" s="627"/>
      <c r="AU498" s="627"/>
      <c r="AV498" s="627"/>
      <c r="AW498" s="627"/>
      <c r="AX498" s="627"/>
      <c r="AY498" s="627"/>
      <c r="AZ498" s="627"/>
      <c r="BA498" s="627"/>
      <c r="BB498" s="627"/>
      <c r="BC498" s="627"/>
      <c r="BD498" s="627"/>
      <c r="BE498" s="627"/>
      <c r="BF498" s="627"/>
      <c r="BG498" s="627"/>
      <c r="BH498" s="627"/>
      <c r="BI498" s="627"/>
      <c r="BJ498" s="627"/>
      <c r="BK498" s="627"/>
      <c r="BL498" s="627"/>
      <c r="BM498" s="627"/>
      <c r="BN498" s="627"/>
      <c r="BO498" s="627"/>
      <c r="BP498" s="627"/>
    </row>
    <row r="499" spans="1:68" hidden="1" x14ac:dyDescent="0.35">
      <c r="A499" s="988"/>
      <c r="B499" s="200"/>
      <c r="C499" s="627"/>
      <c r="D499" s="627"/>
      <c r="E499" s="627"/>
      <c r="F499" s="627"/>
      <c r="G499" s="627"/>
      <c r="H499" s="684"/>
      <c r="I499" s="627"/>
      <c r="J499" s="627"/>
      <c r="K499" s="627"/>
      <c r="L499" s="627"/>
      <c r="M499" s="627"/>
      <c r="N499" s="627"/>
      <c r="O499" s="719"/>
      <c r="P499" s="627"/>
      <c r="Q499" s="719"/>
      <c r="R499" s="627"/>
      <c r="S499" s="627"/>
      <c r="T499" s="627"/>
      <c r="U499" s="627"/>
      <c r="V499" s="627"/>
      <c r="W499" s="627"/>
      <c r="X499" s="627"/>
      <c r="Y499" s="627"/>
      <c r="Z499" s="627"/>
      <c r="AA499" s="627"/>
      <c r="AB499" s="627"/>
      <c r="AC499" s="627"/>
      <c r="AD499" s="627"/>
      <c r="AE499" s="627"/>
      <c r="AF499" s="627"/>
      <c r="AG499" s="627"/>
      <c r="AH499" s="627"/>
      <c r="AI499" s="627"/>
      <c r="AJ499" s="627"/>
      <c r="AK499" s="627"/>
      <c r="AL499" s="627"/>
      <c r="AM499" s="627"/>
      <c r="AN499" s="627"/>
      <c r="AO499" s="627"/>
      <c r="AP499" s="627"/>
      <c r="AQ499" s="627"/>
      <c r="AR499" s="627"/>
      <c r="AS499" s="627"/>
      <c r="AT499" s="627"/>
      <c r="AU499" s="627"/>
      <c r="AV499" s="627"/>
      <c r="AW499" s="627"/>
      <c r="AX499" s="627"/>
      <c r="AY499" s="627"/>
      <c r="AZ499" s="627"/>
      <c r="BA499" s="627"/>
      <c r="BB499" s="627"/>
      <c r="BC499" s="627"/>
      <c r="BD499" s="627"/>
      <c r="BE499" s="627"/>
      <c r="BF499" s="627"/>
      <c r="BG499" s="627"/>
      <c r="BH499" s="627"/>
      <c r="BI499" s="627"/>
      <c r="BJ499" s="627"/>
      <c r="BK499" s="627"/>
      <c r="BL499" s="627"/>
      <c r="BM499" s="627"/>
      <c r="BN499" s="627"/>
      <c r="BO499" s="627"/>
      <c r="BP499" s="627"/>
    </row>
    <row r="500" spans="1:68" hidden="1" x14ac:dyDescent="0.35">
      <c r="A500" s="988">
        <f>IF(C500="x",1,0)</f>
        <v>0</v>
      </c>
      <c r="B500" s="200">
        <v>5</v>
      </c>
      <c r="C500" s="626"/>
      <c r="D500" s="627" t="str">
        <f ca="1">CÁLCULOS!D188</f>
        <v xml:space="preserve">CARRETA VANDERLEIA  capac.= 35 ton </v>
      </c>
      <c r="E500" s="627"/>
      <c r="F500" s="627"/>
      <c r="G500" s="627"/>
      <c r="H500" s="627">
        <f ca="1">CÁLCULOS!H188</f>
        <v>63</v>
      </c>
      <c r="I500" s="627" t="str">
        <f ca="1">CÁLCULOS!I188</f>
        <v>FRETES TRANSPORTANDO:</v>
      </c>
      <c r="J500" s="627"/>
      <c r="K500" s="627"/>
      <c r="L500" s="627"/>
      <c r="M500" s="627"/>
      <c r="N500" s="627"/>
      <c r="O500" s="719"/>
      <c r="P500" s="627"/>
      <c r="Q500" s="719"/>
      <c r="R500" s="627"/>
      <c r="S500" s="627"/>
      <c r="T500" s="627"/>
      <c r="U500" s="627"/>
      <c r="V500" s="627"/>
      <c r="W500" s="627"/>
      <c r="X500" s="627"/>
      <c r="Y500" s="627"/>
      <c r="Z500" s="627"/>
      <c r="AA500" s="627"/>
      <c r="AB500" s="627"/>
      <c r="AC500" s="627"/>
      <c r="AD500" s="627"/>
      <c r="AE500" s="627"/>
      <c r="AF500" s="627"/>
      <c r="AG500" s="627"/>
      <c r="AH500" s="627"/>
      <c r="AI500" s="627"/>
      <c r="AJ500" s="627"/>
      <c r="AK500" s="627"/>
      <c r="AL500" s="627"/>
      <c r="AM500" s="627"/>
      <c r="AN500" s="627"/>
      <c r="AO500" s="627"/>
      <c r="AP500" s="627"/>
      <c r="AQ500" s="627"/>
      <c r="AR500" s="627"/>
      <c r="AS500" s="627"/>
      <c r="AT500" s="627"/>
      <c r="AU500" s="627"/>
      <c r="AV500" s="627"/>
      <c r="AW500" s="627"/>
      <c r="AX500" s="627"/>
      <c r="AY500" s="627"/>
      <c r="AZ500" s="627"/>
      <c r="BA500" s="627"/>
      <c r="BB500" s="627"/>
      <c r="BC500" s="627"/>
      <c r="BD500" s="627"/>
      <c r="BE500" s="627"/>
      <c r="BF500" s="627"/>
      <c r="BG500" s="627"/>
      <c r="BH500" s="627"/>
      <c r="BI500" s="627"/>
      <c r="BJ500" s="627"/>
      <c r="BK500" s="627"/>
      <c r="BL500" s="627"/>
      <c r="BM500" s="627"/>
      <c r="BN500" s="627"/>
      <c r="BO500" s="627"/>
      <c r="BP500" s="627"/>
    </row>
    <row r="501" spans="1:68" hidden="1" x14ac:dyDescent="0.35">
      <c r="A501" s="988"/>
      <c r="B501" s="200"/>
      <c r="C501" s="195">
        <f>IF(C500="X","Y",0)</f>
        <v>0</v>
      </c>
      <c r="D501" s="502" t="str">
        <f ca="1">IF(D500=0,0,"comp.= "&amp;I465&amp;" m")</f>
        <v>comp.= 15 m</v>
      </c>
      <c r="E501" s="627">
        <f ca="1">CÁLCULOS!E189</f>
        <v>4</v>
      </c>
      <c r="F501" s="627" t="str">
        <f ca="1">CÁLCULOS!F189</f>
        <v>painéis empilhados c/ largura =2,40 m, espessura= 0,25 m e comprimento=</v>
      </c>
      <c r="G501" s="627"/>
      <c r="H501" s="627"/>
      <c r="I501" s="627"/>
      <c r="J501" s="627"/>
      <c r="K501" s="627"/>
      <c r="L501" s="627"/>
      <c r="M501" s="627"/>
      <c r="N501" s="627">
        <f ca="1">CÁLCULOS!N189</f>
        <v>7.3000000000000007</v>
      </c>
      <c r="O501" s="719" t="str">
        <f ca="1">CÁLCULOS!O189</f>
        <v>m</v>
      </c>
      <c r="P501" s="627"/>
      <c r="Q501" s="719"/>
      <c r="R501" s="627"/>
      <c r="S501" s="627"/>
      <c r="T501" s="627"/>
      <c r="U501" s="627"/>
      <c r="V501" s="627"/>
      <c r="W501" s="627"/>
      <c r="X501" s="627"/>
      <c r="Y501" s="627"/>
      <c r="Z501" s="627"/>
      <c r="AA501" s="627"/>
      <c r="AB501" s="627"/>
      <c r="AC501" s="627"/>
      <c r="AD501" s="627"/>
      <c r="AE501" s="627"/>
      <c r="AF501" s="627"/>
      <c r="AG501" s="627"/>
      <c r="AH501" s="627"/>
      <c r="AI501" s="627"/>
      <c r="AJ501" s="627"/>
      <c r="AK501" s="627"/>
      <c r="AL501" s="627"/>
      <c r="AM501" s="627"/>
      <c r="AN501" s="627"/>
      <c r="AO501" s="627"/>
      <c r="AP501" s="627"/>
      <c r="AQ501" s="627"/>
      <c r="AR501" s="627"/>
      <c r="AS501" s="627"/>
      <c r="AT501" s="627"/>
      <c r="AU501" s="627"/>
      <c r="AV501" s="627"/>
      <c r="AW501" s="627"/>
      <c r="AX501" s="627"/>
      <c r="AY501" s="627"/>
      <c r="AZ501" s="627"/>
      <c r="BA501" s="627"/>
      <c r="BB501" s="627"/>
      <c r="BC501" s="627"/>
      <c r="BD501" s="627"/>
      <c r="BE501" s="627"/>
      <c r="BF501" s="627"/>
      <c r="BG501" s="627"/>
      <c r="BH501" s="627"/>
      <c r="BI501" s="627"/>
      <c r="BJ501" s="627"/>
      <c r="BK501" s="627"/>
      <c r="BL501" s="627"/>
      <c r="BM501" s="627"/>
      <c r="BN501" s="627"/>
      <c r="BO501" s="627"/>
      <c r="BP501" s="627"/>
    </row>
    <row r="502" spans="1:68" hidden="1" x14ac:dyDescent="0.35">
      <c r="A502" s="988"/>
      <c r="B502" s="200"/>
      <c r="C502" s="627"/>
      <c r="D502" s="627"/>
      <c r="E502" s="627"/>
      <c r="F502" s="627"/>
      <c r="G502" s="627"/>
      <c r="H502" s="684"/>
      <c r="I502" s="627"/>
      <c r="J502" s="627"/>
      <c r="K502" s="627"/>
      <c r="L502" s="627"/>
      <c r="M502" s="627"/>
      <c r="N502" s="627"/>
      <c r="O502" s="719"/>
      <c r="P502" s="627"/>
      <c r="Q502" s="719"/>
      <c r="R502" s="627"/>
      <c r="S502" s="627"/>
      <c r="T502" s="627"/>
      <c r="U502" s="627"/>
      <c r="V502" s="627"/>
      <c r="W502" s="627"/>
      <c r="X502" s="627"/>
      <c r="Y502" s="627"/>
      <c r="Z502" s="627"/>
      <c r="AA502" s="627"/>
      <c r="AB502" s="627"/>
      <c r="AC502" s="627"/>
      <c r="AD502" s="627"/>
      <c r="AE502" s="627"/>
      <c r="AF502" s="627"/>
      <c r="AG502" s="627"/>
      <c r="AH502" s="627"/>
      <c r="AI502" s="627"/>
      <c r="AJ502" s="627"/>
      <c r="AK502" s="627"/>
      <c r="AL502" s="627"/>
      <c r="AM502" s="627"/>
      <c r="AN502" s="627"/>
      <c r="AO502" s="627"/>
      <c r="AP502" s="627"/>
      <c r="AQ502" s="627"/>
      <c r="AR502" s="627"/>
      <c r="AS502" s="627"/>
      <c r="AT502" s="627"/>
      <c r="AU502" s="627"/>
      <c r="AV502" s="627"/>
      <c r="AW502" s="627"/>
      <c r="AX502" s="627"/>
      <c r="AY502" s="627"/>
      <c r="AZ502" s="627"/>
      <c r="BA502" s="627"/>
      <c r="BB502" s="627"/>
      <c r="BC502" s="627"/>
      <c r="BD502" s="627"/>
      <c r="BE502" s="627"/>
      <c r="BF502" s="627"/>
      <c r="BG502" s="627"/>
      <c r="BH502" s="627"/>
      <c r="BI502" s="627"/>
      <c r="BJ502" s="627"/>
      <c r="BK502" s="627"/>
      <c r="BL502" s="627"/>
      <c r="BM502" s="627"/>
      <c r="BN502" s="627"/>
      <c r="BO502" s="627"/>
      <c r="BP502" s="627"/>
    </row>
    <row r="503" spans="1:68" hidden="1" x14ac:dyDescent="0.35">
      <c r="A503" s="988">
        <f>IF(C503="x",1,0)</f>
        <v>0</v>
      </c>
      <c r="B503" s="200">
        <v>6</v>
      </c>
      <c r="C503" s="626"/>
      <c r="D503" s="627">
        <f ca="1">CÁLCULOS!D191</f>
        <v>0</v>
      </c>
      <c r="E503" s="627"/>
      <c r="F503" s="627"/>
      <c r="G503" s="627"/>
      <c r="H503" s="627">
        <f ca="1">CÁLCULOS!H191</f>
        <v>0</v>
      </c>
      <c r="I503" s="627">
        <f ca="1">CÁLCULOS!I191</f>
        <v>0</v>
      </c>
      <c r="J503" s="627"/>
      <c r="K503" s="627"/>
      <c r="L503" s="627"/>
      <c r="M503" s="627"/>
      <c r="N503" s="627"/>
      <c r="O503" s="719"/>
      <c r="P503" s="627"/>
      <c r="Q503" s="719"/>
      <c r="R503" s="627"/>
      <c r="S503" s="627"/>
      <c r="T503" s="627"/>
      <c r="U503" s="627"/>
      <c r="V503" s="627"/>
      <c r="W503" s="627"/>
      <c r="X503" s="627"/>
      <c r="Y503" s="627"/>
      <c r="Z503" s="627"/>
      <c r="AA503" s="627"/>
      <c r="AB503" s="627"/>
      <c r="AC503" s="627"/>
      <c r="AD503" s="627"/>
      <c r="AE503" s="627"/>
      <c r="AF503" s="627"/>
      <c r="AG503" s="627"/>
      <c r="AH503" s="627"/>
      <c r="AI503" s="627"/>
      <c r="AJ503" s="627"/>
      <c r="AK503" s="627"/>
      <c r="AL503" s="627"/>
      <c r="AM503" s="627"/>
      <c r="AN503" s="627"/>
      <c r="AO503" s="627"/>
      <c r="AP503" s="627"/>
      <c r="AQ503" s="627"/>
      <c r="AR503" s="627"/>
      <c r="AS503" s="627"/>
      <c r="AT503" s="627"/>
      <c r="AU503" s="627"/>
      <c r="AV503" s="627"/>
      <c r="AW503" s="627"/>
      <c r="AX503" s="627"/>
      <c r="AY503" s="627"/>
      <c r="AZ503" s="627"/>
      <c r="BA503" s="627"/>
      <c r="BB503" s="627"/>
      <c r="BC503" s="627"/>
      <c r="BD503" s="627"/>
      <c r="BE503" s="627"/>
      <c r="BF503" s="627"/>
      <c r="BG503" s="627"/>
      <c r="BH503" s="627"/>
      <c r="BI503" s="627"/>
      <c r="BJ503" s="627"/>
      <c r="BK503" s="627"/>
      <c r="BL503" s="627"/>
      <c r="BM503" s="627"/>
      <c r="BN503" s="627"/>
      <c r="BO503" s="627"/>
      <c r="BP503" s="627"/>
    </row>
    <row r="504" spans="1:68" hidden="1" x14ac:dyDescent="0.35">
      <c r="A504" s="988"/>
      <c r="B504" s="200"/>
      <c r="C504" s="195">
        <f>IF(C503="X","Y",0)</f>
        <v>0</v>
      </c>
      <c r="D504" s="627"/>
      <c r="E504" s="627">
        <f ca="1">CÁLCULOS!E192</f>
        <v>0</v>
      </c>
      <c r="F504" s="627">
        <f ca="1">CÁLCULOS!F192</f>
        <v>0</v>
      </c>
      <c r="G504" s="627"/>
      <c r="H504" s="627"/>
      <c r="I504" s="627"/>
      <c r="J504" s="627"/>
      <c r="K504" s="627"/>
      <c r="L504" s="627"/>
      <c r="M504" s="627"/>
      <c r="N504" s="627">
        <f ca="1">CÁLCULOS!N192</f>
        <v>0</v>
      </c>
      <c r="O504" s="719">
        <f ca="1">CÁLCULOS!O192</f>
        <v>0</v>
      </c>
      <c r="P504" s="627"/>
      <c r="Q504" s="719"/>
      <c r="R504" s="627"/>
      <c r="S504" s="627"/>
      <c r="T504" s="627"/>
      <c r="U504" s="627"/>
      <c r="V504" s="627"/>
      <c r="W504" s="627"/>
      <c r="X504" s="627"/>
      <c r="Y504" s="627"/>
      <c r="Z504" s="627"/>
      <c r="AA504" s="627"/>
      <c r="AB504" s="627"/>
      <c r="AC504" s="627"/>
      <c r="AD504" s="627"/>
      <c r="AE504" s="627"/>
      <c r="AF504" s="627"/>
      <c r="AG504" s="627"/>
      <c r="AH504" s="627"/>
      <c r="AI504" s="627"/>
      <c r="AJ504" s="627"/>
      <c r="AK504" s="627"/>
      <c r="AL504" s="627"/>
      <c r="AM504" s="627"/>
      <c r="AN504" s="627"/>
      <c r="AO504" s="627"/>
      <c r="AP504" s="627"/>
      <c r="AQ504" s="627"/>
      <c r="AR504" s="627"/>
      <c r="AS504" s="627"/>
      <c r="AT504" s="627"/>
      <c r="AU504" s="627"/>
      <c r="AV504" s="627"/>
      <c r="AW504" s="627"/>
      <c r="AX504" s="627"/>
      <c r="AY504" s="627"/>
      <c r="AZ504" s="627"/>
      <c r="BA504" s="627"/>
      <c r="BB504" s="627"/>
      <c r="BC504" s="627"/>
      <c r="BD504" s="627"/>
      <c r="BE504" s="627"/>
      <c r="BF504" s="627"/>
      <c r="BG504" s="627"/>
      <c r="BH504" s="627"/>
      <c r="BI504" s="627"/>
      <c r="BJ504" s="627"/>
      <c r="BK504" s="627"/>
      <c r="BL504" s="627"/>
      <c r="BM504" s="627"/>
      <c r="BN504" s="627"/>
      <c r="BO504" s="627"/>
      <c r="BP504" s="627"/>
    </row>
    <row r="505" spans="1:68" hidden="1" x14ac:dyDescent="0.35">
      <c r="A505" s="988"/>
      <c r="B505" s="200"/>
      <c r="C505" s="627"/>
      <c r="D505" s="627"/>
      <c r="E505" s="627"/>
      <c r="F505" s="627"/>
      <c r="G505" s="627"/>
      <c r="H505" s="684"/>
      <c r="I505" s="627"/>
      <c r="J505" s="627"/>
      <c r="K505" s="627"/>
      <c r="L505" s="627"/>
      <c r="M505" s="627"/>
      <c r="N505" s="627"/>
      <c r="O505" s="719"/>
      <c r="P505" s="627"/>
      <c r="Q505" s="719"/>
      <c r="R505" s="627"/>
      <c r="S505" s="627"/>
      <c r="T505" s="627"/>
      <c r="U505" s="627"/>
      <c r="V505" s="627"/>
      <c r="W505" s="627"/>
      <c r="X505" s="627"/>
      <c r="Y505" s="627"/>
      <c r="Z505" s="627"/>
      <c r="AA505" s="627"/>
      <c r="AB505" s="627"/>
      <c r="AC505" s="627"/>
      <c r="AD505" s="627"/>
      <c r="AE505" s="627"/>
      <c r="AF505" s="627"/>
      <c r="AG505" s="627"/>
      <c r="AH505" s="627"/>
      <c r="AI505" s="627"/>
      <c r="AJ505" s="627"/>
      <c r="AK505" s="627"/>
      <c r="AL505" s="627"/>
      <c r="AM505" s="627"/>
      <c r="AN505" s="627"/>
      <c r="AO505" s="627"/>
      <c r="AP505" s="627"/>
      <c r="AQ505" s="627"/>
      <c r="AR505" s="627"/>
      <c r="AS505" s="627"/>
      <c r="AT505" s="627"/>
      <c r="AU505" s="627"/>
      <c r="AV505" s="627"/>
      <c r="AW505" s="627"/>
      <c r="AX505" s="627"/>
      <c r="AY505" s="627"/>
      <c r="AZ505" s="627"/>
      <c r="BA505" s="627"/>
      <c r="BB505" s="627"/>
      <c r="BC505" s="627"/>
      <c r="BD505" s="627"/>
      <c r="BE505" s="627"/>
      <c r="BF505" s="627"/>
      <c r="BG505" s="627"/>
      <c r="BH505" s="627"/>
      <c r="BI505" s="627"/>
      <c r="BJ505" s="627"/>
      <c r="BK505" s="627"/>
      <c r="BL505" s="627"/>
      <c r="BM505" s="627"/>
      <c r="BN505" s="627"/>
      <c r="BO505" s="627"/>
      <c r="BP505" s="627"/>
    </row>
    <row r="506" spans="1:68" hidden="1" x14ac:dyDescent="0.35">
      <c r="A506" s="988">
        <f>IF(C506="x",1,0)</f>
        <v>0</v>
      </c>
      <c r="B506" s="200">
        <v>7</v>
      </c>
      <c r="C506" s="626"/>
      <c r="D506" s="627">
        <f ca="1">CÁLCULOS!D194</f>
        <v>0</v>
      </c>
      <c r="E506" s="627"/>
      <c r="F506" s="627"/>
      <c r="G506" s="627"/>
      <c r="H506" s="627">
        <f ca="1">CÁLCULOS!H194</f>
        <v>0</v>
      </c>
      <c r="I506" s="627">
        <f ca="1">CÁLCULOS!I194</f>
        <v>0</v>
      </c>
      <c r="J506" s="627"/>
      <c r="K506" s="627"/>
      <c r="L506" s="627"/>
      <c r="M506" s="627"/>
      <c r="N506" s="627"/>
      <c r="O506" s="719"/>
      <c r="P506" s="627"/>
      <c r="Q506" s="719"/>
      <c r="R506" s="627"/>
      <c r="S506" s="627"/>
      <c r="T506" s="627"/>
      <c r="U506" s="627"/>
      <c r="V506" s="627"/>
      <c r="W506" s="627"/>
      <c r="X506" s="627"/>
      <c r="Y506" s="627"/>
      <c r="Z506" s="627"/>
      <c r="AA506" s="627"/>
      <c r="AB506" s="627"/>
      <c r="AC506" s="627"/>
      <c r="AD506" s="627"/>
      <c r="AE506" s="627"/>
      <c r="AF506" s="627"/>
      <c r="AG506" s="627"/>
      <c r="AH506" s="627"/>
      <c r="AI506" s="627"/>
      <c r="AJ506" s="627"/>
      <c r="AK506" s="627"/>
      <c r="AL506" s="627"/>
      <c r="AM506" s="627"/>
      <c r="AN506" s="627"/>
      <c r="AO506" s="627"/>
      <c r="AP506" s="627"/>
      <c r="AQ506" s="627"/>
      <c r="AR506" s="627"/>
      <c r="AS506" s="627"/>
      <c r="AT506" s="627"/>
      <c r="AU506" s="627"/>
      <c r="AV506" s="627"/>
      <c r="AW506" s="627"/>
      <c r="AX506" s="627"/>
      <c r="AY506" s="627"/>
      <c r="AZ506" s="627"/>
      <c r="BA506" s="627"/>
      <c r="BB506" s="627"/>
      <c r="BC506" s="627"/>
      <c r="BD506" s="627"/>
      <c r="BE506" s="627"/>
      <c r="BF506" s="627"/>
      <c r="BG506" s="627"/>
      <c r="BH506" s="627"/>
      <c r="BI506" s="627"/>
      <c r="BJ506" s="627"/>
      <c r="BK506" s="627"/>
      <c r="BL506" s="627"/>
      <c r="BM506" s="627"/>
      <c r="BN506" s="627"/>
      <c r="BO506" s="627"/>
      <c r="BP506" s="627"/>
    </row>
    <row r="507" spans="1:68" hidden="1" x14ac:dyDescent="0.35">
      <c r="A507" s="988"/>
      <c r="B507" s="200"/>
      <c r="C507" s="195">
        <f>IF(C506="X","Y",0)</f>
        <v>0</v>
      </c>
      <c r="D507" s="627"/>
      <c r="E507" s="627">
        <f ca="1">CÁLCULOS!E195</f>
        <v>0</v>
      </c>
      <c r="F507" s="627">
        <f ca="1">CÁLCULOS!F195</f>
        <v>0</v>
      </c>
      <c r="G507" s="627"/>
      <c r="H507" s="627"/>
      <c r="I507" s="627"/>
      <c r="J507" s="627"/>
      <c r="K507" s="627"/>
      <c r="L507" s="627"/>
      <c r="M507" s="627"/>
      <c r="N507" s="627">
        <f ca="1">CÁLCULOS!N195</f>
        <v>0</v>
      </c>
      <c r="O507" s="719">
        <f ca="1">CÁLCULOS!O195</f>
        <v>0</v>
      </c>
      <c r="P507" s="627"/>
      <c r="Q507" s="719"/>
      <c r="R507" s="627"/>
      <c r="S507" s="627"/>
      <c r="T507" s="627"/>
      <c r="U507" s="627"/>
      <c r="V507" s="627"/>
      <c r="W507" s="627"/>
      <c r="X507" s="627"/>
      <c r="Y507" s="627"/>
      <c r="Z507" s="627"/>
      <c r="AA507" s="627"/>
      <c r="AB507" s="627"/>
      <c r="AC507" s="627"/>
      <c r="AD507" s="627"/>
      <c r="AE507" s="627"/>
      <c r="AF507" s="627"/>
      <c r="AG507" s="627"/>
      <c r="AH507" s="627"/>
      <c r="AI507" s="627"/>
      <c r="AJ507" s="627"/>
      <c r="AK507" s="627"/>
      <c r="AL507" s="627"/>
      <c r="AM507" s="627"/>
      <c r="AN507" s="627"/>
      <c r="AO507" s="627"/>
      <c r="AP507" s="627"/>
      <c r="AQ507" s="627"/>
      <c r="AR507" s="627"/>
      <c r="AS507" s="627"/>
      <c r="AT507" s="627"/>
      <c r="AU507" s="627"/>
      <c r="AV507" s="627"/>
      <c r="AW507" s="627"/>
      <c r="AX507" s="627"/>
      <c r="AY507" s="627"/>
      <c r="AZ507" s="627"/>
      <c r="BA507" s="627"/>
      <c r="BB507" s="627"/>
      <c r="BC507" s="627"/>
      <c r="BD507" s="627"/>
      <c r="BE507" s="627"/>
      <c r="BF507" s="627"/>
      <c r="BG507" s="627"/>
      <c r="BH507" s="627"/>
      <c r="BI507" s="627"/>
      <c r="BJ507" s="627"/>
      <c r="BK507" s="627"/>
      <c r="BL507" s="627"/>
      <c r="BM507" s="627"/>
      <c r="BN507" s="627"/>
      <c r="BO507" s="627"/>
      <c r="BP507" s="627"/>
    </row>
    <row r="508" spans="1:68" hidden="1" x14ac:dyDescent="0.35">
      <c r="A508" s="988"/>
      <c r="B508" s="200"/>
      <c r="C508" s="627"/>
      <c r="D508" s="627"/>
      <c r="E508" s="627"/>
      <c r="F508" s="627"/>
      <c r="G508" s="627"/>
      <c r="H508" s="684"/>
      <c r="I508" s="627"/>
      <c r="J508" s="627"/>
      <c r="K508" s="627"/>
      <c r="L508" s="627"/>
      <c r="M508" s="627"/>
      <c r="N508" s="627"/>
      <c r="O508" s="719"/>
      <c r="P508" s="627"/>
      <c r="Q508" s="719"/>
      <c r="R508" s="627"/>
      <c r="S508" s="627"/>
      <c r="T508" s="627"/>
      <c r="U508" s="627"/>
      <c r="V508" s="627"/>
      <c r="W508" s="627"/>
      <c r="X508" s="627"/>
      <c r="Y508" s="627"/>
      <c r="Z508" s="627"/>
      <c r="AA508" s="627"/>
      <c r="AB508" s="627"/>
      <c r="AC508" s="627"/>
      <c r="AD508" s="627"/>
      <c r="AE508" s="627"/>
      <c r="AF508" s="627"/>
      <c r="AG508" s="627"/>
      <c r="AH508" s="627"/>
      <c r="AI508" s="627"/>
      <c r="AJ508" s="627"/>
      <c r="AK508" s="627"/>
      <c r="AL508" s="627"/>
      <c r="AM508" s="627"/>
      <c r="AN508" s="627"/>
      <c r="AO508" s="627"/>
      <c r="AP508" s="627"/>
      <c r="AQ508" s="627"/>
      <c r="AR508" s="627"/>
      <c r="AS508" s="627"/>
      <c r="AT508" s="627"/>
      <c r="AU508" s="627"/>
      <c r="AV508" s="627"/>
      <c r="AW508" s="627"/>
      <c r="AX508" s="627"/>
      <c r="AY508" s="627"/>
      <c r="AZ508" s="627"/>
      <c r="BA508" s="627"/>
      <c r="BB508" s="627"/>
      <c r="BC508" s="627"/>
      <c r="BD508" s="627"/>
      <c r="BE508" s="627"/>
      <c r="BF508" s="627"/>
      <c r="BG508" s="627"/>
      <c r="BH508" s="627"/>
      <c r="BI508" s="627"/>
      <c r="BJ508" s="627"/>
      <c r="BK508" s="627"/>
      <c r="BL508" s="627"/>
      <c r="BM508" s="627"/>
      <c r="BN508" s="627"/>
      <c r="BO508" s="627"/>
      <c r="BP508" s="627"/>
    </row>
    <row r="509" spans="1:68" hidden="1" x14ac:dyDescent="0.35">
      <c r="A509" s="988">
        <f>IF(C509="x",1,0)</f>
        <v>0</v>
      </c>
      <c r="B509" s="200">
        <v>8</v>
      </c>
      <c r="C509" s="626"/>
      <c r="D509" s="627">
        <f ca="1">CÁLCULOS!D197</f>
        <v>0</v>
      </c>
      <c r="E509" s="627"/>
      <c r="F509" s="627"/>
      <c r="G509" s="627"/>
      <c r="H509" s="627">
        <f ca="1">CÁLCULOS!H197</f>
        <v>0</v>
      </c>
      <c r="I509" s="627">
        <f ca="1">CÁLCULOS!I197</f>
        <v>0</v>
      </c>
      <c r="J509" s="627"/>
      <c r="K509" s="627"/>
      <c r="L509" s="627"/>
      <c r="M509" s="627"/>
      <c r="N509" s="627"/>
      <c r="O509" s="719"/>
      <c r="P509" s="627"/>
      <c r="Q509" s="719"/>
      <c r="R509" s="627"/>
      <c r="S509" s="627"/>
      <c r="T509" s="627"/>
      <c r="U509" s="627"/>
      <c r="V509" s="627"/>
      <c r="W509" s="627"/>
      <c r="X509" s="627"/>
      <c r="Y509" s="627"/>
      <c r="Z509" s="627"/>
      <c r="AA509" s="627"/>
      <c r="AB509" s="627"/>
      <c r="AC509" s="627"/>
      <c r="AD509" s="627"/>
      <c r="AE509" s="627"/>
      <c r="AF509" s="627"/>
      <c r="AG509" s="627"/>
      <c r="AH509" s="627"/>
      <c r="AI509" s="627"/>
      <c r="AJ509" s="627"/>
      <c r="AK509" s="627"/>
      <c r="AL509" s="627"/>
      <c r="AM509" s="627"/>
      <c r="AN509" s="627"/>
      <c r="AO509" s="627"/>
      <c r="AP509" s="627"/>
      <c r="AQ509" s="627"/>
      <c r="AR509" s="627"/>
      <c r="AS509" s="627"/>
      <c r="AT509" s="627"/>
      <c r="AU509" s="627"/>
      <c r="AV509" s="627"/>
      <c r="AW509" s="627"/>
      <c r="AX509" s="627"/>
      <c r="AY509" s="627"/>
      <c r="AZ509" s="627"/>
      <c r="BA509" s="627"/>
      <c r="BB509" s="627"/>
      <c r="BC509" s="627"/>
      <c r="BD509" s="627"/>
      <c r="BE509" s="627"/>
      <c r="BF509" s="627"/>
      <c r="BG509" s="627"/>
      <c r="BH509" s="627"/>
      <c r="BI509" s="627"/>
      <c r="BJ509" s="627"/>
      <c r="BK509" s="627"/>
      <c r="BL509" s="627"/>
      <c r="BM509" s="627"/>
      <c r="BN509" s="627"/>
      <c r="BO509" s="627"/>
      <c r="BP509" s="627"/>
    </row>
    <row r="510" spans="1:68" hidden="1" x14ac:dyDescent="0.35">
      <c r="A510" s="988"/>
      <c r="B510" s="200"/>
      <c r="C510" s="195">
        <f>IF(C509="X","Y",0)</f>
        <v>0</v>
      </c>
      <c r="D510" s="627"/>
      <c r="E510" s="627">
        <f ca="1">CÁLCULOS!E198</f>
        <v>0</v>
      </c>
      <c r="F510" s="627">
        <f ca="1">CÁLCULOS!F198</f>
        <v>0</v>
      </c>
      <c r="G510" s="627"/>
      <c r="H510" s="627"/>
      <c r="I510" s="627"/>
      <c r="J510" s="627"/>
      <c r="K510" s="627"/>
      <c r="L510" s="627"/>
      <c r="M510" s="627"/>
      <c r="N510" s="627">
        <f ca="1">CÁLCULOS!N198</f>
        <v>0</v>
      </c>
      <c r="O510" s="719">
        <f ca="1">CÁLCULOS!O198</f>
        <v>0</v>
      </c>
      <c r="P510" s="627"/>
      <c r="Q510" s="719"/>
      <c r="R510" s="627"/>
      <c r="S510" s="627"/>
      <c r="T510" s="627"/>
      <c r="U510" s="627"/>
      <c r="V510" s="627"/>
      <c r="W510" s="627"/>
      <c r="X510" s="627"/>
      <c r="Y510" s="627"/>
      <c r="Z510" s="627"/>
      <c r="AA510" s="627"/>
      <c r="AB510" s="627"/>
      <c r="AC510" s="627"/>
      <c r="AD510" s="627"/>
      <c r="AE510" s="627"/>
      <c r="AF510" s="627"/>
      <c r="AG510" s="627"/>
      <c r="AH510" s="627"/>
      <c r="AI510" s="627"/>
      <c r="AJ510" s="627"/>
      <c r="AK510" s="627"/>
      <c r="AL510" s="627"/>
      <c r="AM510" s="627"/>
      <c r="AN510" s="627"/>
      <c r="AO510" s="627"/>
      <c r="AP510" s="627"/>
      <c r="AQ510" s="627"/>
      <c r="AR510" s="627"/>
      <c r="AS510" s="627"/>
      <c r="AT510" s="627"/>
      <c r="AU510" s="627"/>
      <c r="AV510" s="627"/>
      <c r="AW510" s="627"/>
      <c r="AX510" s="627"/>
      <c r="AY510" s="627"/>
      <c r="AZ510" s="627"/>
      <c r="BA510" s="627"/>
      <c r="BB510" s="627"/>
      <c r="BC510" s="627"/>
      <c r="BD510" s="627"/>
      <c r="BE510" s="627"/>
      <c r="BF510" s="627"/>
      <c r="BG510" s="627"/>
      <c r="BH510" s="627"/>
      <c r="BI510" s="627"/>
      <c r="BJ510" s="627"/>
      <c r="BK510" s="627"/>
      <c r="BL510" s="627"/>
      <c r="BM510" s="627"/>
      <c r="BN510" s="627"/>
      <c r="BO510" s="627"/>
      <c r="BP510" s="627"/>
    </row>
    <row r="511" spans="1:68" hidden="1" x14ac:dyDescent="0.35">
      <c r="A511" s="988"/>
      <c r="B511" s="200"/>
      <c r="C511" s="627"/>
      <c r="D511" s="627"/>
      <c r="E511" s="627"/>
      <c r="F511" s="627"/>
      <c r="G511" s="627"/>
      <c r="H511" s="684"/>
      <c r="I511" s="627"/>
      <c r="J511" s="627"/>
      <c r="K511" s="627"/>
      <c r="L511" s="627"/>
      <c r="M511" s="627"/>
      <c r="N511" s="627"/>
      <c r="O511" s="719"/>
      <c r="P511" s="627"/>
      <c r="Q511" s="719"/>
      <c r="R511" s="627"/>
      <c r="S511" s="627"/>
      <c r="T511" s="627"/>
      <c r="U511" s="627"/>
      <c r="V511" s="627"/>
      <c r="W511" s="627"/>
      <c r="X511" s="627"/>
      <c r="Y511" s="627"/>
      <c r="Z511" s="627"/>
      <c r="AA511" s="627"/>
      <c r="AB511" s="627"/>
      <c r="AC511" s="627"/>
      <c r="AD511" s="627"/>
      <c r="AE511" s="627"/>
      <c r="AF511" s="627"/>
      <c r="AG511" s="627"/>
      <c r="AH511" s="627"/>
      <c r="AI511" s="627"/>
      <c r="AJ511" s="627"/>
      <c r="AK511" s="627"/>
      <c r="AL511" s="627"/>
      <c r="AM511" s="627"/>
      <c r="AN511" s="627"/>
      <c r="AO511" s="627"/>
      <c r="AP511" s="627"/>
      <c r="AQ511" s="627"/>
      <c r="AR511" s="627"/>
      <c r="AS511" s="627"/>
      <c r="AT511" s="627"/>
      <c r="AU511" s="627"/>
      <c r="AV511" s="627"/>
      <c r="AW511" s="627"/>
      <c r="AX511" s="627"/>
      <c r="AY511" s="627"/>
      <c r="AZ511" s="627"/>
      <c r="BA511" s="627"/>
      <c r="BB511" s="627"/>
      <c r="BC511" s="627"/>
      <c r="BD511" s="627"/>
      <c r="BE511" s="627"/>
      <c r="BF511" s="627"/>
      <c r="BG511" s="627"/>
      <c r="BH511" s="627"/>
      <c r="BI511" s="627"/>
      <c r="BJ511" s="627"/>
      <c r="BK511" s="627"/>
      <c r="BL511" s="627"/>
      <c r="BM511" s="627"/>
      <c r="BN511" s="627"/>
      <c r="BO511" s="627"/>
      <c r="BP511" s="627"/>
    </row>
    <row r="512" spans="1:68" hidden="1" x14ac:dyDescent="0.35">
      <c r="A512" s="988">
        <f>IF(C512="x",1,0)</f>
        <v>0</v>
      </c>
      <c r="B512" s="200">
        <v>9</v>
      </c>
      <c r="C512" s="626"/>
      <c r="D512" s="627">
        <f ca="1">CÁLCULOS!D200</f>
        <v>0</v>
      </c>
      <c r="E512" s="627"/>
      <c r="F512" s="627"/>
      <c r="G512" s="627"/>
      <c r="H512" s="627">
        <f ca="1">CÁLCULOS!H200</f>
        <v>0</v>
      </c>
      <c r="I512" s="627">
        <f ca="1">CÁLCULOS!I200</f>
        <v>0</v>
      </c>
      <c r="J512" s="627"/>
      <c r="K512" s="627"/>
      <c r="L512" s="627"/>
      <c r="M512" s="627"/>
      <c r="N512" s="627"/>
      <c r="O512" s="719"/>
      <c r="P512" s="627"/>
      <c r="Q512" s="719"/>
      <c r="R512" s="627"/>
      <c r="S512" s="627"/>
      <c r="T512" s="627"/>
      <c r="U512" s="627"/>
      <c r="V512" s="627"/>
      <c r="W512" s="627"/>
      <c r="X512" s="627"/>
      <c r="Y512" s="627"/>
      <c r="Z512" s="627"/>
      <c r="AA512" s="627"/>
      <c r="AB512" s="627"/>
      <c r="AC512" s="627"/>
      <c r="AD512" s="627"/>
      <c r="AE512" s="627"/>
      <c r="AF512" s="627"/>
      <c r="AG512" s="627"/>
      <c r="AH512" s="627"/>
      <c r="AI512" s="627"/>
      <c r="AJ512" s="627"/>
      <c r="AK512" s="627"/>
      <c r="AL512" s="627"/>
      <c r="AM512" s="627"/>
      <c r="AN512" s="627"/>
      <c r="AO512" s="627"/>
      <c r="AP512" s="627"/>
      <c r="AQ512" s="627"/>
      <c r="AR512" s="627"/>
      <c r="AS512" s="627"/>
      <c r="AT512" s="627"/>
      <c r="AU512" s="627"/>
      <c r="AV512" s="627"/>
      <c r="AW512" s="627"/>
      <c r="AX512" s="627"/>
      <c r="AY512" s="627"/>
      <c r="AZ512" s="627"/>
      <c r="BA512" s="627"/>
      <c r="BB512" s="627"/>
      <c r="BC512" s="627"/>
      <c r="BD512" s="627"/>
      <c r="BE512" s="627"/>
      <c r="BF512" s="627"/>
      <c r="BG512" s="627"/>
      <c r="BH512" s="627"/>
      <c r="BI512" s="627"/>
      <c r="BJ512" s="627"/>
      <c r="BK512" s="627"/>
      <c r="BL512" s="627"/>
      <c r="BM512" s="627"/>
      <c r="BN512" s="627"/>
      <c r="BO512" s="627"/>
      <c r="BP512" s="627"/>
    </row>
    <row r="513" spans="1:17" hidden="1" x14ac:dyDescent="0.35">
      <c r="A513" s="988"/>
      <c r="B513" s="200"/>
      <c r="C513" s="195">
        <f>IF(C512="X","Y",0)</f>
        <v>0</v>
      </c>
      <c r="D513" s="627"/>
      <c r="E513" s="627">
        <f ca="1">CÁLCULOS!E201</f>
        <v>0</v>
      </c>
      <c r="F513" s="627">
        <f ca="1">CÁLCULOS!F201</f>
        <v>0</v>
      </c>
      <c r="G513" s="627"/>
      <c r="H513" s="627"/>
      <c r="I513" s="627"/>
      <c r="J513" s="627"/>
      <c r="K513" s="627"/>
      <c r="L513" s="627"/>
      <c r="M513" s="627"/>
      <c r="N513" s="627">
        <f ca="1">CÁLCULOS!N201</f>
        <v>0</v>
      </c>
      <c r="O513" s="719">
        <f ca="1">CÁLCULOS!O201</f>
        <v>0</v>
      </c>
      <c r="P513" s="627"/>
      <c r="Q513" s="719"/>
    </row>
    <row r="514" spans="1:17" hidden="1" x14ac:dyDescent="0.35">
      <c r="A514" s="988"/>
      <c r="B514" s="200"/>
      <c r="C514" s="627"/>
      <c r="D514" s="627"/>
      <c r="E514" s="627"/>
      <c r="F514" s="627"/>
      <c r="G514" s="627"/>
      <c r="H514" s="684"/>
      <c r="I514" s="627"/>
      <c r="J514" s="627"/>
      <c r="K514" s="627"/>
      <c r="L514" s="627"/>
      <c r="M514" s="627"/>
      <c r="N514" s="627"/>
      <c r="O514" s="719"/>
      <c r="P514" s="627"/>
      <c r="Q514" s="719"/>
    </row>
    <row r="515" spans="1:17" hidden="1" x14ac:dyDescent="0.35">
      <c r="A515" s="988">
        <f>IF(C515="x",1,0)</f>
        <v>0</v>
      </c>
      <c r="B515" s="200">
        <v>10</v>
      </c>
      <c r="C515" s="626"/>
      <c r="D515" s="627">
        <f ca="1">CÁLCULOS!D203</f>
        <v>0</v>
      </c>
      <c r="E515" s="627"/>
      <c r="F515" s="627"/>
      <c r="G515" s="627"/>
      <c r="H515" s="627">
        <f ca="1">CÁLCULOS!H203</f>
        <v>0</v>
      </c>
      <c r="I515" s="627">
        <f ca="1">CÁLCULOS!I203</f>
        <v>0</v>
      </c>
      <c r="J515" s="627"/>
      <c r="K515" s="627"/>
      <c r="L515" s="627"/>
      <c r="M515" s="627"/>
      <c r="N515" s="627"/>
      <c r="O515" s="719"/>
      <c r="P515" s="627"/>
      <c r="Q515" s="719"/>
    </row>
    <row r="516" spans="1:17" hidden="1" x14ac:dyDescent="0.35">
      <c r="A516" s="988"/>
      <c r="B516" s="200"/>
      <c r="C516" s="195">
        <f>IF(C515="X","Y",0)</f>
        <v>0</v>
      </c>
      <c r="D516" s="627"/>
      <c r="E516" s="627">
        <f ca="1">CÁLCULOS!E204</f>
        <v>0</v>
      </c>
      <c r="F516" s="627">
        <f ca="1">CÁLCULOS!F204</f>
        <v>0</v>
      </c>
      <c r="G516" s="627"/>
      <c r="H516" s="627"/>
      <c r="I516" s="627"/>
      <c r="J516" s="627"/>
      <c r="K516" s="627"/>
      <c r="L516" s="627"/>
      <c r="M516" s="627"/>
      <c r="N516" s="627">
        <f ca="1">CÁLCULOS!N204</f>
        <v>0</v>
      </c>
      <c r="O516" s="719">
        <f ca="1">CÁLCULOS!O204</f>
        <v>0</v>
      </c>
      <c r="P516" s="627"/>
      <c r="Q516" s="719"/>
    </row>
    <row r="517" spans="1:17" hidden="1" x14ac:dyDescent="0.35">
      <c r="A517" s="988"/>
      <c r="B517" s="200"/>
      <c r="C517" s="195"/>
      <c r="D517" s="627"/>
      <c r="E517" s="627"/>
      <c r="F517" s="627"/>
      <c r="G517" s="627"/>
      <c r="H517" s="684"/>
      <c r="I517" s="627"/>
      <c r="J517" s="627"/>
      <c r="K517" s="627"/>
      <c r="L517" s="627"/>
      <c r="M517" s="627"/>
      <c r="N517" s="761"/>
      <c r="O517" s="719"/>
      <c r="P517" s="627"/>
      <c r="Q517" s="719"/>
    </row>
    <row r="518" spans="1:17" hidden="1" x14ac:dyDescent="0.35">
      <c r="A518" s="988">
        <f>IF(C518="x",1,0)</f>
        <v>0</v>
      </c>
      <c r="B518" s="200">
        <v>10</v>
      </c>
      <c r="C518" s="626"/>
      <c r="D518" s="627">
        <f ca="1">CÁLCULOS!D206</f>
        <v>0</v>
      </c>
      <c r="E518" s="627"/>
      <c r="F518" s="627"/>
      <c r="G518" s="627"/>
      <c r="H518" s="627">
        <f ca="1">CÁLCULOS!H206</f>
        <v>0</v>
      </c>
      <c r="I518" s="627">
        <f ca="1">CÁLCULOS!I206</f>
        <v>0</v>
      </c>
      <c r="J518" s="627"/>
      <c r="K518" s="627"/>
      <c r="L518" s="627"/>
      <c r="M518" s="627"/>
      <c r="N518" s="627"/>
      <c r="O518" s="719"/>
      <c r="P518" s="627"/>
      <c r="Q518" s="719"/>
    </row>
    <row r="519" spans="1:17" hidden="1" x14ac:dyDescent="0.35">
      <c r="A519" s="988"/>
      <c r="B519" s="200"/>
      <c r="C519" s="195">
        <f>IF(C518="X","Y",0)</f>
        <v>0</v>
      </c>
      <c r="D519" s="627"/>
      <c r="E519" s="627">
        <f ca="1">CÁLCULOS!E207</f>
        <v>0</v>
      </c>
      <c r="F519" s="627">
        <f ca="1">CÁLCULOS!F207</f>
        <v>0</v>
      </c>
      <c r="G519" s="627"/>
      <c r="H519" s="627"/>
      <c r="I519" s="627"/>
      <c r="J519" s="627"/>
      <c r="K519" s="627"/>
      <c r="L519" s="627"/>
      <c r="M519" s="627"/>
      <c r="N519" s="627">
        <f ca="1">CÁLCULOS!N207</f>
        <v>0</v>
      </c>
      <c r="O519" s="719">
        <f ca="1">CÁLCULOS!O207</f>
        <v>0</v>
      </c>
      <c r="P519" s="627"/>
      <c r="Q519" s="719"/>
    </row>
    <row r="520" spans="1:17" hidden="1" x14ac:dyDescent="0.35">
      <c r="A520" s="988"/>
      <c r="B520" s="200"/>
      <c r="C520" s="195"/>
      <c r="D520" s="627"/>
      <c r="E520" s="627"/>
      <c r="F520" s="627"/>
      <c r="G520" s="627"/>
      <c r="H520" s="684"/>
      <c r="I520" s="627"/>
      <c r="J520" s="627"/>
      <c r="K520" s="627"/>
      <c r="L520" s="627"/>
      <c r="M520" s="627"/>
      <c r="N520" s="761"/>
      <c r="O520" s="719"/>
      <c r="P520" s="627"/>
      <c r="Q520" s="719"/>
    </row>
    <row r="521" spans="1:17" hidden="1" x14ac:dyDescent="0.35">
      <c r="A521" s="988">
        <f>IF(C521="x",1,0)</f>
        <v>0</v>
      </c>
      <c r="B521" s="200">
        <v>10</v>
      </c>
      <c r="C521" s="626"/>
      <c r="D521" s="627">
        <f ca="1">CÁLCULOS!D209</f>
        <v>0</v>
      </c>
      <c r="E521" s="627"/>
      <c r="F521" s="627"/>
      <c r="G521" s="627"/>
      <c r="H521" s="627">
        <f ca="1">CÁLCULOS!H209</f>
        <v>0</v>
      </c>
      <c r="I521" s="627">
        <f ca="1">CÁLCULOS!I209</f>
        <v>0</v>
      </c>
      <c r="J521" s="627"/>
      <c r="K521" s="627"/>
      <c r="L521" s="627"/>
      <c r="M521" s="627"/>
      <c r="N521" s="627"/>
      <c r="O521" s="719"/>
      <c r="P521" s="627"/>
      <c r="Q521" s="719"/>
    </row>
    <row r="522" spans="1:17" hidden="1" x14ac:dyDescent="0.35">
      <c r="A522" s="988"/>
      <c r="B522" s="200"/>
      <c r="C522" s="195">
        <f>IF(C521="X","Y",0)</f>
        <v>0</v>
      </c>
      <c r="D522" s="627"/>
      <c r="E522" s="627">
        <f ca="1">CÁLCULOS!E210</f>
        <v>0</v>
      </c>
      <c r="F522" s="627">
        <f ca="1">CÁLCULOS!F210</f>
        <v>0</v>
      </c>
      <c r="G522" s="627"/>
      <c r="H522" s="627"/>
      <c r="I522" s="627"/>
      <c r="J522" s="627"/>
      <c r="K522" s="627"/>
      <c r="L522" s="627"/>
      <c r="M522" s="627"/>
      <c r="N522" s="627">
        <f ca="1">CÁLCULOS!N210</f>
        <v>0</v>
      </c>
      <c r="O522" s="719">
        <f ca="1">CÁLCULOS!O210</f>
        <v>0</v>
      </c>
      <c r="P522" s="627"/>
      <c r="Q522" s="719"/>
    </row>
    <row r="523" spans="1:17" hidden="1" x14ac:dyDescent="0.35">
      <c r="A523" s="988"/>
      <c r="B523" s="200"/>
      <c r="C523" s="195"/>
      <c r="D523" s="627"/>
      <c r="E523" s="627"/>
      <c r="F523" s="627"/>
      <c r="G523" s="627"/>
      <c r="H523" s="684"/>
      <c r="I523" s="627"/>
      <c r="J523" s="627"/>
      <c r="K523" s="627"/>
      <c r="L523" s="627"/>
      <c r="M523" s="627"/>
      <c r="N523" s="761"/>
      <c r="O523" s="719"/>
      <c r="P523" s="627"/>
      <c r="Q523" s="719"/>
    </row>
    <row r="524" spans="1:17" hidden="1" x14ac:dyDescent="0.35">
      <c r="A524" s="988">
        <f>IF(C524="x",1,0)</f>
        <v>0</v>
      </c>
      <c r="B524" s="200">
        <v>10</v>
      </c>
      <c r="C524" s="626"/>
      <c r="D524" s="627">
        <f ca="1">CÁLCULOS!D212</f>
        <v>0</v>
      </c>
      <c r="E524" s="627"/>
      <c r="F524" s="627"/>
      <c r="G524" s="627"/>
      <c r="H524" s="627">
        <f ca="1">CÁLCULOS!H212</f>
        <v>0</v>
      </c>
      <c r="I524" s="627">
        <f ca="1">CÁLCULOS!I212</f>
        <v>0</v>
      </c>
      <c r="J524" s="627"/>
      <c r="K524" s="627"/>
      <c r="L524" s="627"/>
      <c r="M524" s="627"/>
      <c r="N524" s="627"/>
      <c r="O524" s="719"/>
      <c r="P524" s="627"/>
      <c r="Q524" s="719"/>
    </row>
    <row r="525" spans="1:17" hidden="1" x14ac:dyDescent="0.35">
      <c r="A525" s="988"/>
      <c r="B525" s="200"/>
      <c r="C525" s="195">
        <f>IF(C524="X","Y",0)</f>
        <v>0</v>
      </c>
      <c r="D525" s="627"/>
      <c r="E525" s="627">
        <f ca="1">CÁLCULOS!E213</f>
        <v>0</v>
      </c>
      <c r="F525" s="627">
        <f ca="1">CÁLCULOS!F213</f>
        <v>0</v>
      </c>
      <c r="G525" s="627"/>
      <c r="H525" s="627"/>
      <c r="I525" s="627"/>
      <c r="J525" s="627"/>
      <c r="K525" s="627"/>
      <c r="L525" s="627"/>
      <c r="M525" s="627"/>
      <c r="N525" s="627">
        <f ca="1">CÁLCULOS!N213</f>
        <v>0</v>
      </c>
      <c r="O525" s="719">
        <f ca="1">CÁLCULOS!O213</f>
        <v>0</v>
      </c>
      <c r="P525" s="627"/>
      <c r="Q525" s="719"/>
    </row>
    <row r="526" spans="1:17" hidden="1" x14ac:dyDescent="0.35">
      <c r="A526" s="988"/>
      <c r="B526" s="200"/>
      <c r="C526" s="195"/>
      <c r="D526" s="627"/>
      <c r="E526" s="627"/>
      <c r="F526" s="627"/>
      <c r="G526" s="627"/>
      <c r="H526" s="684"/>
      <c r="I526" s="627"/>
      <c r="J526" s="627"/>
      <c r="K526" s="627"/>
      <c r="L526" s="627"/>
      <c r="M526" s="627"/>
      <c r="N526" s="761"/>
      <c r="O526" s="719"/>
      <c r="P526" s="627"/>
      <c r="Q526" s="719"/>
    </row>
    <row r="527" spans="1:17" hidden="1" x14ac:dyDescent="0.35">
      <c r="A527" s="988">
        <f>IF(C527="x",1,0)</f>
        <v>0</v>
      </c>
      <c r="B527" s="200">
        <v>10</v>
      </c>
      <c r="C527" s="626"/>
      <c r="D527" s="627">
        <f ca="1">CÁLCULOS!D215</f>
        <v>0</v>
      </c>
      <c r="E527" s="627"/>
      <c r="F527" s="627"/>
      <c r="G527" s="627"/>
      <c r="H527" s="627">
        <f ca="1">CÁLCULOS!H215</f>
        <v>0</v>
      </c>
      <c r="I527" s="627">
        <f ca="1">CÁLCULOS!I215</f>
        <v>0</v>
      </c>
      <c r="J527" s="627"/>
      <c r="K527" s="627"/>
      <c r="L527" s="627"/>
      <c r="M527" s="627"/>
      <c r="N527" s="627"/>
      <c r="O527" s="719"/>
      <c r="P527" s="627"/>
      <c r="Q527" s="719"/>
    </row>
    <row r="528" spans="1:17" hidden="1" x14ac:dyDescent="0.35">
      <c r="A528" s="988"/>
      <c r="B528" s="200"/>
      <c r="C528" s="195">
        <f>IF(C527="X","Y",0)</f>
        <v>0</v>
      </c>
      <c r="D528" s="627"/>
      <c r="E528" s="627">
        <f ca="1">CÁLCULOS!E216</f>
        <v>0</v>
      </c>
      <c r="F528" s="627">
        <f ca="1">CÁLCULOS!F216</f>
        <v>0</v>
      </c>
      <c r="G528" s="627"/>
      <c r="H528" s="627"/>
      <c r="I528" s="627"/>
      <c r="J528" s="627"/>
      <c r="K528" s="627"/>
      <c r="L528" s="627"/>
      <c r="M528" s="627"/>
      <c r="N528" s="627">
        <f ca="1">CÁLCULOS!N216</f>
        <v>0</v>
      </c>
      <c r="O528" s="719">
        <f ca="1">CÁLCULOS!O216</f>
        <v>0</v>
      </c>
      <c r="P528" s="627"/>
      <c r="Q528" s="719"/>
    </row>
    <row r="529" spans="1:17" hidden="1" x14ac:dyDescent="0.35">
      <c r="A529" s="988"/>
      <c r="B529" s="200"/>
      <c r="C529" s="195"/>
      <c r="D529" s="627"/>
      <c r="E529" s="627"/>
      <c r="F529" s="627"/>
      <c r="G529" s="627"/>
      <c r="H529" s="684"/>
      <c r="I529" s="627"/>
      <c r="J529" s="627"/>
      <c r="K529" s="627"/>
      <c r="L529" s="627"/>
      <c r="M529" s="627"/>
      <c r="N529" s="761"/>
      <c r="O529" s="719"/>
      <c r="P529" s="627"/>
      <c r="Q529" s="719"/>
    </row>
    <row r="530" spans="1:17" hidden="1" x14ac:dyDescent="0.35">
      <c r="A530" s="988">
        <f>IF(C530="x",1,0)</f>
        <v>0</v>
      </c>
      <c r="B530" s="200">
        <v>10</v>
      </c>
      <c r="C530" s="626"/>
      <c r="D530" s="627">
        <f ca="1">CÁLCULOS!D218</f>
        <v>0</v>
      </c>
      <c r="E530" s="627"/>
      <c r="F530" s="627"/>
      <c r="G530" s="627"/>
      <c r="H530" s="627">
        <f ca="1">CÁLCULOS!H218</f>
        <v>0</v>
      </c>
      <c r="I530" s="627">
        <f ca="1">CÁLCULOS!I218</f>
        <v>0</v>
      </c>
      <c r="J530" s="627"/>
      <c r="K530" s="627"/>
      <c r="L530" s="627"/>
      <c r="M530" s="627"/>
      <c r="N530" s="627"/>
      <c r="O530" s="719"/>
      <c r="P530" s="627"/>
      <c r="Q530" s="719"/>
    </row>
    <row r="531" spans="1:17" hidden="1" x14ac:dyDescent="0.35">
      <c r="A531" s="988"/>
      <c r="B531" s="200"/>
      <c r="C531" s="195">
        <f>IF(C530="X","Y",0)</f>
        <v>0</v>
      </c>
      <c r="D531" s="627"/>
      <c r="E531" s="627">
        <f ca="1">CÁLCULOS!E219</f>
        <v>0</v>
      </c>
      <c r="F531" s="627">
        <f ca="1">CÁLCULOS!F219</f>
        <v>0</v>
      </c>
      <c r="G531" s="627"/>
      <c r="H531" s="627"/>
      <c r="I531" s="627"/>
      <c r="J531" s="627"/>
      <c r="K531" s="627"/>
      <c r="L531" s="627"/>
      <c r="M531" s="627"/>
      <c r="N531" s="627">
        <f ca="1">CÁLCULOS!N219</f>
        <v>0</v>
      </c>
      <c r="O531" s="719">
        <f ca="1">CÁLCULOS!O219</f>
        <v>0</v>
      </c>
      <c r="P531" s="627"/>
      <c r="Q531" s="719"/>
    </row>
    <row r="532" spans="1:17" ht="4.5" hidden="1" customHeight="1" x14ac:dyDescent="0.35">
      <c r="A532" s="988"/>
      <c r="B532" s="201"/>
      <c r="C532" s="198">
        <f>IF(D647="X","Y",0)</f>
        <v>0</v>
      </c>
      <c r="D532" s="749">
        <f>IF(E532="X",1,0)</f>
        <v>0</v>
      </c>
      <c r="E532" s="749"/>
      <c r="F532" s="749"/>
      <c r="G532" s="749"/>
      <c r="H532" s="749"/>
      <c r="I532" s="749"/>
      <c r="J532" s="749"/>
      <c r="K532" s="749"/>
      <c r="L532" s="749"/>
      <c r="M532" s="749"/>
      <c r="N532" s="1055"/>
      <c r="O532" s="748"/>
      <c r="P532" s="627"/>
      <c r="Q532" s="719"/>
    </row>
    <row r="533" spans="1:17" hidden="1" x14ac:dyDescent="0.35">
      <c r="A533" s="988"/>
      <c r="B533" s="195"/>
      <c r="C533" s="195"/>
      <c r="D533" s="627"/>
      <c r="E533" s="627"/>
      <c r="F533" s="627"/>
      <c r="G533" s="627"/>
      <c r="H533" s="627"/>
      <c r="I533" s="627"/>
      <c r="J533" s="627"/>
      <c r="K533" s="627"/>
      <c r="L533" s="627"/>
      <c r="M533" s="627"/>
      <c r="N533" s="761"/>
      <c r="O533" s="627"/>
      <c r="P533" s="627"/>
      <c r="Q533" s="719"/>
    </row>
    <row r="534" spans="1:17" hidden="1" x14ac:dyDescent="0.35">
      <c r="A534" s="988"/>
      <c r="B534" s="195"/>
      <c r="C534" s="627"/>
      <c r="D534" s="627"/>
      <c r="E534" s="627"/>
      <c r="F534" s="627"/>
      <c r="G534" s="627"/>
      <c r="H534" s="627"/>
      <c r="I534" s="627"/>
      <c r="J534" s="627"/>
      <c r="K534" s="627"/>
      <c r="L534" s="627"/>
      <c r="M534" s="627"/>
      <c r="N534" s="627"/>
      <c r="O534" s="627"/>
      <c r="P534" s="627"/>
      <c r="Q534" s="719"/>
    </row>
    <row r="535" spans="1:17" hidden="1" x14ac:dyDescent="0.35">
      <c r="A535" s="988"/>
      <c r="B535" s="627"/>
      <c r="C535" s="627"/>
      <c r="D535" s="627"/>
      <c r="E535" s="627"/>
      <c r="F535" s="627"/>
      <c r="G535" s="627"/>
      <c r="H535" s="627"/>
      <c r="I535" s="627"/>
      <c r="J535" s="627"/>
      <c r="K535" s="627"/>
      <c r="L535" s="627"/>
      <c r="M535" s="627"/>
      <c r="N535" s="627"/>
      <c r="O535" s="627"/>
      <c r="P535" s="627"/>
      <c r="Q535" s="719"/>
    </row>
    <row r="536" spans="1:17" hidden="1" x14ac:dyDescent="0.35">
      <c r="A536" s="988"/>
      <c r="B536" s="627"/>
      <c r="C536" s="627" t="s">
        <v>385</v>
      </c>
      <c r="D536" s="627"/>
      <c r="E536" s="627"/>
      <c r="F536" s="627"/>
      <c r="G536" s="627"/>
      <c r="H536" s="627"/>
      <c r="I536" s="627"/>
      <c r="J536" s="627"/>
      <c r="K536" s="627"/>
      <c r="L536" s="627"/>
      <c r="M536" s="627"/>
      <c r="N536" s="627"/>
      <c r="O536" s="627"/>
      <c r="P536" s="627"/>
      <c r="Q536" s="719"/>
    </row>
    <row r="537" spans="1:17" hidden="1" x14ac:dyDescent="0.35">
      <c r="A537" s="988"/>
      <c r="B537" s="627"/>
      <c r="C537" s="627" t="s">
        <v>386</v>
      </c>
      <c r="D537" s="627"/>
      <c r="E537" s="627"/>
      <c r="F537" s="627"/>
      <c r="G537" s="627"/>
      <c r="H537" s="627"/>
      <c r="I537" s="627"/>
      <c r="J537" s="1009">
        <f>IF(O537=0,40,O537)</f>
        <v>40</v>
      </c>
      <c r="K537" s="627" t="s">
        <v>387</v>
      </c>
      <c r="L537" s="627"/>
      <c r="M537" s="688" t="s">
        <v>388</v>
      </c>
      <c r="N537" s="627"/>
      <c r="O537" s="1008"/>
      <c r="P537" s="627"/>
      <c r="Q537" s="719"/>
    </row>
    <row r="538" spans="1:17" hidden="1" x14ac:dyDescent="0.35">
      <c r="A538" s="988"/>
      <c r="B538" s="627"/>
      <c r="C538" s="627"/>
      <c r="D538" s="627"/>
      <c r="E538" s="627"/>
      <c r="F538" s="627"/>
      <c r="G538" s="627"/>
      <c r="H538" s="627"/>
      <c r="I538" s="627"/>
      <c r="J538" s="627"/>
      <c r="K538" s="627"/>
      <c r="L538" s="627"/>
      <c r="M538" s="627"/>
      <c r="N538" s="627"/>
      <c r="O538" s="627"/>
      <c r="P538" s="627"/>
      <c r="Q538" s="719"/>
    </row>
    <row r="539" spans="1:17" hidden="1" x14ac:dyDescent="0.35">
      <c r="A539" s="988"/>
      <c r="B539" s="627"/>
      <c r="C539" s="627" t="s">
        <v>389</v>
      </c>
      <c r="D539" s="627"/>
      <c r="E539" s="627"/>
      <c r="F539" s="627"/>
      <c r="G539" s="627"/>
      <c r="H539" s="627"/>
      <c r="I539" s="627"/>
      <c r="J539" s="1009">
        <f>IF(O539=0,40,O539)</f>
        <v>40</v>
      </c>
      <c r="K539" s="627" t="s">
        <v>390</v>
      </c>
      <c r="L539" s="627"/>
      <c r="M539" s="688" t="s">
        <v>388</v>
      </c>
      <c r="N539" s="627"/>
      <c r="O539" s="1008"/>
      <c r="P539" s="627"/>
      <c r="Q539" s="719"/>
    </row>
    <row r="540" spans="1:17" ht="15.6" customHeight="1" x14ac:dyDescent="0.35">
      <c r="A540" s="988"/>
      <c r="B540" s="627"/>
      <c r="C540" s="627"/>
      <c r="D540" s="627"/>
      <c r="E540" s="627"/>
      <c r="F540" s="627"/>
      <c r="G540" s="627"/>
      <c r="H540" s="627"/>
      <c r="I540" s="627"/>
      <c r="J540" s="627"/>
      <c r="K540" s="627"/>
      <c r="L540" s="627"/>
      <c r="M540" s="627"/>
      <c r="N540" s="627"/>
      <c r="O540" s="627"/>
      <c r="P540" s="627"/>
      <c r="Q540" s="719"/>
    </row>
    <row r="541" spans="1:17" ht="6.75" customHeight="1" x14ac:dyDescent="0.35">
      <c r="A541" s="988"/>
      <c r="B541" s="636"/>
      <c r="C541" s="652"/>
      <c r="D541" s="652"/>
      <c r="E541" s="652"/>
      <c r="F541" s="652"/>
      <c r="G541" s="652"/>
      <c r="H541" s="652"/>
      <c r="I541" s="652"/>
      <c r="J541" s="652"/>
      <c r="K541" s="652"/>
      <c r="L541" s="652"/>
      <c r="M541" s="652"/>
      <c r="N541" s="652"/>
      <c r="O541" s="987"/>
      <c r="P541" s="627"/>
      <c r="Q541" s="719"/>
    </row>
    <row r="542" spans="1:17" x14ac:dyDescent="0.35">
      <c r="A542" s="988"/>
      <c r="B542" s="988"/>
      <c r="C542" s="627" t="s">
        <v>391</v>
      </c>
      <c r="D542" s="627"/>
      <c r="E542" s="627"/>
      <c r="F542" s="627"/>
      <c r="G542" s="627"/>
      <c r="H542" s="627"/>
      <c r="I542" s="627"/>
      <c r="J542" s="627"/>
      <c r="K542" s="627"/>
      <c r="L542" s="627"/>
      <c r="M542" s="627"/>
      <c r="N542" s="627"/>
      <c r="O542" s="719"/>
      <c r="P542" s="627"/>
      <c r="Q542" s="719"/>
    </row>
    <row r="543" spans="1:17" x14ac:dyDescent="0.35">
      <c r="A543" s="988"/>
      <c r="B543" s="988"/>
      <c r="C543" s="627"/>
      <c r="D543" s="627"/>
      <c r="E543" s="627" t="s">
        <v>392</v>
      </c>
      <c r="F543" s="627"/>
      <c r="G543" s="627"/>
      <c r="H543" s="627"/>
      <c r="I543" s="627"/>
      <c r="J543" s="660"/>
      <c r="K543" s="627" t="str">
        <f>IF(J543&lt;=1,"dia","dias")</f>
        <v>dia</v>
      </c>
      <c r="L543" s="627"/>
      <c r="M543" s="627"/>
      <c r="N543" s="627"/>
      <c r="O543" s="719"/>
      <c r="P543" s="627"/>
      <c r="Q543" s="719"/>
    </row>
    <row r="544" spans="1:17" ht="5.25" customHeight="1" x14ac:dyDescent="0.35">
      <c r="A544" s="988"/>
      <c r="B544" s="637"/>
      <c r="C544" s="749"/>
      <c r="D544" s="749"/>
      <c r="E544" s="749"/>
      <c r="F544" s="749"/>
      <c r="G544" s="749"/>
      <c r="H544" s="749"/>
      <c r="I544" s="749"/>
      <c r="J544" s="749"/>
      <c r="K544" s="749"/>
      <c r="L544" s="749"/>
      <c r="M544" s="749"/>
      <c r="N544" s="749"/>
      <c r="O544" s="748"/>
      <c r="P544" s="627"/>
      <c r="Q544" s="719"/>
    </row>
    <row r="545" spans="1:17" ht="14.25" customHeight="1" x14ac:dyDescent="0.35">
      <c r="A545" s="637"/>
      <c r="B545" s="749"/>
      <c r="C545" s="749"/>
      <c r="D545" s="749"/>
      <c r="E545" s="749"/>
      <c r="F545" s="749"/>
      <c r="G545" s="749"/>
      <c r="H545" s="749"/>
      <c r="I545" s="749"/>
      <c r="J545" s="749"/>
      <c r="K545" s="749"/>
      <c r="L545" s="749"/>
      <c r="M545" s="749"/>
      <c r="N545" s="749"/>
      <c r="O545" s="749"/>
      <c r="P545" s="749"/>
      <c r="Q545" s="748"/>
    </row>
    <row r="546" spans="1:17" ht="13.5" hidden="1" customHeight="1" x14ac:dyDescent="0.35">
      <c r="A546" s="636"/>
      <c r="B546" s="652"/>
      <c r="C546" s="646"/>
      <c r="D546" s="646"/>
      <c r="E546" s="646"/>
      <c r="F546" s="646"/>
      <c r="G546" s="646"/>
      <c r="H546" s="646"/>
      <c r="I546" s="646"/>
      <c r="J546" s="646"/>
      <c r="K546" s="646"/>
      <c r="L546" s="646"/>
      <c r="M546" s="652"/>
      <c r="N546" s="652"/>
      <c r="O546" s="652"/>
      <c r="P546" s="652"/>
      <c r="Q546" s="987"/>
    </row>
    <row r="547" spans="1:17" ht="14.25" hidden="1" customHeight="1" x14ac:dyDescent="0.35">
      <c r="A547" s="988"/>
      <c r="B547" s="627"/>
      <c r="C547" s="1359" t="s">
        <v>393</v>
      </c>
      <c r="D547" s="1360"/>
      <c r="E547" s="1360"/>
      <c r="F547" s="1360"/>
      <c r="G547" s="1360"/>
      <c r="H547" s="1360"/>
      <c r="I547" s="1360"/>
      <c r="J547" s="1360"/>
      <c r="K547" s="1360"/>
      <c r="L547" s="1361"/>
      <c r="M547" s="627"/>
      <c r="N547" s="627"/>
      <c r="O547" s="627"/>
      <c r="P547" s="627"/>
      <c r="Q547" s="719"/>
    </row>
    <row r="548" spans="1:17" hidden="1" x14ac:dyDescent="0.35">
      <c r="A548" s="988"/>
      <c r="B548" s="627"/>
      <c r="C548" s="633" t="str">
        <f>IF(C60="x","CHAPA AÇO 400 x 250 x 5 mm",IF(E60="x","CHAPA DE AÇO 500 x 250 x 6,3 mm",0))</f>
        <v>CHAPA AÇO 400 x 250 x 5 mm</v>
      </c>
      <c r="D548" s="646"/>
      <c r="E548" s="646"/>
      <c r="F548" s="646"/>
      <c r="G548" s="646"/>
      <c r="H548" s="646"/>
      <c r="I548" s="646"/>
      <c r="J548" s="646"/>
      <c r="K548" s="629"/>
      <c r="L548" s="660">
        <f>IF(E15=0,0,G91+G93+G97)</f>
        <v>62</v>
      </c>
      <c r="M548" s="627" t="s">
        <v>46</v>
      </c>
      <c r="N548" s="627"/>
      <c r="O548" s="627"/>
      <c r="P548" s="627"/>
      <c r="Q548" s="719"/>
    </row>
    <row r="549" spans="1:17" hidden="1" x14ac:dyDescent="0.35">
      <c r="A549" s="988"/>
      <c r="B549" s="627"/>
      <c r="C549" s="633" t="s">
        <v>394</v>
      </c>
      <c r="D549" s="646"/>
      <c r="E549" s="646"/>
      <c r="F549" s="646"/>
      <c r="G549" s="646"/>
      <c r="H549" s="646"/>
      <c r="I549" s="646"/>
      <c r="J549" s="646"/>
      <c r="K549" s="629"/>
      <c r="L549" s="660">
        <f>ROUNDUP(((G91+G93+G97)/8*35)/50,0)</f>
        <v>6</v>
      </c>
      <c r="M549" s="627" t="s">
        <v>395</v>
      </c>
      <c r="N549" s="627"/>
      <c r="O549" s="627"/>
      <c r="P549" s="627"/>
      <c r="Q549" s="719"/>
    </row>
    <row r="550" spans="1:17" hidden="1" x14ac:dyDescent="0.35">
      <c r="A550" s="988"/>
      <c r="B550" s="627"/>
      <c r="C550" s="633" t="s">
        <v>396</v>
      </c>
      <c r="D550" s="646"/>
      <c r="E550" s="646"/>
      <c r="F550" s="646"/>
      <c r="G550" s="646"/>
      <c r="H550" s="646"/>
      <c r="I550" s="646"/>
      <c r="J550" s="646"/>
      <c r="K550" s="629"/>
      <c r="L550" s="660">
        <f>ROUNDUP((L549*3*0.05),1)</f>
        <v>0.9</v>
      </c>
      <c r="M550" s="627" t="s">
        <v>31</v>
      </c>
      <c r="N550" s="627"/>
      <c r="O550" s="627"/>
      <c r="P550" s="627"/>
      <c r="Q550" s="719"/>
    </row>
    <row r="551" spans="1:17" hidden="1" x14ac:dyDescent="0.35">
      <c r="A551" s="988"/>
      <c r="B551" s="627"/>
      <c r="C551" s="633" t="s">
        <v>397</v>
      </c>
      <c r="D551" s="646"/>
      <c r="E551" s="646"/>
      <c r="F551" s="646"/>
      <c r="G551" s="646" t="s">
        <v>398</v>
      </c>
      <c r="H551" s="646"/>
      <c r="I551" s="646"/>
      <c r="J551" s="646"/>
      <c r="K551" s="629"/>
      <c r="L551" s="660">
        <f ca="1">IF(C60="X",L587*2,IF(E60="X",L587*4,0))</f>
        <v>124</v>
      </c>
      <c r="M551" s="627" t="s">
        <v>46</v>
      </c>
      <c r="N551" s="627"/>
      <c r="O551" s="627"/>
      <c r="P551" s="627"/>
      <c r="Q551" s="719"/>
    </row>
    <row r="552" spans="1:17" hidden="1" x14ac:dyDescent="0.35">
      <c r="A552" s="988"/>
      <c r="B552" s="627"/>
      <c r="C552" s="633" t="s">
        <v>399</v>
      </c>
      <c r="D552" s="646"/>
      <c r="E552" s="646"/>
      <c r="F552" s="646"/>
      <c r="G552" s="646" t="s">
        <v>400</v>
      </c>
      <c r="H552" s="646"/>
      <c r="I552" s="646"/>
      <c r="J552" s="646"/>
      <c r="K552" s="629"/>
      <c r="L552" s="660">
        <f>ROUNDUP((G91+G93+G97)*0.25,0)</f>
        <v>16</v>
      </c>
      <c r="M552" s="627" t="s">
        <v>46</v>
      </c>
      <c r="N552" s="627"/>
      <c r="O552" s="627"/>
      <c r="P552" s="627"/>
      <c r="Q552" s="719"/>
    </row>
    <row r="553" spans="1:17" hidden="1" x14ac:dyDescent="0.35">
      <c r="A553" s="988"/>
      <c r="B553" s="627"/>
      <c r="C553" s="633" t="s">
        <v>401</v>
      </c>
      <c r="D553" s="646"/>
      <c r="E553" s="646"/>
      <c r="F553" s="646"/>
      <c r="G553" s="646" t="s">
        <v>402</v>
      </c>
      <c r="H553" s="646"/>
      <c r="I553" s="646"/>
      <c r="J553" s="646"/>
      <c r="K553" s="629"/>
      <c r="L553" s="660">
        <f ca="1">IF(C60="X",L587*2,IF(E60="X",L587*4,0))</f>
        <v>124</v>
      </c>
      <c r="M553" s="627" t="s">
        <v>46</v>
      </c>
      <c r="N553" s="667"/>
      <c r="O553" s="627"/>
      <c r="P553" s="627"/>
      <c r="Q553" s="719"/>
    </row>
    <row r="554" spans="1:17" hidden="1" x14ac:dyDescent="0.35">
      <c r="A554" s="988"/>
      <c r="B554" s="627"/>
      <c r="C554" s="633" t="s">
        <v>403</v>
      </c>
      <c r="D554" s="646"/>
      <c r="E554" s="646"/>
      <c r="F554" s="646"/>
      <c r="G554" s="646" t="s">
        <v>404</v>
      </c>
      <c r="H554" s="646"/>
      <c r="I554" s="646"/>
      <c r="J554" s="646"/>
      <c r="K554" s="629"/>
      <c r="L554" s="660">
        <f>(G91+G93+G97)*2</f>
        <v>124</v>
      </c>
      <c r="M554" s="627" t="s">
        <v>46</v>
      </c>
      <c r="N554" s="667"/>
      <c r="O554" s="627"/>
      <c r="P554" s="627"/>
      <c r="Q554" s="719"/>
    </row>
    <row r="555" spans="1:17" hidden="1" x14ac:dyDescent="0.35">
      <c r="A555" s="988"/>
      <c r="B555" s="627"/>
      <c r="C555" s="633" t="s">
        <v>405</v>
      </c>
      <c r="D555" s="646"/>
      <c r="E555" s="646"/>
      <c r="F555" s="646"/>
      <c r="G555" s="646" t="s">
        <v>406</v>
      </c>
      <c r="H555" s="646"/>
      <c r="I555" s="646"/>
      <c r="J555" s="646"/>
      <c r="K555" s="629"/>
      <c r="L555" s="660">
        <f>(G91+G93+G97)*2</f>
        <v>124</v>
      </c>
      <c r="M555" s="627" t="s">
        <v>46</v>
      </c>
      <c r="N555" s="667"/>
      <c r="O555" s="627"/>
      <c r="P555" s="627"/>
      <c r="Q555" s="719"/>
    </row>
    <row r="556" spans="1:17" hidden="1" x14ac:dyDescent="0.35">
      <c r="A556" s="988"/>
      <c r="B556" s="627"/>
      <c r="C556" s="633" t="s">
        <v>407</v>
      </c>
      <c r="D556" s="646"/>
      <c r="E556" s="646"/>
      <c r="F556" s="646"/>
      <c r="G556" s="646" t="s">
        <v>402</v>
      </c>
      <c r="H556" s="646"/>
      <c r="I556" s="646"/>
      <c r="J556" s="646"/>
      <c r="K556" s="629"/>
      <c r="L556" s="660">
        <f ca="1">L551+L552</f>
        <v>140</v>
      </c>
      <c r="M556" s="627" t="s">
        <v>46</v>
      </c>
      <c r="N556" s="667"/>
      <c r="O556" s="627"/>
      <c r="P556" s="627"/>
      <c r="Q556" s="719"/>
    </row>
    <row r="557" spans="1:17" hidden="1" x14ac:dyDescent="0.35">
      <c r="A557" s="988"/>
      <c r="B557" s="627"/>
      <c r="C557" s="633" t="s">
        <v>408</v>
      </c>
      <c r="D557" s="646"/>
      <c r="E557" s="646"/>
      <c r="F557" s="646"/>
      <c r="G557" s="646"/>
      <c r="H557" s="646"/>
      <c r="I557" s="646"/>
      <c r="J557" s="646"/>
      <c r="K557" s="629"/>
      <c r="L557" s="660">
        <f>ROUNDUP((G91+G93+G97)*I15*0.6+(G91+G93+G97)*2.4*2*0.6+I15*4*0.6,0)</f>
        <v>468</v>
      </c>
      <c r="M557" s="627" t="s">
        <v>46</v>
      </c>
      <c r="N557" s="667"/>
      <c r="O557" s="627"/>
      <c r="P557" s="627"/>
      <c r="Q557" s="719"/>
    </row>
    <row r="558" spans="1:17" hidden="1" x14ac:dyDescent="0.35">
      <c r="A558" s="988"/>
      <c r="B558" s="627"/>
      <c r="C558" s="633" t="s">
        <v>409</v>
      </c>
      <c r="D558" s="646"/>
      <c r="E558" s="646"/>
      <c r="F558" s="646"/>
      <c r="G558" s="646"/>
      <c r="H558" s="646"/>
      <c r="I558" s="646"/>
      <c r="J558" s="646"/>
      <c r="K558" s="629"/>
      <c r="L558" s="660">
        <f>ROUNDUP((G91+G93+G97)*2.4*0.02/1100,0)</f>
        <v>1</v>
      </c>
      <c r="M558" s="627" t="s">
        <v>410</v>
      </c>
      <c r="N558" s="667"/>
      <c r="O558" s="627"/>
      <c r="P558" s="627"/>
      <c r="Q558" s="719"/>
    </row>
    <row r="559" spans="1:17" ht="12.75" hidden="1" customHeight="1" x14ac:dyDescent="0.35">
      <c r="A559" s="988"/>
      <c r="B559" s="627"/>
      <c r="C559" s="1039" t="s">
        <v>411</v>
      </c>
      <c r="D559" s="1031"/>
      <c r="E559" s="1031"/>
      <c r="F559" s="1031"/>
      <c r="G559" s="1031"/>
      <c r="H559" s="1031"/>
      <c r="I559" s="1031"/>
      <c r="J559" s="1031"/>
      <c r="K559" s="1033"/>
      <c r="L559" s="1040">
        <v>50</v>
      </c>
      <c r="M559" s="1035" t="s">
        <v>20</v>
      </c>
      <c r="N559" s="1367" t="s">
        <v>412</v>
      </c>
      <c r="O559" s="627"/>
      <c r="P559" s="627"/>
      <c r="Q559" s="719"/>
    </row>
    <row r="560" spans="1:17" ht="12.75" hidden="1" customHeight="1" x14ac:dyDescent="0.35">
      <c r="A560" s="988"/>
      <c r="B560" s="627"/>
      <c r="C560" s="1039" t="s">
        <v>413</v>
      </c>
      <c r="D560" s="1031"/>
      <c r="E560" s="1031"/>
      <c r="F560" s="1031"/>
      <c r="G560" s="1031"/>
      <c r="H560" s="1031"/>
      <c r="I560" s="1031"/>
      <c r="J560" s="1031"/>
      <c r="K560" s="1033"/>
      <c r="L560" s="1040">
        <f>ROUNDUP(IF(E15=0,0,(G91+G93+G97)/30),0)</f>
        <v>3</v>
      </c>
      <c r="M560" s="1035" t="s">
        <v>46</v>
      </c>
      <c r="N560" s="1368"/>
      <c r="O560" s="627"/>
      <c r="P560" s="627"/>
      <c r="Q560" s="719"/>
    </row>
    <row r="561" spans="1:17" ht="12.75" hidden="1" customHeight="1" x14ac:dyDescent="0.35">
      <c r="A561" s="988"/>
      <c r="B561" s="627"/>
      <c r="C561" s="1039" t="s">
        <v>414</v>
      </c>
      <c r="D561" s="1031"/>
      <c r="E561" s="1031"/>
      <c r="F561" s="1031"/>
      <c r="G561" s="1031"/>
      <c r="H561" s="1031"/>
      <c r="I561" s="1031"/>
      <c r="J561" s="1031"/>
      <c r="K561" s="1033"/>
      <c r="L561" s="1040">
        <f ca="1">IF(E15=0,0,L878)/L878</f>
        <v>1</v>
      </c>
      <c r="M561" s="1035" t="s">
        <v>101</v>
      </c>
      <c r="N561" s="1368"/>
      <c r="O561" s="627"/>
      <c r="P561" s="627"/>
      <c r="Q561" s="719"/>
    </row>
    <row r="562" spans="1:17" ht="12.75" hidden="1" customHeight="1" x14ac:dyDescent="0.35">
      <c r="A562" s="988"/>
      <c r="B562" s="627"/>
      <c r="C562" s="1039" t="s">
        <v>415</v>
      </c>
      <c r="D562" s="1031"/>
      <c r="E562" s="1031"/>
      <c r="F562" s="1031"/>
      <c r="G562" s="1031"/>
      <c r="H562" s="1031"/>
      <c r="I562" s="1031"/>
      <c r="J562" s="1031"/>
      <c r="K562" s="1033"/>
      <c r="L562" s="1040">
        <f ca="1">IF(E15=0,0,L878)/L878</f>
        <v>1</v>
      </c>
      <c r="M562" s="1035" t="s">
        <v>46</v>
      </c>
      <c r="N562" s="1368"/>
      <c r="O562" s="627"/>
      <c r="P562" s="627"/>
      <c r="Q562" s="719"/>
    </row>
    <row r="563" spans="1:17" ht="12.75" hidden="1" customHeight="1" x14ac:dyDescent="0.35">
      <c r="A563" s="988"/>
      <c r="B563" s="627"/>
      <c r="C563" s="1039" t="s">
        <v>416</v>
      </c>
      <c r="D563" s="1031"/>
      <c r="E563" s="1031"/>
      <c r="F563" s="1031"/>
      <c r="G563" s="1031"/>
      <c r="H563" s="1031"/>
      <c r="I563" s="1031"/>
      <c r="J563" s="1031"/>
      <c r="K563" s="1033"/>
      <c r="L563" s="1040">
        <f ca="1">IF(E15=0,0,L878)/L878</f>
        <v>1</v>
      </c>
      <c r="M563" s="1035" t="s">
        <v>46</v>
      </c>
      <c r="N563" s="1368"/>
      <c r="O563" s="627"/>
      <c r="P563" s="627"/>
      <c r="Q563" s="719"/>
    </row>
    <row r="564" spans="1:17" ht="12.75" hidden="1" customHeight="1" x14ac:dyDescent="0.35">
      <c r="A564" s="988"/>
      <c r="B564" s="627"/>
      <c r="C564" s="1039" t="s">
        <v>417</v>
      </c>
      <c r="D564" s="1031"/>
      <c r="E564" s="1031"/>
      <c r="F564" s="1031"/>
      <c r="G564" s="1031"/>
      <c r="H564" s="1031"/>
      <c r="I564" s="1031"/>
      <c r="J564" s="1031"/>
      <c r="K564" s="1033"/>
      <c r="L564" s="1040">
        <f>IF(E15=0,0,C734*2)</f>
        <v>2</v>
      </c>
      <c r="M564" s="1035" t="s">
        <v>46</v>
      </c>
      <c r="N564" s="1368"/>
      <c r="O564" s="627"/>
      <c r="P564" s="627"/>
      <c r="Q564" s="719"/>
    </row>
    <row r="565" spans="1:17" ht="12.75" hidden="1" customHeight="1" x14ac:dyDescent="0.35">
      <c r="A565" s="988"/>
      <c r="B565" s="627"/>
      <c r="C565" s="1039" t="s">
        <v>418</v>
      </c>
      <c r="D565" s="1031"/>
      <c r="E565" s="1031"/>
      <c r="F565" s="1031"/>
      <c r="G565" s="1031"/>
      <c r="H565" s="1031"/>
      <c r="I565" s="1031"/>
      <c r="J565" s="1031"/>
      <c r="K565" s="1033"/>
      <c r="L565" s="1040">
        <f ca="1">IF(E15=0,0,L878)/L878</f>
        <v>1</v>
      </c>
      <c r="M565" s="1035" t="s">
        <v>46</v>
      </c>
      <c r="N565" s="1368"/>
      <c r="O565" s="627"/>
      <c r="P565" s="627"/>
      <c r="Q565" s="719"/>
    </row>
    <row r="566" spans="1:17" ht="12.75" hidden="1" customHeight="1" x14ac:dyDescent="0.35">
      <c r="A566" s="988"/>
      <c r="B566" s="627"/>
      <c r="C566" s="1039" t="s">
        <v>419</v>
      </c>
      <c r="D566" s="1031"/>
      <c r="E566" s="1031"/>
      <c r="F566" s="1031"/>
      <c r="G566" s="1031"/>
      <c r="H566" s="1031"/>
      <c r="I566" s="1031"/>
      <c r="J566" s="1031"/>
      <c r="K566" s="1033"/>
      <c r="L566" s="1040">
        <f>IF(E15=0,0,C734*2)</f>
        <v>2</v>
      </c>
      <c r="M566" s="1035" t="s">
        <v>46</v>
      </c>
      <c r="N566" s="1368"/>
      <c r="O566" s="627"/>
      <c r="P566" s="627"/>
      <c r="Q566" s="719"/>
    </row>
    <row r="567" spans="1:17" ht="12.75" hidden="1" customHeight="1" x14ac:dyDescent="0.35">
      <c r="A567" s="988"/>
      <c r="B567" s="627"/>
      <c r="C567" s="1039" t="s">
        <v>420</v>
      </c>
      <c r="D567" s="1031"/>
      <c r="E567" s="1031"/>
      <c r="F567" s="1031"/>
      <c r="G567" s="1031"/>
      <c r="H567" s="1031"/>
      <c r="I567" s="1031"/>
      <c r="J567" s="1031"/>
      <c r="K567" s="1033"/>
      <c r="L567" s="1040">
        <f ca="1">IF(E15=0,0,L878)/L878</f>
        <v>1</v>
      </c>
      <c r="M567" s="1035" t="s">
        <v>46</v>
      </c>
      <c r="N567" s="1368"/>
      <c r="O567" s="627"/>
      <c r="P567" s="627"/>
      <c r="Q567" s="719"/>
    </row>
    <row r="568" spans="1:17" ht="12.75" hidden="1" customHeight="1" x14ac:dyDescent="0.35">
      <c r="A568" s="988"/>
      <c r="B568" s="627"/>
      <c r="C568" s="1039" t="s">
        <v>421</v>
      </c>
      <c r="D568" s="1031"/>
      <c r="E568" s="1031"/>
      <c r="F568" s="1031"/>
      <c r="G568" s="1031"/>
      <c r="H568" s="1031"/>
      <c r="I568" s="1031"/>
      <c r="J568" s="1031"/>
      <c r="K568" s="1033"/>
      <c r="L568" s="1040">
        <f ca="1">IF(E15=0,0,L878)/L878</f>
        <v>1</v>
      </c>
      <c r="M568" s="1035" t="s">
        <v>46</v>
      </c>
      <c r="N568" s="1368"/>
      <c r="O568" s="627"/>
      <c r="P568" s="627"/>
      <c r="Q568" s="719"/>
    </row>
    <row r="569" spans="1:17" ht="12.75" hidden="1" customHeight="1" x14ac:dyDescent="0.35">
      <c r="A569" s="988"/>
      <c r="B569" s="627"/>
      <c r="C569" s="1039" t="s">
        <v>422</v>
      </c>
      <c r="D569" s="1031"/>
      <c r="E569" s="1031"/>
      <c r="F569" s="1031"/>
      <c r="G569" s="1031"/>
      <c r="H569" s="1031"/>
      <c r="I569" s="1031"/>
      <c r="J569" s="1031"/>
      <c r="K569" s="1033"/>
      <c r="L569" s="1040">
        <f ca="1">IF(E15=0,0,L878)/L878</f>
        <v>1</v>
      </c>
      <c r="M569" s="1035" t="s">
        <v>46</v>
      </c>
      <c r="N569" s="1368"/>
      <c r="O569" s="627"/>
      <c r="P569" s="627"/>
      <c r="Q569" s="719"/>
    </row>
    <row r="570" spans="1:17" ht="12.75" hidden="1" customHeight="1" x14ac:dyDescent="0.35">
      <c r="A570" s="988"/>
      <c r="B570" s="627"/>
      <c r="C570" s="1039" t="s">
        <v>423</v>
      </c>
      <c r="D570" s="1031"/>
      <c r="E570" s="1031"/>
      <c r="F570" s="1031"/>
      <c r="G570" s="1031"/>
      <c r="H570" s="1031"/>
      <c r="I570" s="1031"/>
      <c r="J570" s="1031"/>
      <c r="K570" s="1033"/>
      <c r="L570" s="1040">
        <f ca="1">IF(E15=0,0,L878)/L878</f>
        <v>1</v>
      </c>
      <c r="M570" s="1035" t="s">
        <v>46</v>
      </c>
      <c r="N570" s="1368"/>
      <c r="O570" s="627"/>
      <c r="P570" s="627"/>
      <c r="Q570" s="719"/>
    </row>
    <row r="571" spans="1:17" ht="12.75" hidden="1" customHeight="1" x14ac:dyDescent="0.35">
      <c r="A571" s="988"/>
      <c r="B571" s="627"/>
      <c r="C571" s="1039" t="s">
        <v>424</v>
      </c>
      <c r="D571" s="1031"/>
      <c r="E571" s="1031"/>
      <c r="F571" s="1031"/>
      <c r="G571" s="1031"/>
      <c r="H571" s="1031"/>
      <c r="I571" s="1031"/>
      <c r="J571" s="1031"/>
      <c r="K571" s="1033"/>
      <c r="L571" s="1040">
        <f ca="1">IF(E15=0,0,L878)/L878</f>
        <v>1</v>
      </c>
      <c r="M571" s="1035" t="s">
        <v>46</v>
      </c>
      <c r="N571" s="1368"/>
      <c r="O571" s="627"/>
      <c r="P571" s="627"/>
      <c r="Q571" s="719"/>
    </row>
    <row r="572" spans="1:17" ht="12.75" hidden="1" customHeight="1" x14ac:dyDescent="0.35">
      <c r="A572" s="988"/>
      <c r="B572" s="627"/>
      <c r="C572" s="1039" t="s">
        <v>425</v>
      </c>
      <c r="D572" s="1031"/>
      <c r="E572" s="1031"/>
      <c r="F572" s="1031"/>
      <c r="G572" s="1031"/>
      <c r="H572" s="1031"/>
      <c r="I572" s="1031"/>
      <c r="J572" s="1031"/>
      <c r="K572" s="1033"/>
      <c r="L572" s="1040">
        <f ca="1">IF(E15=0,0,L878)/L878</f>
        <v>1</v>
      </c>
      <c r="M572" s="1035" t="s">
        <v>46</v>
      </c>
      <c r="N572" s="1368"/>
      <c r="O572" s="627"/>
      <c r="P572" s="627"/>
      <c r="Q572" s="719"/>
    </row>
    <row r="573" spans="1:17" ht="12.75" hidden="1" customHeight="1" x14ac:dyDescent="0.35">
      <c r="A573" s="988"/>
      <c r="B573" s="627"/>
      <c r="C573" s="1039" t="s">
        <v>426</v>
      </c>
      <c r="D573" s="1031"/>
      <c r="E573" s="1031"/>
      <c r="F573" s="1031"/>
      <c r="G573" s="1031"/>
      <c r="H573" s="1031"/>
      <c r="I573" s="1031"/>
      <c r="J573" s="1031"/>
      <c r="K573" s="1033"/>
      <c r="L573" s="1040">
        <f ca="1">IF(E15=0,0,L878)/L878</f>
        <v>1</v>
      </c>
      <c r="M573" s="1035" t="s">
        <v>46</v>
      </c>
      <c r="N573" s="1368"/>
      <c r="O573" s="627"/>
      <c r="P573" s="627"/>
      <c r="Q573" s="719"/>
    </row>
    <row r="574" spans="1:17" ht="12.75" hidden="1" customHeight="1" x14ac:dyDescent="0.35">
      <c r="A574" s="988"/>
      <c r="B574" s="627"/>
      <c r="C574" s="1039" t="s">
        <v>427</v>
      </c>
      <c r="D574" s="1031"/>
      <c r="E574" s="1031"/>
      <c r="F574" s="1031"/>
      <c r="G574" s="1031"/>
      <c r="H574" s="1031"/>
      <c r="I574" s="1031"/>
      <c r="J574" s="1031"/>
      <c r="K574" s="1033"/>
      <c r="L574" s="1040">
        <f ca="1">IF(E15=0,0,L878)/L878</f>
        <v>1</v>
      </c>
      <c r="M574" s="1035" t="s">
        <v>46</v>
      </c>
      <c r="N574" s="1368"/>
      <c r="O574" s="627"/>
      <c r="P574" s="627"/>
      <c r="Q574" s="719"/>
    </row>
    <row r="575" spans="1:17" ht="12.75" hidden="1" customHeight="1" x14ac:dyDescent="0.35">
      <c r="A575" s="988"/>
      <c r="B575" s="627"/>
      <c r="C575" s="1039" t="s">
        <v>428</v>
      </c>
      <c r="D575" s="1031"/>
      <c r="E575" s="1031"/>
      <c r="F575" s="1031"/>
      <c r="G575" s="1031"/>
      <c r="H575" s="1031"/>
      <c r="I575" s="1031"/>
      <c r="J575" s="1031"/>
      <c r="K575" s="1033"/>
      <c r="L575" s="1040">
        <f ca="1">IF(E15=0,0,L878)/L878</f>
        <v>1</v>
      </c>
      <c r="M575" s="1035" t="s">
        <v>46</v>
      </c>
      <c r="N575" s="1368"/>
      <c r="O575" s="627"/>
      <c r="P575" s="627"/>
      <c r="Q575" s="719"/>
    </row>
    <row r="576" spans="1:17" ht="12.75" hidden="1" customHeight="1" x14ac:dyDescent="0.35">
      <c r="A576" s="988"/>
      <c r="B576" s="627"/>
      <c r="C576" s="1039" t="s">
        <v>429</v>
      </c>
      <c r="D576" s="1031"/>
      <c r="E576" s="1031"/>
      <c r="F576" s="1031"/>
      <c r="G576" s="1031"/>
      <c r="H576" s="1031"/>
      <c r="I576" s="1031"/>
      <c r="J576" s="1031"/>
      <c r="K576" s="1033"/>
      <c r="L576" s="1040">
        <f ca="1">IF(E15=0,0,L878)/L878</f>
        <v>1</v>
      </c>
      <c r="M576" s="1035" t="s">
        <v>46</v>
      </c>
      <c r="N576" s="1368"/>
      <c r="O576" s="627"/>
      <c r="P576" s="627"/>
      <c r="Q576" s="719"/>
    </row>
    <row r="577" spans="1:17" ht="12.75" hidden="1" customHeight="1" x14ac:dyDescent="0.35">
      <c r="A577" s="988"/>
      <c r="B577" s="627"/>
      <c r="C577" s="1039" t="s">
        <v>430</v>
      </c>
      <c r="D577" s="1031"/>
      <c r="E577" s="1031"/>
      <c r="F577" s="1031"/>
      <c r="G577" s="1031"/>
      <c r="H577" s="1031"/>
      <c r="I577" s="1031"/>
      <c r="J577" s="1031"/>
      <c r="K577" s="1033"/>
      <c r="L577" s="1040">
        <f ca="1">IF(E15=0,0,L878)/L878</f>
        <v>1</v>
      </c>
      <c r="M577" s="1035" t="s">
        <v>46</v>
      </c>
      <c r="N577" s="1368"/>
      <c r="O577" s="627"/>
      <c r="P577" s="627"/>
      <c r="Q577" s="719"/>
    </row>
    <row r="578" spans="1:17" ht="12.75" hidden="1" customHeight="1" x14ac:dyDescent="0.35">
      <c r="A578" s="988"/>
      <c r="B578" s="627"/>
      <c r="C578" s="1039" t="s">
        <v>431</v>
      </c>
      <c r="D578" s="1031"/>
      <c r="E578" s="1031"/>
      <c r="F578" s="1031"/>
      <c r="G578" s="1031"/>
      <c r="H578" s="1031"/>
      <c r="I578" s="1031"/>
      <c r="J578" s="1031"/>
      <c r="K578" s="1033"/>
      <c r="L578" s="1040">
        <f ca="1">IF(E15=0,0,L878)/L878</f>
        <v>1</v>
      </c>
      <c r="M578" s="1035" t="s">
        <v>46</v>
      </c>
      <c r="N578" s="1368"/>
      <c r="O578" s="627"/>
      <c r="P578" s="627"/>
      <c r="Q578" s="719"/>
    </row>
    <row r="579" spans="1:17" ht="12.75" hidden="1" customHeight="1" x14ac:dyDescent="0.35">
      <c r="A579" s="988"/>
      <c r="B579" s="627"/>
      <c r="C579" s="1039" t="s">
        <v>432</v>
      </c>
      <c r="D579" s="1031"/>
      <c r="E579" s="1031"/>
      <c r="F579" s="1031"/>
      <c r="G579" s="1031"/>
      <c r="H579" s="1031"/>
      <c r="I579" s="1031"/>
      <c r="J579" s="1031"/>
      <c r="K579" s="1033"/>
      <c r="L579" s="1040">
        <f ca="1">IF(E15=0,0,L878)/L878</f>
        <v>1</v>
      </c>
      <c r="M579" s="1035" t="s">
        <v>46</v>
      </c>
      <c r="N579" s="1368"/>
      <c r="O579" s="627"/>
      <c r="P579" s="627"/>
      <c r="Q579" s="719"/>
    </row>
    <row r="580" spans="1:17" ht="12.75" hidden="1" customHeight="1" x14ac:dyDescent="0.35">
      <c r="A580" s="988"/>
      <c r="B580" s="627"/>
      <c r="C580" s="1039" t="s">
        <v>433</v>
      </c>
      <c r="D580" s="1031"/>
      <c r="E580" s="1031"/>
      <c r="F580" s="1031"/>
      <c r="G580" s="1031"/>
      <c r="H580" s="1031"/>
      <c r="I580" s="1031"/>
      <c r="J580" s="1031"/>
      <c r="K580" s="1033"/>
      <c r="L580" s="1040">
        <f ca="1">IF(E15=0,0,L878)/L878</f>
        <v>1</v>
      </c>
      <c r="M580" s="1035" t="s">
        <v>46</v>
      </c>
      <c r="N580" s="1368"/>
      <c r="O580" s="627"/>
      <c r="P580" s="627"/>
      <c r="Q580" s="719"/>
    </row>
    <row r="581" spans="1:17" ht="12.75" hidden="1" customHeight="1" x14ac:dyDescent="0.35">
      <c r="A581" s="988"/>
      <c r="B581" s="627"/>
      <c r="C581" s="1039" t="s">
        <v>434</v>
      </c>
      <c r="D581" s="1031"/>
      <c r="E581" s="1031"/>
      <c r="F581" s="1031"/>
      <c r="G581" s="1031"/>
      <c r="H581" s="1031"/>
      <c r="I581" s="1031"/>
      <c r="J581" s="1031"/>
      <c r="K581" s="1033"/>
      <c r="L581" s="1040">
        <f ca="1">IF(E15=0,0,L878)/L878</f>
        <v>1</v>
      </c>
      <c r="M581" s="1035" t="s">
        <v>46</v>
      </c>
      <c r="N581" s="1368"/>
      <c r="O581" s="627"/>
      <c r="P581" s="627"/>
      <c r="Q581" s="719"/>
    </row>
    <row r="582" spans="1:17" ht="12.75" hidden="1" customHeight="1" x14ac:dyDescent="0.35">
      <c r="A582" s="988"/>
      <c r="B582" s="627"/>
      <c r="C582" s="1039" t="s">
        <v>435</v>
      </c>
      <c r="D582" s="1031"/>
      <c r="E582" s="1031"/>
      <c r="F582" s="1031"/>
      <c r="G582" s="1031"/>
      <c r="H582" s="1031"/>
      <c r="I582" s="1031"/>
      <c r="J582" s="1031"/>
      <c r="K582" s="1033"/>
      <c r="L582" s="1040">
        <f ca="1">IF(E15=0,0,L878)/L878</f>
        <v>1</v>
      </c>
      <c r="M582" s="1035" t="s">
        <v>46</v>
      </c>
      <c r="N582" s="1368"/>
      <c r="O582" s="627"/>
      <c r="P582" s="627"/>
      <c r="Q582" s="719"/>
    </row>
    <row r="583" spans="1:17" ht="12.75" hidden="1" customHeight="1" x14ac:dyDescent="0.35">
      <c r="A583" s="988"/>
      <c r="B583" s="627"/>
      <c r="C583" s="1039" t="s">
        <v>436</v>
      </c>
      <c r="D583" s="1031"/>
      <c r="E583" s="1031"/>
      <c r="F583" s="1031"/>
      <c r="G583" s="1031"/>
      <c r="H583" s="1031"/>
      <c r="I583" s="1031"/>
      <c r="J583" s="1031"/>
      <c r="K583" s="1033"/>
      <c r="L583" s="1040">
        <f ca="1">IF(E16=0,0,L878)/L878</f>
        <v>1</v>
      </c>
      <c r="M583" s="1035" t="s">
        <v>46</v>
      </c>
      <c r="N583" s="1368"/>
      <c r="O583" s="627"/>
      <c r="P583" s="627"/>
      <c r="Q583" s="719"/>
    </row>
    <row r="584" spans="1:17" ht="12.75" hidden="1" customHeight="1" x14ac:dyDescent="0.35">
      <c r="A584" s="988"/>
      <c r="B584" s="627"/>
      <c r="C584" s="1039" t="s">
        <v>437</v>
      </c>
      <c r="D584" s="1031"/>
      <c r="E584" s="1031"/>
      <c r="F584" s="1031"/>
      <c r="G584" s="1031"/>
      <c r="H584" s="1031"/>
      <c r="I584" s="1031"/>
      <c r="J584" s="1031"/>
      <c r="K584" s="1033"/>
      <c r="L584" s="1040">
        <f ca="1">IF(E15=0,0,L878)/L878</f>
        <v>1</v>
      </c>
      <c r="M584" s="1035" t="s">
        <v>46</v>
      </c>
      <c r="N584" s="1368"/>
      <c r="O584" s="627"/>
      <c r="P584" s="627"/>
      <c r="Q584" s="719"/>
    </row>
    <row r="585" spans="1:17" ht="12.75" hidden="1" customHeight="1" x14ac:dyDescent="0.35">
      <c r="A585" s="988"/>
      <c r="B585" s="627"/>
      <c r="C585" s="1039" t="s">
        <v>438</v>
      </c>
      <c r="D585" s="1031"/>
      <c r="E585" s="1031"/>
      <c r="F585" s="1031"/>
      <c r="G585" s="1031"/>
      <c r="H585" s="1031"/>
      <c r="I585" s="1031"/>
      <c r="J585" s="1031"/>
      <c r="K585" s="1033"/>
      <c r="L585" s="1040">
        <f ca="1">IF(E15=0,0,L878)/L878</f>
        <v>1</v>
      </c>
      <c r="M585" s="1035" t="s">
        <v>46</v>
      </c>
      <c r="N585" s="1368"/>
      <c r="O585" s="627"/>
      <c r="P585" s="627"/>
      <c r="Q585" s="719"/>
    </row>
    <row r="586" spans="1:17" ht="12.75" hidden="1" customHeight="1" x14ac:dyDescent="0.35">
      <c r="A586" s="988"/>
      <c r="B586" s="627"/>
      <c r="C586" s="1039" t="s">
        <v>439</v>
      </c>
      <c r="D586" s="1031"/>
      <c r="E586" s="1031"/>
      <c r="F586" s="1031"/>
      <c r="G586" s="1031"/>
      <c r="H586" s="1031"/>
      <c r="I586" s="1031"/>
      <c r="J586" s="1031"/>
      <c r="K586" s="1033"/>
      <c r="L586" s="1040">
        <f ca="1">IF(E15=0,0,L878)/L878</f>
        <v>1</v>
      </c>
      <c r="M586" s="1035" t="s">
        <v>46</v>
      </c>
      <c r="N586" s="1368"/>
      <c r="O586" s="627"/>
      <c r="P586" s="627"/>
      <c r="Q586" s="719"/>
    </row>
    <row r="587" spans="1:17" ht="12.75" hidden="1" customHeight="1" x14ac:dyDescent="0.35">
      <c r="A587" s="988"/>
      <c r="B587" s="627"/>
      <c r="C587" s="1039" t="s">
        <v>440</v>
      </c>
      <c r="D587" s="1031"/>
      <c r="E587" s="1101"/>
      <c r="F587" s="1102" t="str">
        <f>IF(E15=0,0,VLOOKUP(BJ8,C428:I432,6,0)&amp;" m")</f>
        <v>5,8 m</v>
      </c>
      <c r="G587" s="1031" t="str">
        <f ca="1">IF(E15=0,0,(G91+G93+G97)*(VLOOKUP(BJ8,C428:I432,4,0)))&amp;" unid. durante "&amp;L878&amp;" dias"</f>
        <v>62 unid. durante 101 dias</v>
      </c>
      <c r="H587" s="1031"/>
      <c r="I587" s="1031"/>
      <c r="J587" s="1031"/>
      <c r="K587" s="1033"/>
      <c r="L587" s="1103">
        <f ca="1">IF(E15=0,0,((G91+G93+G97)*(VLOOKUP(BJ8,C428:I432,4,0)))*L878)/L878</f>
        <v>62</v>
      </c>
      <c r="M587" s="1035" t="s">
        <v>46</v>
      </c>
      <c r="N587" s="1369"/>
      <c r="O587" s="627"/>
      <c r="P587" s="627"/>
      <c r="Q587" s="719"/>
    </row>
    <row r="588" spans="1:17" hidden="1" x14ac:dyDescent="0.35">
      <c r="A588" s="988"/>
      <c r="B588" s="627"/>
      <c r="C588" s="633" t="s">
        <v>441</v>
      </c>
      <c r="D588" s="646"/>
      <c r="E588" s="646"/>
      <c r="F588" s="646"/>
      <c r="G588" s="646"/>
      <c r="H588" s="646"/>
      <c r="I588" s="646"/>
      <c r="J588" s="646"/>
      <c r="K588" s="629"/>
      <c r="L588" s="660">
        <f ca="1">IF(E15=0,0,L881)</f>
        <v>107</v>
      </c>
      <c r="M588" s="627" t="s">
        <v>101</v>
      </c>
      <c r="N588" s="627"/>
      <c r="O588" s="627"/>
      <c r="P588" s="627"/>
      <c r="Q588" s="719"/>
    </row>
    <row r="589" spans="1:17" hidden="1" x14ac:dyDescent="0.35">
      <c r="A589" s="988"/>
      <c r="B589" s="627"/>
      <c r="C589" s="633" t="str">
        <f>IF(E15=0,0,IF(E15&lt;=14,"PLATAFORMA ELEVATÓRIA ARTICULADA (PTA) TIPO 450AJ","PLATAFORMA ELEVATÓRIA ARTICULADA (PTA) TIPO 600AJ"))</f>
        <v>PLATAFORMA ELEVATÓRIA ARTICULADA (PTA) TIPO 450AJ</v>
      </c>
      <c r="D589" s="646"/>
      <c r="E589" s="646"/>
      <c r="F589" s="646"/>
      <c r="G589" s="646"/>
      <c r="H589" s="646"/>
      <c r="I589" s="646"/>
      <c r="J589" s="646"/>
      <c r="K589" s="629"/>
      <c r="L589" s="1009">
        <f ca="1">IF(E15=0,0,L881)</f>
        <v>107</v>
      </c>
      <c r="M589" s="627" t="s">
        <v>101</v>
      </c>
      <c r="N589" s="627"/>
      <c r="O589" s="627"/>
      <c r="P589" s="627"/>
      <c r="Q589" s="719"/>
    </row>
    <row r="590" spans="1:17" hidden="1" x14ac:dyDescent="0.35">
      <c r="A590" s="988"/>
      <c r="B590" s="627"/>
      <c r="C590" s="633" t="s">
        <v>442</v>
      </c>
      <c r="D590" s="646"/>
      <c r="E590" s="646"/>
      <c r="F590" s="646"/>
      <c r="G590" s="646"/>
      <c r="H590" s="646"/>
      <c r="I590" s="646"/>
      <c r="J590" s="646"/>
      <c r="K590" s="629"/>
      <c r="L590" s="1009">
        <f ca="1">IF(L589=0,0,1)</f>
        <v>1</v>
      </c>
      <c r="M590" s="627" t="s">
        <v>46</v>
      </c>
      <c r="N590" s="627"/>
      <c r="O590" s="627"/>
      <c r="P590" s="627"/>
      <c r="Q590" s="719"/>
    </row>
    <row r="591" spans="1:17" hidden="1" x14ac:dyDescent="0.35">
      <c r="A591" s="988"/>
      <c r="B591" s="627"/>
      <c r="C591" s="633" t="s">
        <v>443</v>
      </c>
      <c r="D591" s="646"/>
      <c r="E591" s="646" t="s">
        <v>444</v>
      </c>
      <c r="F591" s="646"/>
      <c r="G591" s="646"/>
      <c r="H591" s="646"/>
      <c r="I591" s="646" t="e">
        <f>IF(E15=0,0,IF(#REF!&lt;&gt;0,#REF!,VLOOKUP(BJ8,C438:I445,4,0)))</f>
        <v>#REF!</v>
      </c>
      <c r="J591" s="646" t="s">
        <v>445</v>
      </c>
      <c r="K591" s="629"/>
      <c r="L591" s="1009" t="e">
        <f>IF(I591=0,0,L878-#REF!)</f>
        <v>#REF!</v>
      </c>
      <c r="M591" s="627" t="e">
        <f>IF(L591&lt;=1,"dia","dias trabalhados")</f>
        <v>#REF!</v>
      </c>
      <c r="N591" s="627"/>
      <c r="O591" s="627"/>
      <c r="P591" s="627"/>
      <c r="Q591" s="719"/>
    </row>
    <row r="592" spans="1:17" hidden="1" x14ac:dyDescent="0.35">
      <c r="A592" s="988"/>
      <c r="B592" s="627"/>
      <c r="C592" s="633" t="e">
        <f>IF(I592=0,0,"TRABALHANDO------------------")</f>
        <v>#REF!</v>
      </c>
      <c r="D592" s="646"/>
      <c r="E592" s="646" t="e">
        <f>IF(I592=0,0,"GUINDASTE 2 SOBRE RODAS CAP. = ------------------")</f>
        <v>#REF!</v>
      </c>
      <c r="F592" s="646"/>
      <c r="G592" s="646"/>
      <c r="H592" s="646"/>
      <c r="I592" s="646" t="e">
        <f>IF(E15=0,0,IF(#REF!&lt;&gt;0,#REF!,VLOOKUP(BJ8,C438:I445,6,0)))</f>
        <v>#REF!</v>
      </c>
      <c r="J592" s="646" t="e">
        <f>IF(I592=0,0,"toneladas")</f>
        <v>#REF!</v>
      </c>
      <c r="K592" s="629"/>
      <c r="L592" s="1009" t="e">
        <f>IF(I592=0,0,SUM(J604:J606))</f>
        <v>#REF!</v>
      </c>
      <c r="M592" s="627" t="e">
        <f>IF(I592=0,0,IF(L592&lt;=1,"dia","dias"))</f>
        <v>#REF!</v>
      </c>
      <c r="N592" s="627"/>
      <c r="O592" s="627"/>
      <c r="P592" s="627"/>
      <c r="Q592" s="719"/>
    </row>
    <row r="593" spans="1:17" hidden="1" x14ac:dyDescent="0.35">
      <c r="A593" s="988"/>
      <c r="B593" s="627"/>
      <c r="C593" s="636" t="s">
        <v>446</v>
      </c>
      <c r="D593" s="652"/>
      <c r="E593" s="652"/>
      <c r="F593" s="652"/>
      <c r="G593" s="652"/>
      <c r="H593" s="652"/>
      <c r="I593" s="652"/>
      <c r="J593" s="652"/>
      <c r="K593" s="987"/>
      <c r="L593" s="1104" t="e">
        <f>IF(L591=0,0,#REF!)</f>
        <v>#REF!</v>
      </c>
      <c r="M593" s="627" t="s">
        <v>46</v>
      </c>
      <c r="N593" s="627"/>
      <c r="O593" s="627"/>
      <c r="P593" s="627"/>
      <c r="Q593" s="719"/>
    </row>
    <row r="594" spans="1:17" hidden="1" x14ac:dyDescent="0.35">
      <c r="A594" s="988"/>
      <c r="B594" s="627"/>
      <c r="C594" s="636" t="e">
        <f>IF(I592=0,0,"MOBILIZAÇÃO DE GUINDASTE 2")</f>
        <v>#REF!</v>
      </c>
      <c r="D594" s="652"/>
      <c r="E594" s="652"/>
      <c r="F594" s="652"/>
      <c r="G594" s="652"/>
      <c r="H594" s="652"/>
      <c r="I594" s="652"/>
      <c r="J594" s="652"/>
      <c r="K594" s="987"/>
      <c r="L594" s="1104" t="e">
        <f>IF(L592=0,0,#REF!)</f>
        <v>#REF!</v>
      </c>
      <c r="M594" s="627" t="e">
        <f>IF(C594&lt;&gt;0,"unid.",0)</f>
        <v>#REF!</v>
      </c>
      <c r="N594" s="627"/>
      <c r="O594" s="627"/>
      <c r="P594" s="627"/>
      <c r="Q594" s="719"/>
    </row>
    <row r="595" spans="1:17" hidden="1" x14ac:dyDescent="0.35">
      <c r="A595" s="988"/>
      <c r="B595" s="627"/>
      <c r="C595" s="633" t="s">
        <v>447</v>
      </c>
      <c r="D595" s="646"/>
      <c r="E595" s="646" t="s">
        <v>444</v>
      </c>
      <c r="F595" s="646"/>
      <c r="G595" s="646"/>
      <c r="H595" s="646"/>
      <c r="I595" s="646" t="e">
        <f>IF(E15=0,0,IF(#REF!&lt;&gt;0,#REF!,VLOOKUP(BJ8,C438:I445,4,0)))</f>
        <v>#REF!</v>
      </c>
      <c r="J595" s="646" t="s">
        <v>445</v>
      </c>
      <c r="K595" s="629"/>
      <c r="L595" s="1104" t="e">
        <f>#REF!</f>
        <v>#REF!</v>
      </c>
      <c r="M595" s="627" t="e">
        <f>IF(L595&lt;=1,"dia","dias à disposição")</f>
        <v>#REF!</v>
      </c>
      <c r="N595" s="627"/>
      <c r="O595" s="627"/>
      <c r="P595" s="627"/>
      <c r="Q595" s="719"/>
    </row>
    <row r="596" spans="1:17" hidden="1" x14ac:dyDescent="0.35">
      <c r="A596" s="988"/>
      <c r="B596" s="627"/>
      <c r="C596" s="633" t="e">
        <f>IF(I592=0,0,"À DISPOSIÇÃO------------------")</f>
        <v>#REF!</v>
      </c>
      <c r="D596" s="646"/>
      <c r="E596" s="646" t="e">
        <f>IF(I592=0,0,"GUINDASTE 2 SOBRE RODAS CAP. = ------------------")</f>
        <v>#REF!</v>
      </c>
      <c r="F596" s="646"/>
      <c r="G596" s="646"/>
      <c r="H596" s="646"/>
      <c r="I596" s="646" t="e">
        <f>IF(E15=0,0,IF(#REF!&lt;&gt;0,#REF!,VLOOKUP(BJ8,C438:I445,6,0)))</f>
        <v>#REF!</v>
      </c>
      <c r="J596" s="646" t="e">
        <f>IF(I596=0,0,"toneladas")</f>
        <v>#REF!</v>
      </c>
      <c r="K596" s="629"/>
      <c r="L596" s="1104" t="e">
        <f>IF(I596=0,0,#REF!)</f>
        <v>#REF!</v>
      </c>
      <c r="M596" s="627" t="e">
        <f>IF(I596=0,0,IF(L591&lt;=1,"dia","dias"))</f>
        <v>#REF!</v>
      </c>
      <c r="N596" s="627"/>
      <c r="O596" s="627"/>
      <c r="P596" s="627"/>
      <c r="Q596" s="719"/>
    </row>
    <row r="597" spans="1:17" hidden="1" x14ac:dyDescent="0.35">
      <c r="A597" s="988"/>
      <c r="B597" s="627"/>
      <c r="C597" s="636" t="str">
        <f>IF($I$15&gt;=12,"ALTURA DO PAINEL &gt; 12 m. VER TRANSPORTE ESPECÍFICO COM TRANSPORTADORAS.",IF(A488+A491+A494+A497+A500+A503+A506+A509+A512+A515+A518+A521+A524+A527+A530=0,"FRETE",IF(C598=0,0,"FRETE para "&amp;E484&amp;" km com "&amp;""&amp;VLOOKUP($BJ$8,C488:O532,2,0))))</f>
        <v>FRETE</v>
      </c>
      <c r="D597" s="652"/>
      <c r="E597" s="652"/>
      <c r="F597" s="652"/>
      <c r="G597" s="652"/>
      <c r="H597" s="652"/>
      <c r="I597" s="652"/>
      <c r="J597" s="652"/>
      <c r="K597" s="987"/>
      <c r="L597" s="1349">
        <f>IF(C598=0,0,VLOOKUP($BJ$8,C488:O532,6,0))</f>
        <v>0</v>
      </c>
      <c r="M597" s="1351" t="s">
        <v>46</v>
      </c>
      <c r="N597" s="627"/>
      <c r="O597" s="627"/>
      <c r="P597" s="627"/>
      <c r="Q597" s="719"/>
    </row>
    <row r="598" spans="1:17" hidden="1" x14ac:dyDescent="0.35">
      <c r="A598" s="988"/>
      <c r="B598" s="627"/>
      <c r="C598" s="988">
        <f>IF(A488+A491+A494+A497+A500+A503+A506+A509+A512+A515+A518+A521+A524+A527+A530&lt;&gt;0,"CARGA com  "&amp;VLOOKUP($BJ$13,$C$489:$N$532,3,0)&amp;"  "&amp;IF(E489=1,"painel","painéis empilhados")&amp;"  ( larg.= 2,40m /// "&amp;"espessura= "&amp;IF($C$60="X","0,25 m","0,31 m")&amp;" /// comprim= "&amp;VLOOKUP($BJ$13,$C$489:$N$532,12,0)&amp;" m )",0)</f>
        <v>0</v>
      </c>
      <c r="D598" s="627"/>
      <c r="E598" s="688"/>
      <c r="F598" s="627"/>
      <c r="G598" s="627"/>
      <c r="H598" s="627"/>
      <c r="I598" s="627"/>
      <c r="J598" s="627"/>
      <c r="K598" s="719"/>
      <c r="L598" s="1350"/>
      <c r="M598" s="1351"/>
      <c r="N598" s="627"/>
      <c r="O598" s="627"/>
      <c r="P598" s="627"/>
      <c r="Q598" s="719"/>
    </row>
    <row r="599" spans="1:17" hidden="1" x14ac:dyDescent="0.35">
      <c r="A599" s="988"/>
      <c r="B599" s="627"/>
      <c r="C599" s="740" t="str">
        <f>IF($I$15=0,0,"PESO TOTAL TRANSPORTADO")</f>
        <v>PESO TOTAL TRANSPORTADO</v>
      </c>
      <c r="D599" s="1015"/>
      <c r="E599" s="1016"/>
      <c r="F599" s="1015"/>
      <c r="G599" s="1015"/>
      <c r="H599" s="1015"/>
      <c r="I599" s="1015"/>
      <c r="J599" s="1105"/>
      <c r="K599" s="1019"/>
      <c r="L599" s="1080">
        <f>IF(I15=0,0,IF(C60="x",((AJ473+AJ474)*(G97)+(AK473+AK474)*(G91+G93)),IF(E60="x",((AL473+AL474)*(G97)+(AM473+AM474)*(G91+G93)),0)))</f>
        <v>551.34345000000008</v>
      </c>
      <c r="M599" s="627" t="s">
        <v>328</v>
      </c>
      <c r="N599" s="627"/>
      <c r="O599" s="627"/>
      <c r="P599" s="627"/>
      <c r="Q599" s="719"/>
    </row>
    <row r="600" spans="1:17" hidden="1" x14ac:dyDescent="0.35">
      <c r="A600" s="988"/>
      <c r="B600" s="627"/>
      <c r="C600" s="627"/>
      <c r="D600" s="627"/>
      <c r="E600" s="627"/>
      <c r="F600" s="627"/>
      <c r="G600" s="627"/>
      <c r="H600" s="627"/>
      <c r="I600" s="627"/>
      <c r="J600" s="999"/>
      <c r="K600" s="627"/>
      <c r="L600" s="761"/>
      <c r="M600" s="627"/>
      <c r="N600" s="627"/>
      <c r="O600" s="627"/>
      <c r="P600" s="627"/>
      <c r="Q600" s="719"/>
    </row>
    <row r="601" spans="1:17" hidden="1" x14ac:dyDescent="0.35">
      <c r="A601" s="988"/>
      <c r="B601" s="627"/>
      <c r="C601" s="1346" t="s">
        <v>448</v>
      </c>
      <c r="D601" s="1347"/>
      <c r="E601" s="1347"/>
      <c r="F601" s="1347"/>
      <c r="G601" s="1347"/>
      <c r="H601" s="1347"/>
      <c r="I601" s="1347"/>
      <c r="J601" s="1348"/>
      <c r="K601" s="627"/>
      <c r="L601" s="627"/>
      <c r="M601" s="627"/>
      <c r="N601" s="627"/>
      <c r="O601" s="627"/>
      <c r="P601" s="627"/>
      <c r="Q601" s="719"/>
    </row>
    <row r="602" spans="1:17" hidden="1" x14ac:dyDescent="0.35">
      <c r="A602" s="988"/>
      <c r="B602" s="627"/>
      <c r="C602" s="633" t="s">
        <v>449</v>
      </c>
      <c r="D602" s="646"/>
      <c r="E602" s="646"/>
      <c r="F602" s="646"/>
      <c r="G602" s="646"/>
      <c r="H602" s="646"/>
      <c r="I602" s="629"/>
      <c r="J602" s="660">
        <f>ROUNDUP((G91+G93+G97)/J537,0)</f>
        <v>2</v>
      </c>
      <c r="K602" s="627" t="str">
        <f>IF(J602&lt;=1,"dia","dias")</f>
        <v>dias</v>
      </c>
      <c r="L602" s="627"/>
      <c r="M602" s="627"/>
      <c r="N602" s="627"/>
      <c r="O602" s="627"/>
      <c r="P602" s="627"/>
      <c r="Q602" s="719"/>
    </row>
    <row r="603" spans="1:17" hidden="1" x14ac:dyDescent="0.35">
      <c r="A603" s="988"/>
      <c r="B603" s="627"/>
      <c r="C603" s="633" t="s">
        <v>450</v>
      </c>
      <c r="D603" s="646"/>
      <c r="E603" s="646"/>
      <c r="F603" s="646"/>
      <c r="G603" s="646"/>
      <c r="H603" s="646"/>
      <c r="I603" s="629"/>
      <c r="J603" s="660">
        <f>ROUNDUP((G91+G93+G97)/J539/C734,0)</f>
        <v>2</v>
      </c>
      <c r="K603" s="627" t="str">
        <f>IF(J603&lt;=1,"dia","dias")</f>
        <v>dias</v>
      </c>
      <c r="L603" s="627"/>
      <c r="M603" s="627"/>
      <c r="N603" s="627"/>
      <c r="O603" s="627"/>
      <c r="P603" s="627"/>
      <c r="Q603" s="719"/>
    </row>
    <row r="604" spans="1:17" hidden="1" x14ac:dyDescent="0.35">
      <c r="A604" s="988"/>
      <c r="B604" s="627"/>
      <c r="C604" s="633" t="s">
        <v>451</v>
      </c>
      <c r="D604" s="646"/>
      <c r="E604" s="646"/>
      <c r="F604" s="646"/>
      <c r="G604" s="646"/>
      <c r="H604" s="646"/>
      <c r="I604" s="629"/>
      <c r="J604" s="660">
        <f>ROUNDUP(L597*1/9*(C734),0)</f>
        <v>0</v>
      </c>
      <c r="K604" s="627" t="str">
        <f>IF(J604&lt;=1,"dia","dias")</f>
        <v>dia</v>
      </c>
      <c r="L604" s="627"/>
      <c r="M604" s="627"/>
      <c r="N604" s="627"/>
      <c r="O604" s="627"/>
      <c r="P604" s="627"/>
      <c r="Q604" s="719"/>
    </row>
    <row r="605" spans="1:17" hidden="1" x14ac:dyDescent="0.35">
      <c r="A605" s="988"/>
      <c r="B605" s="627"/>
      <c r="C605" s="633" t="s">
        <v>452</v>
      </c>
      <c r="D605" s="646"/>
      <c r="E605" s="646"/>
      <c r="F605" s="646"/>
      <c r="G605" s="646"/>
      <c r="H605" s="646"/>
      <c r="I605" s="629"/>
      <c r="J605" s="660">
        <f>IF(E15=0,0,J543)</f>
        <v>0</v>
      </c>
      <c r="K605" s="627" t="str">
        <f>IF(J605&lt;=1,"dia","dias")</f>
        <v>dia</v>
      </c>
      <c r="L605" s="627"/>
      <c r="M605" s="627"/>
      <c r="N605" s="627"/>
      <c r="O605" s="627"/>
      <c r="P605" s="627"/>
      <c r="Q605" s="719"/>
    </row>
    <row r="606" spans="1:17" hidden="1" x14ac:dyDescent="0.35">
      <c r="A606" s="988"/>
      <c r="B606" s="627"/>
      <c r="C606" s="633" t="s">
        <v>453</v>
      </c>
      <c r="D606" s="646"/>
      <c r="E606" s="646"/>
      <c r="F606" s="646"/>
      <c r="G606" s="646"/>
      <c r="H606" s="646"/>
      <c r="I606" s="629"/>
      <c r="J606" s="660">
        <f>IF(E15=0,0,ROUNDUP((G91+G93+G97)/H422/C734,0))</f>
        <v>9</v>
      </c>
      <c r="K606" s="627" t="str">
        <f>IF(J606&lt;=1,"dia","dias")</f>
        <v>dias</v>
      </c>
      <c r="L606" s="627"/>
      <c r="M606" s="627"/>
      <c r="N606" s="627"/>
      <c r="O606" s="627"/>
      <c r="P606" s="627"/>
      <c r="Q606" s="719"/>
    </row>
    <row r="607" spans="1:17" hidden="1" x14ac:dyDescent="0.35">
      <c r="A607" s="988"/>
      <c r="B607" s="627"/>
      <c r="C607" s="627"/>
      <c r="D607" s="627"/>
      <c r="E607" s="627"/>
      <c r="F607" s="627"/>
      <c r="G607" s="627"/>
      <c r="H607" s="627"/>
      <c r="I607" s="627"/>
      <c r="J607" s="627"/>
      <c r="K607" s="627"/>
      <c r="L607" s="627"/>
      <c r="M607" s="627"/>
      <c r="N607" s="627"/>
      <c r="O607" s="627"/>
      <c r="P607" s="627"/>
      <c r="Q607" s="719"/>
    </row>
    <row r="608" spans="1:17" hidden="1" x14ac:dyDescent="0.35">
      <c r="A608" s="988"/>
      <c r="B608" s="627"/>
      <c r="C608" s="627"/>
      <c r="D608" s="627"/>
      <c r="E608" s="627"/>
      <c r="F608" s="627"/>
      <c r="G608" s="627"/>
      <c r="H608" s="627"/>
      <c r="I608" s="627"/>
      <c r="J608" s="627"/>
      <c r="K608" s="627"/>
      <c r="L608" s="627"/>
      <c r="M608" s="627"/>
      <c r="N608" s="627"/>
      <c r="O608" s="627"/>
      <c r="P608" s="627"/>
      <c r="Q608" s="719"/>
    </row>
    <row r="609" spans="1:17" hidden="1" x14ac:dyDescent="0.35">
      <c r="A609" s="988"/>
      <c r="B609" s="627"/>
      <c r="C609" s="627"/>
      <c r="D609" s="627"/>
      <c r="E609" s="627"/>
      <c r="F609" s="627"/>
      <c r="G609" s="627"/>
      <c r="H609" s="627"/>
      <c r="I609" s="627"/>
      <c r="J609" s="627"/>
      <c r="K609" s="627"/>
      <c r="L609" s="627"/>
      <c r="M609" s="627"/>
      <c r="N609" s="627"/>
      <c r="O609" s="761"/>
      <c r="P609" s="627"/>
      <c r="Q609" s="719"/>
    </row>
    <row r="610" spans="1:17" ht="15.4" hidden="1" thickBot="1" x14ac:dyDescent="0.45">
      <c r="A610" s="988"/>
      <c r="B610" s="692"/>
      <c r="C610" s="24" t="s">
        <v>454</v>
      </c>
      <c r="D610" s="1041"/>
      <c r="E610" s="1041"/>
      <c r="F610" s="1041"/>
      <c r="G610" s="1041"/>
      <c r="H610" s="1041"/>
      <c r="I610" s="1041"/>
      <c r="J610" s="1041"/>
      <c r="K610" s="1041"/>
      <c r="L610" s="1041"/>
      <c r="M610" s="1041"/>
      <c r="N610" s="1041"/>
      <c r="O610" s="1041"/>
      <c r="P610" s="691"/>
      <c r="Q610" s="719"/>
    </row>
    <row r="611" spans="1:17" hidden="1" x14ac:dyDescent="0.35">
      <c r="A611" s="988"/>
      <c r="B611" s="627"/>
      <c r="C611" s="627"/>
      <c r="D611" s="627"/>
      <c r="E611" s="627"/>
      <c r="F611" s="627"/>
      <c r="G611" s="627"/>
      <c r="H611" s="627"/>
      <c r="I611" s="627"/>
      <c r="J611" s="627"/>
      <c r="K611" s="627"/>
      <c r="L611" s="627"/>
      <c r="M611" s="627"/>
      <c r="N611" s="627"/>
      <c r="O611" s="627"/>
      <c r="P611" s="627"/>
      <c r="Q611" s="719"/>
    </row>
    <row r="612" spans="1:17" hidden="1" x14ac:dyDescent="0.35">
      <c r="A612" s="988"/>
      <c r="B612" s="627"/>
      <c r="C612" s="627" t="s">
        <v>455</v>
      </c>
      <c r="D612" s="627"/>
      <c r="E612" s="627"/>
      <c r="F612" s="627"/>
      <c r="G612" s="627"/>
      <c r="H612" s="627"/>
      <c r="I612" s="627"/>
      <c r="J612" s="627"/>
      <c r="K612" s="627"/>
      <c r="L612" s="627"/>
      <c r="M612" s="627"/>
      <c r="N612" s="627"/>
      <c r="O612" s="627"/>
      <c r="P612" s="627"/>
      <c r="Q612" s="719"/>
    </row>
    <row r="613" spans="1:17" hidden="1" x14ac:dyDescent="0.35">
      <c r="A613" s="988"/>
      <c r="B613" s="627"/>
      <c r="C613" s="626" t="s">
        <v>10</v>
      </c>
      <c r="D613" s="627" t="s">
        <v>456</v>
      </c>
      <c r="E613" s="627"/>
      <c r="F613" s="627"/>
      <c r="G613" s="627"/>
      <c r="H613" s="626"/>
      <c r="I613" s="627" t="s">
        <v>457</v>
      </c>
      <c r="J613" s="627"/>
      <c r="K613" s="627"/>
      <c r="L613" s="627"/>
      <c r="M613" s="627"/>
      <c r="N613" s="627"/>
      <c r="O613" s="627"/>
      <c r="P613" s="627"/>
      <c r="Q613" s="719"/>
    </row>
    <row r="614" spans="1:17" hidden="1" x14ac:dyDescent="0.35">
      <c r="A614" s="988"/>
      <c r="B614" s="627"/>
      <c r="C614" s="627"/>
      <c r="D614" s="627"/>
      <c r="E614" s="627"/>
      <c r="F614" s="627"/>
      <c r="G614" s="627"/>
      <c r="H614" s="627"/>
      <c r="I614" s="627"/>
      <c r="J614" s="627"/>
      <c r="K614" s="627"/>
      <c r="L614" s="627"/>
      <c r="M614" s="627"/>
      <c r="N614" s="627"/>
      <c r="O614" s="627"/>
      <c r="P614" s="627"/>
      <c r="Q614" s="719"/>
    </row>
    <row r="615" spans="1:17" ht="18" hidden="1" x14ac:dyDescent="0.55000000000000004">
      <c r="A615" s="988"/>
      <c r="B615" s="627"/>
      <c r="C615" s="627" t="s">
        <v>458</v>
      </c>
      <c r="D615" s="627"/>
      <c r="E615" s="627"/>
      <c r="F615" s="627"/>
      <c r="G615" s="627"/>
      <c r="H615" s="1009">
        <f>IF(O615=0,10,O615)</f>
        <v>10</v>
      </c>
      <c r="I615" s="627" t="s">
        <v>459</v>
      </c>
      <c r="J615" s="688" t="s">
        <v>460</v>
      </c>
      <c r="K615" s="627"/>
      <c r="L615" s="627"/>
      <c r="M615" s="627"/>
      <c r="N615" s="627"/>
      <c r="O615" s="1008"/>
      <c r="P615" s="627"/>
      <c r="Q615" s="719"/>
    </row>
    <row r="616" spans="1:17" hidden="1" x14ac:dyDescent="0.35">
      <c r="A616" s="988"/>
      <c r="B616" s="627"/>
      <c r="C616" s="627"/>
      <c r="D616" s="627"/>
      <c r="E616" s="627"/>
      <c r="F616" s="627"/>
      <c r="G616" s="627"/>
      <c r="H616" s="627"/>
      <c r="I616" s="627"/>
      <c r="J616" s="627"/>
      <c r="K616" s="627"/>
      <c r="L616" s="627"/>
      <c r="M616" s="627"/>
      <c r="N616" s="627"/>
      <c r="O616" s="627"/>
      <c r="P616" s="627"/>
      <c r="Q616" s="719"/>
    </row>
    <row r="617" spans="1:17" hidden="1" x14ac:dyDescent="0.35">
      <c r="A617" s="988"/>
      <c r="B617" s="627"/>
      <c r="C617" s="627" t="s">
        <v>461</v>
      </c>
      <c r="D617" s="627"/>
      <c r="E617" s="627"/>
      <c r="F617" s="627"/>
      <c r="G617" s="627"/>
      <c r="H617" s="1009">
        <f>IF(O617=0,35,O617)</f>
        <v>35</v>
      </c>
      <c r="I617" s="627" t="str">
        <f>"% "&amp;"( A ="</f>
        <v>% ( A =</v>
      </c>
      <c r="J617" s="635" t="str">
        <f>H617/100+1&amp; " )"</f>
        <v>1,35 )</v>
      </c>
      <c r="K617" s="627"/>
      <c r="L617" s="688" t="s">
        <v>462</v>
      </c>
      <c r="M617" s="627"/>
      <c r="N617" s="627"/>
      <c r="O617" s="1008"/>
      <c r="P617" s="627"/>
      <c r="Q617" s="719"/>
    </row>
    <row r="618" spans="1:17" hidden="1" x14ac:dyDescent="0.35">
      <c r="A618" s="988"/>
      <c r="B618" s="627"/>
      <c r="C618" s="627"/>
      <c r="D618" s="627"/>
      <c r="E618" s="627"/>
      <c r="F618" s="627"/>
      <c r="G618" s="627"/>
      <c r="H618" s="627"/>
      <c r="I618" s="627"/>
      <c r="J618" s="627"/>
      <c r="K618" s="627"/>
      <c r="L618" s="627"/>
      <c r="M618" s="627"/>
      <c r="N618" s="627"/>
      <c r="O618" s="627"/>
      <c r="P618" s="627"/>
      <c r="Q618" s="719"/>
    </row>
    <row r="619" spans="1:17" hidden="1" x14ac:dyDescent="0.35">
      <c r="A619" s="988"/>
      <c r="B619" s="627"/>
      <c r="C619" s="627" t="s">
        <v>463</v>
      </c>
      <c r="D619" s="627"/>
      <c r="E619" s="627"/>
      <c r="F619" s="627"/>
      <c r="G619" s="627"/>
      <c r="H619" s="1009">
        <f>IF(O619=0,90,O619)</f>
        <v>90</v>
      </c>
      <c r="I619" s="627" t="str">
        <f>"% "&amp;"( U ="</f>
        <v>% ( U =</v>
      </c>
      <c r="J619" s="627" t="str">
        <f>H619/100&amp; " )"</f>
        <v>0,9 )</v>
      </c>
      <c r="K619" s="627"/>
      <c r="L619" s="688" t="s">
        <v>464</v>
      </c>
      <c r="M619" s="627"/>
      <c r="N619" s="627"/>
      <c r="O619" s="1008"/>
      <c r="P619" s="627"/>
      <c r="Q619" s="719"/>
    </row>
    <row r="620" spans="1:17" hidden="1" x14ac:dyDescent="0.35">
      <c r="A620" s="988"/>
      <c r="B620" s="627"/>
      <c r="C620" s="627"/>
      <c r="D620" s="627"/>
      <c r="E620" s="627"/>
      <c r="F620" s="627"/>
      <c r="G620" s="627"/>
      <c r="H620" s="627"/>
      <c r="I620" s="627"/>
      <c r="J620" s="627"/>
      <c r="K620" s="627"/>
      <c r="L620" s="627"/>
      <c r="M620" s="627"/>
      <c r="N620" s="627"/>
      <c r="O620" s="627"/>
      <c r="P620" s="627"/>
      <c r="Q620" s="719"/>
    </row>
    <row r="621" spans="1:17" hidden="1" x14ac:dyDescent="0.35">
      <c r="A621" s="988"/>
      <c r="B621" s="627"/>
      <c r="C621" s="627" t="s">
        <v>465</v>
      </c>
      <c r="D621" s="627"/>
      <c r="E621" s="627"/>
      <c r="F621" s="627"/>
      <c r="G621" s="627"/>
      <c r="H621" s="1009">
        <f>IF(O621=0,200,O621)</f>
        <v>200</v>
      </c>
      <c r="I621" s="627" t="s">
        <v>466</v>
      </c>
      <c r="J621" s="688" t="s">
        <v>460</v>
      </c>
      <c r="K621" s="627"/>
      <c r="L621" s="627"/>
      <c r="M621" s="627"/>
      <c r="N621" s="627"/>
      <c r="O621" s="1008"/>
      <c r="P621" s="627"/>
      <c r="Q621" s="719"/>
    </row>
    <row r="622" spans="1:17" hidden="1" x14ac:dyDescent="0.35">
      <c r="A622" s="988"/>
      <c r="B622" s="627"/>
      <c r="C622" s="627"/>
      <c r="D622" s="627"/>
      <c r="E622" s="627"/>
      <c r="F622" s="627"/>
      <c r="G622" s="627"/>
      <c r="H622" s="627"/>
      <c r="I622" s="627"/>
      <c r="J622" s="627"/>
      <c r="K622" s="627"/>
      <c r="L622" s="627"/>
      <c r="M622" s="627"/>
      <c r="N622" s="627"/>
      <c r="O622" s="627"/>
      <c r="P622" s="627"/>
      <c r="Q622" s="719"/>
    </row>
    <row r="623" spans="1:17" hidden="1" x14ac:dyDescent="0.35">
      <c r="A623" s="988"/>
      <c r="B623" s="627"/>
      <c r="C623" s="627" t="s">
        <v>467</v>
      </c>
      <c r="D623" s="627"/>
      <c r="E623" s="627"/>
      <c r="F623" s="627"/>
      <c r="G623" s="627"/>
      <c r="H623" s="1009">
        <f>IF(O623=0,5,O623)</f>
        <v>5</v>
      </c>
      <c r="I623" s="627" t="s">
        <v>130</v>
      </c>
      <c r="J623" s="688" t="s">
        <v>468</v>
      </c>
      <c r="K623" s="627"/>
      <c r="L623" s="627"/>
      <c r="M623" s="627"/>
      <c r="N623" s="627"/>
      <c r="O623" s="1008"/>
      <c r="P623" s="627"/>
      <c r="Q623" s="719"/>
    </row>
    <row r="624" spans="1:17" hidden="1" x14ac:dyDescent="0.35">
      <c r="A624" s="988"/>
      <c r="B624" s="627"/>
      <c r="C624" s="627"/>
      <c r="D624" s="627"/>
      <c r="E624" s="627"/>
      <c r="F624" s="627"/>
      <c r="G624" s="627"/>
      <c r="H624" s="627"/>
      <c r="I624" s="627"/>
      <c r="J624" s="627"/>
      <c r="K624" s="627"/>
      <c r="L624" s="627"/>
      <c r="M624" s="627"/>
      <c r="N624" s="627"/>
      <c r="O624" s="627"/>
      <c r="P624" s="627"/>
      <c r="Q624" s="719"/>
    </row>
    <row r="625" spans="1:17" ht="13.15" hidden="1" x14ac:dyDescent="0.4">
      <c r="A625" s="988"/>
      <c r="B625" s="627"/>
      <c r="C625" s="627" t="s">
        <v>469</v>
      </c>
      <c r="D625" s="627"/>
      <c r="E625" s="627"/>
      <c r="F625" s="627"/>
      <c r="G625" s="627"/>
      <c r="H625" s="1009">
        <f>IF(E15=0,0,ROUNDUP((H615*(VLOOKUP(BJ8,D37:N45,11,0)/2)*E16*E16/2)*(H617/100+1)/(H621*(H619/100)),0))</f>
        <v>37</v>
      </c>
      <c r="I625" s="627" t="s">
        <v>470</v>
      </c>
      <c r="J625" s="688" t="s">
        <v>471</v>
      </c>
      <c r="K625" s="627"/>
      <c r="L625" s="627"/>
      <c r="M625" s="627"/>
      <c r="N625" s="627"/>
      <c r="O625" s="627"/>
      <c r="P625" s="627"/>
      <c r="Q625" s="719"/>
    </row>
    <row r="626" spans="1:17" hidden="1" x14ac:dyDescent="0.35">
      <c r="A626" s="988"/>
      <c r="B626" s="627"/>
      <c r="C626" s="627"/>
      <c r="D626" s="627"/>
      <c r="E626" s="627"/>
      <c r="F626" s="627"/>
      <c r="G626" s="627"/>
      <c r="H626" s="627"/>
      <c r="I626" s="627"/>
      <c r="J626" s="627"/>
      <c r="K626" s="627"/>
      <c r="L626" s="627"/>
      <c r="M626" s="627"/>
      <c r="N626" s="627"/>
      <c r="O626" s="627"/>
      <c r="P626" s="627"/>
      <c r="Q626" s="719"/>
    </row>
    <row r="627" spans="1:17" hidden="1" x14ac:dyDescent="0.35">
      <c r="A627" s="988"/>
      <c r="B627" s="627"/>
      <c r="C627" s="627" t="s">
        <v>472</v>
      </c>
      <c r="D627" s="627"/>
      <c r="E627" s="627"/>
      <c r="F627" s="627"/>
      <c r="G627" s="627"/>
      <c r="H627" s="1009">
        <f>ROUNDUP(H625/(1-(H623/100))-H625,0)</f>
        <v>2</v>
      </c>
      <c r="I627" s="627" t="s">
        <v>46</v>
      </c>
      <c r="J627" s="627"/>
      <c r="K627" s="627"/>
      <c r="L627" s="627"/>
      <c r="M627" s="627"/>
      <c r="N627" s="627"/>
      <c r="O627" s="627"/>
      <c r="P627" s="627"/>
      <c r="Q627" s="719"/>
    </row>
    <row r="628" spans="1:17" hidden="1" x14ac:dyDescent="0.35">
      <c r="A628" s="988"/>
      <c r="B628" s="627"/>
      <c r="C628" s="627"/>
      <c r="D628" s="627"/>
      <c r="E628" s="627"/>
      <c r="F628" s="627"/>
      <c r="G628" s="627"/>
      <c r="H628" s="627"/>
      <c r="I628" s="627"/>
      <c r="J628" s="636" t="s">
        <v>473</v>
      </c>
      <c r="K628" s="652"/>
      <c r="L628" s="652"/>
      <c r="M628" s="652"/>
      <c r="N628" s="987"/>
      <c r="O628" s="627"/>
      <c r="P628" s="627"/>
      <c r="Q628" s="719"/>
    </row>
    <row r="629" spans="1:17" ht="13.15" hidden="1" x14ac:dyDescent="0.4">
      <c r="A629" s="988"/>
      <c r="B629" s="627"/>
      <c r="C629" s="627" t="s">
        <v>474</v>
      </c>
      <c r="D629" s="627"/>
      <c r="E629" s="627"/>
      <c r="F629" s="627"/>
      <c r="G629" s="627"/>
      <c r="H629" s="1009">
        <f>IF(E15=0,0,IF(L635="X",3,IF(E15/(H625+H627)&lt;0.35,3,1)))</f>
        <v>3</v>
      </c>
      <c r="I629" s="627" t="s">
        <v>46</v>
      </c>
      <c r="J629" s="637" t="s">
        <v>475</v>
      </c>
      <c r="K629" s="749"/>
      <c r="L629" s="749"/>
      <c r="M629" s="749"/>
      <c r="N629" s="748"/>
      <c r="O629" s="627"/>
      <c r="P629" s="627"/>
      <c r="Q629" s="719"/>
    </row>
    <row r="630" spans="1:17" hidden="1" x14ac:dyDescent="0.35">
      <c r="A630" s="988"/>
      <c r="B630" s="627"/>
      <c r="C630" s="627"/>
      <c r="D630" s="627"/>
      <c r="E630" s="627"/>
      <c r="F630" s="627"/>
      <c r="G630" s="627"/>
      <c r="H630" s="627"/>
      <c r="I630" s="627"/>
      <c r="J630" s="636" t="s">
        <v>476</v>
      </c>
      <c r="K630" s="652"/>
      <c r="L630" s="652"/>
      <c r="M630" s="652"/>
      <c r="N630" s="987"/>
      <c r="O630" s="627"/>
      <c r="P630" s="627"/>
      <c r="Q630" s="719"/>
    </row>
    <row r="631" spans="1:17" ht="13.15" hidden="1" x14ac:dyDescent="0.4">
      <c r="A631" s="988"/>
      <c r="B631" s="627"/>
      <c r="C631" s="627" t="s">
        <v>477</v>
      </c>
      <c r="D631" s="627"/>
      <c r="E631" s="627"/>
      <c r="F631" s="627"/>
      <c r="G631" s="627"/>
      <c r="H631" s="1009">
        <f>IF(E15=0,0,ROUNDUP((H625+H627)/H629,0))</f>
        <v>13</v>
      </c>
      <c r="I631" s="627" t="s">
        <v>46</v>
      </c>
      <c r="J631" s="637" t="s">
        <v>478</v>
      </c>
      <c r="K631" s="749"/>
      <c r="L631" s="749"/>
      <c r="M631" s="749"/>
      <c r="N631" s="748"/>
      <c r="O631" s="627"/>
      <c r="P631" s="627"/>
      <c r="Q631" s="719"/>
    </row>
    <row r="632" spans="1:17" hidden="1" x14ac:dyDescent="0.35">
      <c r="A632" s="988"/>
      <c r="B632" s="627"/>
      <c r="C632" s="627"/>
      <c r="D632" s="627"/>
      <c r="E632" s="627"/>
      <c r="F632" s="627"/>
      <c r="G632" s="627"/>
      <c r="H632" s="627"/>
      <c r="I632" s="627"/>
      <c r="J632" s="627"/>
      <c r="K632" s="627"/>
      <c r="L632" s="627"/>
      <c r="M632" s="627"/>
      <c r="N632" s="627"/>
      <c r="O632" s="627"/>
      <c r="P632" s="627"/>
      <c r="Q632" s="719"/>
    </row>
    <row r="633" spans="1:17" hidden="1" x14ac:dyDescent="0.35">
      <c r="A633" s="988"/>
      <c r="B633" s="627"/>
      <c r="C633" s="627" t="s">
        <v>479</v>
      </c>
      <c r="D633" s="627"/>
      <c r="E633" s="627"/>
      <c r="F633" s="627"/>
      <c r="G633" s="627"/>
      <c r="H633" s="1009">
        <f>IF(E15=0,0,H625+H627)</f>
        <v>39</v>
      </c>
      <c r="I633" s="627" t="s">
        <v>46</v>
      </c>
      <c r="J633" s="627"/>
      <c r="K633" s="627"/>
      <c r="L633" s="627"/>
      <c r="M633" s="627"/>
      <c r="N633" s="627"/>
      <c r="O633" s="627"/>
      <c r="P633" s="627"/>
      <c r="Q633" s="719"/>
    </row>
    <row r="634" spans="1:17" hidden="1" x14ac:dyDescent="0.35">
      <c r="A634" s="988"/>
      <c r="B634" s="627"/>
      <c r="C634" s="627"/>
      <c r="D634" s="627"/>
      <c r="E634" s="627"/>
      <c r="F634" s="627"/>
      <c r="G634" s="627"/>
      <c r="H634" s="999"/>
      <c r="I634" s="627"/>
      <c r="J634" s="627"/>
      <c r="K634" s="627"/>
      <c r="L634" s="627"/>
      <c r="M634" s="627"/>
      <c r="N634" s="627"/>
      <c r="O634" s="627"/>
      <c r="P634" s="627"/>
      <c r="Q634" s="719"/>
    </row>
    <row r="635" spans="1:17" hidden="1" x14ac:dyDescent="0.35">
      <c r="A635" s="988"/>
      <c r="B635" s="627"/>
      <c r="C635" s="627" t="s">
        <v>480</v>
      </c>
      <c r="D635" s="627"/>
      <c r="E635" s="627"/>
      <c r="F635" s="627"/>
      <c r="G635" s="627"/>
      <c r="H635" s="999"/>
      <c r="I635" s="627"/>
      <c r="J635" s="627"/>
      <c r="K635" s="627"/>
      <c r="L635" s="626" t="s">
        <v>10</v>
      </c>
      <c r="M635" s="627"/>
      <c r="N635" s="627"/>
      <c r="O635" s="627"/>
      <c r="P635" s="627"/>
      <c r="Q635" s="719"/>
    </row>
    <row r="636" spans="1:17" hidden="1" x14ac:dyDescent="0.35">
      <c r="A636" s="988"/>
      <c r="B636" s="627"/>
      <c r="C636" s="627"/>
      <c r="D636" s="627"/>
      <c r="E636" s="627"/>
      <c r="F636" s="627"/>
      <c r="G636" s="627"/>
      <c r="H636" s="999"/>
      <c r="I636" s="627"/>
      <c r="J636" s="627"/>
      <c r="K636" s="627"/>
      <c r="L636" s="627"/>
      <c r="M636" s="627"/>
      <c r="N636" s="627"/>
      <c r="O636" s="627"/>
      <c r="P636" s="627"/>
      <c r="Q636" s="719"/>
    </row>
    <row r="637" spans="1:17" ht="12.75" hidden="1" customHeight="1" x14ac:dyDescent="0.35">
      <c r="A637" s="988"/>
      <c r="B637" s="627"/>
      <c r="C637" s="627" t="s">
        <v>481</v>
      </c>
      <c r="D637" s="627"/>
      <c r="E637" s="627"/>
      <c r="F637" s="1009">
        <f>IF(M637=0,15.2,M637)</f>
        <v>15.2</v>
      </c>
      <c r="G637" s="627" t="s">
        <v>482</v>
      </c>
      <c r="H637" s="999"/>
      <c r="I637" s="627"/>
      <c r="J637" s="1009">
        <f>IF(O637=0,1.13,O637)</f>
        <v>1.1299999999999999</v>
      </c>
      <c r="K637" s="627"/>
      <c r="L637" s="688" t="s">
        <v>483</v>
      </c>
      <c r="M637" s="1365"/>
      <c r="N637" s="1366"/>
      <c r="O637" s="1106"/>
      <c r="P637" s="627"/>
      <c r="Q637" s="719"/>
    </row>
    <row r="638" spans="1:17" hidden="1" x14ac:dyDescent="0.35">
      <c r="A638" s="988"/>
      <c r="B638" s="627"/>
      <c r="C638" s="627"/>
      <c r="D638" s="627"/>
      <c r="E638" s="627"/>
      <c r="F638" s="627"/>
      <c r="G638" s="627"/>
      <c r="H638" s="627"/>
      <c r="I638" s="627"/>
      <c r="J638" s="627"/>
      <c r="K638" s="627"/>
      <c r="L638" s="627"/>
      <c r="M638" s="627"/>
      <c r="N638" s="627"/>
      <c r="O638" s="627"/>
      <c r="P638" s="627"/>
      <c r="Q638" s="719"/>
    </row>
    <row r="639" spans="1:17" hidden="1" x14ac:dyDescent="0.35">
      <c r="A639" s="988"/>
      <c r="B639" s="627"/>
      <c r="C639" s="627" t="s">
        <v>484</v>
      </c>
      <c r="D639" s="627"/>
      <c r="E639" s="1009"/>
      <c r="F639" s="627" t="s">
        <v>130</v>
      </c>
      <c r="G639" s="688" t="s">
        <v>485</v>
      </c>
      <c r="H639" s="627"/>
      <c r="I639" s="627"/>
      <c r="J639" s="627"/>
      <c r="K639" s="627"/>
      <c r="L639" s="627"/>
      <c r="M639" s="627"/>
      <c r="N639" s="627"/>
      <c r="O639" s="1008"/>
      <c r="P639" s="627"/>
      <c r="Q639" s="719"/>
    </row>
    <row r="640" spans="1:17" hidden="1" x14ac:dyDescent="0.35">
      <c r="A640" s="988"/>
      <c r="B640" s="627"/>
      <c r="C640" s="627"/>
      <c r="D640" s="627"/>
      <c r="E640" s="627"/>
      <c r="F640" s="627"/>
      <c r="G640" s="627"/>
      <c r="H640" s="627"/>
      <c r="I640" s="627"/>
      <c r="J640" s="627"/>
      <c r="K640" s="627"/>
      <c r="L640" s="627"/>
      <c r="M640" s="627"/>
      <c r="N640" s="627"/>
      <c r="O640" s="627"/>
      <c r="P640" s="627"/>
      <c r="Q640" s="719"/>
    </row>
    <row r="641" spans="1:17" hidden="1" x14ac:dyDescent="0.35">
      <c r="A641" s="988"/>
      <c r="B641" s="627"/>
      <c r="C641" s="627" t="s">
        <v>486</v>
      </c>
      <c r="D641" s="627"/>
      <c r="E641" s="627"/>
      <c r="F641" s="627"/>
      <c r="G641" s="627"/>
      <c r="H641" s="627"/>
      <c r="I641" s="627"/>
      <c r="J641" s="627"/>
      <c r="K641" s="627"/>
      <c r="L641" s="627"/>
      <c r="M641" s="627"/>
      <c r="N641" s="627"/>
      <c r="O641" s="627"/>
      <c r="P641" s="627"/>
      <c r="Q641" s="719"/>
    </row>
    <row r="642" spans="1:17" hidden="1" x14ac:dyDescent="0.35">
      <c r="A642" s="988"/>
      <c r="B642" s="627"/>
      <c r="C642" s="627"/>
      <c r="D642" s="627"/>
      <c r="E642" s="627"/>
      <c r="F642" s="627"/>
      <c r="G642" s="627" t="s">
        <v>487</v>
      </c>
      <c r="H642" s="627"/>
      <c r="I642" s="627"/>
      <c r="J642" s="1009">
        <f>IF(O642=0,40,O642)</f>
        <v>40</v>
      </c>
      <c r="K642" s="627" t="s">
        <v>297</v>
      </c>
      <c r="L642" s="627"/>
      <c r="M642" s="627"/>
      <c r="N642" s="688" t="s">
        <v>488</v>
      </c>
      <c r="O642" s="1008"/>
      <c r="P642" s="627"/>
      <c r="Q642" s="719"/>
    </row>
    <row r="643" spans="1:17" hidden="1" x14ac:dyDescent="0.35">
      <c r="A643" s="988"/>
      <c r="B643" s="627"/>
      <c r="C643" s="627"/>
      <c r="D643" s="627"/>
      <c r="E643" s="627"/>
      <c r="F643" s="627"/>
      <c r="G643" s="627"/>
      <c r="H643" s="627"/>
      <c r="I643" s="627"/>
      <c r="J643" s="627"/>
      <c r="K643" s="627"/>
      <c r="L643" s="627"/>
      <c r="M643" s="627"/>
      <c r="N643" s="627"/>
      <c r="O643" s="627"/>
      <c r="P643" s="627"/>
      <c r="Q643" s="719"/>
    </row>
    <row r="644" spans="1:17" hidden="1" x14ac:dyDescent="0.35">
      <c r="A644" s="988"/>
      <c r="B644" s="627"/>
      <c r="C644" s="627" t="s">
        <v>489</v>
      </c>
      <c r="D644" s="627"/>
      <c r="E644" s="627"/>
      <c r="F644" s="627"/>
      <c r="G644" s="627"/>
      <c r="H644" s="627"/>
      <c r="I644" s="627"/>
      <c r="J644" s="1009">
        <f>IF(O644=0,80,O644)</f>
        <v>80</v>
      </c>
      <c r="K644" s="627" t="s">
        <v>297</v>
      </c>
      <c r="L644" s="627"/>
      <c r="M644" s="627"/>
      <c r="N644" s="688" t="s">
        <v>488</v>
      </c>
      <c r="O644" s="1008"/>
      <c r="P644" s="627"/>
      <c r="Q644" s="719"/>
    </row>
    <row r="645" spans="1:17" hidden="1" x14ac:dyDescent="0.35">
      <c r="A645" s="637"/>
      <c r="B645" s="749"/>
      <c r="C645" s="749"/>
      <c r="D645" s="749"/>
      <c r="E645" s="749"/>
      <c r="F645" s="749"/>
      <c r="G645" s="749"/>
      <c r="H645" s="749"/>
      <c r="I645" s="749"/>
      <c r="J645" s="749"/>
      <c r="K645" s="749"/>
      <c r="L645" s="749"/>
      <c r="M645" s="749"/>
      <c r="N645" s="749"/>
      <c r="O645" s="749"/>
      <c r="P645" s="749"/>
      <c r="Q645" s="748"/>
    </row>
    <row r="646" spans="1:17" x14ac:dyDescent="0.35">
      <c r="A646" s="636"/>
      <c r="B646" s="652"/>
      <c r="C646" s="652" t="s">
        <v>490</v>
      </c>
      <c r="D646" s="652"/>
      <c r="E646" s="652"/>
      <c r="F646" s="652"/>
      <c r="G646" s="652"/>
      <c r="H646" s="652"/>
      <c r="I646" s="652"/>
      <c r="J646" s="652"/>
      <c r="K646" s="652"/>
      <c r="L646" s="652"/>
      <c r="M646" s="652"/>
      <c r="N646" s="652"/>
      <c r="O646" s="652"/>
      <c r="P646" s="652"/>
      <c r="Q646" s="987"/>
    </row>
    <row r="647" spans="1:17" x14ac:dyDescent="0.35">
      <c r="A647" s="988"/>
      <c r="B647" s="627"/>
      <c r="C647" s="627"/>
      <c r="D647" s="626"/>
      <c r="E647" s="627" t="s">
        <v>52</v>
      </c>
      <c r="F647" s="626" t="s">
        <v>35</v>
      </c>
      <c r="G647" s="627" t="s">
        <v>53</v>
      </c>
      <c r="H647" s="627"/>
      <c r="I647" s="627"/>
      <c r="J647" s="627"/>
      <c r="K647" s="627"/>
      <c r="L647" s="627"/>
      <c r="M647" s="627"/>
      <c r="N647" s="627"/>
      <c r="O647" s="627"/>
      <c r="P647" s="627"/>
      <c r="Q647" s="719"/>
    </row>
    <row r="648" spans="1:17" hidden="1" x14ac:dyDescent="0.35">
      <c r="A648" s="988"/>
      <c r="B648" s="627"/>
      <c r="C648" s="627"/>
      <c r="D648" s="627" t="str">
        <f>IF(F647="x","SERÁ CONSIDERADA ESCADA DE ACESSO SOBRE A PAREDE",IF(D647="x","AS PESSOAS PASSARÃO POR ESTA PASSAGEM",0))</f>
        <v>SERÁ CONSIDERADA ESCADA DE ACESSO SOBRE A PAREDE</v>
      </c>
      <c r="E648" s="627"/>
      <c r="F648" s="627"/>
      <c r="G648" s="627"/>
      <c r="H648" s="627"/>
      <c r="I648" s="627"/>
      <c r="J648" s="627"/>
      <c r="K648" s="627"/>
      <c r="L648" s="627"/>
      <c r="M648" s="1107" t="s">
        <v>491</v>
      </c>
      <c r="N648" s="1108"/>
      <c r="O648" s="1109"/>
      <c r="P648" s="627"/>
      <c r="Q648" s="719"/>
    </row>
    <row r="649" spans="1:17" ht="12.75" hidden="1" customHeight="1" x14ac:dyDescent="0.35">
      <c r="A649" s="988"/>
      <c r="B649" s="627"/>
      <c r="C649" s="627"/>
      <c r="D649" s="627"/>
      <c r="E649" s="627"/>
      <c r="F649" s="627"/>
      <c r="G649" s="627"/>
      <c r="H649" s="627"/>
      <c r="I649" s="627"/>
      <c r="J649" s="627"/>
      <c r="K649" s="627"/>
      <c r="L649" s="627"/>
      <c r="M649" s="1362" t="s">
        <v>492</v>
      </c>
      <c r="N649" s="1363"/>
      <c r="O649" s="1364"/>
      <c r="P649" s="627"/>
      <c r="Q649" s="719"/>
    </row>
    <row r="650" spans="1:17" hidden="1" x14ac:dyDescent="0.35">
      <c r="A650" s="988"/>
      <c r="B650" s="627"/>
      <c r="C650" s="1359" t="s">
        <v>493</v>
      </c>
      <c r="D650" s="1360"/>
      <c r="E650" s="1360"/>
      <c r="F650" s="1360"/>
      <c r="G650" s="1360"/>
      <c r="H650" s="1360"/>
      <c r="I650" s="1360"/>
      <c r="J650" s="1361"/>
      <c r="K650" s="627"/>
      <c r="L650" s="627"/>
      <c r="M650" s="1110" t="s">
        <v>494</v>
      </c>
      <c r="N650" s="627"/>
      <c r="O650" s="1111"/>
      <c r="P650" s="627"/>
      <c r="Q650" s="719"/>
    </row>
    <row r="651" spans="1:17" hidden="1" x14ac:dyDescent="0.35">
      <c r="A651" s="988"/>
      <c r="B651" s="627"/>
      <c r="C651" s="633" t="s">
        <v>495</v>
      </c>
      <c r="D651" s="646"/>
      <c r="E651" s="646"/>
      <c r="F651" s="646"/>
      <c r="G651" s="646"/>
      <c r="H651" s="646"/>
      <c r="I651" s="629" t="str">
        <f>F637&amp;" mm"</f>
        <v>15,2 mm</v>
      </c>
      <c r="J651" s="1009">
        <f>M662</f>
        <v>6822.0360000000001</v>
      </c>
      <c r="K651" s="627" t="s">
        <v>496</v>
      </c>
      <c r="L651" s="627"/>
      <c r="M651" s="1110" t="str">
        <f>H633&amp;" pedaços com"</f>
        <v>39 pedaços com</v>
      </c>
      <c r="N651" s="627"/>
      <c r="O651" s="1111"/>
      <c r="P651" s="627"/>
      <c r="Q651" s="719"/>
    </row>
    <row r="652" spans="1:17" hidden="1" x14ac:dyDescent="0.35">
      <c r="A652" s="988"/>
      <c r="B652" s="627"/>
      <c r="C652" s="633" t="str">
        <f>"PLACA DE ANCORAGEM ( AÇO ) 160 x 80 x 50 mm  para 3 cabos  "&amp;F637&amp;"  mm"</f>
        <v>PLACA DE ANCORAGEM ( AÇO ) 160 x 80 x 50 mm  para 3 cabos  15,2  mm</v>
      </c>
      <c r="D652" s="646"/>
      <c r="E652" s="646"/>
      <c r="F652" s="646"/>
      <c r="G652" s="646"/>
      <c r="H652" s="646"/>
      <c r="I652" s="629"/>
      <c r="J652" s="1009">
        <f>IF(E15=0,0,IF(H629=3,(G91+G93)*H631*2,0))</f>
        <v>52</v>
      </c>
      <c r="K652" s="627" t="s">
        <v>46</v>
      </c>
      <c r="L652" s="627"/>
      <c r="M652" s="1110" t="str">
        <f>(G97*2.4+(G91+G93)*2.7*2)&amp;" m  cada e peso"</f>
        <v>154,8 m  cada e peso</v>
      </c>
      <c r="N652" s="627"/>
      <c r="O652" s="1111"/>
      <c r="P652" s="627"/>
      <c r="Q652" s="719"/>
    </row>
    <row r="653" spans="1:17" hidden="1" x14ac:dyDescent="0.35">
      <c r="A653" s="988"/>
      <c r="B653" s="627"/>
      <c r="C653" s="633" t="str">
        <f>"PLACA DE ANCORAGEM ( AÇO ) 80 x 80 x 20 mm  com 1 furos  "&amp;F637&amp;"  mm"</f>
        <v>PLACA DE ANCORAGEM ( AÇO ) 80 x 80 x 20 mm  com 1 furos  15,2  mm</v>
      </c>
      <c r="D653" s="646"/>
      <c r="E653" s="646"/>
      <c r="F653" s="646"/>
      <c r="G653" s="646"/>
      <c r="H653" s="646"/>
      <c r="I653" s="629"/>
      <c r="J653" s="1009">
        <f>IF(E15=0,0,IF(H629=1,(G91+G93)*H631*2,0))</f>
        <v>0</v>
      </c>
      <c r="K653" s="627" t="s">
        <v>46</v>
      </c>
      <c r="L653" s="627"/>
      <c r="M653" s="1112" t="s">
        <v>497</v>
      </c>
      <c r="N653" s="627">
        <f>(G97*2.4+(G91+G93)*2.7*2)*J637</f>
        <v>174.92400000000001</v>
      </c>
      <c r="O653" s="1111" t="s">
        <v>64</v>
      </c>
      <c r="P653" s="627"/>
      <c r="Q653" s="719"/>
    </row>
    <row r="654" spans="1:17" hidden="1" x14ac:dyDescent="0.35">
      <c r="A654" s="988"/>
      <c r="B654" s="627"/>
      <c r="C654" s="633" t="str">
        <f>"CUNHA DE ANCORAGEM PARA CABO  "&amp;F637&amp;"  mm"</f>
        <v>CUNHA DE ANCORAGEM PARA CABO  15,2  mm</v>
      </c>
      <c r="D654" s="646"/>
      <c r="E654" s="646"/>
      <c r="F654" s="646"/>
      <c r="G654" s="646"/>
      <c r="H654" s="646"/>
      <c r="I654" s="629"/>
      <c r="J654" s="1009">
        <f>IF(E15=0,0,(G91+G93)*H633*2)</f>
        <v>156</v>
      </c>
      <c r="K654" s="627" t="s">
        <v>46</v>
      </c>
      <c r="L654" s="627"/>
      <c r="M654" s="1113" t="str">
        <f>"Total real  = "&amp; (G97*2.4+(G91+G93)*2.7*2)*H633*J637&amp;" kg"</f>
        <v>Total real  = 6822,036 kg</v>
      </c>
      <c r="N654" s="1114"/>
      <c r="O654" s="1115"/>
      <c r="P654" s="627"/>
      <c r="Q654" s="719"/>
    </row>
    <row r="655" spans="1:17" hidden="1" x14ac:dyDescent="0.35">
      <c r="A655" s="988"/>
      <c r="B655" s="627"/>
      <c r="C655" s="633" t="str">
        <f>"PORTA CUNHA ABERTA de ANCORAGEM para 1 CABO  "&amp;F637&amp;"  mm"</f>
        <v>PORTA CUNHA ABERTA de ANCORAGEM para 1 CABO  15,2  mm</v>
      </c>
      <c r="D655" s="646"/>
      <c r="E655" s="646"/>
      <c r="F655" s="646"/>
      <c r="G655" s="646"/>
      <c r="H655" s="646"/>
      <c r="I655" s="629"/>
      <c r="J655" s="1009">
        <f>IF(E15=0,0,IF(H629=1,(G91+G93)*H631*2,0))</f>
        <v>0</v>
      </c>
      <c r="K655" s="627" t="s">
        <v>46</v>
      </c>
      <c r="L655" s="627"/>
      <c r="M655" s="1110">
        <f>IF(C613="X",0," para a confecção de ")</f>
        <v>0</v>
      </c>
      <c r="N655" s="627"/>
      <c r="O655" s="1111"/>
      <c r="P655" s="627"/>
      <c r="Q655" s="719"/>
    </row>
    <row r="656" spans="1:17" hidden="1" x14ac:dyDescent="0.35">
      <c r="A656" s="988"/>
      <c r="B656" s="627"/>
      <c r="C656" s="633" t="s">
        <v>498</v>
      </c>
      <c r="D656" s="646"/>
      <c r="E656" s="646"/>
      <c r="F656" s="646"/>
      <c r="G656" s="646"/>
      <c r="H656" s="646"/>
      <c r="I656" s="629"/>
      <c r="J656" s="1009">
        <f>IF(E15=0,0,J652)</f>
        <v>52</v>
      </c>
      <c r="K656" s="627" t="s">
        <v>46</v>
      </c>
      <c r="L656" s="627"/>
      <c r="M656" s="1110">
        <f>IF(C613="X",0,(G91+G93)&amp;"  painel fecho:")</f>
        <v>0</v>
      </c>
      <c r="N656" s="627"/>
      <c r="O656" s="1111"/>
      <c r="P656" s="627"/>
      <c r="Q656" s="719"/>
    </row>
    <row r="657" spans="1:17" hidden="1" x14ac:dyDescent="0.35">
      <c r="A657" s="988"/>
      <c r="B657" s="627"/>
      <c r="C657" s="633" t="s">
        <v>499</v>
      </c>
      <c r="D657" s="646"/>
      <c r="E657" s="646"/>
      <c r="F657" s="646"/>
      <c r="G657" s="646"/>
      <c r="H657" s="646"/>
      <c r="I657" s="629"/>
      <c r="J657" s="1009">
        <f>IF(E15=0,0,J653)</f>
        <v>0</v>
      </c>
      <c r="K657" s="627" t="s">
        <v>46</v>
      </c>
      <c r="L657" s="627"/>
      <c r="M657" s="1110">
        <f>IF(C613="X",0,20*(G91+G93)&amp;" pedaços com")</f>
        <v>0</v>
      </c>
      <c r="N657" s="627"/>
      <c r="O657" s="1111"/>
      <c r="P657" s="627"/>
      <c r="Q657" s="719"/>
    </row>
    <row r="658" spans="1:17" hidden="1" x14ac:dyDescent="0.35">
      <c r="A658" s="988"/>
      <c r="B658" s="627"/>
      <c r="C658" s="633" t="s">
        <v>500</v>
      </c>
      <c r="D658" s="646"/>
      <c r="E658" s="646"/>
      <c r="F658" s="646"/>
      <c r="G658" s="646"/>
      <c r="H658" s="646"/>
      <c r="I658" s="629"/>
      <c r="J658" s="1009">
        <f>ROUNDUP(IF(E15=0,0,(G91+G93)*2/33*H633),0)</f>
        <v>5</v>
      </c>
      <c r="K658" s="627" t="str">
        <f>IF(J658&gt;1,"litros","litro")</f>
        <v>litros</v>
      </c>
      <c r="L658" s="627"/>
      <c r="M658" s="1110">
        <f>IF(C613="X",0,(I15+(2))&amp;" m  cada e peso")</f>
        <v>0</v>
      </c>
      <c r="N658" s="627"/>
      <c r="O658" s="1111"/>
      <c r="P658" s="627"/>
      <c r="Q658" s="719"/>
    </row>
    <row r="659" spans="1:17" hidden="1" x14ac:dyDescent="0.35">
      <c r="A659" s="988"/>
      <c r="B659" s="627"/>
      <c r="C659" s="633" t="s">
        <v>501</v>
      </c>
      <c r="D659" s="646"/>
      <c r="E659" s="646"/>
      <c r="F659" s="646"/>
      <c r="G659" s="646"/>
      <c r="H659" s="646"/>
      <c r="I659" s="629"/>
      <c r="J659" s="1009">
        <f>ROUNDUP(IF(E15=0,0,(G91+G93)*5/33*H633),0)</f>
        <v>12</v>
      </c>
      <c r="K659" s="627" t="s">
        <v>64</v>
      </c>
      <c r="L659" s="627"/>
      <c r="M659" s="1112">
        <f>IF(C613="X",0,"real=")</f>
        <v>0</v>
      </c>
      <c r="N659" s="627">
        <f>IF(C613="X",0,(I15+(2*1))*J637)</f>
        <v>0</v>
      </c>
      <c r="O659" s="1111">
        <f>IF(C613="X",0,"kg")</f>
        <v>0</v>
      </c>
      <c r="P659" s="627"/>
      <c r="Q659" s="719"/>
    </row>
    <row r="660" spans="1:17" hidden="1" x14ac:dyDescent="0.35">
      <c r="A660" s="988"/>
      <c r="B660" s="627"/>
      <c r="C660" s="633" t="s">
        <v>502</v>
      </c>
      <c r="D660" s="646"/>
      <c r="E660" s="646"/>
      <c r="F660" s="646"/>
      <c r="G660" s="646"/>
      <c r="H660" s="646"/>
      <c r="I660" s="629"/>
      <c r="J660" s="1009">
        <f>ROUNDUP(IF(E15=0,0,IF(H629=1,H631/6,IF(H629=3,H631/6*3,0))),0)</f>
        <v>7</v>
      </c>
      <c r="K660" s="627" t="s">
        <v>64</v>
      </c>
      <c r="L660" s="627"/>
      <c r="M660" s="1113">
        <f>IF(C613="X",0,"Total real = "&amp; N659*20*(G91+G93)&amp;" kg")</f>
        <v>0</v>
      </c>
      <c r="N660" s="1114"/>
      <c r="O660" s="1115"/>
      <c r="P660" s="627"/>
      <c r="Q660" s="719"/>
    </row>
    <row r="661" spans="1:17" ht="12.75" hidden="1" customHeight="1" x14ac:dyDescent="0.4">
      <c r="A661" s="988"/>
      <c r="B661" s="627"/>
      <c r="C661" s="633" t="s">
        <v>503</v>
      </c>
      <c r="D661" s="646"/>
      <c r="E661" s="646"/>
      <c r="F661" s="646"/>
      <c r="G661" s="646"/>
      <c r="H661" s="646"/>
      <c r="I661" s="629"/>
      <c r="J661" s="1009">
        <f>ROUNDUP(IF(E15=0,0,H633*(G91+G93)/10),0)</f>
        <v>8</v>
      </c>
      <c r="K661" s="627" t="s">
        <v>46</v>
      </c>
      <c r="L661" s="627"/>
      <c r="M661" s="1477" t="s">
        <v>504</v>
      </c>
      <c r="N661" s="1478"/>
      <c r="O661" s="1479"/>
      <c r="P661" s="627"/>
      <c r="Q661" s="719"/>
    </row>
    <row r="662" spans="1:17" ht="12.75" hidden="1" customHeight="1" x14ac:dyDescent="0.4">
      <c r="A662" s="988"/>
      <c r="B662" s="627"/>
      <c r="C662" s="633" t="s">
        <v>505</v>
      </c>
      <c r="D662" s="646"/>
      <c r="E662" s="646"/>
      <c r="F662" s="646"/>
      <c r="G662" s="646"/>
      <c r="H662" s="646"/>
      <c r="I662" s="629"/>
      <c r="J662" s="1009">
        <f>ROUNDUP(IF(E15=0,0,H633*(G91+G93)/20),0)</f>
        <v>4</v>
      </c>
      <c r="K662" s="627" t="s">
        <v>46</v>
      </c>
      <c r="L662" s="627"/>
      <c r="M662" s="1480">
        <f>(G97*2.4+(G91+G93)*2.7*2)*H633*J637+N659*20*(G91+G93)</f>
        <v>6822.0360000000001</v>
      </c>
      <c r="N662" s="1481"/>
      <c r="O662" s="1116" t="s">
        <v>64</v>
      </c>
      <c r="P662" s="627"/>
      <c r="Q662" s="719"/>
    </row>
    <row r="663" spans="1:17" hidden="1" x14ac:dyDescent="0.35">
      <c r="A663" s="988"/>
      <c r="B663" s="627"/>
      <c r="C663" s="633" t="s">
        <v>506</v>
      </c>
      <c r="D663" s="646"/>
      <c r="E663" s="646"/>
      <c r="F663" s="646"/>
      <c r="G663" s="646"/>
      <c r="H663" s="646"/>
      <c r="I663" s="629"/>
      <c r="J663" s="1009">
        <f>IF(E15=0,0,(G97+G91+G93+1)*2)</f>
        <v>126</v>
      </c>
      <c r="K663" s="627" t="s">
        <v>46</v>
      </c>
      <c r="L663" s="627"/>
      <c r="M663" s="627"/>
      <c r="N663" s="627"/>
      <c r="O663" s="627"/>
      <c r="P663" s="627"/>
      <c r="Q663" s="719"/>
    </row>
    <row r="664" spans="1:17" hidden="1" x14ac:dyDescent="0.35">
      <c r="A664" s="988"/>
      <c r="B664" s="627"/>
      <c r="C664" s="633" t="s">
        <v>507</v>
      </c>
      <c r="D664" s="646"/>
      <c r="E664" s="646"/>
      <c r="F664" s="646" t="str">
        <f>IF(I15=0,0,ROUNDUP(E15+0.5,0)&amp; "  m (com pisos a cada 2 m de altura)")</f>
        <v>8  m (com pisos a cada 2 m de altura)</v>
      </c>
      <c r="G664" s="646"/>
      <c r="H664" s="646"/>
      <c r="I664" s="629"/>
      <c r="J664" s="764">
        <f ca="1">$L$881*(G91+G93)</f>
        <v>214</v>
      </c>
      <c r="K664" s="627" t="str">
        <f ca="1">IF(J664&lt;=1,"dia","dias")</f>
        <v>dias</v>
      </c>
      <c r="L664" s="627"/>
      <c r="M664" s="627"/>
      <c r="N664" s="627"/>
      <c r="O664" s="627"/>
      <c r="P664" s="627"/>
      <c r="Q664" s="719"/>
    </row>
    <row r="665" spans="1:17" hidden="1" x14ac:dyDescent="0.35">
      <c r="A665" s="988"/>
      <c r="B665" s="627"/>
      <c r="C665" s="633" t="str">
        <f>"ESCADA de ACESSO: 2 unidades de  2,50 X 4,00  H="&amp;IF(F647="x",I15+1,0)&amp;" m"&amp;" /// volume= "&amp;IF(I15=0,0,2.4*4*(I15+1)*2)&amp;" m³"</f>
        <v>ESCADA de ACESSO: 2 unidades de  2,50 X 4,00  H=8,3 m /// volume= 159,36 m³</v>
      </c>
      <c r="D665" s="646"/>
      <c r="E665" s="646"/>
      <c r="F665" s="972"/>
      <c r="G665" s="646"/>
      <c r="H665" s="646"/>
      <c r="I665" s="629"/>
      <c r="J665" s="764">
        <f ca="1">$L$881</f>
        <v>107</v>
      </c>
      <c r="K665" s="627" t="str">
        <f ca="1">IF(J665&lt;=1,"dia","dias")</f>
        <v>dias</v>
      </c>
      <c r="L665" s="627"/>
      <c r="M665" s="627"/>
      <c r="N665" s="627"/>
      <c r="O665" s="627"/>
      <c r="P665" s="627"/>
      <c r="Q665" s="719"/>
    </row>
    <row r="666" spans="1:17" hidden="1" x14ac:dyDescent="0.35">
      <c r="A666" s="988"/>
      <c r="B666" s="627"/>
      <c r="C666" s="1039" t="s">
        <v>508</v>
      </c>
      <c r="D666" s="1031"/>
      <c r="E666" s="1031"/>
      <c r="F666" s="1031"/>
      <c r="G666" s="1031"/>
      <c r="H666" s="1031"/>
      <c r="I666" s="1033"/>
      <c r="J666" s="1040">
        <f t="shared" ref="J666:J671" ca="1" si="37">$L$878/$L$878</f>
        <v>1</v>
      </c>
      <c r="K666" s="1035" t="s">
        <v>46</v>
      </c>
      <c r="L666" s="1035"/>
      <c r="M666" s="1367" t="s">
        <v>509</v>
      </c>
      <c r="N666" s="627"/>
      <c r="O666" s="627"/>
      <c r="P666" s="627"/>
      <c r="Q666" s="719"/>
    </row>
    <row r="667" spans="1:17" hidden="1" x14ac:dyDescent="0.35">
      <c r="A667" s="988"/>
      <c r="B667" s="627"/>
      <c r="C667" s="1039" t="s">
        <v>510</v>
      </c>
      <c r="D667" s="1031"/>
      <c r="E667" s="1031"/>
      <c r="F667" s="1031"/>
      <c r="G667" s="1031"/>
      <c r="H667" s="1031"/>
      <c r="I667" s="1033"/>
      <c r="J667" s="1040">
        <f t="shared" ca="1" si="37"/>
        <v>1</v>
      </c>
      <c r="K667" s="1035" t="s">
        <v>46</v>
      </c>
      <c r="L667" s="1035"/>
      <c r="M667" s="1368"/>
      <c r="N667" s="627"/>
      <c r="O667" s="627"/>
      <c r="P667" s="627"/>
      <c r="Q667" s="719"/>
    </row>
    <row r="668" spans="1:17" hidden="1" x14ac:dyDescent="0.35">
      <c r="A668" s="988"/>
      <c r="B668" s="627"/>
      <c r="C668" s="1039" t="s">
        <v>511</v>
      </c>
      <c r="D668" s="1031"/>
      <c r="E668" s="1031"/>
      <c r="F668" s="1031"/>
      <c r="G668" s="1031"/>
      <c r="H668" s="1031"/>
      <c r="I668" s="1033"/>
      <c r="J668" s="1040">
        <f t="shared" ca="1" si="37"/>
        <v>1</v>
      </c>
      <c r="K668" s="1035" t="s">
        <v>46</v>
      </c>
      <c r="L668" s="1035"/>
      <c r="M668" s="1368"/>
      <c r="N668" s="627"/>
      <c r="O668" s="627"/>
      <c r="P668" s="627"/>
      <c r="Q668" s="719"/>
    </row>
    <row r="669" spans="1:17" hidden="1" x14ac:dyDescent="0.35">
      <c r="A669" s="988"/>
      <c r="B669" s="627"/>
      <c r="C669" s="1039" t="s">
        <v>512</v>
      </c>
      <c r="D669" s="1031"/>
      <c r="E669" s="1031"/>
      <c r="F669" s="1031"/>
      <c r="G669" s="1031"/>
      <c r="H669" s="1031"/>
      <c r="I669" s="1033"/>
      <c r="J669" s="1040">
        <f t="shared" ca="1" si="37"/>
        <v>1</v>
      </c>
      <c r="K669" s="1035" t="s">
        <v>46</v>
      </c>
      <c r="L669" s="1035"/>
      <c r="M669" s="1368"/>
      <c r="N669" s="627"/>
      <c r="O669" s="627"/>
      <c r="P669" s="627"/>
      <c r="Q669" s="719"/>
    </row>
    <row r="670" spans="1:17" hidden="1" x14ac:dyDescent="0.35">
      <c r="A670" s="988"/>
      <c r="B670" s="627"/>
      <c r="C670" s="1039" t="s">
        <v>513</v>
      </c>
      <c r="D670" s="1031"/>
      <c r="E670" s="1031"/>
      <c r="F670" s="1031"/>
      <c r="G670" s="1031"/>
      <c r="H670" s="1031"/>
      <c r="I670" s="1033"/>
      <c r="J670" s="1040">
        <f t="shared" ca="1" si="37"/>
        <v>1</v>
      </c>
      <c r="K670" s="1035" t="s">
        <v>46</v>
      </c>
      <c r="L670" s="1035"/>
      <c r="M670" s="1368"/>
      <c r="N670" s="627"/>
      <c r="O670" s="627"/>
      <c r="P670" s="627"/>
      <c r="Q670" s="719"/>
    </row>
    <row r="671" spans="1:17" hidden="1" x14ac:dyDescent="0.35">
      <c r="A671" s="988"/>
      <c r="B671" s="627"/>
      <c r="C671" s="1039" t="s">
        <v>514</v>
      </c>
      <c r="D671" s="1031"/>
      <c r="E671" s="1031"/>
      <c r="F671" s="1031"/>
      <c r="G671" s="1031"/>
      <c r="H671" s="1031"/>
      <c r="I671" s="1033"/>
      <c r="J671" s="1040">
        <f t="shared" ca="1" si="37"/>
        <v>1</v>
      </c>
      <c r="K671" s="1035" t="s">
        <v>46</v>
      </c>
      <c r="L671" s="1035"/>
      <c r="M671" s="1369"/>
      <c r="N671" s="627"/>
      <c r="O671" s="627"/>
      <c r="P671" s="627"/>
      <c r="Q671" s="719"/>
    </row>
    <row r="672" spans="1:17" hidden="1" x14ac:dyDescent="0.35">
      <c r="A672" s="988"/>
      <c r="B672" s="627"/>
      <c r="C672" s="627"/>
      <c r="D672" s="627"/>
      <c r="E672" s="627"/>
      <c r="F672" s="627"/>
      <c r="G672" s="627"/>
      <c r="H672" s="627"/>
      <c r="I672" s="627"/>
      <c r="J672" s="627"/>
      <c r="K672" s="627"/>
      <c r="L672" s="627"/>
      <c r="M672" s="627"/>
      <c r="N672" s="627"/>
      <c r="O672" s="627"/>
      <c r="P672" s="627"/>
      <c r="Q672" s="719"/>
    </row>
    <row r="673" spans="1:17" hidden="1" x14ac:dyDescent="0.35">
      <c r="A673" s="988"/>
      <c r="B673" s="627"/>
      <c r="C673" s="1346" t="s">
        <v>515</v>
      </c>
      <c r="D673" s="1347"/>
      <c r="E673" s="1347"/>
      <c r="F673" s="1347"/>
      <c r="G673" s="1347"/>
      <c r="H673" s="1347"/>
      <c r="I673" s="1347"/>
      <c r="J673" s="1348"/>
      <c r="K673" s="627"/>
      <c r="L673" s="627"/>
      <c r="M673" s="627"/>
      <c r="N673" s="627"/>
      <c r="O673" s="627"/>
      <c r="P673" s="627"/>
      <c r="Q673" s="719"/>
    </row>
    <row r="674" spans="1:17" hidden="1" x14ac:dyDescent="0.35">
      <c r="A674" s="988"/>
      <c r="B674" s="627"/>
      <c r="C674" s="633" t="s">
        <v>516</v>
      </c>
      <c r="D674" s="646"/>
      <c r="E674" s="646"/>
      <c r="F674" s="646"/>
      <c r="G674" s="646"/>
      <c r="H674" s="646"/>
      <c r="I674" s="629"/>
      <c r="J674" s="660">
        <f>ROUNDUP((G91+G93+G97)/J642,0)</f>
        <v>2</v>
      </c>
      <c r="K674" s="627" t="str">
        <f>IF(J674&lt;=1,"dia","dias")</f>
        <v>dias</v>
      </c>
      <c r="L674" s="627"/>
      <c r="M674" s="627"/>
      <c r="N674" s="627"/>
      <c r="O674" s="627"/>
      <c r="P674" s="627"/>
      <c r="Q674" s="719"/>
    </row>
    <row r="675" spans="1:17" hidden="1" x14ac:dyDescent="0.35">
      <c r="A675" s="988"/>
      <c r="B675" s="627"/>
      <c r="C675" s="633" t="s">
        <v>517</v>
      </c>
      <c r="D675" s="646"/>
      <c r="E675" s="646"/>
      <c r="F675" s="646"/>
      <c r="G675" s="646"/>
      <c r="H675" s="646"/>
      <c r="I675" s="629"/>
      <c r="J675" s="660">
        <f>ROUNDUP((G91+G93+G97)/J642,0)</f>
        <v>2</v>
      </c>
      <c r="K675" s="627" t="str">
        <f>IF(J675&lt;=1,"dia","dias")</f>
        <v>dias</v>
      </c>
      <c r="L675" s="627"/>
      <c r="M675" s="627"/>
      <c r="N675" s="627"/>
      <c r="O675" s="627"/>
      <c r="P675" s="627"/>
      <c r="Q675" s="719"/>
    </row>
    <row r="676" spans="1:17" hidden="1" x14ac:dyDescent="0.35">
      <c r="A676" s="988"/>
      <c r="B676" s="627"/>
      <c r="C676" s="633" t="s">
        <v>518</v>
      </c>
      <c r="D676" s="646"/>
      <c r="E676" s="646"/>
      <c r="F676" s="646"/>
      <c r="G676" s="646"/>
      <c r="H676" s="646"/>
      <c r="I676" s="629"/>
      <c r="J676" s="660">
        <f>IF(E15=0,0,ROUNDUP(((G91+G93+G97)*VLOOKUP(BJ8,C428:I432,4,0))/J644/C734,0))</f>
        <v>1</v>
      </c>
      <c r="K676" s="627" t="str">
        <f>IF(J676&lt;=1,"dia","dias")</f>
        <v>dia</v>
      </c>
      <c r="L676" s="627"/>
      <c r="M676" s="195">
        <f>IF(E15=0,0,VLOOKUP(BJ8,C428:I432,4,0))</f>
        <v>1</v>
      </c>
      <c r="N676" s="195"/>
      <c r="O676" s="627"/>
      <c r="P676" s="627"/>
      <c r="Q676" s="719"/>
    </row>
    <row r="677" spans="1:17" hidden="1" x14ac:dyDescent="0.35">
      <c r="A677" s="988"/>
      <c r="B677" s="627"/>
      <c r="C677" s="627"/>
      <c r="D677" s="627"/>
      <c r="E677" s="627"/>
      <c r="F677" s="627"/>
      <c r="G677" s="627"/>
      <c r="H677" s="627"/>
      <c r="I677" s="627"/>
      <c r="J677" s="627"/>
      <c r="K677" s="627"/>
      <c r="L677" s="627"/>
      <c r="M677" s="627"/>
      <c r="N677" s="627"/>
      <c r="O677" s="627"/>
      <c r="P677" s="627"/>
      <c r="Q677" s="719"/>
    </row>
    <row r="678" spans="1:17" ht="15.4" hidden="1" thickBot="1" x14ac:dyDescent="0.45">
      <c r="A678" s="988"/>
      <c r="B678" s="692"/>
      <c r="C678" s="24" t="s">
        <v>519</v>
      </c>
      <c r="D678" s="1041"/>
      <c r="E678" s="1041"/>
      <c r="F678" s="1041"/>
      <c r="G678" s="1041"/>
      <c r="H678" s="1041"/>
      <c r="I678" s="1041"/>
      <c r="J678" s="1041"/>
      <c r="K678" s="1041"/>
      <c r="L678" s="1041"/>
      <c r="M678" s="1041"/>
      <c r="N678" s="1041"/>
      <c r="O678" s="1041"/>
      <c r="P678" s="691"/>
      <c r="Q678" s="719"/>
    </row>
    <row r="679" spans="1:17" hidden="1" x14ac:dyDescent="0.35">
      <c r="A679" s="988"/>
      <c r="B679" s="627"/>
      <c r="C679" s="627"/>
      <c r="D679" s="627"/>
      <c r="E679" s="627"/>
      <c r="F679" s="627"/>
      <c r="G679" s="627"/>
      <c r="H679" s="627"/>
      <c r="I679" s="627"/>
      <c r="J679" s="627"/>
      <c r="K679" s="627"/>
      <c r="L679" s="627"/>
      <c r="M679" s="627"/>
      <c r="N679" s="627"/>
      <c r="O679" s="627"/>
      <c r="P679" s="627"/>
      <c r="Q679" s="719"/>
    </row>
    <row r="680" spans="1:17" hidden="1" x14ac:dyDescent="0.35">
      <c r="A680" s="988"/>
      <c r="B680" s="627"/>
      <c r="C680" s="1359" t="s">
        <v>520</v>
      </c>
      <c r="D680" s="1360"/>
      <c r="E680" s="1360"/>
      <c r="F680" s="1360"/>
      <c r="G680" s="1360"/>
      <c r="H680" s="1360"/>
      <c r="I680" s="1360"/>
      <c r="J680" s="1361"/>
      <c r="K680" s="627"/>
      <c r="L680" s="627"/>
      <c r="M680" s="627"/>
      <c r="N680" s="627"/>
      <c r="O680" s="627"/>
      <c r="P680" s="627"/>
      <c r="Q680" s="719"/>
    </row>
    <row r="681" spans="1:17" hidden="1" x14ac:dyDescent="0.35">
      <c r="A681" s="988"/>
      <c r="B681" s="627"/>
      <c r="C681" s="633" t="s">
        <v>521</v>
      </c>
      <c r="D681" s="646"/>
      <c r="E681" s="646"/>
      <c r="F681" s="1117" t="str">
        <f>IF(E15=0,0,G18+0.05+0.2 &amp; " m ( incluir material e m.o.)")</f>
        <v>0,4 m ( incluir material e m.o.)</v>
      </c>
      <c r="G681" s="646"/>
      <c r="H681" s="646"/>
      <c r="I681" s="629"/>
      <c r="J681" s="1009">
        <f ca="1">IF(E15=0,0,PI()*((F126+1)*(G18+0.05)))</f>
        <v>15.425918017070178</v>
      </c>
      <c r="K681" s="627" t="s">
        <v>78</v>
      </c>
      <c r="L681" s="627"/>
      <c r="M681" s="627"/>
      <c r="N681" s="627"/>
      <c r="O681" s="627"/>
      <c r="P681" s="627"/>
      <c r="Q681" s="719"/>
    </row>
    <row r="682" spans="1:17" ht="13.15" hidden="1" x14ac:dyDescent="0.4">
      <c r="A682" s="988"/>
      <c r="B682" s="627"/>
      <c r="C682" s="633" t="s">
        <v>522</v>
      </c>
      <c r="D682" s="646"/>
      <c r="E682" s="646"/>
      <c r="F682" s="646"/>
      <c r="G682" s="646"/>
      <c r="H682" s="646"/>
      <c r="I682" s="629"/>
      <c r="J682" s="660">
        <f ca="1">ROUNDUP(IF(E15=0,0,IF(C60="X",PI()*((F126+1)^2-(F126-0.25)^2)*(G18+0.05)-((G97+G91+G93)*(0.245*2.4*G18)),IF(E60="X",PI()*((F126+1)^2-(F126-0.25)^2)*(G18+0.05)-((G97+G91+G93)*(0.3*2.4*G18)),0))),0)</f>
        <v>33</v>
      </c>
      <c r="K682" s="627" t="s">
        <v>31</v>
      </c>
      <c r="L682" s="627"/>
      <c r="M682" s="627"/>
      <c r="N682" s="627"/>
      <c r="O682" s="627"/>
      <c r="P682" s="627"/>
      <c r="Q682" s="719"/>
    </row>
    <row r="683" spans="1:17" hidden="1" x14ac:dyDescent="0.35">
      <c r="A683" s="988"/>
      <c r="B683" s="627"/>
      <c r="C683" s="633" t="s">
        <v>523</v>
      </c>
      <c r="D683" s="646"/>
      <c r="E683" s="646"/>
      <c r="F683" s="646"/>
      <c r="G683" s="646"/>
      <c r="H683" s="646"/>
      <c r="I683" s="629"/>
      <c r="J683" s="660">
        <f ca="1">J682</f>
        <v>33</v>
      </c>
      <c r="K683" s="627" t="s">
        <v>31</v>
      </c>
      <c r="L683" s="627"/>
      <c r="M683" s="627"/>
      <c r="N683" s="627"/>
      <c r="O683" s="627"/>
      <c r="P683" s="627"/>
      <c r="Q683" s="719"/>
    </row>
    <row r="684" spans="1:17" hidden="1" x14ac:dyDescent="0.35">
      <c r="A684" s="988"/>
      <c r="B684" s="627"/>
      <c r="C684" s="633" t="s">
        <v>524</v>
      </c>
      <c r="D684" s="646"/>
      <c r="E684" s="646"/>
      <c r="F684" s="646"/>
      <c r="G684" s="646"/>
      <c r="H684" s="646"/>
      <c r="I684" s="629"/>
      <c r="J684" s="660">
        <f>ROUNDUP(IF(E15=0,0,360*(G91+G93+G97)/600),0)</f>
        <v>38</v>
      </c>
      <c r="K684" s="627" t="s">
        <v>46</v>
      </c>
      <c r="L684" s="627"/>
      <c r="M684" s="627"/>
      <c r="N684" s="627"/>
      <c r="O684" s="627"/>
      <c r="P684" s="627"/>
      <c r="Q684" s="719"/>
    </row>
    <row r="685" spans="1:17" hidden="1" x14ac:dyDescent="0.35">
      <c r="A685" s="988"/>
      <c r="B685" s="627"/>
      <c r="C685" s="633" t="s">
        <v>525</v>
      </c>
      <c r="D685" s="646"/>
      <c r="E685" s="646"/>
      <c r="F685" s="646"/>
      <c r="G685" s="646"/>
      <c r="H685" s="646"/>
      <c r="I685" s="629"/>
      <c r="J685" s="660">
        <f ca="1">ROUNDUP(IF(E15=0,0,(PI()*((F126+1)^2-(F126-0.25)^2)+(PI()*((F126-0.25)*(G18+0.05)))+((G91+G93+G97)*2.4*G18))*0.29/5),0)</f>
        <v>14</v>
      </c>
      <c r="K685" s="627" t="s">
        <v>46</v>
      </c>
      <c r="L685" s="627"/>
      <c r="M685" s="627"/>
      <c r="N685" s="627"/>
      <c r="O685" s="627"/>
      <c r="P685" s="627"/>
      <c r="Q685" s="719"/>
    </row>
    <row r="686" spans="1:17" hidden="1" x14ac:dyDescent="0.35">
      <c r="A686" s="988"/>
      <c r="B686" s="627"/>
      <c r="C686" s="1039" t="s">
        <v>526</v>
      </c>
      <c r="D686" s="1031"/>
      <c r="E686" s="1031"/>
      <c r="F686" s="1031"/>
      <c r="G686" s="1031"/>
      <c r="H686" s="1031"/>
      <c r="I686" s="1033"/>
      <c r="J686" s="1040">
        <f>IF(E15=0,0,C734*3)</f>
        <v>3</v>
      </c>
      <c r="K686" s="1035" t="s">
        <v>46</v>
      </c>
      <c r="L686" s="1035"/>
      <c r="M686" s="1491" t="s">
        <v>509</v>
      </c>
      <c r="N686" s="627"/>
      <c r="O686" s="627"/>
      <c r="P686" s="627"/>
      <c r="Q686" s="719"/>
    </row>
    <row r="687" spans="1:17" hidden="1" x14ac:dyDescent="0.35">
      <c r="A687" s="988"/>
      <c r="B687" s="627"/>
      <c r="C687" s="1039" t="s">
        <v>527</v>
      </c>
      <c r="D687" s="1031"/>
      <c r="E687" s="1031"/>
      <c r="F687" s="1031"/>
      <c r="G687" s="1031"/>
      <c r="H687" s="1031"/>
      <c r="I687" s="1033"/>
      <c r="J687" s="1040">
        <f>IF(E15=0,0,C734*3)</f>
        <v>3</v>
      </c>
      <c r="K687" s="1035" t="s">
        <v>46</v>
      </c>
      <c r="L687" s="1035"/>
      <c r="M687" s="1491"/>
      <c r="N687" s="627"/>
      <c r="O687" s="627"/>
      <c r="P687" s="627"/>
      <c r="Q687" s="719"/>
    </row>
    <row r="688" spans="1:17" hidden="1" x14ac:dyDescent="0.35">
      <c r="A688" s="988"/>
      <c r="B688" s="627"/>
      <c r="C688" s="1039" t="s">
        <v>528</v>
      </c>
      <c r="D688" s="1031"/>
      <c r="E688" s="1031"/>
      <c r="F688" s="1031"/>
      <c r="G688" s="1031"/>
      <c r="H688" s="1031"/>
      <c r="I688" s="1033"/>
      <c r="J688" s="1040">
        <f>IF(E15=0,0,C734*3)</f>
        <v>3</v>
      </c>
      <c r="K688" s="1035" t="s">
        <v>46</v>
      </c>
      <c r="L688" s="1035"/>
      <c r="M688" s="1491"/>
      <c r="N688" s="627"/>
      <c r="O688" s="627"/>
      <c r="P688" s="627"/>
      <c r="Q688" s="719"/>
    </row>
    <row r="689" spans="1:17" hidden="1" x14ac:dyDescent="0.35">
      <c r="A689" s="988"/>
      <c r="B689" s="627"/>
      <c r="C689" s="1039" t="s">
        <v>529</v>
      </c>
      <c r="D689" s="1031"/>
      <c r="E689" s="1031"/>
      <c r="F689" s="1031"/>
      <c r="G689" s="1031"/>
      <c r="H689" s="1031"/>
      <c r="I689" s="1033"/>
      <c r="J689" s="1040">
        <f>IF(E15=0,0,C734*3)</f>
        <v>3</v>
      </c>
      <c r="K689" s="1035" t="s">
        <v>46</v>
      </c>
      <c r="L689" s="1035"/>
      <c r="M689" s="1491"/>
      <c r="N689" s="627"/>
      <c r="O689" s="627"/>
      <c r="P689" s="627"/>
      <c r="Q689" s="719"/>
    </row>
    <row r="690" spans="1:17" hidden="1" x14ac:dyDescent="0.35">
      <c r="A690" s="988"/>
      <c r="B690" s="627"/>
      <c r="C690" s="1039" t="s">
        <v>530</v>
      </c>
      <c r="D690" s="1031"/>
      <c r="E690" s="1031"/>
      <c r="F690" s="1031"/>
      <c r="G690" s="1031"/>
      <c r="H690" s="1031"/>
      <c r="I690" s="1033"/>
      <c r="J690" s="1040">
        <f ca="1">L878/L878</f>
        <v>1</v>
      </c>
      <c r="K690" s="1035" t="str">
        <f ca="1">IF(J690&lt;=1,"dia","dias")</f>
        <v>dia</v>
      </c>
      <c r="L690" s="1035"/>
      <c r="M690" s="1491"/>
      <c r="N690" s="627"/>
      <c r="O690" s="627"/>
      <c r="P690" s="627"/>
      <c r="Q690" s="719"/>
    </row>
    <row r="691" spans="1:17" hidden="1" x14ac:dyDescent="0.35">
      <c r="A691" s="988"/>
      <c r="B691" s="627"/>
      <c r="C691" s="1039" t="s">
        <v>531</v>
      </c>
      <c r="D691" s="1031"/>
      <c r="E691" s="1031"/>
      <c r="F691" s="1031"/>
      <c r="G691" s="1031"/>
      <c r="H691" s="1031"/>
      <c r="I691" s="1033"/>
      <c r="J691" s="1040">
        <f ca="1">L878/L878</f>
        <v>1</v>
      </c>
      <c r="K691" s="1035" t="str">
        <f ca="1">IF(J691&lt;=1,"dia","dias")</f>
        <v>dia</v>
      </c>
      <c r="L691" s="1035"/>
      <c r="M691" s="1491"/>
      <c r="N691" s="627"/>
      <c r="O691" s="627"/>
      <c r="P691" s="627"/>
      <c r="Q691" s="719"/>
    </row>
    <row r="692" spans="1:17" hidden="1" x14ac:dyDescent="0.35">
      <c r="A692" s="988"/>
      <c r="B692" s="627"/>
      <c r="C692" s="627"/>
      <c r="D692" s="627"/>
      <c r="E692" s="627"/>
      <c r="F692" s="627"/>
      <c r="G692" s="627"/>
      <c r="H692" s="627"/>
      <c r="I692" s="627"/>
      <c r="J692" s="627"/>
      <c r="K692" s="627"/>
      <c r="L692" s="627"/>
      <c r="M692" s="627"/>
      <c r="N692" s="627"/>
      <c r="O692" s="627"/>
      <c r="P692" s="627"/>
      <c r="Q692" s="719"/>
    </row>
    <row r="693" spans="1:17" hidden="1" x14ac:dyDescent="0.35">
      <c r="A693" s="988"/>
      <c r="B693" s="627"/>
      <c r="C693" s="1346" t="s">
        <v>532</v>
      </c>
      <c r="D693" s="1347"/>
      <c r="E693" s="1347"/>
      <c r="F693" s="1347"/>
      <c r="G693" s="1347"/>
      <c r="H693" s="1347"/>
      <c r="I693" s="1347"/>
      <c r="J693" s="1348"/>
      <c r="K693" s="627"/>
      <c r="L693" s="627"/>
      <c r="M693" s="627"/>
      <c r="N693" s="627"/>
      <c r="O693" s="627"/>
      <c r="P693" s="627"/>
      <c r="Q693" s="719"/>
    </row>
    <row r="694" spans="1:17" hidden="1" x14ac:dyDescent="0.35">
      <c r="A694" s="988"/>
      <c r="B694" s="627"/>
      <c r="C694" s="633" t="s">
        <v>533</v>
      </c>
      <c r="D694" s="646"/>
      <c r="E694" s="646"/>
      <c r="F694" s="646"/>
      <c r="G694" s="646"/>
      <c r="H694" s="646"/>
      <c r="I694" s="629"/>
      <c r="J694" s="660">
        <f ca="1">IF(I15=0,0,IF(M694=0,ROUNDUP(J681/(C741*C734/1.5*9),0)+1,M694))</f>
        <v>2</v>
      </c>
      <c r="K694" s="627" t="str">
        <f ca="1">IF(J694&lt;=1,"dia","dias -----------")</f>
        <v>dias -----------</v>
      </c>
      <c r="L694" s="627"/>
      <c r="M694" s="1008"/>
      <c r="N694" s="627"/>
      <c r="O694" s="627"/>
      <c r="P694" s="627"/>
      <c r="Q694" s="719"/>
    </row>
    <row r="695" spans="1:17" hidden="1" x14ac:dyDescent="0.35">
      <c r="A695" s="988"/>
      <c r="B695" s="627"/>
      <c r="C695" s="627"/>
      <c r="D695" s="627"/>
      <c r="E695" s="627"/>
      <c r="F695" s="627"/>
      <c r="G695" s="627"/>
      <c r="H695" s="627"/>
      <c r="I695" s="627"/>
      <c r="J695" s="627"/>
      <c r="K695" s="627"/>
      <c r="L695" s="627"/>
      <c r="M695" s="627"/>
      <c r="N695" s="627"/>
      <c r="O695" s="627"/>
      <c r="P695" s="627"/>
      <c r="Q695" s="719"/>
    </row>
    <row r="696" spans="1:17" hidden="1" x14ac:dyDescent="0.35">
      <c r="A696" s="988"/>
      <c r="B696" s="627"/>
      <c r="C696" s="627"/>
      <c r="D696" s="627"/>
      <c r="E696" s="627"/>
      <c r="F696" s="627"/>
      <c r="G696" s="627"/>
      <c r="H696" s="627"/>
      <c r="I696" s="627"/>
      <c r="J696" s="627"/>
      <c r="K696" s="627"/>
      <c r="L696" s="627"/>
      <c r="M696" s="627"/>
      <c r="N696" s="627"/>
      <c r="O696" s="627"/>
      <c r="P696" s="627"/>
      <c r="Q696" s="719"/>
    </row>
    <row r="697" spans="1:17" ht="15.4" hidden="1" thickBot="1" x14ac:dyDescent="0.45">
      <c r="A697" s="988"/>
      <c r="B697" s="692"/>
      <c r="C697" s="24" t="s">
        <v>534</v>
      </c>
      <c r="D697" s="1041"/>
      <c r="E697" s="1041"/>
      <c r="F697" s="1041"/>
      <c r="G697" s="1041"/>
      <c r="H697" s="1041"/>
      <c r="I697" s="1041"/>
      <c r="J697" s="1041"/>
      <c r="K697" s="1041"/>
      <c r="L697" s="1041"/>
      <c r="M697" s="1041"/>
      <c r="N697" s="1041"/>
      <c r="O697" s="1041"/>
      <c r="P697" s="691"/>
      <c r="Q697" s="719"/>
    </row>
    <row r="698" spans="1:17" hidden="1" x14ac:dyDescent="0.35">
      <c r="A698" s="988"/>
      <c r="B698" s="627"/>
      <c r="C698" s="627"/>
      <c r="D698" s="627"/>
      <c r="E698" s="627"/>
      <c r="F698" s="627"/>
      <c r="G698" s="627"/>
      <c r="H698" s="627"/>
      <c r="I698" s="627"/>
      <c r="J698" s="627"/>
      <c r="K698" s="627"/>
      <c r="L698" s="627"/>
      <c r="M698" s="627"/>
      <c r="N698" s="627"/>
      <c r="O698" s="627"/>
      <c r="P698" s="627"/>
      <c r="Q698" s="719"/>
    </row>
    <row r="699" spans="1:17" hidden="1" x14ac:dyDescent="0.35">
      <c r="A699" s="988"/>
      <c r="B699" s="627"/>
      <c r="C699" s="627" t="s">
        <v>535</v>
      </c>
      <c r="D699" s="627"/>
      <c r="E699" s="627"/>
      <c r="F699" s="627"/>
      <c r="G699" s="627"/>
      <c r="H699" s="627"/>
      <c r="I699" s="627"/>
      <c r="J699" s="627"/>
      <c r="K699" s="627"/>
      <c r="L699" s="627"/>
      <c r="M699" s="627"/>
      <c r="N699" s="627"/>
      <c r="O699" s="627"/>
      <c r="P699" s="627"/>
      <c r="Q699" s="719"/>
    </row>
    <row r="700" spans="1:17" hidden="1" x14ac:dyDescent="0.35">
      <c r="A700" s="988"/>
      <c r="B700" s="627"/>
      <c r="C700" s="627"/>
      <c r="D700" s="627"/>
      <c r="E700" s="627"/>
      <c r="F700" s="627" t="s">
        <v>536</v>
      </c>
      <c r="G700" s="627"/>
      <c r="H700" s="627"/>
      <c r="I700" s="627"/>
      <c r="J700" s="1009">
        <f>IF(O700=0,1,O700)</f>
        <v>1</v>
      </c>
      <c r="K700" s="627" t="s">
        <v>537</v>
      </c>
      <c r="L700" s="627"/>
      <c r="M700" s="627"/>
      <c r="N700" s="627"/>
      <c r="O700" s="1008"/>
      <c r="P700" s="627"/>
      <c r="Q700" s="719"/>
    </row>
    <row r="701" spans="1:17" hidden="1" x14ac:dyDescent="0.35">
      <c r="A701" s="988"/>
      <c r="B701" s="627"/>
      <c r="C701" s="627"/>
      <c r="D701" s="627"/>
      <c r="E701" s="627"/>
      <c r="F701" s="627"/>
      <c r="G701" s="627"/>
      <c r="H701" s="627"/>
      <c r="I701" s="627"/>
      <c r="J701" s="627"/>
      <c r="K701" s="627"/>
      <c r="L701" s="627"/>
      <c r="M701" s="627"/>
      <c r="N701" s="627"/>
      <c r="O701" s="627"/>
      <c r="P701" s="627"/>
      <c r="Q701" s="719"/>
    </row>
    <row r="702" spans="1:17" hidden="1" x14ac:dyDescent="0.35">
      <c r="A702" s="988"/>
      <c r="B702" s="627"/>
      <c r="C702" s="627" t="s">
        <v>538</v>
      </c>
      <c r="D702" s="627"/>
      <c r="E702" s="627"/>
      <c r="F702" s="627"/>
      <c r="G702" s="627"/>
      <c r="H702" s="627"/>
      <c r="I702" s="627"/>
      <c r="J702" s="627"/>
      <c r="K702" s="627"/>
      <c r="L702" s="627"/>
      <c r="M702" s="627"/>
      <c r="N702" s="627"/>
      <c r="O702" s="627"/>
      <c r="P702" s="627"/>
      <c r="Q702" s="719"/>
    </row>
    <row r="703" spans="1:17" hidden="1" x14ac:dyDescent="0.35">
      <c r="A703" s="988"/>
      <c r="B703" s="627"/>
      <c r="C703" s="627"/>
      <c r="D703" s="627"/>
      <c r="E703" s="627"/>
      <c r="F703" s="627" t="s">
        <v>539</v>
      </c>
      <c r="G703" s="627"/>
      <c r="H703" s="627"/>
      <c r="I703" s="627"/>
      <c r="J703" s="1009">
        <f>IF(O703=0,40,O703)</f>
        <v>40</v>
      </c>
      <c r="K703" s="627" t="s">
        <v>540</v>
      </c>
      <c r="L703" s="627"/>
      <c r="M703" s="627"/>
      <c r="N703" s="627"/>
      <c r="O703" s="1008"/>
      <c r="P703" s="627"/>
      <c r="Q703" s="719"/>
    </row>
    <row r="704" spans="1:17" hidden="1" x14ac:dyDescent="0.35">
      <c r="A704" s="988"/>
      <c r="B704" s="627"/>
      <c r="C704" s="627"/>
      <c r="D704" s="627"/>
      <c r="E704" s="627"/>
      <c r="F704" s="627"/>
      <c r="G704" s="627"/>
      <c r="H704" s="627"/>
      <c r="I704" s="627"/>
      <c r="J704" s="627"/>
      <c r="K704" s="627"/>
      <c r="L704" s="627"/>
      <c r="M704" s="627"/>
      <c r="N704" s="627"/>
      <c r="O704" s="627"/>
      <c r="P704" s="627"/>
      <c r="Q704" s="719"/>
    </row>
    <row r="705" spans="1:17" hidden="1" x14ac:dyDescent="0.35">
      <c r="A705" s="988"/>
      <c r="B705" s="627"/>
      <c r="C705" s="627" t="s">
        <v>541</v>
      </c>
      <c r="D705" s="627"/>
      <c r="E705" s="627"/>
      <c r="F705" s="627"/>
      <c r="G705" s="627"/>
      <c r="H705" s="627"/>
      <c r="I705" s="627"/>
      <c r="J705" s="627"/>
      <c r="K705" s="627"/>
      <c r="L705" s="627"/>
      <c r="M705" s="627"/>
      <c r="N705" s="627"/>
      <c r="O705" s="627"/>
      <c r="P705" s="627"/>
      <c r="Q705" s="719"/>
    </row>
    <row r="706" spans="1:17" hidden="1" x14ac:dyDescent="0.35">
      <c r="A706" s="988"/>
      <c r="B706" s="627"/>
      <c r="C706" s="627"/>
      <c r="D706" s="627"/>
      <c r="E706" s="627"/>
      <c r="F706" s="627" t="s">
        <v>542</v>
      </c>
      <c r="G706" s="627"/>
      <c r="H706" s="627"/>
      <c r="I706" s="627"/>
      <c r="J706" s="1009">
        <f>IF(O706=0,0.3,O706)</f>
        <v>0.3</v>
      </c>
      <c r="K706" s="627" t="s">
        <v>537</v>
      </c>
      <c r="L706" s="627"/>
      <c r="M706" s="627"/>
      <c r="N706" s="627"/>
      <c r="O706" s="1008"/>
      <c r="P706" s="627"/>
      <c r="Q706" s="719"/>
    </row>
    <row r="707" spans="1:17" hidden="1" x14ac:dyDescent="0.35">
      <c r="A707" s="988"/>
      <c r="B707" s="627"/>
      <c r="C707" s="627"/>
      <c r="D707" s="627"/>
      <c r="E707" s="627"/>
      <c r="F707" s="627"/>
      <c r="G707" s="627"/>
      <c r="H707" s="627"/>
      <c r="I707" s="627"/>
      <c r="J707" s="627"/>
      <c r="K707" s="627"/>
      <c r="L707" s="627"/>
      <c r="M707" s="627"/>
      <c r="N707" s="627"/>
      <c r="O707" s="627"/>
      <c r="P707" s="627"/>
      <c r="Q707" s="719"/>
    </row>
    <row r="708" spans="1:17" hidden="1" x14ac:dyDescent="0.35">
      <c r="A708" s="988"/>
      <c r="B708" s="627"/>
      <c r="C708" s="1359" t="s">
        <v>543</v>
      </c>
      <c r="D708" s="1360"/>
      <c r="E708" s="1360"/>
      <c r="F708" s="1360"/>
      <c r="G708" s="1360"/>
      <c r="H708" s="1360"/>
      <c r="I708" s="1360"/>
      <c r="J708" s="1360"/>
      <c r="K708" s="1360"/>
      <c r="L708" s="1361"/>
      <c r="M708" s="627"/>
      <c r="N708" s="627"/>
      <c r="O708" s="627"/>
      <c r="P708" s="627"/>
      <c r="Q708" s="719"/>
    </row>
    <row r="709" spans="1:17" hidden="1" x14ac:dyDescent="0.35">
      <c r="A709" s="988"/>
      <c r="B709" s="627"/>
      <c r="C709" s="1039" t="s">
        <v>544</v>
      </c>
      <c r="D709" s="1031"/>
      <c r="E709" s="1031"/>
      <c r="F709" s="1031"/>
      <c r="G709" s="1031"/>
      <c r="H709" s="1031"/>
      <c r="I709" s="1031"/>
      <c r="J709" s="1031"/>
      <c r="K709" s="1033"/>
      <c r="L709" s="1040">
        <f ca="1">IF(E15=0,0,L878/L878)</f>
        <v>1</v>
      </c>
      <c r="M709" s="1035" t="s">
        <v>46</v>
      </c>
      <c r="N709" s="1352" t="s">
        <v>509</v>
      </c>
      <c r="O709" s="627"/>
      <c r="P709" s="627"/>
      <c r="Q709" s="719"/>
    </row>
    <row r="710" spans="1:17" hidden="1" x14ac:dyDescent="0.35">
      <c r="A710" s="988"/>
      <c r="B710" s="627"/>
      <c r="C710" s="1039" t="s">
        <v>545</v>
      </c>
      <c r="D710" s="1031"/>
      <c r="E710" s="1118" t="str">
        <f ca="1">(G91+G93+G97)&amp;" unidades durante "&amp;L881&amp; " dias"</f>
        <v>62 unidades durante 107 dias</v>
      </c>
      <c r="F710" s="1031"/>
      <c r="G710" s="1031"/>
      <c r="H710" s="1118"/>
      <c r="I710" s="1031"/>
      <c r="J710" s="1031"/>
      <c r="K710" s="1033"/>
      <c r="L710" s="1040">
        <f ca="1">IF(E15=0,0,L878*(G91+G93+G97))/L878</f>
        <v>62</v>
      </c>
      <c r="M710" s="1035" t="s">
        <v>46</v>
      </c>
      <c r="N710" s="1352"/>
      <c r="O710" s="627"/>
      <c r="P710" s="627"/>
      <c r="Q710" s="719"/>
    </row>
    <row r="711" spans="1:17" hidden="1" x14ac:dyDescent="0.35">
      <c r="A711" s="988"/>
      <c r="B711" s="627"/>
      <c r="C711" s="633" t="s">
        <v>546</v>
      </c>
      <c r="D711" s="646"/>
      <c r="E711" s="646"/>
      <c r="F711" s="646"/>
      <c r="G711" s="646"/>
      <c r="H711" s="646"/>
      <c r="I711" s="646"/>
      <c r="J711" s="646"/>
      <c r="K711" s="629"/>
      <c r="L711" s="660">
        <f>CEILING((G91+G93+G97)/2,1)</f>
        <v>31</v>
      </c>
      <c r="M711" s="627" t="s">
        <v>46</v>
      </c>
      <c r="N711" s="627"/>
      <c r="O711" s="627"/>
      <c r="P711" s="627"/>
      <c r="Q711" s="719"/>
    </row>
    <row r="712" spans="1:17" hidden="1" x14ac:dyDescent="0.35">
      <c r="A712" s="988"/>
      <c r="B712" s="627"/>
      <c r="C712" s="633" t="s">
        <v>547</v>
      </c>
      <c r="D712" s="646"/>
      <c r="E712" s="646"/>
      <c r="F712" s="646"/>
      <c r="G712" s="646"/>
      <c r="H712" s="646"/>
      <c r="I712" s="646"/>
      <c r="J712" s="646"/>
      <c r="K712" s="629"/>
      <c r="L712" s="660">
        <f>CEILING((G91+G93+G97)/2,1)</f>
        <v>31</v>
      </c>
      <c r="M712" s="627" t="s">
        <v>46</v>
      </c>
      <c r="N712" s="627"/>
      <c r="O712" s="627"/>
      <c r="P712" s="627"/>
      <c r="Q712" s="719"/>
    </row>
    <row r="713" spans="1:17" hidden="1" x14ac:dyDescent="0.35">
      <c r="A713" s="988"/>
      <c r="B713" s="627"/>
      <c r="C713" s="633" t="s">
        <v>548</v>
      </c>
      <c r="D713" s="646"/>
      <c r="E713" s="646"/>
      <c r="F713" s="646"/>
      <c r="G713" s="646"/>
      <c r="H713" s="646"/>
      <c r="I713" s="646"/>
      <c r="J713" s="646"/>
      <c r="K713" s="629"/>
      <c r="L713" s="660">
        <f>CEILING((G91+G93+G97)/2,1)</f>
        <v>31</v>
      </c>
      <c r="M713" s="627" t="s">
        <v>46</v>
      </c>
      <c r="N713" s="627"/>
      <c r="O713" s="627"/>
      <c r="P713" s="627"/>
      <c r="Q713" s="719"/>
    </row>
    <row r="714" spans="1:17" hidden="1" x14ac:dyDescent="0.35">
      <c r="A714" s="988"/>
      <c r="B714" s="627"/>
      <c r="C714" s="633" t="s">
        <v>549</v>
      </c>
      <c r="D714" s="646"/>
      <c r="E714" s="646"/>
      <c r="F714" s="646"/>
      <c r="G714" s="646"/>
      <c r="H714" s="646"/>
      <c r="I714" s="646"/>
      <c r="J714" s="646"/>
      <c r="K714" s="629"/>
      <c r="L714" s="660">
        <f>CEILING((G91+G93+G97)/10,1)</f>
        <v>7</v>
      </c>
      <c r="M714" s="627" t="s">
        <v>46</v>
      </c>
      <c r="N714" s="627"/>
      <c r="O714" s="627"/>
      <c r="P714" s="627"/>
      <c r="Q714" s="719"/>
    </row>
    <row r="715" spans="1:17" hidden="1" x14ac:dyDescent="0.35">
      <c r="A715" s="988"/>
      <c r="B715" s="627"/>
      <c r="C715" s="633" t="s">
        <v>550</v>
      </c>
      <c r="D715" s="646"/>
      <c r="E715" s="646"/>
      <c r="F715" s="646"/>
      <c r="G715" s="646"/>
      <c r="H715" s="646"/>
      <c r="I715" s="646"/>
      <c r="J715" s="646"/>
      <c r="K715" s="629"/>
      <c r="L715" s="660">
        <f>ROUNDUP(((G91+G93+G97)*I15*2.6+H631*((G91+G93+G97)+0.5)*2.375*(IF(H629=1,0.8,1.25)))*2.75,0)</f>
        <v>9870</v>
      </c>
      <c r="M715" s="627" t="s">
        <v>64</v>
      </c>
      <c r="N715" s="627"/>
      <c r="O715" s="627"/>
      <c r="P715" s="627"/>
      <c r="Q715" s="719"/>
    </row>
    <row r="716" spans="1:17" hidden="1" x14ac:dyDescent="0.35">
      <c r="A716" s="988"/>
      <c r="B716" s="627"/>
      <c r="C716" s="633" t="s">
        <v>551</v>
      </c>
      <c r="D716" s="646"/>
      <c r="E716" s="646"/>
      <c r="F716" s="646"/>
      <c r="G716" s="646"/>
      <c r="H716" s="646"/>
      <c r="I716" s="646"/>
      <c r="J716" s="646"/>
      <c r="K716" s="629"/>
      <c r="L716" s="660">
        <f>ROUNDUP((G91+G93+G97)*3.6 /18,0)</f>
        <v>13</v>
      </c>
      <c r="M716" s="627" t="s">
        <v>552</v>
      </c>
      <c r="N716" s="627"/>
      <c r="O716" s="627"/>
      <c r="P716" s="627"/>
      <c r="Q716" s="719"/>
    </row>
    <row r="717" spans="1:17" hidden="1" x14ac:dyDescent="0.35">
      <c r="A717" s="988"/>
      <c r="B717" s="627"/>
      <c r="C717" s="1039" t="s">
        <v>553</v>
      </c>
      <c r="D717" s="1031"/>
      <c r="E717" s="1031"/>
      <c r="F717" s="1031"/>
      <c r="G717" s="1031"/>
      <c r="H717" s="1031"/>
      <c r="I717" s="1031"/>
      <c r="J717" s="1031"/>
      <c r="K717" s="1033"/>
      <c r="L717" s="1040">
        <f>CEILING((G91+G93+G97)/10,1)</f>
        <v>7</v>
      </c>
      <c r="M717" s="1035" t="s">
        <v>46</v>
      </c>
      <c r="N717" s="1352" t="s">
        <v>509</v>
      </c>
      <c r="O717" s="627"/>
      <c r="P717" s="627"/>
      <c r="Q717" s="719"/>
    </row>
    <row r="718" spans="1:17" hidden="1" x14ac:dyDescent="0.35">
      <c r="A718" s="988"/>
      <c r="B718" s="627"/>
      <c r="C718" s="1039" t="s">
        <v>554</v>
      </c>
      <c r="D718" s="1031"/>
      <c r="E718" s="1031"/>
      <c r="F718" s="1031"/>
      <c r="G718" s="1031"/>
      <c r="H718" s="1031"/>
      <c r="I718" s="1031"/>
      <c r="J718" s="1031"/>
      <c r="K718" s="1033"/>
      <c r="L718" s="1040">
        <f>CEILING((G91+G93+G97)/10,1)</f>
        <v>7</v>
      </c>
      <c r="M718" s="1035" t="s">
        <v>46</v>
      </c>
      <c r="N718" s="1352"/>
      <c r="O718" s="627"/>
      <c r="P718" s="627"/>
      <c r="Q718" s="719"/>
    </row>
    <row r="719" spans="1:17" hidden="1" x14ac:dyDescent="0.35">
      <c r="A719" s="988"/>
      <c r="B719" s="627"/>
      <c r="C719" s="1039" t="s">
        <v>555</v>
      </c>
      <c r="D719" s="1031"/>
      <c r="E719" s="1031"/>
      <c r="F719" s="1031"/>
      <c r="G719" s="1031"/>
      <c r="H719" s="1031"/>
      <c r="I719" s="1031"/>
      <c r="J719" s="1031"/>
      <c r="K719" s="1033"/>
      <c r="L719" s="1040">
        <f>CEILING((G91+G93+G97)/10,1)</f>
        <v>7</v>
      </c>
      <c r="M719" s="1035" t="s">
        <v>46</v>
      </c>
      <c r="N719" s="1352"/>
      <c r="O719" s="627"/>
      <c r="P719" s="627"/>
      <c r="Q719" s="719"/>
    </row>
    <row r="720" spans="1:17" hidden="1" x14ac:dyDescent="0.35">
      <c r="A720" s="988"/>
      <c r="B720" s="627"/>
      <c r="C720" s="627"/>
      <c r="D720" s="627"/>
      <c r="E720" s="627"/>
      <c r="F720" s="627"/>
      <c r="G720" s="627"/>
      <c r="H720" s="627"/>
      <c r="I720" s="627"/>
      <c r="J720" s="627"/>
      <c r="K720" s="627"/>
      <c r="L720" s="627"/>
      <c r="M720" s="627"/>
      <c r="N720" s="627"/>
      <c r="O720" s="627"/>
      <c r="P720" s="627"/>
      <c r="Q720" s="719"/>
    </row>
    <row r="721" spans="1:17" hidden="1" x14ac:dyDescent="0.35">
      <c r="A721" s="988"/>
      <c r="B721" s="627"/>
      <c r="C721" s="1346" t="s">
        <v>556</v>
      </c>
      <c r="D721" s="1347"/>
      <c r="E721" s="1347"/>
      <c r="F721" s="1347"/>
      <c r="G721" s="1347"/>
      <c r="H721" s="1347"/>
      <c r="I721" s="1347"/>
      <c r="J721" s="1348"/>
      <c r="K721" s="627"/>
      <c r="L721" s="627"/>
      <c r="M721" s="627"/>
      <c r="N721" s="627"/>
      <c r="O721" s="627"/>
      <c r="P721" s="627"/>
      <c r="Q721" s="719"/>
    </row>
    <row r="722" spans="1:17" hidden="1" x14ac:dyDescent="0.35">
      <c r="A722" s="988"/>
      <c r="B722" s="627"/>
      <c r="C722" s="633" t="s">
        <v>557</v>
      </c>
      <c r="D722" s="646"/>
      <c r="E722" s="646"/>
      <c r="F722" s="646"/>
      <c r="G722" s="646"/>
      <c r="H722" s="646"/>
      <c r="I722" s="629"/>
      <c r="J722" s="660">
        <f>ROUNDUP((G91+G93)*J700,0)</f>
        <v>2</v>
      </c>
      <c r="K722" s="627" t="str">
        <f>IF(J722&lt;=1,"dia","dias")</f>
        <v>dias</v>
      </c>
      <c r="L722" s="627"/>
      <c r="M722" s="627"/>
      <c r="N722" s="627"/>
      <c r="O722" s="627"/>
      <c r="P722" s="627"/>
      <c r="Q722" s="719"/>
    </row>
    <row r="723" spans="1:17" hidden="1" x14ac:dyDescent="0.35">
      <c r="A723" s="988"/>
      <c r="B723" s="627"/>
      <c r="C723" s="633" t="s">
        <v>558</v>
      </c>
      <c r="D723" s="646"/>
      <c r="E723" s="646"/>
      <c r="F723" s="646"/>
      <c r="G723" s="646"/>
      <c r="H723" s="646"/>
      <c r="I723" s="629"/>
      <c r="J723" s="660">
        <f>ROUNDUP((G91+G93+G97)/J703/C734,0)</f>
        <v>2</v>
      </c>
      <c r="K723" s="627" t="str">
        <f>IF(J723&lt;=1,"dia","dias")</f>
        <v>dias</v>
      </c>
      <c r="L723" s="627"/>
      <c r="M723" s="627"/>
      <c r="N723" s="627"/>
      <c r="O723" s="627"/>
      <c r="P723" s="627"/>
      <c r="Q723" s="719"/>
    </row>
    <row r="724" spans="1:17" hidden="1" x14ac:dyDescent="0.35">
      <c r="A724" s="988"/>
      <c r="B724" s="627"/>
      <c r="C724" s="633" t="s">
        <v>559</v>
      </c>
      <c r="D724" s="646"/>
      <c r="E724" s="646"/>
      <c r="F724" s="646"/>
      <c r="G724" s="646"/>
      <c r="H724" s="646"/>
      <c r="I724" s="629"/>
      <c r="J724" s="660">
        <f>ROUNDUP((G91+G93)*J706/C734,0)</f>
        <v>1</v>
      </c>
      <c r="K724" s="627" t="str">
        <f>IF(J724&lt;=1,"dia","dias")</f>
        <v>dia</v>
      </c>
      <c r="L724" s="627"/>
      <c r="M724" s="627"/>
      <c r="N724" s="627"/>
      <c r="O724" s="627"/>
      <c r="P724" s="627"/>
      <c r="Q724" s="719"/>
    </row>
    <row r="725" spans="1:17" hidden="1" x14ac:dyDescent="0.35">
      <c r="A725" s="988"/>
      <c r="B725" s="627"/>
      <c r="C725" s="627"/>
      <c r="D725" s="627"/>
      <c r="E725" s="627"/>
      <c r="F725" s="627"/>
      <c r="G725" s="627"/>
      <c r="H725" s="627"/>
      <c r="I725" s="627"/>
      <c r="J725" s="627"/>
      <c r="K725" s="627"/>
      <c r="L725" s="627"/>
      <c r="M725" s="627"/>
      <c r="N725" s="627"/>
      <c r="O725" s="627"/>
      <c r="P725" s="627"/>
      <c r="Q725" s="719"/>
    </row>
    <row r="726" spans="1:17" hidden="1" x14ac:dyDescent="0.35">
      <c r="A726" s="988"/>
      <c r="B726" s="627"/>
      <c r="C726" s="627"/>
      <c r="D726" s="627"/>
      <c r="E726" s="627"/>
      <c r="F726" s="627"/>
      <c r="G726" s="627"/>
      <c r="H726" s="627"/>
      <c r="I726" s="627"/>
      <c r="J726" s="627"/>
      <c r="K726" s="627"/>
      <c r="L726" s="627"/>
      <c r="M726" s="627"/>
      <c r="N726" s="627"/>
      <c r="O726" s="627"/>
      <c r="P726" s="627"/>
      <c r="Q726" s="719"/>
    </row>
    <row r="727" spans="1:17" hidden="1" x14ac:dyDescent="0.35">
      <c r="A727" s="637"/>
      <c r="B727" s="749"/>
      <c r="C727" s="749"/>
      <c r="D727" s="749"/>
      <c r="E727" s="749"/>
      <c r="F727" s="749"/>
      <c r="G727" s="749"/>
      <c r="H727" s="749"/>
      <c r="I727" s="749"/>
      <c r="J727" s="749"/>
      <c r="K727" s="749"/>
      <c r="L727" s="749"/>
      <c r="M727" s="749"/>
      <c r="N727" s="749"/>
      <c r="O727" s="749"/>
      <c r="P727" s="749"/>
      <c r="Q727" s="748"/>
    </row>
    <row r="728" spans="1:17" ht="13.5" thickBot="1" x14ac:dyDescent="0.45">
      <c r="A728" s="636"/>
      <c r="B728" s="652"/>
      <c r="C728" s="652"/>
      <c r="D728" s="652"/>
      <c r="E728" s="652"/>
      <c r="F728" s="202"/>
      <c r="G728" s="652"/>
      <c r="H728" s="652"/>
      <c r="I728" s="652"/>
      <c r="J728" s="652"/>
      <c r="K728" s="652"/>
      <c r="L728" s="652"/>
      <c r="M728" s="652"/>
      <c r="N728" s="652"/>
      <c r="O728" s="652"/>
      <c r="P728" s="652"/>
      <c r="Q728" s="987"/>
    </row>
    <row r="729" spans="1:17" ht="15.4" thickBot="1" x14ac:dyDescent="0.45">
      <c r="A729" s="988"/>
      <c r="B729" s="692"/>
      <c r="C729" s="24" t="s">
        <v>560</v>
      </c>
      <c r="D729" s="1041"/>
      <c r="E729" s="1041"/>
      <c r="F729" s="1041"/>
      <c r="G729" s="1041"/>
      <c r="H729" s="1041"/>
      <c r="I729" s="1041"/>
      <c r="J729" s="1041"/>
      <c r="K729" s="1041"/>
      <c r="L729" s="1041"/>
      <c r="M729" s="1041"/>
      <c r="N729" s="1041"/>
      <c r="O729" s="1041"/>
      <c r="P729" s="691"/>
      <c r="Q729" s="719"/>
    </row>
    <row r="730" spans="1:17" ht="5.45" customHeight="1" x14ac:dyDescent="0.35">
      <c r="A730" s="988"/>
      <c r="B730" s="627"/>
      <c r="C730" s="627"/>
      <c r="D730" s="627"/>
      <c r="E730" s="627"/>
      <c r="F730" s="627"/>
      <c r="G730" s="627"/>
      <c r="H730" s="627"/>
      <c r="I730" s="627"/>
      <c r="J730" s="627"/>
      <c r="K730" s="627"/>
      <c r="L730" s="627"/>
      <c r="M730" s="627"/>
      <c r="N730" s="627"/>
      <c r="O730" s="627"/>
      <c r="P730" s="627"/>
      <c r="Q730" s="719"/>
    </row>
    <row r="731" spans="1:17" x14ac:dyDescent="0.35">
      <c r="A731" s="988"/>
      <c r="B731" s="627"/>
      <c r="C731" s="627" t="s">
        <v>561</v>
      </c>
      <c r="D731" s="627"/>
      <c r="E731" s="627"/>
      <c r="F731" s="627"/>
      <c r="G731" s="627"/>
      <c r="H731" s="627"/>
      <c r="I731" s="627"/>
      <c r="J731" s="627"/>
      <c r="K731" s="627"/>
      <c r="L731" s="626" t="s">
        <v>35</v>
      </c>
      <c r="M731" s="627" t="s">
        <v>52</v>
      </c>
      <c r="N731" s="626"/>
      <c r="O731" s="627" t="s">
        <v>53</v>
      </c>
      <c r="P731" s="627"/>
      <c r="Q731" s="719"/>
    </row>
    <row r="732" spans="1:17" ht="5.45" customHeight="1" x14ac:dyDescent="0.35">
      <c r="A732" s="988"/>
      <c r="B732" s="627"/>
      <c r="C732" s="627"/>
      <c r="D732" s="627"/>
      <c r="E732" s="627"/>
      <c r="F732" s="627"/>
      <c r="G732" s="627"/>
      <c r="H732" s="627"/>
      <c r="I732" s="627"/>
      <c r="J732" s="627"/>
      <c r="K732" s="627"/>
      <c r="L732" s="627"/>
      <c r="M732" s="627"/>
      <c r="N732" s="627"/>
      <c r="O732" s="627"/>
      <c r="P732" s="627"/>
      <c r="Q732" s="719"/>
    </row>
    <row r="733" spans="1:17" hidden="1" x14ac:dyDescent="0.35">
      <c r="A733" s="988"/>
      <c r="B733" s="627"/>
      <c r="C733" s="627" t="s">
        <v>562</v>
      </c>
      <c r="D733" s="627"/>
      <c r="E733" s="627"/>
      <c r="F733" s="627"/>
      <c r="G733" s="627"/>
      <c r="H733" s="627"/>
      <c r="I733" s="627"/>
      <c r="J733" s="627"/>
      <c r="K733" s="627"/>
      <c r="L733" s="627"/>
      <c r="M733" s="627"/>
      <c r="N733" s="627"/>
      <c r="O733" s="627"/>
      <c r="P733" s="627"/>
      <c r="Q733" s="719"/>
    </row>
    <row r="734" spans="1:17" hidden="1" x14ac:dyDescent="0.35">
      <c r="A734" s="988"/>
      <c r="B734" s="627"/>
      <c r="C734" s="660">
        <v>1</v>
      </c>
      <c r="D734" s="627" t="str">
        <f>IF(C734&gt;1,"EQUIPES","EQUIPE")</f>
        <v>EQUIPE</v>
      </c>
      <c r="E734" s="183" t="s">
        <v>563</v>
      </c>
      <c r="F734" s="627"/>
      <c r="G734" s="627"/>
      <c r="H734" s="627"/>
      <c r="I734" s="627"/>
      <c r="J734" s="627"/>
      <c r="K734" s="627"/>
      <c r="L734" s="627"/>
      <c r="M734" s="627"/>
      <c r="N734" s="627"/>
      <c r="O734" s="627"/>
      <c r="P734" s="627"/>
      <c r="Q734" s="719"/>
    </row>
    <row r="735" spans="1:17" x14ac:dyDescent="0.35">
      <c r="A735" s="988"/>
      <c r="B735" s="627"/>
      <c r="C735" s="627"/>
      <c r="D735" s="627"/>
      <c r="E735" s="627"/>
      <c r="F735" s="627" t="s">
        <v>200</v>
      </c>
      <c r="G735" s="627"/>
      <c r="H735" s="627"/>
      <c r="I735" s="627"/>
      <c r="J735" s="627"/>
      <c r="K735" s="627"/>
      <c r="L735" s="627"/>
      <c r="M735" s="627"/>
      <c r="N735" s="627"/>
      <c r="O735" s="627"/>
      <c r="P735" s="627"/>
      <c r="Q735" s="719"/>
    </row>
    <row r="736" spans="1:17" x14ac:dyDescent="0.35">
      <c r="A736" s="988"/>
      <c r="B736" s="627"/>
      <c r="C736" s="627" t="s">
        <v>201</v>
      </c>
      <c r="D736" s="627"/>
      <c r="E736" s="627"/>
      <c r="F736" s="627" t="s">
        <v>202</v>
      </c>
      <c r="G736" s="627"/>
      <c r="H736" s="627"/>
      <c r="I736" s="627"/>
      <c r="J736" s="627"/>
      <c r="K736" s="627"/>
      <c r="L736" s="627"/>
      <c r="M736" s="627"/>
      <c r="N736" s="627"/>
      <c r="O736" s="627"/>
      <c r="P736" s="627"/>
      <c r="Q736" s="719"/>
    </row>
    <row r="737" spans="1:17" x14ac:dyDescent="0.35">
      <c r="A737" s="988"/>
      <c r="B737" s="627"/>
      <c r="C737" s="203">
        <f>IF(F737=0,1,IF(F737="X",0,F737))</f>
        <v>1</v>
      </c>
      <c r="D737" s="204" t="s">
        <v>564</v>
      </c>
      <c r="E737" s="627"/>
      <c r="F737" s="661"/>
      <c r="G737" s="627" t="s">
        <v>203</v>
      </c>
      <c r="H737" s="627"/>
      <c r="I737" s="627"/>
      <c r="J737" s="627"/>
      <c r="K737" s="627"/>
      <c r="L737" s="627"/>
      <c r="M737" s="627"/>
      <c r="N737" s="627"/>
      <c r="O737" s="627"/>
      <c r="P737" s="627"/>
      <c r="Q737" s="719"/>
    </row>
    <row r="738" spans="1:17" x14ac:dyDescent="0.35">
      <c r="A738" s="988"/>
      <c r="B738" s="627"/>
      <c r="C738" s="1009">
        <f>IF(L731="x",IF(F738=0,1*1.7,IF(F738="X",0,F738)),IF(F738=0,1,IF(F738="X",0,F738)))</f>
        <v>1.7</v>
      </c>
      <c r="D738" s="627" t="s">
        <v>91</v>
      </c>
      <c r="E738" s="627"/>
      <c r="F738" s="661"/>
      <c r="G738" s="627" t="s">
        <v>203</v>
      </c>
      <c r="H738" s="627"/>
      <c r="I738" s="627"/>
      <c r="J738" s="627"/>
      <c r="K738" s="627"/>
      <c r="L738" s="627"/>
      <c r="M738" s="627"/>
      <c r="N738" s="627"/>
      <c r="O738" s="627"/>
      <c r="P738" s="627"/>
      <c r="Q738" s="719"/>
    </row>
    <row r="739" spans="1:17" x14ac:dyDescent="0.35">
      <c r="A739" s="988"/>
      <c r="B739" s="627"/>
      <c r="C739" s="203">
        <f>IF(F739=0,1,IF(F739="X",0,F739))</f>
        <v>1</v>
      </c>
      <c r="D739" s="204" t="s">
        <v>565</v>
      </c>
      <c r="E739" s="627"/>
      <c r="F739" s="661"/>
      <c r="G739" s="627" t="s">
        <v>203</v>
      </c>
      <c r="H739" s="627"/>
      <c r="I739" s="627"/>
      <c r="J739" s="627"/>
      <c r="K739" s="627"/>
      <c r="L739" s="627"/>
      <c r="M739" s="627"/>
      <c r="N739" s="627"/>
      <c r="O739" s="627"/>
      <c r="P739" s="627"/>
      <c r="Q739" s="719"/>
    </row>
    <row r="740" spans="1:17" x14ac:dyDescent="0.35">
      <c r="A740" s="988"/>
      <c r="B740" s="627"/>
      <c r="C740" s="203">
        <f>IF(F740=0,1,IF(F740="X",0,F740))</f>
        <v>0</v>
      </c>
      <c r="D740" s="204" t="s">
        <v>566</v>
      </c>
      <c r="E740" s="627"/>
      <c r="F740" s="661" t="s">
        <v>35</v>
      </c>
      <c r="G740" s="627" t="s">
        <v>203</v>
      </c>
      <c r="H740" s="627"/>
      <c r="I740" s="627"/>
      <c r="J740" s="627"/>
      <c r="K740" s="627"/>
      <c r="L740" s="627"/>
      <c r="M740" s="627"/>
      <c r="N740" s="627"/>
      <c r="O740" s="627"/>
      <c r="P740" s="627"/>
      <c r="Q740" s="719"/>
    </row>
    <row r="741" spans="1:17" x14ac:dyDescent="0.35">
      <c r="A741" s="988"/>
      <c r="B741" s="627"/>
      <c r="C741" s="1009">
        <f>IF(L731="x",IF(F741=0,4*2,IF(F741="X",0,F741)),IF(F741=0,4,IF(F741="X",0,F741)))</f>
        <v>8</v>
      </c>
      <c r="D741" s="627" t="s">
        <v>95</v>
      </c>
      <c r="E741" s="627"/>
      <c r="F741" s="250"/>
      <c r="G741" s="627" t="s">
        <v>203</v>
      </c>
      <c r="H741" s="627"/>
      <c r="I741" s="627"/>
      <c r="J741" s="627"/>
      <c r="K741" s="627"/>
      <c r="L741" s="627"/>
      <c r="M741" s="627"/>
      <c r="N741" s="627"/>
      <c r="O741" s="627"/>
      <c r="P741" s="627"/>
      <c r="Q741" s="719"/>
    </row>
    <row r="742" spans="1:17" x14ac:dyDescent="0.35">
      <c r="A742" s="988"/>
      <c r="B742" s="627"/>
      <c r="C742" s="1009">
        <f>IF(F744&gt;0,F744,IF(F742=0,1,IF(F742="X",0,F742)))</f>
        <v>1</v>
      </c>
      <c r="D742" s="627" t="s">
        <v>204</v>
      </c>
      <c r="E742" s="627"/>
      <c r="F742" s="250"/>
      <c r="G742" s="627" t="s">
        <v>203</v>
      </c>
      <c r="H742" s="627"/>
      <c r="I742" s="627"/>
      <c r="J742" s="627"/>
      <c r="K742" s="627"/>
      <c r="L742" s="627"/>
      <c r="M742" s="627"/>
      <c r="N742" s="627"/>
      <c r="O742" s="627"/>
      <c r="P742" s="627"/>
      <c r="Q742" s="719"/>
    </row>
    <row r="743" spans="1:17" x14ac:dyDescent="0.35">
      <c r="A743" s="988"/>
      <c r="B743" s="627"/>
      <c r="C743" s="627"/>
      <c r="D743" s="627"/>
      <c r="E743" s="627"/>
      <c r="F743" s="627"/>
      <c r="G743" s="627"/>
      <c r="H743" s="627"/>
      <c r="I743" s="627"/>
      <c r="J743" s="627"/>
      <c r="K743" s="627"/>
      <c r="L743" s="627"/>
      <c r="M743" s="627"/>
      <c r="N743" s="627"/>
      <c r="O743" s="627"/>
      <c r="P743" s="627"/>
      <c r="Q743" s="719"/>
    </row>
    <row r="744" spans="1:17" x14ac:dyDescent="0.35">
      <c r="A744" s="988"/>
      <c r="B744" s="627"/>
      <c r="C744" s="627" t="s">
        <v>567</v>
      </c>
      <c r="D744" s="627"/>
      <c r="E744" s="627"/>
      <c r="F744" s="661"/>
      <c r="G744" s="627" t="s">
        <v>46</v>
      </c>
      <c r="H744" s="627"/>
      <c r="I744" s="627"/>
      <c r="J744" s="627"/>
      <c r="K744" s="627"/>
      <c r="L744" s="627"/>
      <c r="M744" s="627"/>
      <c r="N744" s="627"/>
      <c r="O744" s="627"/>
      <c r="P744" s="627"/>
      <c r="Q744" s="719"/>
    </row>
    <row r="745" spans="1:17" ht="6" customHeight="1" x14ac:dyDescent="0.35">
      <c r="A745" s="988"/>
      <c r="B745" s="627"/>
      <c r="C745" s="627"/>
      <c r="D745" s="627"/>
      <c r="E745" s="627"/>
      <c r="F745" s="627"/>
      <c r="G745" s="627"/>
      <c r="H745" s="627"/>
      <c r="I745" s="627"/>
      <c r="J745" s="627"/>
      <c r="K745" s="627"/>
      <c r="L745" s="627"/>
      <c r="M745" s="627"/>
      <c r="N745" s="627"/>
      <c r="O745" s="627"/>
      <c r="P745" s="627"/>
      <c r="Q745" s="719"/>
    </row>
    <row r="746" spans="1:17" ht="6" customHeight="1" x14ac:dyDescent="0.35">
      <c r="A746" s="988"/>
      <c r="B746" s="627"/>
      <c r="C746" s="627"/>
      <c r="D746" s="627"/>
      <c r="E746" s="627"/>
      <c r="F746" s="627"/>
      <c r="G746" s="627"/>
      <c r="H746" s="627"/>
      <c r="I746" s="627"/>
      <c r="J746" s="627"/>
      <c r="K746" s="627"/>
      <c r="L746" s="627"/>
      <c r="M746" s="627"/>
      <c r="N746" s="627"/>
      <c r="O746" s="627"/>
      <c r="P746" s="627"/>
      <c r="Q746" s="719"/>
    </row>
    <row r="747" spans="1:17" x14ac:dyDescent="0.35">
      <c r="A747" s="988"/>
      <c r="B747" s="627"/>
      <c r="C747" s="633" t="s">
        <v>568</v>
      </c>
      <c r="D747" s="646"/>
      <c r="E747" s="1355">
        <v>45352</v>
      </c>
      <c r="F747" s="1356"/>
      <c r="G747" s="627"/>
      <c r="H747" s="627"/>
      <c r="I747" s="627"/>
      <c r="J747" s="627"/>
      <c r="K747" s="627"/>
      <c r="L747" s="627"/>
      <c r="M747" s="627"/>
      <c r="N747" s="627"/>
      <c r="O747" s="627"/>
      <c r="P747" s="627"/>
      <c r="Q747" s="719"/>
    </row>
    <row r="748" spans="1:17" ht="3.75" customHeight="1" x14ac:dyDescent="0.35">
      <c r="A748" s="988"/>
      <c r="B748" s="627"/>
      <c r="C748" s="627"/>
      <c r="D748" s="627"/>
      <c r="E748" s="627"/>
      <c r="F748" s="627"/>
      <c r="G748" s="627"/>
      <c r="H748" s="627"/>
      <c r="I748" s="627"/>
      <c r="J748" s="627"/>
      <c r="K748" s="627"/>
      <c r="L748" s="627"/>
      <c r="M748" s="627"/>
      <c r="N748" s="627"/>
      <c r="O748" s="627"/>
      <c r="P748" s="627"/>
      <c r="Q748" s="719"/>
    </row>
    <row r="749" spans="1:17" x14ac:dyDescent="0.35">
      <c r="A749" s="988"/>
      <c r="B749" s="627"/>
      <c r="C749" s="633" t="s">
        <v>569</v>
      </c>
      <c r="D749" s="646"/>
      <c r="E749" s="629"/>
      <c r="F749" s="1353">
        <f>IF(I749&gt;0,I749,1500)</f>
        <v>1500</v>
      </c>
      <c r="G749" s="1354"/>
      <c r="H749" s="629" t="s">
        <v>570</v>
      </c>
      <c r="I749" s="1357"/>
      <c r="J749" s="1358"/>
      <c r="K749" s="627"/>
      <c r="L749" s="627" t="s">
        <v>571</v>
      </c>
      <c r="M749" s="627"/>
      <c r="N749" s="627"/>
      <c r="O749" s="747" t="s">
        <v>35</v>
      </c>
      <c r="P749" s="627"/>
      <c r="Q749" s="719"/>
    </row>
    <row r="750" spans="1:17" x14ac:dyDescent="0.35">
      <c r="A750" s="988"/>
      <c r="B750" s="627"/>
      <c r="C750" s="633" t="s">
        <v>572</v>
      </c>
      <c r="D750" s="646"/>
      <c r="E750" s="629"/>
      <c r="F750" s="1353">
        <f>IF(I750&gt;0,I750,2429)</f>
        <v>2429</v>
      </c>
      <c r="G750" s="1354"/>
      <c r="H750" s="629" t="s">
        <v>570</v>
      </c>
      <c r="I750" s="1357"/>
      <c r="J750" s="1358"/>
      <c r="K750" s="627"/>
      <c r="L750" s="627" t="s">
        <v>571</v>
      </c>
      <c r="M750" s="627"/>
      <c r="N750" s="627"/>
      <c r="O750" s="746"/>
      <c r="P750" s="627"/>
      <c r="Q750" s="719"/>
    </row>
    <row r="751" spans="1:17" x14ac:dyDescent="0.35">
      <c r="A751" s="988"/>
      <c r="B751" s="627"/>
      <c r="C751" s="633" t="s">
        <v>573</v>
      </c>
      <c r="D751" s="646"/>
      <c r="E751" s="629"/>
      <c r="F751" s="1353">
        <f>IF(I751&gt;0,I751,2429)</f>
        <v>2429</v>
      </c>
      <c r="G751" s="1354"/>
      <c r="H751" s="629" t="s">
        <v>570</v>
      </c>
      <c r="I751" s="1504"/>
      <c r="J751" s="1505"/>
      <c r="K751" s="627"/>
      <c r="L751" s="627" t="s">
        <v>571</v>
      </c>
      <c r="M751" s="627"/>
      <c r="N751" s="627"/>
      <c r="O751" s="746"/>
      <c r="P751" s="627"/>
      <c r="Q751" s="719"/>
    </row>
    <row r="752" spans="1:17" x14ac:dyDescent="0.35">
      <c r="A752" s="988"/>
      <c r="B752" s="627"/>
      <c r="C752" s="633" t="s">
        <v>574</v>
      </c>
      <c r="D752" s="646"/>
      <c r="E752" s="629"/>
      <c r="F752" s="1353">
        <f>IF(I752&gt;0,I752,5700)</f>
        <v>5700</v>
      </c>
      <c r="G752" s="1354"/>
      <c r="H752" s="629" t="s">
        <v>570</v>
      </c>
      <c r="I752" s="1357"/>
      <c r="J752" s="1358"/>
      <c r="K752" s="627"/>
      <c r="L752" s="627" t="s">
        <v>571</v>
      </c>
      <c r="M752" s="627"/>
      <c r="N752" s="627"/>
      <c r="O752" s="746"/>
      <c r="P752" s="627"/>
      <c r="Q752" s="719"/>
    </row>
    <row r="753" spans="1:17" x14ac:dyDescent="0.35">
      <c r="A753" s="988"/>
      <c r="B753" s="627"/>
      <c r="C753" s="633" t="s">
        <v>575</v>
      </c>
      <c r="D753" s="646"/>
      <c r="E753" s="629"/>
      <c r="F753" s="1353">
        <f>IF(I753&gt;0,I753,4240)</f>
        <v>4240</v>
      </c>
      <c r="G753" s="1354"/>
      <c r="H753" s="629" t="s">
        <v>570</v>
      </c>
      <c r="I753" s="1357"/>
      <c r="J753" s="1358"/>
      <c r="K753" s="627"/>
      <c r="L753" s="627" t="s">
        <v>571</v>
      </c>
      <c r="M753" s="627"/>
      <c r="N753" s="627"/>
      <c r="O753" s="746"/>
      <c r="P753" s="627"/>
      <c r="Q753" s="719"/>
    </row>
    <row r="754" spans="1:17" x14ac:dyDescent="0.35">
      <c r="A754" s="988"/>
      <c r="B754" s="627"/>
      <c r="C754" s="633" t="s">
        <v>576</v>
      </c>
      <c r="D754" s="646"/>
      <c r="E754" s="629"/>
      <c r="F754" s="1353">
        <f>IF(I754&gt;0,I754,6471)</f>
        <v>6471</v>
      </c>
      <c r="G754" s="1354"/>
      <c r="H754" s="629" t="s">
        <v>570</v>
      </c>
      <c r="I754" s="1357"/>
      <c r="J754" s="1358"/>
      <c r="K754" s="627"/>
      <c r="L754" s="627" t="s">
        <v>571</v>
      </c>
      <c r="M754" s="627"/>
      <c r="N754" s="627"/>
      <c r="O754" s="746"/>
      <c r="P754" s="627"/>
      <c r="Q754" s="719"/>
    </row>
    <row r="755" spans="1:17" x14ac:dyDescent="0.35">
      <c r="A755" s="988"/>
      <c r="B755" s="627"/>
      <c r="C755" s="633" t="s">
        <v>577</v>
      </c>
      <c r="D755" s="646"/>
      <c r="E755" s="629"/>
      <c r="F755" s="1353">
        <f>IF(I755&gt;0,I755,13500)</f>
        <v>13500</v>
      </c>
      <c r="G755" s="1354"/>
      <c r="H755" s="629" t="s">
        <v>570</v>
      </c>
      <c r="I755" s="1357"/>
      <c r="J755" s="1358"/>
      <c r="K755" s="627"/>
      <c r="L755" s="627" t="s">
        <v>571</v>
      </c>
      <c r="M755" s="627"/>
      <c r="N755" s="627"/>
      <c r="O755" s="746"/>
      <c r="P755" s="627"/>
      <c r="Q755" s="719"/>
    </row>
    <row r="756" spans="1:17" x14ac:dyDescent="0.35">
      <c r="A756" s="988"/>
      <c r="B756" s="627"/>
      <c r="C756" s="633" t="s">
        <v>578</v>
      </c>
      <c r="D756" s="646"/>
      <c r="E756" s="629"/>
      <c r="F756" s="1353">
        <f>IF(I756&gt;0,I756,3300)</f>
        <v>3300</v>
      </c>
      <c r="G756" s="1354"/>
      <c r="H756" s="629" t="s">
        <v>570</v>
      </c>
      <c r="I756" s="1357"/>
      <c r="J756" s="1358"/>
      <c r="K756" s="627"/>
      <c r="L756" s="627" t="s">
        <v>571</v>
      </c>
      <c r="M756" s="627"/>
      <c r="N756" s="627"/>
      <c r="O756" s="747"/>
      <c r="P756" s="627"/>
      <c r="Q756" s="719"/>
    </row>
    <row r="757" spans="1:17" x14ac:dyDescent="0.35">
      <c r="A757" s="988"/>
      <c r="B757" s="627"/>
      <c r="C757" s="627"/>
      <c r="D757" s="627"/>
      <c r="E757" s="627"/>
      <c r="F757" s="627"/>
      <c r="G757" s="627"/>
      <c r="H757" s="627"/>
      <c r="I757" s="627"/>
      <c r="J757" s="627"/>
      <c r="K757" s="627"/>
      <c r="L757" s="627"/>
      <c r="M757" s="627"/>
      <c r="N757" s="627"/>
      <c r="O757" s="627"/>
      <c r="P757" s="627"/>
      <c r="Q757" s="719"/>
    </row>
    <row r="758" spans="1:17" x14ac:dyDescent="0.35">
      <c r="A758" s="988"/>
      <c r="B758" s="627"/>
      <c r="C758" s="627" t="s">
        <v>579</v>
      </c>
      <c r="D758" s="627"/>
      <c r="E758" s="627"/>
      <c r="F758" s="626" t="s">
        <v>35</v>
      </c>
      <c r="G758" s="627" t="s">
        <v>52</v>
      </c>
      <c r="H758" s="626"/>
      <c r="I758" s="627" t="s">
        <v>53</v>
      </c>
      <c r="J758" s="627"/>
      <c r="K758" s="627"/>
      <c r="L758" s="627"/>
      <c r="M758" s="627"/>
      <c r="N758" s="627"/>
      <c r="O758" s="627"/>
      <c r="P758" s="627"/>
      <c r="Q758" s="719"/>
    </row>
    <row r="759" spans="1:17" x14ac:dyDescent="0.35">
      <c r="A759" s="988"/>
      <c r="B759" s="627"/>
      <c r="C759" s="627"/>
      <c r="D759" s="183" t="str">
        <f>IF(F758="x","será considerado 25% para ajuda de custo",IF(H758="X","não será considerado % para ajuda de custo",0))</f>
        <v>será considerado 25% para ajuda de custo</v>
      </c>
      <c r="E759" s="627"/>
      <c r="F759" s="627"/>
      <c r="G759" s="627"/>
      <c r="H759" s="627"/>
      <c r="I759" s="627"/>
      <c r="J759" s="627"/>
      <c r="K759" s="627"/>
      <c r="L759" s="627"/>
      <c r="M759" s="627"/>
      <c r="N759" s="627"/>
      <c r="O759" s="627"/>
      <c r="P759" s="627"/>
      <c r="Q759" s="719"/>
    </row>
    <row r="760" spans="1:17" ht="4.5" customHeight="1" x14ac:dyDescent="0.35">
      <c r="A760" s="988"/>
      <c r="B760" s="627"/>
      <c r="C760" s="627"/>
      <c r="D760" s="627"/>
      <c r="E760" s="627"/>
      <c r="F760" s="627"/>
      <c r="G760" s="627"/>
      <c r="H760" s="627"/>
      <c r="I760" s="627"/>
      <c r="J760" s="627"/>
      <c r="K760" s="627"/>
      <c r="L760" s="627"/>
      <c r="M760" s="627"/>
      <c r="N760" s="627"/>
      <c r="O760" s="627"/>
      <c r="P760" s="627"/>
      <c r="Q760" s="719"/>
    </row>
    <row r="761" spans="1:17" ht="13.15" x14ac:dyDescent="0.4">
      <c r="A761" s="988"/>
      <c r="B761" s="627"/>
      <c r="C761" s="410" t="s">
        <v>580</v>
      </c>
      <c r="D761" s="411"/>
      <c r="E761" s="411"/>
      <c r="F761" s="411"/>
      <c r="G761" s="411"/>
      <c r="H761" s="411"/>
      <c r="I761" s="411"/>
      <c r="J761" s="646"/>
      <c r="K761" s="646"/>
      <c r="L761" s="1119"/>
      <c r="M761" s="412" t="s">
        <v>101</v>
      </c>
      <c r="N761" s="627"/>
      <c r="O761" s="627"/>
      <c r="P761" s="627"/>
      <c r="Q761" s="719"/>
    </row>
    <row r="762" spans="1:17" x14ac:dyDescent="0.35">
      <c r="A762" s="988"/>
      <c r="B762" s="627"/>
      <c r="C762" s="627"/>
      <c r="D762" s="627"/>
      <c r="E762" s="183">
        <f>IF(L761&gt;0,"O prazo acima não incide nos dias produtivos, só na viagem, refeição e estadia",0)</f>
        <v>0</v>
      </c>
      <c r="F762" s="627"/>
      <c r="G762" s="627"/>
      <c r="H762" s="627"/>
      <c r="I762" s="627"/>
      <c r="J762" s="627"/>
      <c r="K762" s="627"/>
      <c r="L762" s="627"/>
      <c r="M762" s="627"/>
      <c r="N762" s="627"/>
      <c r="O762" s="627"/>
      <c r="P762" s="627"/>
      <c r="Q762" s="719"/>
    </row>
    <row r="763" spans="1:17" ht="6.75" customHeight="1" x14ac:dyDescent="0.35">
      <c r="A763" s="988"/>
      <c r="B763" s="627"/>
      <c r="C763" s="627"/>
      <c r="D763" s="627"/>
      <c r="E763" s="183"/>
      <c r="F763" s="627"/>
      <c r="G763" s="627"/>
      <c r="H763" s="627"/>
      <c r="I763" s="627"/>
      <c r="J763" s="627"/>
      <c r="K763" s="627"/>
      <c r="L763" s="627"/>
      <c r="M763" s="627"/>
      <c r="N763" s="761"/>
      <c r="O763" s="627"/>
      <c r="P763" s="627"/>
      <c r="Q763" s="719"/>
    </row>
    <row r="764" spans="1:17" ht="13.15" x14ac:dyDescent="0.4">
      <c r="A764" s="988"/>
      <c r="B764" s="627"/>
      <c r="C764" s="410" t="s">
        <v>581</v>
      </c>
      <c r="D764" s="411"/>
      <c r="E764" s="411"/>
      <c r="F764" s="411"/>
      <c r="G764" s="411"/>
      <c r="H764" s="411"/>
      <c r="I764" s="411"/>
      <c r="J764" s="646"/>
      <c r="K764" s="646"/>
      <c r="L764" s="1119"/>
      <c r="M764" s="412" t="s">
        <v>130</v>
      </c>
      <c r="N764" s="761">
        <f ca="1">CÁLCULOS!N450</f>
        <v>0</v>
      </c>
      <c r="O764" s="627">
        <f ca="1">IF(N764=0,0,"dias a mais")</f>
        <v>0</v>
      </c>
      <c r="P764" s="627"/>
      <c r="Q764" s="719"/>
    </row>
    <row r="765" spans="1:17" ht="5.25" customHeight="1" x14ac:dyDescent="0.35">
      <c r="A765" s="988"/>
      <c r="B765" s="627"/>
      <c r="C765" s="627"/>
      <c r="D765" s="627"/>
      <c r="E765" s="627"/>
      <c r="F765" s="627"/>
      <c r="G765" s="627"/>
      <c r="H765" s="627"/>
      <c r="I765" s="627"/>
      <c r="J765" s="627"/>
      <c r="K765" s="627"/>
      <c r="L765" s="627"/>
      <c r="M765" s="627"/>
      <c r="N765" s="627"/>
      <c r="O765" s="627"/>
      <c r="P765" s="627"/>
      <c r="Q765" s="719"/>
    </row>
    <row r="766" spans="1:17" x14ac:dyDescent="0.35">
      <c r="A766" s="988"/>
      <c r="B766" s="627"/>
      <c r="C766">
        <f>IF(F758="X",0,"TRABALHO NA GRANDE VITÓRIA ?( marcar X )")</f>
        <v>0</v>
      </c>
      <c r="D766"/>
      <c r="E766"/>
      <c r="F766"/>
      <c r="G766" s="626"/>
      <c r="H766" s="627">
        <f>IF(F758="X",0,"SIM")</f>
        <v>0</v>
      </c>
      <c r="I766" s="626"/>
      <c r="J766" s="627">
        <f>IF(F758="X",0,"NÃO")</f>
        <v>0</v>
      </c>
      <c r="K766" s="627"/>
      <c r="L766" s="627"/>
      <c r="M766" s="627"/>
      <c r="N766" s="627"/>
      <c r="O766" s="627"/>
      <c r="P766" s="627"/>
      <c r="Q766" s="719"/>
    </row>
    <row r="767" spans="1:17" x14ac:dyDescent="0.35">
      <c r="A767" s="988"/>
      <c r="B767" s="627"/>
      <c r="C767">
        <f>CÁLCULOS!C453</f>
        <v>0</v>
      </c>
      <c r="D767"/>
      <c r="E767"/>
      <c r="F767"/>
      <c r="G767" s="626"/>
      <c r="H767" s="627">
        <f>CÁLCULOS!H453</f>
        <v>0</v>
      </c>
      <c r="I767" s="626"/>
      <c r="J767" s="627">
        <f>CÁLCULOS!J453</f>
        <v>0</v>
      </c>
      <c r="K767" s="627"/>
      <c r="L767" s="627"/>
      <c r="M767" s="627"/>
      <c r="N767" s="627"/>
      <c r="O767" s="627"/>
      <c r="P767" s="627"/>
      <c r="Q767" s="719"/>
    </row>
    <row r="768" spans="1:17" ht="6" customHeight="1" x14ac:dyDescent="0.35">
      <c r="A768" s="988"/>
      <c r="B768" s="627"/>
      <c r="C768" s="627"/>
      <c r="D768" s="627"/>
      <c r="E768" s="627"/>
      <c r="F768" s="627"/>
      <c r="G768" s="627"/>
      <c r="H768" s="627"/>
      <c r="I768" s="627"/>
      <c r="J768" s="627"/>
      <c r="K768" s="627"/>
      <c r="L768" s="627"/>
      <c r="M768" s="627"/>
      <c r="N768" s="627"/>
      <c r="O768" s="627"/>
      <c r="P768" s="627"/>
      <c r="Q768" s="719"/>
    </row>
    <row r="769" spans="1:19" x14ac:dyDescent="0.35">
      <c r="A769" s="988"/>
      <c r="B769" s="627"/>
      <c r="C769" s="627" t="str">
        <f>CÁLCULOS!C455</f>
        <v>PERCURSO DA  EQUIPE ( km ) casa x alojamento</v>
      </c>
      <c r="D769" s="627"/>
      <c r="E769" s="627"/>
      <c r="F769" s="627"/>
      <c r="G769" s="277">
        <f>IF(G766="x",0,IF(I769=0,E453,I769))</f>
        <v>1000</v>
      </c>
      <c r="H769" s="627" t="str">
        <f>IF(CÁLCULOS!H455=0,0,CÁLCULOS!H455&amp;"===&gt;")</f>
        <v>km===&gt;</v>
      </c>
      <c r="I769" s="1120"/>
      <c r="J769" s="627" t="str">
        <f>IF(CÁLCULOS!H455=0,0,"se quiser mudar digite outro km aqui")</f>
        <v>se quiser mudar digite outro km aqui</v>
      </c>
      <c r="K769" s="627"/>
      <c r="L769" s="627"/>
      <c r="M769" s="627"/>
      <c r="N769" s="627"/>
      <c r="O769" s="627"/>
      <c r="P769" s="627"/>
      <c r="Q769" s="719"/>
      <c r="R769" s="627"/>
      <c r="S769" s="627"/>
    </row>
    <row r="770" spans="1:19" x14ac:dyDescent="0.35">
      <c r="A770" s="988"/>
      <c r="B770" s="627"/>
      <c r="C770" s="627" t="str">
        <f>CÁLCULOS!C456</f>
        <v>PERCURSO DA  EQUIPE ( km ) alojamento x obra</v>
      </c>
      <c r="D770" s="627"/>
      <c r="E770" s="627"/>
      <c r="F770" s="719"/>
      <c r="G770" s="660">
        <v>20</v>
      </c>
      <c r="H770" s="627" t="str">
        <f>CÁLCULOS!H456</f>
        <v>km</v>
      </c>
      <c r="I770" s="627"/>
      <c r="J770" s="627"/>
      <c r="K770" s="627"/>
      <c r="L770" s="627"/>
      <c r="M770" s="627"/>
      <c r="N770" s="627"/>
      <c r="O770" s="627"/>
      <c r="P770" s="627"/>
      <c r="Q770" s="719"/>
      <c r="R770" s="627"/>
      <c r="S770" s="627"/>
    </row>
    <row r="771" spans="1:19" ht="6.75" customHeight="1" x14ac:dyDescent="0.35">
      <c r="A771" s="988"/>
      <c r="B771" s="627"/>
      <c r="C771" s="627"/>
      <c r="D771" s="627"/>
      <c r="E771" s="627"/>
      <c r="F771" s="627"/>
      <c r="G771" s="627"/>
      <c r="H771" s="627"/>
      <c r="I771" s="627"/>
      <c r="J771" s="627"/>
      <c r="K771" s="627"/>
      <c r="L771" s="627"/>
      <c r="M771" s="627"/>
      <c r="N771" s="627"/>
      <c r="O771" s="627"/>
      <c r="P771" s="627"/>
      <c r="Q771" s="719"/>
      <c r="R771" s="627"/>
      <c r="S771" s="627"/>
    </row>
    <row r="772" spans="1:19" x14ac:dyDescent="0.35">
      <c r="A772" s="988"/>
      <c r="B772" s="627"/>
      <c r="C772" s="627" t="str">
        <f>CÁLCULOS!C458</f>
        <v>CONSIDERAR ALOJAMENTO nos DIAS de FOLGA ?</v>
      </c>
      <c r="D772" s="627"/>
      <c r="E772" s="627"/>
      <c r="F772" s="627"/>
      <c r="G772" s="626" t="s">
        <v>35</v>
      </c>
      <c r="H772" s="627" t="str">
        <f>CÁLCULOS!H458</f>
        <v>SIM</v>
      </c>
      <c r="I772" s="626"/>
      <c r="J772" s="627" t="str">
        <f>CÁLCULOS!J458</f>
        <v>NÃO</v>
      </c>
      <c r="K772" s="627"/>
      <c r="L772" s="627"/>
      <c r="M772" s="627"/>
      <c r="N772" s="627"/>
      <c r="O772" s="627"/>
      <c r="P772" s="627"/>
      <c r="Q772" s="719"/>
      <c r="R772" s="627"/>
      <c r="S772" s="627"/>
    </row>
    <row r="773" spans="1:19" ht="5.25" customHeight="1" x14ac:dyDescent="0.35">
      <c r="A773" s="988"/>
      <c r="B773" s="627"/>
      <c r="C773" s="627"/>
      <c r="D773" s="627"/>
      <c r="E773" s="627"/>
      <c r="F773" s="627"/>
      <c r="G773" s="627"/>
      <c r="H773" s="627"/>
      <c r="I773" s="627"/>
      <c r="J773" s="627"/>
      <c r="K773" s="627"/>
      <c r="L773" s="627"/>
      <c r="M773" s="627"/>
      <c r="N773" s="627"/>
      <c r="O773" s="627"/>
      <c r="P773" s="627"/>
      <c r="Q773" s="719"/>
      <c r="R773" s="627"/>
      <c r="S773" s="627"/>
    </row>
    <row r="774" spans="1:19" hidden="1" x14ac:dyDescent="0.35">
      <c r="A774" s="988"/>
      <c r="B774" s="627"/>
      <c r="C774" s="1337" t="s">
        <v>582</v>
      </c>
      <c r="D774" s="1337"/>
      <c r="E774" s="1337"/>
      <c r="F774" s="1428" t="s">
        <v>583</v>
      </c>
      <c r="G774" s="1427"/>
      <c r="H774" s="1427" t="s">
        <v>584</v>
      </c>
      <c r="I774" s="1427"/>
      <c r="J774" s="627"/>
      <c r="K774" s="627"/>
      <c r="L774" s="627"/>
      <c r="M774" s="627"/>
      <c r="N774" s="627"/>
      <c r="O774" s="627"/>
      <c r="P774" s="627"/>
      <c r="Q774" s="719"/>
      <c r="R774" s="627"/>
      <c r="S774" s="627"/>
    </row>
    <row r="775" spans="1:19" hidden="1" x14ac:dyDescent="0.35">
      <c r="A775" s="988"/>
      <c r="B775" s="627"/>
      <c r="C775" s="633" t="s">
        <v>585</v>
      </c>
      <c r="D775" s="1121">
        <v>5</v>
      </c>
      <c r="E775" s="629" t="s">
        <v>586</v>
      </c>
      <c r="F775" s="1428" t="s">
        <v>10</v>
      </c>
      <c r="G775" s="1427"/>
      <c r="H775" s="1427" t="s">
        <v>10</v>
      </c>
      <c r="I775" s="1427"/>
      <c r="J775" s="627"/>
      <c r="K775" s="627">
        <f>IF(G775="x",1,0)</f>
        <v>0</v>
      </c>
      <c r="L775" s="627"/>
      <c r="M775" s="627"/>
      <c r="N775" s="627"/>
      <c r="O775" s="627"/>
      <c r="P775" s="627"/>
      <c r="Q775" s="719"/>
      <c r="R775" s="627"/>
      <c r="S775" s="627"/>
    </row>
    <row r="776" spans="1:19" hidden="1" x14ac:dyDescent="0.35">
      <c r="A776" s="988"/>
      <c r="B776" s="627"/>
      <c r="C776" s="633" t="s">
        <v>587</v>
      </c>
      <c r="D776" s="1121">
        <v>12</v>
      </c>
      <c r="E776" s="629" t="s">
        <v>586</v>
      </c>
      <c r="F776" s="1428" t="s">
        <v>10</v>
      </c>
      <c r="G776" s="1427"/>
      <c r="H776" s="1427" t="s">
        <v>10</v>
      </c>
      <c r="I776" s="1427"/>
      <c r="J776" s="627"/>
      <c r="K776" s="627"/>
      <c r="L776" s="627"/>
      <c r="M776" s="627"/>
      <c r="N776" s="627"/>
      <c r="O776" s="627"/>
      <c r="P776" s="627"/>
      <c r="Q776" s="719"/>
      <c r="R776" s="627"/>
      <c r="S776" s="627"/>
    </row>
    <row r="777" spans="1:19" hidden="1" x14ac:dyDescent="0.35">
      <c r="A777" s="988"/>
      <c r="B777" s="627"/>
      <c r="C777" s="633" t="s">
        <v>588</v>
      </c>
      <c r="D777" s="646"/>
      <c r="E777" s="629"/>
      <c r="F777" s="1428" t="s">
        <v>10</v>
      </c>
      <c r="G777" s="1427"/>
      <c r="H777" s="1427" t="s">
        <v>10</v>
      </c>
      <c r="I777" s="1427"/>
      <c r="J777" s="627"/>
      <c r="K777" s="627"/>
      <c r="L777" s="627"/>
      <c r="M777" s="627"/>
      <c r="N777" s="627"/>
      <c r="O777" s="627"/>
      <c r="P777" s="627"/>
      <c r="Q777" s="719"/>
      <c r="R777" s="627"/>
      <c r="S777" s="627"/>
    </row>
    <row r="778" spans="1:19" hidden="1" x14ac:dyDescent="0.35">
      <c r="A778" s="988"/>
      <c r="B778" s="627"/>
      <c r="C778" s="633" t="s">
        <v>589</v>
      </c>
      <c r="D778" s="646"/>
      <c r="E778" s="629"/>
      <c r="F778" s="1428" t="s">
        <v>10</v>
      </c>
      <c r="G778" s="1427"/>
      <c r="H778" s="1427" t="s">
        <v>10</v>
      </c>
      <c r="I778" s="1427"/>
      <c r="J778" s="627"/>
      <c r="K778" s="627"/>
      <c r="L778" s="627"/>
      <c r="M778" s="627"/>
      <c r="N778" s="627"/>
      <c r="O778" s="627"/>
      <c r="P778" s="627"/>
      <c r="Q778" s="719"/>
      <c r="R778" s="627"/>
      <c r="S778" s="627"/>
    </row>
    <row r="779" spans="1:19" x14ac:dyDescent="0.35">
      <c r="A779" s="988"/>
      <c r="B779" s="627"/>
      <c r="C779" s="627"/>
      <c r="D779" s="627"/>
      <c r="E779" s="627"/>
      <c r="F779" s="627"/>
      <c r="G779" s="627"/>
      <c r="H779" s="627"/>
      <c r="I779" s="627"/>
      <c r="J779" s="627"/>
      <c r="K779" s="627"/>
      <c r="L779" s="627"/>
      <c r="M779" s="627"/>
      <c r="N779" s="627"/>
      <c r="O779" s="627"/>
      <c r="P779" s="627"/>
      <c r="Q779" s="719"/>
      <c r="R779" s="627"/>
      <c r="S779" s="627"/>
    </row>
    <row r="780" spans="1:19" x14ac:dyDescent="0.35">
      <c r="A780" s="988"/>
      <c r="B780" s="627"/>
      <c r="C780" s="627" t="str">
        <f>CÁLCULOS!C466</f>
        <v>CICLO DA VIAGEM CASA x ALOJAMENTO ----------------------------</v>
      </c>
      <c r="D780" s="627"/>
      <c r="E780" s="627"/>
      <c r="F780" s="627"/>
      <c r="G780" s="627"/>
      <c r="H780" s="660">
        <v>60</v>
      </c>
      <c r="I780" s="627" t="str">
        <f>CÁLCULOS!I466</f>
        <v>dias</v>
      </c>
      <c r="J780" s="627"/>
      <c r="K780" s="627"/>
      <c r="L780" s="627"/>
      <c r="M780" s="627"/>
      <c r="N780" s="627"/>
      <c r="O780" s="627"/>
      <c r="P780" s="627"/>
      <c r="Q780" s="719"/>
      <c r="R780" s="627"/>
      <c r="S780" s="627"/>
    </row>
    <row r="781" spans="1:19" ht="9" customHeight="1" x14ac:dyDescent="0.35">
      <c r="A781" s="988"/>
      <c r="B781" s="627"/>
      <c r="C781" s="627"/>
      <c r="D781" s="627"/>
      <c r="E781" s="627"/>
      <c r="F781" s="627"/>
      <c r="G781" s="627"/>
      <c r="H781" s="627"/>
      <c r="I781" s="627"/>
      <c r="J781" s="627"/>
      <c r="K781" s="627"/>
      <c r="L781" s="627"/>
      <c r="M781" s="627"/>
      <c r="N781" s="627"/>
      <c r="O781" s="627"/>
      <c r="P781" s="627"/>
      <c r="Q781" s="719"/>
      <c r="R781" s="627"/>
      <c r="S781" s="627"/>
    </row>
    <row r="782" spans="1:19" x14ac:dyDescent="0.35">
      <c r="A782" s="988"/>
      <c r="B782" s="627"/>
      <c r="C782" s="627" t="str">
        <f>CÁLCULOS!C468</f>
        <v>FOLGA ( marcar 'X' na opção desejada ):</v>
      </c>
      <c r="D782" s="627"/>
      <c r="E782" s="627"/>
      <c r="F782" s="627"/>
      <c r="G782" s="627"/>
      <c r="H782" s="627"/>
      <c r="I782" s="627"/>
      <c r="J782" s="627"/>
      <c r="K782" s="627"/>
      <c r="L782" s="627"/>
      <c r="M782" s="627"/>
      <c r="N782" s="627"/>
      <c r="O782" s="627"/>
      <c r="P782" s="627"/>
      <c r="Q782" s="719"/>
      <c r="R782" s="627"/>
      <c r="S782" s="627"/>
    </row>
    <row r="783" spans="1:19" ht="3.75" customHeight="1" x14ac:dyDescent="0.35">
      <c r="A783" s="988"/>
      <c r="B783" s="627"/>
      <c r="C783" s="627"/>
      <c r="D783" s="627"/>
      <c r="E783" s="627"/>
      <c r="F783" s="627"/>
      <c r="G783" s="627"/>
      <c r="H783" s="627"/>
      <c r="I783" s="627"/>
      <c r="J783" s="627"/>
      <c r="K783" s="627"/>
      <c r="L783" s="627"/>
      <c r="M783" s="627"/>
      <c r="N783" s="627"/>
      <c r="O783" s="627"/>
      <c r="P783" s="627"/>
      <c r="Q783" s="719"/>
      <c r="R783" s="627"/>
      <c r="S783" s="627"/>
    </row>
    <row r="784" spans="1:19" x14ac:dyDescent="0.35">
      <c r="A784" s="988"/>
      <c r="B784" s="627"/>
      <c r="C784" s="626"/>
      <c r="D784" s="627" t="str">
        <f>CÁLCULOS!D470</f>
        <v>sem folga ( acabar e ir embora )</v>
      </c>
      <c r="E784" s="627"/>
      <c r="F784" s="627"/>
      <c r="G784" s="626"/>
      <c r="H784" s="627" t="str">
        <f>CÁLCULOS!H470</f>
        <v>1 útil + sábado/domingo</v>
      </c>
      <c r="I784" s="627"/>
      <c r="J784" s="627"/>
      <c r="K784" s="627"/>
      <c r="L784" s="627"/>
      <c r="M784" s="627"/>
      <c r="N784" s="627"/>
      <c r="O784" s="627"/>
      <c r="P784" s="627"/>
      <c r="Q784" s="719"/>
      <c r="R784" s="627"/>
      <c r="S784" s="627"/>
    </row>
    <row r="785" spans="1:19" ht="4.5" customHeight="1" x14ac:dyDescent="0.35">
      <c r="A785" s="988"/>
      <c r="B785" s="627"/>
      <c r="C785" s="627"/>
      <c r="D785" s="627"/>
      <c r="E785" s="627"/>
      <c r="F785" s="627"/>
      <c r="G785" s="627"/>
      <c r="H785" s="627"/>
      <c r="I785" s="627"/>
      <c r="J785" s="627"/>
      <c r="K785" s="627"/>
      <c r="L785" s="627"/>
      <c r="M785" s="627"/>
      <c r="N785" s="627"/>
      <c r="O785" s="627"/>
      <c r="P785" s="627"/>
      <c r="Q785" s="719"/>
      <c r="R785" s="627"/>
      <c r="S785" s="627"/>
    </row>
    <row r="786" spans="1:19" x14ac:dyDescent="0.35">
      <c r="A786" s="988"/>
      <c r="B786" s="627"/>
      <c r="C786" s="626"/>
      <c r="D786" s="627" t="str">
        <f>CÁLCULOS!D472</f>
        <v>2 dias úteis + sábado/domingo</v>
      </c>
      <c r="E786" s="627"/>
      <c r="F786" s="627"/>
      <c r="G786" s="626" t="s">
        <v>35</v>
      </c>
      <c r="H786" s="627" t="str">
        <f>CÁLCULOS!H472</f>
        <v xml:space="preserve">3 dias úteis + sábado/domingo </v>
      </c>
      <c r="I786" s="627"/>
      <c r="J786" s="627"/>
      <c r="K786" s="627"/>
      <c r="L786" s="627"/>
      <c r="M786" s="627"/>
      <c r="N786" s="627"/>
      <c r="O786" s="627"/>
      <c r="P786" s="627"/>
      <c r="Q786" s="719"/>
      <c r="R786" s="627"/>
      <c r="S786" s="627"/>
    </row>
    <row r="787" spans="1:19" hidden="1" x14ac:dyDescent="0.35">
      <c r="A787" s="988"/>
      <c r="B787" s="627"/>
      <c r="C787" s="627"/>
      <c r="D787" s="627"/>
      <c r="E787" s="627"/>
      <c r="F787" s="627"/>
      <c r="G787" s="627"/>
      <c r="H787" s="627"/>
      <c r="I787" s="627"/>
      <c r="J787" s="627"/>
      <c r="K787" s="627"/>
      <c r="L787" s="627"/>
      <c r="M787" s="627"/>
      <c r="N787" s="627"/>
      <c r="O787" s="627"/>
      <c r="P787" s="627"/>
      <c r="Q787" s="719"/>
      <c r="R787" s="627"/>
      <c r="S787" s="627"/>
    </row>
    <row r="788" spans="1:19" hidden="1" x14ac:dyDescent="0.35">
      <c r="A788" s="988"/>
      <c r="B788" s="627"/>
      <c r="C788" s="627" t="s">
        <v>590</v>
      </c>
      <c r="D788" s="627"/>
      <c r="E788" s="627"/>
      <c r="F788" s="627"/>
      <c r="G788" s="627"/>
      <c r="H788" s="1009">
        <f>IF(C784="X",0,IF(G784="X",3,IF(C786="X",4,IF(G786="X",5,0))))</f>
        <v>5</v>
      </c>
      <c r="I788" s="627"/>
      <c r="J788" s="627"/>
      <c r="K788" s="627"/>
      <c r="L788" s="627"/>
      <c r="M788" s="627"/>
      <c r="N788" s="627"/>
      <c r="O788" s="627"/>
      <c r="P788" s="627"/>
      <c r="Q788" s="719"/>
      <c r="R788" s="627"/>
      <c r="S788" s="627"/>
    </row>
    <row r="789" spans="1:19" x14ac:dyDescent="0.35">
      <c r="A789" s="988"/>
      <c r="B789" s="627"/>
      <c r="C789" s="627"/>
      <c r="D789" s="627"/>
      <c r="E789" s="627"/>
      <c r="F789" s="627"/>
      <c r="G789" s="627"/>
      <c r="H789" s="627"/>
      <c r="I789" s="627"/>
      <c r="J789" s="627"/>
      <c r="K789" s="627"/>
      <c r="L789" s="627"/>
      <c r="M789" s="627"/>
      <c r="N789" s="627"/>
      <c r="O789" s="627"/>
      <c r="P789" s="627"/>
      <c r="Q789" s="719"/>
      <c r="R789" s="627"/>
      <c r="S789" s="627"/>
    </row>
    <row r="790" spans="1:19" ht="6" hidden="1" customHeight="1" x14ac:dyDescent="0.35">
      <c r="A790" s="988"/>
      <c r="B790" s="627"/>
      <c r="C790" s="627" t="s">
        <v>591</v>
      </c>
      <c r="D790" s="627"/>
      <c r="E790" s="627"/>
      <c r="F790" s="627"/>
      <c r="G790" s="627"/>
      <c r="H790" s="660">
        <v>1000</v>
      </c>
      <c r="I790" s="627" t="s">
        <v>592</v>
      </c>
      <c r="J790" s="627"/>
      <c r="K790" s="627"/>
      <c r="L790" s="627"/>
      <c r="M790" s="627"/>
      <c r="N790" s="627"/>
      <c r="O790" s="627"/>
      <c r="P790" s="627"/>
      <c r="Q790" s="719"/>
      <c r="R790" s="627"/>
      <c r="S790" s="627"/>
    </row>
    <row r="791" spans="1:19" ht="5.45" customHeight="1" x14ac:dyDescent="0.35">
      <c r="A791" s="988"/>
      <c r="B791" s="627"/>
      <c r="C791" s="1056"/>
      <c r="D791" s="1057"/>
      <c r="E791" s="1057"/>
      <c r="F791" s="1057"/>
      <c r="G791" s="1057"/>
      <c r="H791" s="1057"/>
      <c r="I791" s="1057"/>
      <c r="J791" s="1057"/>
      <c r="K791" s="1057"/>
      <c r="L791" s="1057"/>
      <c r="M791" s="1057"/>
      <c r="N791" s="652"/>
      <c r="O791" s="652"/>
      <c r="P791" s="652"/>
      <c r="Q791" s="987"/>
      <c r="R791" s="627"/>
      <c r="S791" s="627"/>
    </row>
    <row r="792" spans="1:19" x14ac:dyDescent="0.35">
      <c r="A792" s="988"/>
      <c r="B792" s="627"/>
      <c r="C792" s="762" t="s">
        <v>210</v>
      </c>
      <c r="D792" s="761"/>
      <c r="E792" s="761"/>
      <c r="F792" s="761"/>
      <c r="G792" s="660">
        <v>3</v>
      </c>
      <c r="H792" s="761" t="s">
        <v>187</v>
      </c>
      <c r="I792" s="761" t="s">
        <v>211</v>
      </c>
      <c r="J792" s="761"/>
      <c r="K792" s="761"/>
      <c r="L792" s="761"/>
      <c r="M792" s="761"/>
      <c r="N792" s="627"/>
      <c r="O792" s="660">
        <v>60</v>
      </c>
      <c r="P792" s="627" t="s">
        <v>130</v>
      </c>
      <c r="Q792" s="719"/>
      <c r="R792" s="627"/>
      <c r="S792" s="627"/>
    </row>
    <row r="793" spans="1:19" x14ac:dyDescent="0.35">
      <c r="A793" s="988"/>
      <c r="B793" s="627"/>
      <c r="C793" s="762"/>
      <c r="D793" s="761"/>
      <c r="E793" s="761"/>
      <c r="F793" s="761"/>
      <c r="G793" s="761"/>
      <c r="H793" s="761"/>
      <c r="I793" s="761"/>
      <c r="J793" s="761"/>
      <c r="K793" s="761"/>
      <c r="L793" s="761"/>
      <c r="M793" s="761"/>
      <c r="N793" s="627"/>
      <c r="O793" s="627"/>
      <c r="P793" s="627"/>
      <c r="Q793" s="719"/>
      <c r="R793" s="627"/>
      <c r="S793" s="627"/>
    </row>
    <row r="794" spans="1:19" x14ac:dyDescent="0.35">
      <c r="A794" s="988"/>
      <c r="B794" s="627"/>
      <c r="C794" s="762" t="s">
        <v>212</v>
      </c>
      <c r="D794" s="761"/>
      <c r="E794" s="761"/>
      <c r="F794" s="761"/>
      <c r="G794" s="660">
        <v>8</v>
      </c>
      <c r="H794" s="761" t="s">
        <v>187</v>
      </c>
      <c r="I794" s="761" t="s">
        <v>211</v>
      </c>
      <c r="J794" s="761"/>
      <c r="K794" s="761"/>
      <c r="L794" s="761"/>
      <c r="M794" s="761"/>
      <c r="N794" s="627"/>
      <c r="O794" s="660">
        <v>60</v>
      </c>
      <c r="P794" s="627" t="s">
        <v>130</v>
      </c>
      <c r="Q794" s="719"/>
      <c r="R794" s="627"/>
      <c r="S794" s="627"/>
    </row>
    <row r="795" spans="1:19" ht="3.95" customHeight="1" x14ac:dyDescent="0.35">
      <c r="A795" s="988"/>
      <c r="B795" s="627"/>
      <c r="C795" s="1054"/>
      <c r="D795" s="1055"/>
      <c r="E795" s="1055"/>
      <c r="F795" s="1055"/>
      <c r="G795" s="1055"/>
      <c r="H795" s="1055"/>
      <c r="I795" s="1055"/>
      <c r="J795" s="1055"/>
      <c r="K795" s="1055"/>
      <c r="L795" s="1055"/>
      <c r="M795" s="1055"/>
      <c r="N795" s="749"/>
      <c r="O795" s="749"/>
      <c r="P795" s="749"/>
      <c r="Q795" s="748"/>
      <c r="R795" s="627"/>
      <c r="S795" s="627"/>
    </row>
    <row r="796" spans="1:19" ht="3.95" customHeight="1" x14ac:dyDescent="0.35">
      <c r="A796" s="988"/>
      <c r="B796" s="627"/>
      <c r="C796" s="1056"/>
      <c r="D796" s="1057"/>
      <c r="E796" s="1057"/>
      <c r="F796" s="1057"/>
      <c r="G796" s="1057"/>
      <c r="H796" s="1057"/>
      <c r="I796" s="1057"/>
      <c r="J796" s="1057"/>
      <c r="K796" s="1057"/>
      <c r="L796" s="1057"/>
      <c r="M796" s="1057"/>
      <c r="N796" s="652"/>
      <c r="O796" s="652"/>
      <c r="P796" s="652"/>
      <c r="Q796" s="987"/>
      <c r="R796" s="627"/>
      <c r="S796" s="627"/>
    </row>
    <row r="797" spans="1:19" x14ac:dyDescent="0.35">
      <c r="A797" s="988"/>
      <c r="B797" s="627"/>
      <c r="C797" s="988" t="s">
        <v>213</v>
      </c>
      <c r="D797" s="627"/>
      <c r="E797" s="627"/>
      <c r="F797" s="627"/>
      <c r="G797" s="627"/>
      <c r="H797" s="627"/>
      <c r="I797" s="627"/>
      <c r="J797" s="627"/>
      <c r="K797" s="627"/>
      <c r="L797" s="660">
        <f>IF($I$15=0,0,IF(N797="X",0,IF(N797&gt;0,N797,IF(G792+G794=0,0,IF(G792+G794&gt;0,(((G792+G794)+44)/44-1)*100)))))</f>
        <v>25</v>
      </c>
      <c r="M797" s="627" t="s">
        <v>130</v>
      </c>
      <c r="N797" s="697"/>
      <c r="O797" s="988" t="s">
        <v>214</v>
      </c>
      <c r="P797" s="627"/>
      <c r="Q797" s="719"/>
      <c r="R797" s="627"/>
      <c r="S797" s="627"/>
    </row>
    <row r="798" spans="1:19" x14ac:dyDescent="0.35">
      <c r="A798" s="988"/>
      <c r="B798" s="627"/>
      <c r="C798" s="988"/>
      <c r="D798" s="627"/>
      <c r="E798" s="627"/>
      <c r="F798" s="627"/>
      <c r="G798" s="627"/>
      <c r="H798" s="627"/>
      <c r="I798" s="627"/>
      <c r="J798" s="627"/>
      <c r="K798" s="627"/>
      <c r="L798" s="627"/>
      <c r="M798" s="627"/>
      <c r="N798" s="627"/>
      <c r="O798" s="988" t="s">
        <v>215</v>
      </c>
      <c r="P798" s="627"/>
      <c r="Q798" s="719"/>
      <c r="R798" s="627"/>
      <c r="S798" s="627"/>
    </row>
    <row r="799" spans="1:19" x14ac:dyDescent="0.35">
      <c r="A799" s="988"/>
      <c r="B799" s="627"/>
      <c r="C799" s="988" t="s">
        <v>216</v>
      </c>
      <c r="D799" s="627"/>
      <c r="E799" s="627"/>
      <c r="F799" s="627"/>
      <c r="G799" s="627"/>
      <c r="H799" s="627"/>
      <c r="I799" s="627"/>
      <c r="J799" s="627"/>
      <c r="K799" s="627"/>
      <c r="L799" s="660">
        <f>IF($I$15=0,0,IF(N799="X",0,IF(N799&gt;0,N799,IF(G792+G794=0,0,(G792*(O792)+G794*(O794))/(G792+G794)))))</f>
        <v>60</v>
      </c>
      <c r="M799" s="627" t="s">
        <v>130</v>
      </c>
      <c r="N799" s="697"/>
      <c r="O799" s="988" t="s">
        <v>217</v>
      </c>
      <c r="P799" s="627"/>
      <c r="Q799" s="719"/>
      <c r="R799" s="627"/>
      <c r="S799" s="627"/>
    </row>
    <row r="800" spans="1:19" ht="4.5" customHeight="1" x14ac:dyDescent="0.35">
      <c r="A800" s="988"/>
      <c r="B800" s="627"/>
      <c r="C800" s="637"/>
      <c r="D800" s="749"/>
      <c r="E800" s="749"/>
      <c r="F800" s="749"/>
      <c r="G800" s="749"/>
      <c r="H800" s="749"/>
      <c r="I800" s="749"/>
      <c r="J800" s="749"/>
      <c r="K800" s="749"/>
      <c r="L800" s="1055"/>
      <c r="M800" s="749"/>
      <c r="N800" s="749"/>
      <c r="O800" s="749"/>
      <c r="P800" s="749"/>
      <c r="Q800" s="748"/>
      <c r="R800" s="627"/>
      <c r="S800" s="627"/>
    </row>
    <row r="801" spans="1:19" ht="7.5" customHeight="1" x14ac:dyDescent="0.35">
      <c r="A801" s="988"/>
      <c r="B801" s="627"/>
      <c r="C801" s="627"/>
      <c r="D801" s="627"/>
      <c r="E801" s="627"/>
      <c r="F801" s="627"/>
      <c r="G801" s="627"/>
      <c r="H801" s="627"/>
      <c r="I801" s="627"/>
      <c r="J801" s="627"/>
      <c r="K801" s="627"/>
      <c r="L801" s="627"/>
      <c r="M801" s="627"/>
      <c r="N801" s="627"/>
      <c r="O801" s="627"/>
      <c r="P801" s="627"/>
      <c r="Q801" s="719"/>
      <c r="R801" s="627"/>
      <c r="S801" s="627"/>
    </row>
    <row r="802" spans="1:19" x14ac:dyDescent="0.35">
      <c r="A802" s="988"/>
      <c r="B802" s="627"/>
      <c r="C802" s="627"/>
      <c r="D802" s="633">
        <f>CÁLCULOS!D482</f>
        <v>0</v>
      </c>
      <c r="E802" s="646"/>
      <c r="F802" s="646"/>
      <c r="G802" s="646"/>
      <c r="H802" s="646"/>
      <c r="I802" s="646"/>
      <c r="J802" s="646"/>
      <c r="K802" s="646"/>
      <c r="L802" s="646"/>
      <c r="M802" s="629"/>
      <c r="N802" s="633">
        <f>CÁLCULOS!N482</f>
        <v>0</v>
      </c>
      <c r="O802" s="629">
        <f>CÁLCULOS!O482</f>
        <v>0</v>
      </c>
      <c r="P802" s="627"/>
      <c r="Q802" s="719"/>
      <c r="R802" s="627"/>
      <c r="S802" s="627"/>
    </row>
    <row r="803" spans="1:19" ht="7.5" customHeight="1" x14ac:dyDescent="0.35">
      <c r="A803" s="988"/>
      <c r="B803" s="627"/>
      <c r="C803" s="627"/>
      <c r="D803" s="627"/>
      <c r="E803" s="627"/>
      <c r="F803" s="627"/>
      <c r="G803" s="627"/>
      <c r="H803" s="627"/>
      <c r="I803" s="627"/>
      <c r="J803" s="627"/>
      <c r="K803" s="627"/>
      <c r="L803" s="627"/>
      <c r="M803" s="627"/>
      <c r="N803" s="627"/>
      <c r="O803" s="627"/>
      <c r="P803" s="627"/>
      <c r="Q803" s="719"/>
      <c r="R803" s="627"/>
      <c r="S803" s="627"/>
    </row>
    <row r="804" spans="1:19" x14ac:dyDescent="0.35">
      <c r="A804" s="988"/>
      <c r="B804" s="627"/>
      <c r="C804" s="627"/>
      <c r="D804" s="633">
        <f>CÁLCULOS!D484</f>
        <v>0</v>
      </c>
      <c r="E804" s="646"/>
      <c r="F804" s="646"/>
      <c r="G804" s="646"/>
      <c r="H804" s="646"/>
      <c r="I804" s="646"/>
      <c r="J804" s="646"/>
      <c r="K804" s="646"/>
      <c r="L804" s="646"/>
      <c r="M804" s="629"/>
      <c r="N804" s="633">
        <f>CÁLCULOS!N484</f>
        <v>0</v>
      </c>
      <c r="O804" s="629">
        <f>CÁLCULOS!O484</f>
        <v>0</v>
      </c>
      <c r="P804" s="627"/>
      <c r="Q804" s="719"/>
      <c r="R804" s="627"/>
      <c r="S804" s="627"/>
    </row>
    <row r="805" spans="1:19" x14ac:dyDescent="0.35">
      <c r="A805" s="988"/>
      <c r="B805" s="627"/>
      <c r="C805" s="627"/>
      <c r="D805" s="627"/>
      <c r="E805" s="627"/>
      <c r="F805" s="627"/>
      <c r="G805" s="627"/>
      <c r="H805" s="627"/>
      <c r="I805" s="627"/>
      <c r="J805" s="627"/>
      <c r="K805" s="627"/>
      <c r="L805" s="627"/>
      <c r="M805" s="627"/>
      <c r="N805" s="627"/>
      <c r="O805" s="627"/>
      <c r="P805" s="627"/>
      <c r="Q805" s="719"/>
      <c r="R805" s="627"/>
      <c r="S805" s="627"/>
    </row>
    <row r="806" spans="1:19" ht="6.75" customHeight="1" x14ac:dyDescent="0.35">
      <c r="A806" s="988"/>
      <c r="B806" s="627"/>
      <c r="C806" s="627"/>
      <c r="D806" s="627"/>
      <c r="E806" s="627"/>
      <c r="F806" s="627"/>
      <c r="G806" s="627"/>
      <c r="H806" s="627"/>
      <c r="I806" s="627"/>
      <c r="J806" s="627"/>
      <c r="K806" s="627"/>
      <c r="L806" s="627"/>
      <c r="M806" s="627"/>
      <c r="N806" s="627"/>
      <c r="O806" s="627"/>
      <c r="P806" s="627"/>
      <c r="Q806" s="719"/>
      <c r="R806" s="627"/>
      <c r="S806" s="627"/>
    </row>
    <row r="807" spans="1:19" x14ac:dyDescent="0.35">
      <c r="A807" s="988"/>
      <c r="B807" s="627"/>
      <c r="C807" s="633"/>
      <c r="D807" s="646" t="s">
        <v>593</v>
      </c>
      <c r="E807" s="646"/>
      <c r="F807" s="646"/>
      <c r="G807" s="646"/>
      <c r="H807" s="646"/>
      <c r="I807" s="1119">
        <f>G769*2</f>
        <v>2000</v>
      </c>
      <c r="J807" s="646" t="s">
        <v>17</v>
      </c>
      <c r="K807" s="646"/>
      <c r="L807" s="646" t="s">
        <v>594</v>
      </c>
      <c r="M807" s="646"/>
      <c r="N807" s="646"/>
      <c r="O807" s="629"/>
      <c r="P807" s="627"/>
      <c r="Q807" s="719"/>
      <c r="R807" s="627"/>
      <c r="S807" s="627"/>
    </row>
    <row r="808" spans="1:19" ht="12.75" customHeight="1" x14ac:dyDescent="0.35">
      <c r="A808" s="988"/>
      <c r="B808" s="1342">
        <f>IF(C808="x",1,0)</f>
        <v>1</v>
      </c>
      <c r="C808" s="1421" t="s">
        <v>35</v>
      </c>
      <c r="D808" s="636" t="str">
        <f>CÁLCULOS!D487</f>
        <v>Carro comum   ( viagem casa x alojamento x casa)     2   veículos</v>
      </c>
      <c r="E808" s="652"/>
      <c r="F808" s="1122"/>
      <c r="G808" s="652"/>
      <c r="H808" s="652"/>
      <c r="I808" s="652"/>
      <c r="J808" s="652" t="str">
        <f ca="1">CÁLCULOS!J487</f>
        <v>( percorrendo total= 8000 km)</v>
      </c>
      <c r="K808" s="1012"/>
      <c r="L808" s="652"/>
      <c r="M808" s="1123"/>
      <c r="N808" s="1423">
        <f ca="1">CÁLCULOS!N487</f>
        <v>18</v>
      </c>
      <c r="O808" s="1124" t="str">
        <f>CÁLCULOS!O487</f>
        <v>dias (sem</v>
      </c>
      <c r="P808" s="195"/>
      <c r="Q808" s="205"/>
      <c r="R808" s="627"/>
      <c r="S808" s="627"/>
    </row>
    <row r="809" spans="1:19" x14ac:dyDescent="0.35">
      <c r="A809" s="988"/>
      <c r="B809" s="1342"/>
      <c r="C809" s="1422"/>
      <c r="D809" s="637" t="str">
        <f ca="1">CÁLCULOS!D488</f>
        <v>2 veículos fazem 2 viagens de ida com 1000 km   e 2 viagens de volta 1000 km   mais 1 folgas de 5 dias</v>
      </c>
      <c r="E809" s="749"/>
      <c r="F809" s="1125"/>
      <c r="G809" s="749"/>
      <c r="H809" s="749"/>
      <c r="I809" s="749"/>
      <c r="J809" s="749"/>
      <c r="K809" s="1126"/>
      <c r="L809" s="749"/>
      <c r="M809" s="1127"/>
      <c r="N809" s="1424"/>
      <c r="O809" s="994" t="str">
        <f>CÁLCULOS!O488</f>
        <v>descanso)</v>
      </c>
      <c r="P809" s="195"/>
      <c r="Q809" s="205"/>
      <c r="R809" s="988"/>
      <c r="S809" s="627"/>
    </row>
    <row r="810" spans="1:19" ht="12.75" customHeight="1" x14ac:dyDescent="0.35">
      <c r="A810" s="988"/>
      <c r="B810" s="1342">
        <f>IF(C810="x",1,0)</f>
        <v>0</v>
      </c>
      <c r="C810" s="1421"/>
      <c r="D810" s="636" t="str">
        <f>CÁLCULOS!D489</f>
        <v xml:space="preserve">    VAN   12 lugares ( viagem casa x alojamento x casa)   2 veículo</v>
      </c>
      <c r="E810" s="652"/>
      <c r="F810" s="1122"/>
      <c r="G810" s="652"/>
      <c r="H810" s="652"/>
      <c r="I810" s="652"/>
      <c r="J810" s="652" t="str">
        <f ca="1">CÁLCULOS!J491</f>
        <v>( percorrendo total= 4000 km)</v>
      </c>
      <c r="K810" s="1012"/>
      <c r="L810" s="652"/>
      <c r="M810" s="1123"/>
      <c r="N810" s="1423">
        <f ca="1">CÁLCULOS!N489</f>
        <v>18</v>
      </c>
      <c r="O810" s="1124" t="str">
        <f>CÁLCULOS!O489</f>
        <v>dias (sem</v>
      </c>
      <c r="P810" s="195">
        <f ca="1">IF(H780=0,0,IF(F744=0,(IF(F775="x",(ROUNDDOWN((L878+L761)/H780,0)*H788*ROUNDUP((SUM(C738:C742)*C734/D776),0))+(ROUNDUP(ROUNDUP((SUM(C738:C742)*C734/D776),0),0))*(ROUNDUP(ROUNDUP(G769/H790,0)*1,0))*2,0)),(IF(F775="x",(ROUNDDOWN((L878+L761)/H780,0)*H788*ROUNDUP(((SUM(C738:C742)-C742)*C734/D776),0))+(ROUNDUP(ROUNDUP(((SUM(C738:C742)-C742)*C734/D776),0),0))*(ROUNDUP(ROUNDUP(G769/H790,0)*1,0))*2,0))))</f>
        <v>7</v>
      </c>
      <c r="Q810" s="205">
        <f ca="1">IF(H780=0,0,IF(F744=0,(IF(F775="x",(ROUNDUP(ROUNDUP(G769/H790,0)*ROUNDUP((SUM(C738:C742)*C734/D776),0)*ROUNDDOWN((L878+L761)/H780,0),0))*2+(ROUNDDOWN((L878+L761)/H780,0)*H788*ROUNDUP((SUM(C738:C742)*C734/D776),0))+(ROUNDUP(ROUNDUP((SUM(C738:C742)*C734/D776),0),0))*(ROUNDUP(ROUNDUP(G769/H790,0)*1,0))*2,0)),(IF(F775="x",(ROUNDUP(ROUNDUP(G769/H790,0)*ROUNDUP(((SUM(C738:C742)-C742)*C734/D776),0)*ROUNDDOWN((L878+L761)/H780,0),0))*2+(ROUNDDOWN((L878+L761)/H780,0)*H788*ROUNDUP(((SUM(C738:C742)-C742)*C734/D776),0))+(ROUNDUP(ROUNDUP(((SUM(C738:C742)-C742)*C734/D776),0),0))*(ROUNDUP(ROUNDUP(G769/H790,0)*1,0))*2,0))))</f>
        <v>9</v>
      </c>
      <c r="R810" s="988"/>
      <c r="S810" s="627"/>
    </row>
    <row r="811" spans="1:19" x14ac:dyDescent="0.35">
      <c r="A811" s="988"/>
      <c r="B811" s="1342"/>
      <c r="C811" s="1422"/>
      <c r="D811" s="637" t="str">
        <f ca="1">CÁLCULOS!D490</f>
        <v>2 veículos fazem 2 viagens de ida com 1000 km   e 2 viagens de volta 1000 km   mais 1 folgas de 5 dias</v>
      </c>
      <c r="E811" s="749"/>
      <c r="F811" s="1125"/>
      <c r="G811" s="749"/>
      <c r="H811" s="749"/>
      <c r="I811" s="749"/>
      <c r="J811" s="749"/>
      <c r="K811" s="1126"/>
      <c r="L811" s="749"/>
      <c r="M811" s="1127"/>
      <c r="N811" s="1424"/>
      <c r="O811" s="994" t="str">
        <f>CÁLCULOS!O490</f>
        <v>descanso)</v>
      </c>
      <c r="P811" s="195" t="str">
        <f ca="1">IF(H780=0,0,IF(F775="x",ROUNDUP((SUM(C738:C742)*C734/D776),0)&amp;" veículos fazem "&amp;ROUNDUP((L878)/H780,0)&amp;" "&amp;"viagens de ida com "&amp;G769&amp;" km   e "&amp;ROUNDUP((L878)/H780,0)&amp;" "&amp;"viagens de volta "&amp;G769&amp;" km "&amp;"  somente mob. e desmob. ",0))</f>
        <v xml:space="preserve">1 veículos fazem 2 viagens de ida com 1000 km   e 2 viagens de volta 1000 km   somente mob. e desmob. </v>
      </c>
      <c r="Q811" s="205" t="str">
        <f ca="1">IF(H780=0,0,IF(F775="x",ROUNDUP((SUM(C738:C742)*C734/D776),0)&amp;" veículos fazem "&amp;ROUNDUP((L878)/H780,0)&amp;" "&amp;"viagens de ida com "&amp;G769&amp;" km   e "&amp;ROUNDUP((L878)/H780,0)&amp;" "&amp;"viagens de volta "&amp;G769&amp;" km "&amp;"  mais "&amp;J870&amp;" folgas de "&amp;H788&amp;" dias",0))</f>
        <v>1 veículos fazem 2 viagens de ida com 1000 km   e 2 viagens de volta 1000 km   mais 1 folgas de 5 dias</v>
      </c>
      <c r="R811" s="988"/>
      <c r="S811" s="627"/>
    </row>
    <row r="812" spans="1:19" x14ac:dyDescent="0.35">
      <c r="A812" s="988"/>
      <c r="B812" s="627">
        <f>IF(C812="x",1,0)</f>
        <v>0</v>
      </c>
      <c r="C812" s="626"/>
      <c r="D812" s="727" t="str">
        <f>CÁLCULOS!D491</f>
        <v>ÔNIBUS comercial ( casa x alojamento x casa - ida e volta )</v>
      </c>
      <c r="E812" s="995"/>
      <c r="F812" s="1128"/>
      <c r="G812" s="995"/>
      <c r="H812" s="995"/>
      <c r="I812" s="995"/>
      <c r="J812" s="995" t="str">
        <f ca="1">IF(H780=0,0,IF(D812=0,0,"( percorrendo total= "&amp;IF(F777="x",G769*2*ROUNDUP((SUM(C738:C742)*C734/40),0)*ROUNDUP((L878)/H780,0),0)&amp;" km)"))</f>
        <v>( percorrendo total= 4000 km)</v>
      </c>
      <c r="K812" s="1129"/>
      <c r="L812" s="995"/>
      <c r="M812" s="1130"/>
      <c r="N812" s="1131">
        <f ca="1">CÁLCULOS!N491</f>
        <v>26</v>
      </c>
      <c r="O812" s="1132" t="str">
        <f>CÁLCULOS!O491</f>
        <v>passagens</v>
      </c>
      <c r="P812" s="195">
        <f>IF(I15=0,0,IF(F744=0,IF(F777="x",ROUNDUP((SUM(C738:C742)*C734*1),0),0),IF(F777="x",ROUNDUP(((SUM(C738:C742)-C742)*C734*1),0),0)))</f>
        <v>12</v>
      </c>
      <c r="Q812" s="205">
        <f ca="1">IF(I15=0,0,IF(F744=0,IF(F777="x",ROUNDUP((SUM(C738:C742)*C734*1),0)+ROUNDUP((SUM(C738:C742)*C734*J870),0),0),IF(F777="x",ROUNDUP(((SUM(C738:C742)-C742)*C734*1),0)+ROUNDUP((SUM(C738:C742)*C734*J870),0),0)))</f>
        <v>24</v>
      </c>
      <c r="R812" s="627"/>
      <c r="S812" s="627"/>
    </row>
    <row r="813" spans="1:19" x14ac:dyDescent="0.35">
      <c r="A813" s="988"/>
      <c r="B813" s="627">
        <f>IF(C813="x",1,0)</f>
        <v>0</v>
      </c>
      <c r="C813" s="626"/>
      <c r="D813" s="727" t="str">
        <f>CÁLCULOS!D492</f>
        <v>AVIÃO comercial ( casa x alojamento x casa - ida e volta )</v>
      </c>
      <c r="E813" s="995"/>
      <c r="F813" s="1128"/>
      <c r="G813" s="995"/>
      <c r="H813" s="995"/>
      <c r="I813" s="995"/>
      <c r="J813" s="995"/>
      <c r="K813" s="1129"/>
      <c r="L813" s="995"/>
      <c r="M813" s="1130"/>
      <c r="N813" s="1131">
        <f ca="1">CÁLCULOS!N492</f>
        <v>26</v>
      </c>
      <c r="O813" s="1132" t="str">
        <f>CÁLCULOS!O492</f>
        <v>passagens</v>
      </c>
      <c r="P813" s="195">
        <f>IF(I15=0,0,IF(F744=0,IF(F778="x",ROUNDUP((SUM(C738:C742)*C734*1),0),0),IF(F778="x",ROUNDUP(((SUM(C738:C742)-C742)*C734*1),0),0)))</f>
        <v>12</v>
      </c>
      <c r="Q813" s="205">
        <f ca="1">IF(I15=0,0,IF(F744=0,IF(F778="x",ROUNDUP((SUM(C738:C742)*C734*1),0)+ROUNDUP((SUM(C738:C742)*C734*J870),0),0),IF(F778="x",ROUNDUP(((SUM(C738:C742)-C742)*C734*1),0)+ROUNDUP((SUM(C738:C742)*C734*J870),0),0)))</f>
        <v>24</v>
      </c>
      <c r="R813" s="627"/>
      <c r="S813" s="627">
        <f ca="1">IF(F744=0,IF(F778="x",ROUNDUP((SUM(C738:C742)*C734*J870*2),0),0),IF(F778="x",ROUNDUP(((SUM(C738:C742)-C742)*C734*J870*2),0),0))</f>
        <v>24</v>
      </c>
    </row>
    <row r="814" spans="1:19" x14ac:dyDescent="0.35">
      <c r="A814" s="988"/>
      <c r="B814" s="627"/>
      <c r="C814" s="627"/>
      <c r="D814" s="627"/>
      <c r="E814" s="627"/>
      <c r="F814" s="627"/>
      <c r="G814" s="627"/>
      <c r="H814" s="627"/>
      <c r="I814" s="627"/>
      <c r="J814" s="627"/>
      <c r="K814" s="627"/>
      <c r="L814" s="627"/>
      <c r="M814" s="627"/>
      <c r="N814" s="627"/>
      <c r="O814" s="627"/>
      <c r="P814" s="627"/>
      <c r="Q814" s="719"/>
      <c r="R814" s="627"/>
      <c r="S814" s="627"/>
    </row>
    <row r="815" spans="1:19" x14ac:dyDescent="0.35">
      <c r="A815" s="988"/>
      <c r="B815" s="627"/>
      <c r="C815" s="627"/>
      <c r="D815" s="627"/>
      <c r="E815" s="627"/>
      <c r="F815" s="627"/>
      <c r="G815" s="627"/>
      <c r="H815" s="627"/>
      <c r="I815" s="627"/>
      <c r="J815" s="627"/>
      <c r="K815" s="627"/>
      <c r="L815" s="627"/>
      <c r="M815" s="627"/>
      <c r="N815" s="627"/>
      <c r="O815" s="627"/>
      <c r="P815" s="627"/>
      <c r="Q815" s="719"/>
      <c r="R815" s="627"/>
      <c r="S815" s="627"/>
    </row>
    <row r="816" spans="1:19" x14ac:dyDescent="0.35">
      <c r="A816" s="988"/>
      <c r="B816" s="627"/>
      <c r="C816" s="633"/>
      <c r="D816" s="646" t="s">
        <v>595</v>
      </c>
      <c r="E816" s="646"/>
      <c r="F816" s="646"/>
      <c r="G816" s="646"/>
      <c r="H816" s="646"/>
      <c r="I816" s="646"/>
      <c r="J816" s="1119">
        <f>G770*2</f>
        <v>40</v>
      </c>
      <c r="K816" s="646" t="s">
        <v>17</v>
      </c>
      <c r="L816" s="646"/>
      <c r="M816" s="646" t="s">
        <v>594</v>
      </c>
      <c r="N816" s="646"/>
      <c r="O816" s="629"/>
      <c r="P816" s="627"/>
      <c r="Q816" s="719"/>
      <c r="R816" s="627"/>
      <c r="S816" s="627"/>
    </row>
    <row r="817" spans="1:19" x14ac:dyDescent="0.35">
      <c r="A817" s="988"/>
      <c r="B817" s="1342">
        <f>IF(C817="x",1,0)</f>
        <v>1</v>
      </c>
      <c r="C817" s="1421" t="s">
        <v>35</v>
      </c>
      <c r="D817" s="636" t="str">
        <f>CÁLCULOS!D495</f>
        <v>Carro comum ( viagem alojam. x obra x alojam. )   2 carros</v>
      </c>
      <c r="E817" s="652"/>
      <c r="F817" s="1122"/>
      <c r="G817" s="652"/>
      <c r="H817" s="652"/>
      <c r="I817" s="652"/>
      <c r="J817" s="652" t="str">
        <f ca="1">CÁLCULOS!J495</f>
        <v>( percorrendo total= 6000 km)</v>
      </c>
      <c r="K817" s="1012"/>
      <c r="L817" s="652"/>
      <c r="M817" s="1123"/>
      <c r="N817" s="1423">
        <f ca="1">CÁLCULOS!N495</f>
        <v>202</v>
      </c>
      <c r="O817" s="1425" t="str">
        <f>CÁLCULOS!O495</f>
        <v xml:space="preserve">dias </v>
      </c>
      <c r="P817" s="627"/>
      <c r="Q817" s="719"/>
      <c r="R817" s="627"/>
      <c r="S817" s="627"/>
    </row>
    <row r="818" spans="1:19" x14ac:dyDescent="0.35">
      <c r="A818" s="988"/>
      <c r="B818" s="1342"/>
      <c r="C818" s="1422"/>
      <c r="D818" s="637" t="str">
        <f ca="1">CÁLCULOS!D496</f>
        <v xml:space="preserve">2 veículos fazem 75 viagens de ida com 20 km   e 75 viagens de volta 20 km </v>
      </c>
      <c r="E818" s="749"/>
      <c r="F818" s="1125"/>
      <c r="G818" s="749"/>
      <c r="H818" s="749"/>
      <c r="I818" s="749"/>
      <c r="J818" s="749"/>
      <c r="K818" s="1126"/>
      <c r="L818" s="749"/>
      <c r="M818" s="1127"/>
      <c r="N818" s="1424" t="s">
        <v>596</v>
      </c>
      <c r="O818" s="1426" t="s">
        <v>597</v>
      </c>
      <c r="P818" s="627"/>
      <c r="Q818" s="719"/>
      <c r="R818" s="627"/>
      <c r="S818" s="627"/>
    </row>
    <row r="819" spans="1:19" x14ac:dyDescent="0.35">
      <c r="A819" s="988"/>
      <c r="B819" s="1342">
        <f>IF(C819="x",1,0)</f>
        <v>0</v>
      </c>
      <c r="C819" s="1421"/>
      <c r="D819" s="636" t="str">
        <f>CÁLCULOS!D497</f>
        <v>Carro comum   ( viagem casa x alojamento x casa)     2   veículos</v>
      </c>
      <c r="E819" s="652"/>
      <c r="F819" s="1122"/>
      <c r="G819" s="652"/>
      <c r="H819" s="652"/>
      <c r="I819" s="652"/>
      <c r="J819" s="652"/>
      <c r="K819" s="1012"/>
      <c r="L819" s="652"/>
      <c r="M819" s="1123"/>
      <c r="N819" s="1423">
        <f ca="1">CÁLCULOS!N497</f>
        <v>214</v>
      </c>
      <c r="O819" s="1425" t="str">
        <f>CÁLCULOS!O497</f>
        <v>dias</v>
      </c>
      <c r="P819" s="627"/>
      <c r="Q819" s="719"/>
      <c r="R819" s="627"/>
      <c r="S819" s="627"/>
    </row>
    <row r="820" spans="1:19" x14ac:dyDescent="0.35">
      <c r="A820" s="988"/>
      <c r="B820" s="1342"/>
      <c r="C820" s="1422"/>
      <c r="D820" s="637"/>
      <c r="E820" s="749"/>
      <c r="F820" s="1125" t="str">
        <f>CÁLCULOS!F498</f>
        <v>locado em todo o tempo da obra</v>
      </c>
      <c r="G820" s="749"/>
      <c r="H820" s="749"/>
      <c r="I820" s="749"/>
      <c r="J820" s="749"/>
      <c r="K820" s="1126"/>
      <c r="L820" s="749"/>
      <c r="M820" s="1127"/>
      <c r="N820" s="1424"/>
      <c r="O820" s="1426"/>
      <c r="P820" s="627"/>
      <c r="Q820" s="719"/>
      <c r="R820" s="627"/>
      <c r="S820" s="627"/>
    </row>
    <row r="821" spans="1:19" x14ac:dyDescent="0.35">
      <c r="A821" s="988"/>
      <c r="B821" s="1420">
        <f>IF(C821="x",1,0)</f>
        <v>0</v>
      </c>
      <c r="C821" s="1421"/>
      <c r="D821" s="636" t="str">
        <f>CÁLCULOS!D499</f>
        <v xml:space="preserve">    VAN   12 lugares ( viagem alojam. x obra x alojam. )  2 veículo</v>
      </c>
      <c r="E821" s="652"/>
      <c r="F821" s="1122"/>
      <c r="G821" s="652"/>
      <c r="H821" s="652"/>
      <c r="I821" s="652"/>
      <c r="J821" s="652" t="str">
        <f ca="1">CÁLCULOS!J499</f>
        <v>( percorrendo total= 6000 km)</v>
      </c>
      <c r="K821" s="1012"/>
      <c r="L821" s="652"/>
      <c r="M821" s="1123"/>
      <c r="N821" s="1423">
        <f ca="1">CÁLCULOS!N499</f>
        <v>202</v>
      </c>
      <c r="O821" s="1425" t="str">
        <f>CÁLCULOS!O499</f>
        <v xml:space="preserve">dias </v>
      </c>
      <c r="P821" s="627"/>
      <c r="Q821" s="719"/>
      <c r="R821" s="627"/>
      <c r="S821" s="627"/>
    </row>
    <row r="822" spans="1:19" x14ac:dyDescent="0.35">
      <c r="A822" s="988"/>
      <c r="B822" s="1420"/>
      <c r="C822" s="1422"/>
      <c r="D822" s="637" t="str">
        <f ca="1">CÁLCULOS!D500</f>
        <v xml:space="preserve">2 veículo faz 75 viagens de ida com 20 km   e 75 viagens de volta 20 km </v>
      </c>
      <c r="E822" s="749"/>
      <c r="F822" s="1125"/>
      <c r="G822" s="749"/>
      <c r="H822" s="749"/>
      <c r="I822" s="749"/>
      <c r="J822" s="749"/>
      <c r="K822" s="1126"/>
      <c r="L822" s="749"/>
      <c r="M822" s="1127"/>
      <c r="N822" s="1424"/>
      <c r="O822" s="1426" t="s">
        <v>597</v>
      </c>
      <c r="P822" s="627"/>
      <c r="Q822" s="719"/>
      <c r="R822" s="627"/>
      <c r="S822" s="627"/>
    </row>
    <row r="823" spans="1:19" x14ac:dyDescent="0.35">
      <c r="A823" s="988"/>
      <c r="B823" s="1420">
        <f>IF(C823="x",1,0)</f>
        <v>0</v>
      </c>
      <c r="C823" s="1421"/>
      <c r="D823" s="636" t="str">
        <f>CÁLCULOS!D501</f>
        <v xml:space="preserve">    VAN   12 lugares ( viagem alojam. x obra x alojam. )  2 veículo</v>
      </c>
      <c r="E823" s="652"/>
      <c r="F823" s="1122"/>
      <c r="G823" s="652"/>
      <c r="H823" s="652"/>
      <c r="I823" s="652"/>
      <c r="J823" s="652"/>
      <c r="K823" s="1012"/>
      <c r="L823" s="652"/>
      <c r="M823" s="1123"/>
      <c r="N823" s="1423">
        <f ca="1">CÁLCULOS!N501</f>
        <v>214</v>
      </c>
      <c r="O823" s="1425" t="str">
        <f>CÁLCULOS!O501</f>
        <v xml:space="preserve">dias </v>
      </c>
      <c r="P823" s="627"/>
      <c r="Q823" s="719"/>
      <c r="R823" s="627"/>
      <c r="S823" s="627"/>
    </row>
    <row r="824" spans="1:19" x14ac:dyDescent="0.35">
      <c r="A824" s="988"/>
      <c r="B824" s="1420"/>
      <c r="C824" s="1422"/>
      <c r="D824" s="637"/>
      <c r="E824" s="749"/>
      <c r="F824" s="1125" t="str">
        <f>CÁLCULOS!F502</f>
        <v>locado em todo o tempo da obra</v>
      </c>
      <c r="G824" s="749"/>
      <c r="H824" s="749"/>
      <c r="I824" s="749"/>
      <c r="J824" s="749"/>
      <c r="K824" s="1126"/>
      <c r="L824" s="749"/>
      <c r="M824" s="1127"/>
      <c r="N824" s="1424"/>
      <c r="O824" s="1426" t="s">
        <v>597</v>
      </c>
      <c r="P824" s="627"/>
      <c r="Q824" s="719"/>
      <c r="R824" s="627"/>
      <c r="S824" s="627"/>
    </row>
    <row r="825" spans="1:19" x14ac:dyDescent="0.35">
      <c r="A825" s="988"/>
      <c r="B825" s="1420">
        <f>IF(C825="x",1,0)</f>
        <v>0</v>
      </c>
      <c r="C825" s="1421"/>
      <c r="D825" s="636" t="str">
        <f>CÁLCULOS!D503</f>
        <v>Ônibus comercial   ( viagem alojam. x obra x alojam. )    1 veículo</v>
      </c>
      <c r="E825" s="652"/>
      <c r="F825" s="1122"/>
      <c r="G825" s="652"/>
      <c r="H825" s="652"/>
      <c r="I825" s="652"/>
      <c r="J825" s="652" t="str">
        <f ca="1">CÁLCULOS!J503</f>
        <v>( percorrendo total= 3000 km)</v>
      </c>
      <c r="K825" s="1012"/>
      <c r="L825" s="652"/>
      <c r="M825" s="1123"/>
      <c r="N825" s="1423">
        <f ca="1">CÁLCULOS!N503</f>
        <v>202</v>
      </c>
      <c r="O825" s="1425" t="str">
        <f>CÁLCULOS!O503</f>
        <v>dias</v>
      </c>
      <c r="P825" s="627"/>
      <c r="Q825" s="719"/>
      <c r="R825" s="627"/>
      <c r="S825" s="627"/>
    </row>
    <row r="826" spans="1:19" x14ac:dyDescent="0.35">
      <c r="A826" s="988"/>
      <c r="B826" s="1420"/>
      <c r="C826" s="1422"/>
      <c r="D826" s="637" t="str">
        <f ca="1">CÁLCULOS!D504</f>
        <v xml:space="preserve">1 veículo faz 75 viagens de ida com 20 km   e 75 viagens de volta 20 km </v>
      </c>
      <c r="E826" s="749"/>
      <c r="F826" s="1125"/>
      <c r="G826" s="749"/>
      <c r="H826" s="749"/>
      <c r="I826" s="749"/>
      <c r="J826" s="749"/>
      <c r="K826" s="1126"/>
      <c r="L826" s="749"/>
      <c r="M826" s="1127"/>
      <c r="N826" s="1424"/>
      <c r="O826" s="1426" t="s">
        <v>597</v>
      </c>
      <c r="P826" s="627"/>
      <c r="Q826" s="719"/>
      <c r="R826" s="627"/>
      <c r="S826" s="627"/>
    </row>
    <row r="827" spans="1:19" ht="6" customHeight="1" x14ac:dyDescent="0.35">
      <c r="A827" s="988"/>
      <c r="B827" s="634"/>
      <c r="C827" s="734"/>
      <c r="D827" s="627"/>
      <c r="E827" s="627"/>
      <c r="F827" s="688"/>
      <c r="G827" s="627"/>
      <c r="H827" s="627"/>
      <c r="I827" s="627"/>
      <c r="J827" s="627"/>
      <c r="K827" s="999"/>
      <c r="L827" s="627"/>
      <c r="M827" s="761"/>
      <c r="N827" s="1133"/>
      <c r="O827" s="667"/>
      <c r="P827" s="627"/>
      <c r="Q827" s="719"/>
      <c r="R827" s="627"/>
      <c r="S827" s="627"/>
    </row>
    <row r="828" spans="1:19" x14ac:dyDescent="0.35">
      <c r="A828" s="988"/>
      <c r="B828" s="634"/>
      <c r="C828" s="667" t="str">
        <f>IF(OR(C821="X",C823="X",C825="X"),0,"A OBRA É JUNTO COM A FORTES ENGENHARIA ?")</f>
        <v>A OBRA É JUNTO COM A FORTES ENGENHARIA ?</v>
      </c>
      <c r="D828" s="627"/>
      <c r="E828" s="627"/>
      <c r="F828" s="688"/>
      <c r="G828" s="626"/>
      <c r="H828" s="627" t="str">
        <f>IF(OR(C816="X",C818="X",C820="X"),0,"SIM")</f>
        <v>SIM</v>
      </c>
      <c r="I828" s="627"/>
      <c r="J828" s="626" t="s">
        <v>35</v>
      </c>
      <c r="K828" s="999"/>
      <c r="L828" s="627" t="str">
        <f>IF(OR(C816="X",C818="X",C820="X"),0,"NÃO")</f>
        <v>NÃO</v>
      </c>
      <c r="M828" s="761"/>
      <c r="N828" s="1133"/>
      <c r="O828" s="667"/>
      <c r="P828" s="627"/>
      <c r="Q828" s="719"/>
      <c r="R828" s="627"/>
      <c r="S828" s="627"/>
    </row>
    <row r="829" spans="1:19" ht="6" customHeight="1" x14ac:dyDescent="0.35">
      <c r="A829" s="988"/>
      <c r="B829" s="634"/>
      <c r="C829" s="734"/>
      <c r="D829" s="627"/>
      <c r="E829" s="627"/>
      <c r="F829" s="688"/>
      <c r="G829" s="627"/>
      <c r="H829" s="627"/>
      <c r="I829" s="627"/>
      <c r="J829" s="627"/>
      <c r="K829" s="999"/>
      <c r="L829" s="627"/>
      <c r="M829" s="761"/>
      <c r="N829" s="1133"/>
      <c r="O829" s="667"/>
      <c r="P829" s="627"/>
      <c r="Q829" s="719"/>
      <c r="R829" s="627"/>
      <c r="S829" s="627"/>
    </row>
    <row r="830" spans="1:19" ht="15" customHeight="1" x14ac:dyDescent="0.35">
      <c r="A830" s="988"/>
      <c r="B830" s="634"/>
      <c r="C830" s="667">
        <f>IF(G828="x",IF(OR(C821="X",C823="X",C825="X"),0,"COMO A OBRA É JUNTO COM FORTES ENGENHARIA, CONSIDERAR APENAS 1 CARRO DE APOIO"),0)</f>
        <v>0</v>
      </c>
      <c r="D830" s="627"/>
      <c r="E830" s="627"/>
      <c r="F830" s="688"/>
      <c r="G830" s="627"/>
      <c r="H830" s="627"/>
      <c r="I830" s="627"/>
      <c r="J830" s="627"/>
      <c r="K830" s="999"/>
      <c r="L830" s="627"/>
      <c r="M830" s="761"/>
      <c r="N830" s="1133"/>
      <c r="O830" s="667"/>
      <c r="P830" s="627"/>
      <c r="Q830" s="719"/>
      <c r="R830" s="627"/>
      <c r="S830" s="627"/>
    </row>
    <row r="831" spans="1:19" ht="15" customHeight="1" x14ac:dyDescent="0.35">
      <c r="A831" s="988"/>
      <c r="B831" s="634"/>
      <c r="C831" s="667"/>
      <c r="D831" s="627">
        <f>IF(G828="x",IF(OR(C821="X",C823="X",C825="X"),0,"E SE O Nº DE PESSOAS EXCEDER O LIMITE DO CARRO, IRÁ NO TRANSPORTE DA FORTES ?"),0)</f>
        <v>0</v>
      </c>
      <c r="E831" s="627"/>
      <c r="F831" s="688"/>
      <c r="G831" s="627"/>
      <c r="H831" s="627"/>
      <c r="I831" s="627"/>
      <c r="J831" s="627"/>
      <c r="K831" s="999"/>
      <c r="L831" s="627"/>
      <c r="M831" s="761"/>
      <c r="N831" s="1133"/>
      <c r="O831" s="667"/>
      <c r="P831" s="627"/>
      <c r="Q831" s="719"/>
      <c r="R831" s="627"/>
      <c r="S831" s="627"/>
    </row>
    <row r="832" spans="1:19" ht="2.4500000000000002" customHeight="1" x14ac:dyDescent="0.35">
      <c r="A832" s="988"/>
      <c r="B832" s="634"/>
      <c r="C832" s="667"/>
      <c r="D832" s="627"/>
      <c r="E832" s="627"/>
      <c r="F832" s="688"/>
      <c r="G832" s="627"/>
      <c r="H832" s="627"/>
      <c r="I832" s="627"/>
      <c r="J832" s="627"/>
      <c r="K832" s="999"/>
      <c r="L832" s="627"/>
      <c r="M832" s="761"/>
      <c r="N832" s="1133"/>
      <c r="O832" s="667"/>
      <c r="P832" s="627"/>
      <c r="Q832" s="719"/>
      <c r="R832" s="627"/>
      <c r="S832" s="627"/>
    </row>
    <row r="833" spans="1:19" x14ac:dyDescent="0.35">
      <c r="A833" s="988"/>
      <c r="B833" s="634"/>
      <c r="C833" s="667"/>
      <c r="D833" s="627"/>
      <c r="E833" s="627"/>
      <c r="F833" s="688"/>
      <c r="G833" s="626"/>
      <c r="H833" s="627">
        <f>IF(G828="x",IF(OR(C821="X",C823="X",C825="X"),0,"SIM"),0)</f>
        <v>0</v>
      </c>
      <c r="I833" s="627"/>
      <c r="J833" s="626"/>
      <c r="K833" s="999"/>
      <c r="L833" s="627">
        <f>IF(G828="x",IF(OR(C821="X",C823="X",C825="X"),0,"NÃO"),0)</f>
        <v>0</v>
      </c>
      <c r="M833" s="761"/>
      <c r="N833" s="1133"/>
      <c r="O833" s="667"/>
      <c r="P833" s="627"/>
      <c r="Q833" s="719"/>
      <c r="R833" s="627"/>
      <c r="S833" s="627"/>
    </row>
    <row r="834" spans="1:19" ht="6" customHeight="1" x14ac:dyDescent="0.35">
      <c r="A834" s="988"/>
      <c r="B834" s="634"/>
      <c r="C834" s="734"/>
      <c r="D834" s="627"/>
      <c r="E834" s="627"/>
      <c r="F834" s="688"/>
      <c r="G834" s="627"/>
      <c r="H834" s="627"/>
      <c r="I834" s="627"/>
      <c r="J834" s="627"/>
      <c r="K834" s="999"/>
      <c r="L834" s="627"/>
      <c r="M834" s="761"/>
      <c r="N834" s="1133"/>
      <c r="O834" s="667"/>
      <c r="P834" s="627"/>
      <c r="Q834" s="719"/>
      <c r="R834" s="627"/>
      <c r="S834" s="627"/>
    </row>
    <row r="835" spans="1:19" ht="14.45" customHeight="1" x14ac:dyDescent="0.35">
      <c r="A835" s="988"/>
      <c r="B835" s="627"/>
      <c r="C835" s="627">
        <f>IF(AND(G833=0,CÁLCULOS!U500&gt;=0),0,IF(G833="X",0,IF(OR(C821="X",C823="X",C825="X"),0,IF(G767="X",0,IF(F744&gt;1,IF(F744&gt;0,"OS AUXILIARES LOCAIS DEFINIDOS NA CÉLULA F717 IRÃO PARA A OBRA EM QUE TIPO DE TRANSPORTE ?",0),IF(F744&gt;0,"O AUXILIAR LOCAL DEFINIDO NA CÉLULA F717 IRÁ PARA A OBRA EM QUE TIPO DE TRANSPORTE ?",0))))))</f>
        <v>0</v>
      </c>
      <c r="D835" s="627"/>
      <c r="E835" s="627"/>
      <c r="F835" s="627"/>
      <c r="G835" s="627"/>
      <c r="H835" s="627"/>
      <c r="I835" s="627"/>
      <c r="J835" s="627"/>
      <c r="K835" s="627"/>
      <c r="L835" s="627"/>
      <c r="M835" s="627"/>
      <c r="N835" s="627"/>
      <c r="O835" s="627"/>
      <c r="P835" s="627"/>
      <c r="Q835" s="719"/>
      <c r="R835" s="627"/>
      <c r="S835" s="627"/>
    </row>
    <row r="836" spans="1:19" ht="5.0999999999999996" customHeight="1" x14ac:dyDescent="0.35">
      <c r="A836" s="988"/>
      <c r="B836" s="627"/>
      <c r="C836" s="627"/>
      <c r="D836" s="627"/>
      <c r="E836" s="627"/>
      <c r="F836" s="627"/>
      <c r="G836" s="627"/>
      <c r="H836" s="627"/>
      <c r="I836" s="627"/>
      <c r="J836" s="627"/>
      <c r="K836" s="627"/>
      <c r="L836" s="627"/>
      <c r="M836" s="627"/>
      <c r="N836" s="627"/>
      <c r="O836" s="627"/>
      <c r="P836" s="627"/>
      <c r="Q836" s="719"/>
      <c r="R836" s="627"/>
      <c r="S836" s="627"/>
    </row>
    <row r="837" spans="1:19" ht="15" customHeight="1" x14ac:dyDescent="0.35">
      <c r="A837" s="988"/>
      <c r="B837" s="627"/>
      <c r="C837" s="627"/>
      <c r="D837" s="626"/>
      <c r="E837" s="627">
        <f>IF(OR(G833="X",G828=0),0,IF(OR(C821="X",C823="X",C825="X"),0,IF(OR(G767="X",J833="X"),0,IF(F744&gt;0,"NO MESMO VEÍCULO QUE A EQUIPE DE MONTAGEM",0))))</f>
        <v>0</v>
      </c>
      <c r="F837" s="627"/>
      <c r="G837" s="627"/>
      <c r="H837" s="627"/>
      <c r="I837" s="627"/>
      <c r="J837" s="627"/>
      <c r="K837" s="627"/>
      <c r="L837" s="627"/>
      <c r="M837" s="627"/>
      <c r="N837" s="627"/>
      <c r="O837" s="627"/>
      <c r="P837" s="627"/>
      <c r="Q837" s="719"/>
      <c r="R837" s="627"/>
      <c r="S837" s="627"/>
    </row>
    <row r="838" spans="1:19" ht="6" customHeight="1" x14ac:dyDescent="0.35">
      <c r="A838" s="988"/>
      <c r="B838" s="627"/>
      <c r="C838" s="195">
        <f>IF(D838="x",1,0)</f>
        <v>0</v>
      </c>
      <c r="D838" s="195">
        <f>IF(D841="X","X",0)</f>
        <v>0</v>
      </c>
      <c r="E838" s="195">
        <f>IF(D841="X","os auxilares não irão no mesmo veículo que a equipe",0)</f>
        <v>0</v>
      </c>
      <c r="F838" s="195"/>
      <c r="G838" s="195"/>
      <c r="H838" s="195"/>
      <c r="I838" s="627"/>
      <c r="J838" s="627"/>
      <c r="K838" s="627"/>
      <c r="L838" s="627"/>
      <c r="M838" s="627"/>
      <c r="N838" s="627"/>
      <c r="O838" s="627"/>
      <c r="P838" s="627"/>
      <c r="Q838" s="719"/>
      <c r="R838" s="627"/>
      <c r="S838" s="627"/>
    </row>
    <row r="839" spans="1:19" ht="16.5" customHeight="1" x14ac:dyDescent="0.35">
      <c r="A839" s="988"/>
      <c r="B839" s="627"/>
      <c r="C839" s="195"/>
      <c r="D839" s="626"/>
      <c r="E839" s="627">
        <f>IF(AND(G833=0,CÁLCULOS!U500&gt;=0),0,IF(G833="X",0,IF(OR(C821="X",C823="X",C825="X"),0,IF(G767="X",0,IF(F744&gt;0,"NO CARRO JUNTO DA EQUIPE",0)))))</f>
        <v>0</v>
      </c>
      <c r="F839" s="627"/>
      <c r="G839" s="627"/>
      <c r="H839" s="627"/>
      <c r="I839" s="627"/>
      <c r="J839" s="627"/>
      <c r="K839" s="627"/>
      <c r="L839" s="627"/>
      <c r="M839" s="627"/>
      <c r="N839" s="627"/>
      <c r="O839" s="627"/>
      <c r="P839" s="627"/>
      <c r="Q839" s="719"/>
      <c r="R839" s="627"/>
      <c r="S839" s="627"/>
    </row>
    <row r="840" spans="1:19" ht="5.45" customHeight="1" x14ac:dyDescent="0.35">
      <c r="A840" s="988"/>
      <c r="B840" s="627"/>
      <c r="C840" s="627"/>
      <c r="D840" s="627"/>
      <c r="E840" s="627"/>
      <c r="F840" s="627"/>
      <c r="G840" s="627"/>
      <c r="H840" s="627"/>
      <c r="I840" s="627"/>
      <c r="J840" s="627"/>
      <c r="K840" s="627"/>
      <c r="L840" s="627"/>
      <c r="M840" s="627"/>
      <c r="N840" s="627"/>
      <c r="O840" s="627"/>
      <c r="P840" s="627"/>
      <c r="Q840" s="719"/>
      <c r="R840" s="627"/>
      <c r="S840" s="627"/>
    </row>
    <row r="841" spans="1:19" ht="14.45" customHeight="1" x14ac:dyDescent="0.35">
      <c r="A841" s="988"/>
      <c r="B841" s="627"/>
      <c r="C841" s="627"/>
      <c r="D841" s="626"/>
      <c r="E841" s="627">
        <f>IF(AND(G833=0,CÁLCULOS!U500&gt;=0),0,IF(G833="X",0,IF(OR(C821="X",C823="X",C825="X"),0,IF(G767="X",0,IF(F744&gt;0,"NO TRANSPORTE PÚBLICO LOCAL",0)))))</f>
        <v>0</v>
      </c>
      <c r="F841" s="627"/>
      <c r="G841" s="627"/>
      <c r="H841" s="712">
        <f>IF(D841="x",". SERÁ CONSIDERADO VALE TRANSPORTE PARA NO VALOR IGUAL AO DA GRANDE VITÓRIA",0)</f>
        <v>0</v>
      </c>
      <c r="I841" s="627"/>
      <c r="J841" s="627"/>
      <c r="K841" s="627"/>
      <c r="L841" s="627"/>
      <c r="M841" s="627"/>
      <c r="N841" s="627"/>
      <c r="O841" s="627"/>
      <c r="P841" s="627"/>
      <c r="Q841" s="719"/>
      <c r="R841" s="627"/>
      <c r="S841" s="627"/>
    </row>
    <row r="842" spans="1:19" x14ac:dyDescent="0.35">
      <c r="A842" s="988"/>
      <c r="B842" s="627"/>
      <c r="C842" s="627"/>
      <c r="D842" s="627"/>
      <c r="E842" s="627"/>
      <c r="F842" s="627"/>
      <c r="G842" s="627"/>
      <c r="H842" s="627"/>
      <c r="I842" s="627"/>
      <c r="J842" s="627"/>
      <c r="K842" s="627"/>
      <c r="L842" s="627"/>
      <c r="M842" s="627"/>
      <c r="N842" s="627"/>
      <c r="O842" s="627"/>
      <c r="P842" s="627"/>
      <c r="Q842" s="719"/>
      <c r="R842" s="627"/>
      <c r="S842" s="627"/>
    </row>
    <row r="843" spans="1:19" ht="3.95" customHeight="1" x14ac:dyDescent="0.35">
      <c r="A843" s="636"/>
      <c r="B843" s="652"/>
      <c r="C843" s="652"/>
      <c r="D843" s="652"/>
      <c r="E843" s="652"/>
      <c r="F843" s="652"/>
      <c r="G843" s="652"/>
      <c r="H843" s="652"/>
      <c r="I843" s="652"/>
      <c r="J843" s="652"/>
      <c r="K843" s="652"/>
      <c r="L843" s="652"/>
      <c r="M843" s="652"/>
      <c r="N843" s="652"/>
      <c r="O843" s="652"/>
      <c r="P843" s="652"/>
      <c r="Q843" s="987"/>
      <c r="R843" s="627"/>
      <c r="S843" s="627"/>
    </row>
    <row r="844" spans="1:19" x14ac:dyDescent="0.35">
      <c r="A844" s="988"/>
      <c r="B844" s="627"/>
      <c r="C844" s="627" t="s">
        <v>598</v>
      </c>
      <c r="D844" s="627"/>
      <c r="E844" s="627"/>
      <c r="F844" s="627"/>
      <c r="G844" s="627"/>
      <c r="H844" s="627"/>
      <c r="I844" s="627"/>
      <c r="J844" s="626" t="s">
        <v>35</v>
      </c>
      <c r="K844" s="627" t="s">
        <v>599</v>
      </c>
      <c r="L844" s="627"/>
      <c r="M844" s="627"/>
      <c r="N844" s="626"/>
      <c r="O844" s="627" t="s">
        <v>600</v>
      </c>
      <c r="P844" s="627"/>
      <c r="Q844" s="719"/>
      <c r="R844" s="627"/>
      <c r="S844" s="627"/>
    </row>
    <row r="845" spans="1:19" ht="3.95" customHeight="1" x14ac:dyDescent="0.35">
      <c r="A845" s="637"/>
      <c r="B845" s="749"/>
      <c r="C845" s="749"/>
      <c r="D845" s="749"/>
      <c r="E845" s="749"/>
      <c r="F845" s="749"/>
      <c r="G845" s="749"/>
      <c r="H845" s="749"/>
      <c r="I845" s="749"/>
      <c r="J845" s="749"/>
      <c r="K845" s="749"/>
      <c r="L845" s="749"/>
      <c r="M845" s="749"/>
      <c r="N845" s="749"/>
      <c r="O845" s="749"/>
      <c r="P845" s="749"/>
      <c r="Q845" s="748"/>
      <c r="R845" s="627"/>
      <c r="S845" s="627"/>
    </row>
    <row r="846" spans="1:19" ht="5.0999999999999996" customHeight="1" x14ac:dyDescent="0.35">
      <c r="A846" s="637"/>
      <c r="B846" s="749"/>
      <c r="C846" s="749"/>
      <c r="D846" s="749"/>
      <c r="E846" s="749"/>
      <c r="F846" s="749"/>
      <c r="G846" s="749"/>
      <c r="H846" s="749"/>
      <c r="I846" s="749"/>
      <c r="J846" s="749"/>
      <c r="K846" s="749"/>
      <c r="L846" s="749"/>
      <c r="M846" s="749"/>
      <c r="N846" s="749"/>
      <c r="O846" s="749"/>
      <c r="P846" s="749"/>
      <c r="Q846" s="748"/>
      <c r="R846" s="627"/>
      <c r="S846" s="627"/>
    </row>
    <row r="847" spans="1:19" ht="4.5" customHeight="1" x14ac:dyDescent="0.35">
      <c r="A847" s="988"/>
      <c r="B847" s="627"/>
      <c r="C847" s="627"/>
      <c r="D847" s="627"/>
      <c r="E847" s="627"/>
      <c r="F847" s="627"/>
      <c r="G847" s="627"/>
      <c r="H847" s="627"/>
      <c r="I847" s="627"/>
      <c r="J847" s="627"/>
      <c r="K847" s="627"/>
      <c r="L847" s="627"/>
      <c r="M847" s="627"/>
      <c r="N847" s="627"/>
      <c r="O847" s="627"/>
      <c r="P847" s="627"/>
      <c r="Q847" s="719"/>
      <c r="R847" s="627"/>
      <c r="S847" s="627"/>
    </row>
    <row r="848" spans="1:19" x14ac:dyDescent="0.35">
      <c r="A848" s="988"/>
      <c r="B848" s="627"/>
      <c r="C848" s="627" t="s">
        <v>601</v>
      </c>
      <c r="D848" s="627"/>
      <c r="E848" s="627"/>
      <c r="F848" s="627"/>
      <c r="G848" s="627"/>
      <c r="H848" s="627"/>
      <c r="I848" s="627"/>
      <c r="J848" s="627"/>
      <c r="K848" s="627"/>
      <c r="L848" s="627"/>
      <c r="M848" s="627"/>
      <c r="N848" s="627"/>
      <c r="O848" s="627"/>
      <c r="P848" s="627"/>
      <c r="Q848" s="719"/>
      <c r="R848" s="627"/>
      <c r="S848" s="627"/>
    </row>
    <row r="849" spans="1:19" ht="15" customHeight="1" x14ac:dyDescent="0.35">
      <c r="A849" s="988"/>
      <c r="B849" s="627"/>
      <c r="C849" s="627"/>
      <c r="D849" s="627"/>
      <c r="E849" s="627"/>
      <c r="F849" s="627"/>
      <c r="G849" s="626" t="s">
        <v>35</v>
      </c>
      <c r="H849" s="627" t="str">
        <f>IF(F822="X",0,"SIM")</f>
        <v>SIM</v>
      </c>
      <c r="I849" s="626"/>
      <c r="J849" s="627" t="str">
        <f>IF(F822="X",0,"NÃO")</f>
        <v>NÃO</v>
      </c>
      <c r="K849" s="627"/>
      <c r="L849" s="627"/>
      <c r="M849" s="627"/>
      <c r="N849" s="627"/>
      <c r="O849" s="627"/>
      <c r="P849" s="627"/>
      <c r="Q849" s="719"/>
      <c r="R849" s="627"/>
      <c r="S849" s="627"/>
    </row>
    <row r="850" spans="1:19" ht="6" customHeight="1" x14ac:dyDescent="0.35">
      <c r="A850" s="637"/>
      <c r="B850" s="749"/>
      <c r="C850" s="749"/>
      <c r="D850" s="749"/>
      <c r="E850" s="749"/>
      <c r="F850" s="749"/>
      <c r="G850" s="749"/>
      <c r="H850" s="749"/>
      <c r="I850" s="749"/>
      <c r="J850" s="749"/>
      <c r="K850" s="749"/>
      <c r="L850" s="749"/>
      <c r="M850" s="749"/>
      <c r="N850" s="749"/>
      <c r="O850" s="749"/>
      <c r="P850" s="749"/>
      <c r="Q850" s="748"/>
      <c r="R850" s="627"/>
      <c r="S850" s="627"/>
    </row>
    <row r="851" spans="1:19" ht="6" customHeight="1" x14ac:dyDescent="0.35">
      <c r="A851" s="988"/>
      <c r="B851" s="627"/>
      <c r="C851" s="627"/>
      <c r="D851" s="627"/>
      <c r="E851" s="627"/>
      <c r="F851" s="627"/>
      <c r="G851" s="627"/>
      <c r="H851" s="627"/>
      <c r="I851" s="627"/>
      <c r="J851" s="627"/>
      <c r="K851" s="627"/>
      <c r="L851" s="627"/>
      <c r="M851" s="627"/>
      <c r="N851" s="627"/>
      <c r="O851" s="627"/>
      <c r="P851" s="627"/>
      <c r="Q851" s="719"/>
      <c r="R851" s="627"/>
      <c r="S851" s="627"/>
    </row>
    <row r="852" spans="1:19" ht="18" customHeight="1" x14ac:dyDescent="0.35">
      <c r="A852" s="988"/>
      <c r="B852" s="627"/>
      <c r="C852" s="1330" t="s">
        <v>602</v>
      </c>
      <c r="D852" s="1331"/>
      <c r="E852" s="1331"/>
      <c r="F852" s="1331"/>
      <c r="G852" s="1332"/>
      <c r="H852" s="674" t="s">
        <v>603</v>
      </c>
      <c r="I852" s="674" t="s">
        <v>604</v>
      </c>
      <c r="J852" s="674" t="s">
        <v>605</v>
      </c>
      <c r="K852" s="627"/>
      <c r="L852" s="1492" t="s">
        <v>606</v>
      </c>
      <c r="M852" s="1493"/>
      <c r="N852" s="1493"/>
      <c r="O852" s="1494"/>
      <c r="P852" s="627"/>
      <c r="Q852" s="205">
        <f>IF(H853="X",5,IF(I853="X",10,IF(J853="X",15,0)))</f>
        <v>5</v>
      </c>
      <c r="R852" s="627"/>
      <c r="S852" s="627"/>
    </row>
    <row r="853" spans="1:19" ht="18" customHeight="1" x14ac:dyDescent="0.35">
      <c r="A853" s="988"/>
      <c r="B853" s="627"/>
      <c r="C853" s="1333"/>
      <c r="D853" s="1334"/>
      <c r="E853" s="1334"/>
      <c r="F853" s="1334"/>
      <c r="G853" s="1335"/>
      <c r="H853" s="673" t="s">
        <v>35</v>
      </c>
      <c r="I853" s="673"/>
      <c r="J853" s="673"/>
      <c r="K853" s="627"/>
      <c r="L853" s="1495"/>
      <c r="M853" s="1496"/>
      <c r="N853" s="1496"/>
      <c r="O853" s="1497"/>
      <c r="P853" s="627"/>
      <c r="Q853" s="205">
        <f>IF(H854="X",5,IF(I854="X",10,IF(J854="X",15,0)))</f>
        <v>0</v>
      </c>
      <c r="R853" s="627"/>
      <c r="S853" s="627"/>
    </row>
    <row r="854" spans="1:19" ht="6" customHeight="1" x14ac:dyDescent="0.35">
      <c r="A854" s="988"/>
      <c r="B854" s="627"/>
      <c r="C854" s="627"/>
      <c r="D854" s="627"/>
      <c r="E854" s="627"/>
      <c r="F854" s="627"/>
      <c r="G854" s="627"/>
      <c r="H854" s="627"/>
      <c r="I854" s="627"/>
      <c r="J854" s="627"/>
      <c r="K854" s="627"/>
      <c r="L854" s="627"/>
      <c r="M854" s="627"/>
      <c r="N854" s="627"/>
      <c r="O854" s="627"/>
      <c r="P854" s="627"/>
      <c r="Q854" s="719"/>
      <c r="R854" s="627"/>
      <c r="S854" s="627"/>
    </row>
    <row r="855" spans="1:19" hidden="1" x14ac:dyDescent="0.35">
      <c r="A855" s="636"/>
      <c r="B855" s="652"/>
      <c r="C855" s="652"/>
      <c r="D855" s="652"/>
      <c r="E855" s="652"/>
      <c r="F855" s="652"/>
      <c r="G855" s="652"/>
      <c r="H855" s="652"/>
      <c r="I855" s="652"/>
      <c r="J855" s="652"/>
      <c r="K855" s="652"/>
      <c r="L855" s="652"/>
      <c r="M855" s="652"/>
      <c r="N855" s="652"/>
      <c r="O855" s="652"/>
      <c r="P855" s="652"/>
      <c r="Q855" s="987"/>
      <c r="R855" s="627"/>
      <c r="S855" s="627"/>
    </row>
    <row r="856" spans="1:19" hidden="1" x14ac:dyDescent="0.35">
      <c r="A856" s="988"/>
      <c r="B856" s="627"/>
      <c r="C856" s="1359" t="s">
        <v>607</v>
      </c>
      <c r="D856" s="1360"/>
      <c r="E856" s="1360"/>
      <c r="F856" s="1360"/>
      <c r="G856" s="1360"/>
      <c r="H856" s="1360"/>
      <c r="I856" s="1360"/>
      <c r="J856" s="1360"/>
      <c r="K856" s="1360"/>
      <c r="L856" s="1361"/>
      <c r="M856" s="627"/>
      <c r="N856" s="627"/>
      <c r="O856" s="627"/>
      <c r="P856" s="627"/>
      <c r="Q856" s="719"/>
      <c r="R856" s="627"/>
      <c r="S856" s="627"/>
    </row>
    <row r="857" spans="1:19" hidden="1" x14ac:dyDescent="0.35">
      <c r="A857" s="988"/>
      <c r="B857" s="627"/>
      <c r="C857" s="636" t="str">
        <f>IF(C734=0,0,IF(C858=0,0,"VIAGEM DE CASA X ALOJAMENTO X CASA ( IDA E VOLTA )"))</f>
        <v>VIAGEM DE CASA X ALOJAMENTO X CASA ( IDA E VOLTA )</v>
      </c>
      <c r="D857" s="652"/>
      <c r="E857" s="652"/>
      <c r="F857" s="652"/>
      <c r="G857" s="652"/>
      <c r="H857" s="652"/>
      <c r="I857" s="652"/>
      <c r="J857" s="652"/>
      <c r="K857" s="987"/>
      <c r="L857" s="1349">
        <f ca="1">IF(B808+B810+B812+B813=0,0,VLOOKUP($BJ$8,C808:O813,12,0))</f>
        <v>18</v>
      </c>
      <c r="M857" s="1134" t="str">
        <f>IF(C808="X",O808,IF(C810="X",O810,IF(C812="X",O812,IF(C813="X",O813,0))))</f>
        <v>dias (sem</v>
      </c>
      <c r="N857" s="1010"/>
      <c r="O857" s="1010"/>
      <c r="P857" s="627"/>
      <c r="Q857" s="719"/>
      <c r="R857" s="627"/>
      <c r="S857" s="627"/>
    </row>
    <row r="858" spans="1:19" hidden="1" x14ac:dyDescent="0.35">
      <c r="A858" s="988"/>
      <c r="B858" s="627"/>
      <c r="C858" s="637" t="str">
        <f>IF(B808+B810+B812+B813=0,"VIAGEM CASA X ALOJAMENTO ",VLOOKUP($BJ$8,C808:O813,2,0))</f>
        <v>Carro comum   ( viagem casa x alojamento x casa)     2   veículos</v>
      </c>
      <c r="D858" s="749"/>
      <c r="E858" s="1125"/>
      <c r="F858" s="749"/>
      <c r="G858" s="749"/>
      <c r="H858" s="749" t="str">
        <f ca="1">IF(B808+B810+B812+B813=0,0,VLOOKUP($BJ$8,C808:O813,8,0))</f>
        <v>( percorrendo total= 8000 km)</v>
      </c>
      <c r="I858" s="749"/>
      <c r="J858" s="1126"/>
      <c r="K858" s="748"/>
      <c r="L858" s="1509"/>
      <c r="M858" s="1134" t="str">
        <f>IF(C808="X",O809,IF(C810="X",O811,IF(C812="X","ida e volta juntas",IF(C813="X","ida e volta juntas",0))))</f>
        <v>descanso)</v>
      </c>
      <c r="N858" s="1010"/>
      <c r="O858" s="1010"/>
      <c r="P858" s="627"/>
      <c r="Q858" s="719"/>
      <c r="R858" s="627"/>
      <c r="S858" s="627"/>
    </row>
    <row r="859" spans="1:19" ht="12.75" hidden="1" customHeight="1" x14ac:dyDescent="0.35">
      <c r="A859" s="988"/>
      <c r="B859" s="627"/>
      <c r="C859" s="636" t="str">
        <f>IF(B819=1,D819,IF(B817=1,D817,IF(B821=1,D821,IF(B823=1,D823,IF(B825=1,D825,0)))))</f>
        <v>Carro comum ( viagem alojam. x obra x alojam. )   2 carros</v>
      </c>
      <c r="D859" s="652"/>
      <c r="E859" s="652"/>
      <c r="F859" s="652"/>
      <c r="G859" s="652"/>
      <c r="H859" s="652"/>
      <c r="I859" s="652"/>
      <c r="J859" s="652"/>
      <c r="K859" s="987"/>
      <c r="L859" s="1349">
        <f ca="1">IF(B817+B819+B821+B823+B825=0,0,IF(B817=1,N817,IF(B819=1,N819,IF(B821=1,N821,IF(B823=1,N823,IF(B825=1,N825,0))))))</f>
        <v>202</v>
      </c>
      <c r="M859" s="1351" t="str">
        <f>IF(C817="X",O817,IF(C819="X",O819,IF(C821="X",O821,IF(C823="X",O823,IF(C825="X",O825,0)))))</f>
        <v xml:space="preserve">dias </v>
      </c>
      <c r="N859" s="1460"/>
      <c r="O859" s="1460"/>
      <c r="P859" s="627"/>
      <c r="Q859" s="719"/>
      <c r="R859" s="627"/>
      <c r="S859" s="627"/>
    </row>
    <row r="860" spans="1:19" ht="12.75" hidden="1" customHeight="1" x14ac:dyDescent="0.35">
      <c r="A860" s="988"/>
      <c r="B860" s="627"/>
      <c r="C860" s="637" t="str">
        <f ca="1">IF(B817+B819+B821+B823+B825=0,0,IF(B817=1,D818,IF(B819=1,F820,IF(B821=1,D822,IF(B823=1,F824,IF(B825=1,D826,0))))))</f>
        <v xml:space="preserve">2 veículos fazem 75 viagens de ida com 20 km   e 75 viagens de volta 20 km </v>
      </c>
      <c r="D860" s="749"/>
      <c r="E860" s="1125"/>
      <c r="F860" s="749"/>
      <c r="G860" s="749"/>
      <c r="H860" s="749"/>
      <c r="I860" s="749"/>
      <c r="J860" s="1126"/>
      <c r="K860" s="748"/>
      <c r="L860" s="1509"/>
      <c r="M860" s="1351"/>
      <c r="N860" s="1460"/>
      <c r="O860" s="1460"/>
      <c r="P860" s="627"/>
      <c r="Q860" s="719"/>
      <c r="R860" s="627"/>
      <c r="S860" s="627"/>
    </row>
    <row r="861" spans="1:19" hidden="1" x14ac:dyDescent="0.35">
      <c r="A861" s="988"/>
      <c r="B861" s="627"/>
      <c r="C861" s="633" t="s">
        <v>608</v>
      </c>
      <c r="D861" s="646"/>
      <c r="E861" s="646"/>
      <c r="F861" s="646"/>
      <c r="G861" s="646"/>
      <c r="H861" s="646"/>
      <c r="I861" s="646"/>
      <c r="J861" s="732"/>
      <c r="K861" s="629"/>
      <c r="L861" s="660">
        <f ca="1">SUM(C738:C742)*C734*(L878+L761)</f>
        <v>1181.6999999999998</v>
      </c>
      <c r="M861" s="627" t="s">
        <v>46</v>
      </c>
      <c r="N861" s="627"/>
      <c r="O861" s="627"/>
      <c r="P861" s="627"/>
      <c r="Q861" s="719"/>
      <c r="R861" s="627"/>
      <c r="S861" s="627"/>
    </row>
    <row r="862" spans="1:19" hidden="1" x14ac:dyDescent="0.35">
      <c r="A862" s="988"/>
      <c r="B862" s="627"/>
      <c r="C862" s="633" t="s">
        <v>609</v>
      </c>
      <c r="D862" s="646"/>
      <c r="E862" s="646"/>
      <c r="F862" s="646"/>
      <c r="G862" s="646"/>
      <c r="H862" s="646"/>
      <c r="I862" s="646"/>
      <c r="J862" s="732"/>
      <c r="K862" s="629"/>
      <c r="L862" s="660">
        <f ca="1">IF(I15=0,0,IF(F744=0,(SUM(C738:C742)*C734*(J873*4))+(L878*SUM(C738:C742)*C734),((SUM(C738:C742)-C742)*C734*(J873*4))+(L878*(SUM(C738:C742)-C742)*C734)))</f>
        <v>2117.6999999999998</v>
      </c>
      <c r="M862" s="627" t="s">
        <v>46</v>
      </c>
      <c r="N862" s="627"/>
      <c r="O862" s="627"/>
      <c r="P862" s="627"/>
      <c r="Q862" s="719"/>
      <c r="R862" s="627"/>
      <c r="S862" s="627"/>
    </row>
    <row r="863" spans="1:19" hidden="1" x14ac:dyDescent="0.35">
      <c r="A863" s="988"/>
      <c r="B863" s="627"/>
      <c r="C863" s="633" t="s">
        <v>610</v>
      </c>
      <c r="D863" s="646"/>
      <c r="E863" s="646"/>
      <c r="F863" s="646"/>
      <c r="G863" s="646"/>
      <c r="H863" s="646"/>
      <c r="I863" s="646"/>
      <c r="J863" s="732"/>
      <c r="K863" s="629"/>
      <c r="L863" s="660">
        <f>IF(F744=0,IF(B808=1,ROUNDUP((G769*2*SUM(C738:C742)*C734)/500,0),IF(B810=1,ROUNDUP((G769*2*SUM(C738:C742)*C734)/500,0),IF(B812=1,L857*ROUNDUP((G769*2*ROUNDUP((SUM(C738:C742)*C734/40),0)*ROUNDUP((L878+L761)/H780,0))/500,0),IF(B813=1,L857,0)))),IF(B808=1,ROUNDUP((G769*2*(SUM(C738:C742)-C742)*C734)/500,0),IF(B810=1,ROUNDUP((G769*2*(SUM(C738:C742)-C742)*C734)/500,0),IF(B812=1,L857*ROUNDUP((G769*2*ROUNDUP(((SUM(C738:C742)-C742)*C734/40),0)*ROUNDUP((L878+L761)/H780,0))/500,0),IF(B813=1,L857,0)))))</f>
        <v>47</v>
      </c>
      <c r="M863" s="627" t="s">
        <v>46</v>
      </c>
      <c r="N863" s="627"/>
      <c r="O863" s="627"/>
      <c r="P863" s="627"/>
      <c r="Q863" s="719"/>
      <c r="R863" s="627"/>
      <c r="S863" s="627"/>
    </row>
    <row r="864" spans="1:19" hidden="1" x14ac:dyDescent="0.35">
      <c r="A864" s="988"/>
      <c r="B864" s="627"/>
      <c r="C864" s="633" t="s">
        <v>611</v>
      </c>
      <c r="D864" s="646"/>
      <c r="E864" s="646"/>
      <c r="F864" s="646"/>
      <c r="G864" s="646"/>
      <c r="H864" s="646"/>
      <c r="I864" s="646"/>
      <c r="J864" s="732"/>
      <c r="K864" s="629"/>
      <c r="L864" s="660">
        <f ca="1">SUM(C738:C742)*C734*(L878+L761)</f>
        <v>1181.6999999999998</v>
      </c>
      <c r="M864" s="627" t="s">
        <v>46</v>
      </c>
      <c r="N864" s="627"/>
      <c r="O864" s="627"/>
      <c r="P864" s="627"/>
      <c r="Q864" s="719"/>
      <c r="R864" s="627"/>
      <c r="S864" s="627"/>
    </row>
    <row r="865" spans="1:17" hidden="1" x14ac:dyDescent="0.35">
      <c r="A865" s="988"/>
      <c r="B865" s="627"/>
      <c r="C865" s="633" t="s">
        <v>612</v>
      </c>
      <c r="D865" s="646"/>
      <c r="E865" s="646"/>
      <c r="F865" s="646"/>
      <c r="G865" s="646"/>
      <c r="H865" s="646"/>
      <c r="I865" s="646"/>
      <c r="J865" s="732"/>
      <c r="K865" s="629"/>
      <c r="L865" s="660">
        <f ca="1">IF(F744=0,SUM(C738:C742)*C734*1*2*J873,(SUM(C738:C742)-C742)*C734*1*2)</f>
        <v>468</v>
      </c>
      <c r="M865" s="627" t="s">
        <v>46</v>
      </c>
      <c r="N865" s="627"/>
      <c r="O865" s="627"/>
      <c r="P865" s="627"/>
      <c r="Q865" s="719"/>
    </row>
    <row r="866" spans="1:17" hidden="1" x14ac:dyDescent="0.35">
      <c r="A866" s="988"/>
      <c r="B866" s="627"/>
      <c r="C866" s="633" t="s">
        <v>613</v>
      </c>
      <c r="D866" s="646"/>
      <c r="E866" s="1121">
        <f>IF(F744=0,SUM(C738:C742)*C734,(SUM(C738:C742)-C742)*C734)</f>
        <v>11.7</v>
      </c>
      <c r="F866" s="646" t="s">
        <v>614</v>
      </c>
      <c r="G866" s="646"/>
      <c r="H866" s="646"/>
      <c r="I866" s="646"/>
      <c r="J866" s="646"/>
      <c r="K866" s="629"/>
      <c r="L866" s="660">
        <f ca="1">IF(C784="X",L881,L878+(J873*2))</f>
        <v>141</v>
      </c>
      <c r="M866" s="627" t="s">
        <v>101</v>
      </c>
      <c r="N866" s="627"/>
      <c r="O866" s="627"/>
      <c r="P866" s="627"/>
      <c r="Q866" s="719"/>
    </row>
    <row r="867" spans="1:17" hidden="1" x14ac:dyDescent="0.35">
      <c r="A867" s="988"/>
      <c r="B867" s="627"/>
      <c r="C867" s="633" t="s">
        <v>615</v>
      </c>
      <c r="D867" s="646"/>
      <c r="E867" s="1121">
        <f>IF(F744=0,IF(B812+B813&gt;0,0,SUM(C738:C742)*C734),IF(B812+B813&gt;0,0,(SUM(C738:C742)-C742)*C734))</f>
        <v>11.7</v>
      </c>
      <c r="F867" s="646" t="s">
        <v>614</v>
      </c>
      <c r="G867" s="646"/>
      <c r="H867" s="646"/>
      <c r="I867" s="646"/>
      <c r="J867" s="646"/>
      <c r="K867" s="629"/>
      <c r="L867" s="660">
        <f>IF(B812+B813&gt;0,0,IF(G769&lt;=H790,0,IF(J871&lt;=2,0,((J871/2)-1)*2*SUM(C738:C742)*C734)))</f>
        <v>0</v>
      </c>
      <c r="M867" s="627" t="s">
        <v>46</v>
      </c>
      <c r="N867" s="627"/>
      <c r="O867" s="627"/>
      <c r="P867" s="627"/>
      <c r="Q867" s="719"/>
    </row>
    <row r="868" spans="1:17" hidden="1" x14ac:dyDescent="0.35">
      <c r="A868" s="988"/>
      <c r="B868" s="627"/>
      <c r="C868" s="627"/>
      <c r="D868" s="627"/>
      <c r="E868" s="1022"/>
      <c r="F868" s="627"/>
      <c r="G868" s="627"/>
      <c r="H868" s="627"/>
      <c r="I868" s="627"/>
      <c r="J868" s="627"/>
      <c r="K868" s="627"/>
      <c r="L868" s="761"/>
      <c r="M868" s="627"/>
      <c r="N868" s="627"/>
      <c r="O868" s="627"/>
      <c r="P868" s="627"/>
      <c r="Q868" s="719"/>
    </row>
    <row r="869" spans="1:17" hidden="1" x14ac:dyDescent="0.35">
      <c r="A869" s="988"/>
      <c r="B869" s="627"/>
      <c r="C869" s="627" t="s">
        <v>616</v>
      </c>
      <c r="D869" s="627"/>
      <c r="E869" s="1022"/>
      <c r="F869" s="627"/>
      <c r="G869" s="627"/>
      <c r="H869" s="627"/>
      <c r="I869" s="627"/>
      <c r="J869" s="761">
        <f>IF(G769&lt;100,0,IF(C808="X",(ROUNDUP(ROUNDUP(G769/H790,0)*1,0))*2,IF(C810="X",(ROUNDUP(ROUNDUP(G769/H790,0)*1,0))*2,IF(C812="X",IF(ROUNDUP(I807/1500,0)&lt;=1,2,ROUNDUP(I807/1500,0)),IF(C813="X",IF(ROUNDUP(I807/5000,0)&lt;=1,2,ROUNDUP(I807/5000,0)),0)))))</f>
        <v>2</v>
      </c>
      <c r="K869" s="627"/>
      <c r="L869" s="1136" t="str">
        <f>IF(G769&lt;100,"dias -- distância menor que 100 km","dias -- distância maior que 100 km")</f>
        <v>dias -- distância maior que 100 km</v>
      </c>
      <c r="M869" s="627"/>
      <c r="N869" s="627"/>
      <c r="O869" s="627"/>
      <c r="P869" s="627"/>
      <c r="Q869" s="719"/>
    </row>
    <row r="870" spans="1:17" hidden="1" x14ac:dyDescent="0.35">
      <c r="A870" s="988"/>
      <c r="B870" s="627"/>
      <c r="C870" s="627" t="str">
        <f>IF(H788&lt;=2,"QUANT. DE FOLGAS DE CAMPO COM  "&amp;H788&amp;" dia "&amp;IF(H788=1," dias"&amp;IF(H788=1," (só o domingo)"," (só sábado e domingo)")&amp;"------------------------------------------------------------","-----------------------------------------------------------"),"QUANT. DE FOLGAS DE CAMPO COM  "&amp;H788&amp;" dia "&amp;" sendo "&amp;H788-2&amp; " dia útil + sábado e domingo------------------------------------------------------------")</f>
        <v>QUANT. DE FOLGAS DE CAMPO COM  5 dia  sendo 3 dia útil + sábado e domingo------------------------------------------------------------</v>
      </c>
      <c r="D870" s="627"/>
      <c r="E870" s="1022"/>
      <c r="F870" s="761"/>
      <c r="G870" s="627"/>
      <c r="H870" s="627"/>
      <c r="I870" s="627"/>
      <c r="J870" s="761">
        <f ca="1">IF(H780=0,0,IF((L878+L761)/5*7&lt;=H780,0,(ROUNDDOWN(((L878+L761)/5*7/H780)-1,0))))</f>
        <v>1</v>
      </c>
      <c r="K870" s="627"/>
      <c r="L870" s="627" t="str">
        <f ca="1">IF(J870&gt;0,"folga","sem folga, acabar a obra e ir embora")</f>
        <v>folga</v>
      </c>
      <c r="M870" s="627"/>
      <c r="N870" s="627"/>
      <c r="O870" s="627"/>
      <c r="P870" s="627"/>
      <c r="Q870" s="719"/>
    </row>
    <row r="871" spans="1:17" hidden="1" x14ac:dyDescent="0.35">
      <c r="A871" s="988"/>
      <c r="B871" s="627"/>
      <c r="C871" s="627" t="s">
        <v>617</v>
      </c>
      <c r="D871" s="627"/>
      <c r="E871" s="1022"/>
      <c r="F871" s="627"/>
      <c r="G871" s="627"/>
      <c r="H871" s="627"/>
      <c r="I871" s="627"/>
      <c r="J871" s="761">
        <f ca="1">IF(G769&lt;100,0,IF(C808="X",(ROUNDUP(ROUNDUP(G769/H790,0)*ROUNDDOWN((L878+L761)/H780,0),0))*2,IF(C810="X",(ROUNDUP(ROUNDUP(G769/H790,0)*ROUNDDOWN((L878+L761)/H780,0),0))*2,IF(C812="X",IF(ROUNDUP(I807/1500,0)&lt;=1,2,ROUNDUP(I807/1500,0)),IF(C813="X",IF(ROUNDUP(I807/5000,0)&lt;=1,2,ROUNDUP(I807/5000,0)),0)))))</f>
        <v>2</v>
      </c>
      <c r="K871" s="627"/>
      <c r="L871" s="627" t="str">
        <f>IF(G769&lt;100,"dia -- distância menor que 100 km","distância maior que 100 km")</f>
        <v>distância maior que 100 km</v>
      </c>
      <c r="M871" s="627"/>
      <c r="N871" s="627"/>
      <c r="O871" s="627"/>
      <c r="P871" s="627"/>
      <c r="Q871" s="719"/>
    </row>
    <row r="872" spans="1:17" hidden="1" x14ac:dyDescent="0.35">
      <c r="A872" s="988"/>
      <c r="B872" s="627"/>
      <c r="C872" s="627" t="s">
        <v>618</v>
      </c>
      <c r="D872" s="627"/>
      <c r="E872" s="627"/>
      <c r="F872" s="627"/>
      <c r="G872" s="627"/>
      <c r="H872" s="627"/>
      <c r="I872" s="627"/>
      <c r="J872" s="761">
        <f ca="1">ROUNDUP((L878+L761)/5,0)</f>
        <v>21</v>
      </c>
      <c r="K872" s="627"/>
      <c r="L872" s="627" t="s">
        <v>619</v>
      </c>
      <c r="M872" s="627"/>
      <c r="N872" s="627"/>
      <c r="O872" s="627"/>
      <c r="P872" s="627"/>
      <c r="Q872" s="719"/>
    </row>
    <row r="873" spans="1:17" hidden="1" x14ac:dyDescent="0.35">
      <c r="A873" s="988"/>
      <c r="B873" s="627"/>
      <c r="C873" s="627" t="s">
        <v>620</v>
      </c>
      <c r="D873" s="627"/>
      <c r="E873" s="1022"/>
      <c r="F873" s="627"/>
      <c r="G873" s="627"/>
      <c r="H873" s="627"/>
      <c r="I873" s="627"/>
      <c r="J873" s="761">
        <f ca="1">IF(I15=0,0,ROUNDUP((L878+L761)/5,0)-J874)</f>
        <v>20</v>
      </c>
      <c r="K873" s="627"/>
      <c r="L873" s="627" t="s">
        <v>619</v>
      </c>
      <c r="M873" s="627"/>
      <c r="N873" s="627"/>
      <c r="O873" s="627"/>
      <c r="P873" s="627"/>
      <c r="Q873" s="719"/>
    </row>
    <row r="874" spans="1:17" hidden="1" x14ac:dyDescent="0.35">
      <c r="A874" s="988"/>
      <c r="B874" s="627"/>
      <c r="C874" s="627" t="s">
        <v>621</v>
      </c>
      <c r="D874" s="627"/>
      <c r="E874" s="1022"/>
      <c r="F874" s="627"/>
      <c r="G874" s="627"/>
      <c r="H874" s="627"/>
      <c r="I874" s="627"/>
      <c r="J874" s="761">
        <f ca="1">IF(H780=0,0,IF(H780&gt;L881,0,(ROUNDDOWN(((L878+L761)/5*7/H780)-1,0))))</f>
        <v>1</v>
      </c>
      <c r="K874" s="627"/>
      <c r="L874" s="627" t="str">
        <f ca="1">IF(J874&gt;0,"finais de semana","sem folga, acabar a obra e ir embora")</f>
        <v>finais de semana</v>
      </c>
      <c r="M874" s="627"/>
      <c r="N874" s="627"/>
      <c r="O874" s="627"/>
      <c r="P874" s="627"/>
      <c r="Q874" s="719"/>
    </row>
    <row r="875" spans="1:17" hidden="1" x14ac:dyDescent="0.35">
      <c r="A875" s="988"/>
      <c r="B875" s="627"/>
      <c r="C875" s="627" t="s">
        <v>622</v>
      </c>
      <c r="D875" s="627"/>
      <c r="E875" s="1022"/>
      <c r="F875" s="627"/>
      <c r="G875" s="627"/>
      <c r="H875" s="627"/>
      <c r="I875" s="627"/>
      <c r="J875" s="761">
        <f ca="1">(J870*H788)+(J872*2)+L761</f>
        <v>47</v>
      </c>
      <c r="K875" s="627"/>
      <c r="L875" s="627" t="str">
        <f ca="1">IF(J875&lt;=1,"dia","dias")</f>
        <v>dias</v>
      </c>
      <c r="M875" s="627"/>
      <c r="N875" s="627"/>
      <c r="O875" s="627"/>
      <c r="P875" s="627"/>
      <c r="Q875" s="719"/>
    </row>
    <row r="876" spans="1:17" hidden="1" x14ac:dyDescent="0.35">
      <c r="A876" s="988"/>
      <c r="B876" s="627"/>
      <c r="C876" s="627" t="s">
        <v>623</v>
      </c>
      <c r="D876" s="627"/>
      <c r="E876" s="1022"/>
      <c r="F876" s="627"/>
      <c r="G876" s="627"/>
      <c r="H876" s="627"/>
      <c r="I876" s="627"/>
      <c r="J876" s="761">
        <f ca="1">(J870*H788)+(J872*2)+L761+J869</f>
        <v>49</v>
      </c>
      <c r="K876" s="627"/>
      <c r="L876" s="627" t="str">
        <f ca="1">IF(J876&lt;=1,"dia","dias")</f>
        <v>dias</v>
      </c>
      <c r="M876" s="627"/>
      <c r="N876" s="627"/>
      <c r="O876" s="627"/>
      <c r="P876" s="627"/>
      <c r="Q876" s="719"/>
    </row>
    <row r="877" spans="1:17" hidden="1" x14ac:dyDescent="0.35">
      <c r="A877" s="988"/>
      <c r="B877" s="627"/>
      <c r="C877" s="627"/>
      <c r="D877" s="627"/>
      <c r="E877" s="627"/>
      <c r="F877" s="627"/>
      <c r="G877" s="627"/>
      <c r="H877" s="627"/>
      <c r="I877" s="627"/>
      <c r="J877" s="627"/>
      <c r="K877" s="627"/>
      <c r="L877" s="627"/>
      <c r="M877" s="627"/>
      <c r="N877" s="627"/>
      <c r="O877" s="627"/>
      <c r="P877" s="627"/>
      <c r="Q877" s="719"/>
    </row>
    <row r="878" spans="1:17" ht="13.15" hidden="1" x14ac:dyDescent="0.4">
      <c r="A878" s="988"/>
      <c r="B878" s="627"/>
      <c r="C878" s="410" t="s">
        <v>624</v>
      </c>
      <c r="D878" s="411"/>
      <c r="E878" s="411"/>
      <c r="F878" s="411"/>
      <c r="G878" s="411"/>
      <c r="H878" s="411"/>
      <c r="I878" s="411"/>
      <c r="J878" s="646"/>
      <c r="K878" s="646"/>
      <c r="L878" s="36">
        <f ca="1">CÁLCULOS!L531</f>
        <v>101</v>
      </c>
      <c r="M878" s="412" t="str">
        <f ca="1">IF(L878&lt;=1,"dia","dias")</f>
        <v>dias</v>
      </c>
      <c r="N878" s="761"/>
      <c r="O878" s="627"/>
      <c r="P878" s="627"/>
      <c r="Q878" s="719"/>
    </row>
    <row r="879" spans="1:17" ht="14.25" hidden="1" customHeight="1" x14ac:dyDescent="0.4">
      <c r="A879" s="988"/>
      <c r="B879" s="627"/>
      <c r="C879" s="627" t="str">
        <f ca="1">CÁLCULOS!C532</f>
        <v>REDUÇÃO do PRAZO DEVIDO aos TRABALHOS em HORAS EXTRAS= 18 dias:  ( COM HORAS EXTRAS= 92 dias )</v>
      </c>
      <c r="D879" s="420"/>
      <c r="E879" s="420"/>
      <c r="F879" s="420"/>
      <c r="G879" s="420"/>
      <c r="H879" s="420"/>
      <c r="I879" s="420"/>
      <c r="J879" s="627"/>
      <c r="K879" s="627"/>
      <c r="L879" s="421"/>
      <c r="M879" s="420"/>
      <c r="N879" s="627"/>
      <c r="O879" s="627"/>
      <c r="P879" s="627"/>
      <c r="Q879" s="719"/>
    </row>
    <row r="880" spans="1:17" hidden="1" x14ac:dyDescent="0.35">
      <c r="A880" s="988"/>
      <c r="B880" s="627"/>
      <c r="C880" s="627"/>
      <c r="D880" s="627"/>
      <c r="E880" s="1022"/>
      <c r="F880" s="627"/>
      <c r="G880" s="627"/>
      <c r="H880" s="627"/>
      <c r="I880" s="627"/>
      <c r="J880" s="627"/>
      <c r="K880" s="627"/>
      <c r="L880" s="761"/>
      <c r="M880" s="627"/>
      <c r="N880" s="627"/>
      <c r="O880" s="761"/>
      <c r="P880" s="627"/>
      <c r="Q880" s="719"/>
    </row>
    <row r="881" spans="1:17" ht="13.15" hidden="1" x14ac:dyDescent="0.4">
      <c r="A881" s="988"/>
      <c r="B881" s="627"/>
      <c r="C881" s="410" t="s">
        <v>625</v>
      </c>
      <c r="D881" s="411"/>
      <c r="E881" s="411"/>
      <c r="F881" s="411"/>
      <c r="G881" s="411"/>
      <c r="H881" s="411"/>
      <c r="I881" s="411"/>
      <c r="J881" s="646"/>
      <c r="K881" s="646"/>
      <c r="L881" s="36">
        <f ca="1">CÁLCULOS!L534</f>
        <v>107</v>
      </c>
      <c r="M881" s="412" t="str">
        <f ca="1">IF(L881&lt;=1,"dia","dias")</f>
        <v>dias</v>
      </c>
      <c r="N881" s="627"/>
      <c r="O881" s="627"/>
      <c r="P881" s="627"/>
      <c r="Q881" s="719"/>
    </row>
    <row r="882" spans="1:17" ht="4.5" hidden="1" customHeight="1" x14ac:dyDescent="0.4">
      <c r="A882" s="988"/>
      <c r="B882" s="627"/>
      <c r="C882" s="420"/>
      <c r="D882" s="420"/>
      <c r="E882" s="420"/>
      <c r="F882" s="420"/>
      <c r="G882" s="420"/>
      <c r="H882" s="420"/>
      <c r="I882" s="420"/>
      <c r="J882" s="627"/>
      <c r="K882" s="627"/>
      <c r="L882" s="421"/>
      <c r="M882" s="420"/>
      <c r="N882" s="627"/>
      <c r="O882" s="627"/>
      <c r="P882" s="627"/>
      <c r="Q882" s="719"/>
    </row>
    <row r="883" spans="1:17" ht="13.15" hidden="1" x14ac:dyDescent="0.4">
      <c r="A883" s="988"/>
      <c r="B883" s="627"/>
      <c r="C883" s="410" t="s">
        <v>626</v>
      </c>
      <c r="D883" s="411"/>
      <c r="E883" s="411"/>
      <c r="F883" s="411"/>
      <c r="G883" s="411"/>
      <c r="H883" s="411"/>
      <c r="I883" s="411"/>
      <c r="J883" s="646"/>
      <c r="K883" s="646"/>
      <c r="L883" s="36">
        <f ca="1">CÁLCULOS!L536+SUM(D401:D403)+SUM(D405:D410)</f>
        <v>114</v>
      </c>
      <c r="M883" s="412" t="str">
        <f ca="1">IF(L883&lt;=1,"dia","dias")</f>
        <v>dias</v>
      </c>
      <c r="N883" s="627"/>
      <c r="O883" s="627"/>
      <c r="P883" s="627"/>
      <c r="Q883" s="719"/>
    </row>
    <row r="884" spans="1:17" ht="13.15" hidden="1" x14ac:dyDescent="0.4">
      <c r="A884" s="988"/>
      <c r="B884" s="627"/>
      <c r="C884" s="420"/>
      <c r="D884" s="420"/>
      <c r="E884" s="420"/>
      <c r="F884" s="420"/>
      <c r="G884" s="420"/>
      <c r="H884" s="420"/>
      <c r="I884" s="420"/>
      <c r="J884" s="627"/>
      <c r="K884" s="627"/>
      <c r="L884" s="421"/>
      <c r="M884" s="420"/>
      <c r="N884" s="627"/>
      <c r="O884" s="627"/>
      <c r="P884" s="627"/>
      <c r="Q884" s="719"/>
    </row>
    <row r="885" spans="1:17" ht="13.15" hidden="1" x14ac:dyDescent="0.4">
      <c r="A885" s="988"/>
      <c r="B885" s="627"/>
      <c r="C885" s="410" t="s">
        <v>627</v>
      </c>
      <c r="D885" s="411"/>
      <c r="E885" s="411"/>
      <c r="F885" s="411"/>
      <c r="G885" s="411"/>
      <c r="H885" s="411"/>
      <c r="I885" s="411"/>
      <c r="J885" s="646"/>
      <c r="K885" s="646"/>
      <c r="L885" s="36">
        <f ca="1">CÁLCULOS!L536</f>
        <v>114</v>
      </c>
      <c r="M885" s="412" t="str">
        <f ca="1">IF(L885&lt;=1,"dia","dias")</f>
        <v>dias</v>
      </c>
      <c r="N885" s="627"/>
      <c r="O885" s="1137"/>
      <c r="P885" s="627"/>
      <c r="Q885" s="719"/>
    </row>
    <row r="886" spans="1:17" hidden="1" x14ac:dyDescent="0.35">
      <c r="A886" s="988"/>
      <c r="B886" s="627"/>
      <c r="C886" s="627"/>
      <c r="D886" s="627"/>
      <c r="E886" s="1022"/>
      <c r="F886" s="627"/>
      <c r="G886" s="627"/>
      <c r="H886" s="627"/>
      <c r="I886" s="627"/>
      <c r="J886" s="627"/>
      <c r="K886" s="627"/>
      <c r="L886" s="761"/>
      <c r="M886" s="627"/>
      <c r="N886" s="627"/>
      <c r="O886" s="627"/>
      <c r="P886" s="627"/>
      <c r="Q886" s="719"/>
    </row>
    <row r="887" spans="1:17" x14ac:dyDescent="0.35">
      <c r="A887" s="646"/>
      <c r="B887" s="646"/>
      <c r="C887" s="646"/>
      <c r="D887" s="646"/>
      <c r="E887" s="1121"/>
      <c r="F887" s="646"/>
      <c r="G887" s="646"/>
      <c r="H887" s="646"/>
      <c r="I887" s="646"/>
      <c r="J887" s="646"/>
      <c r="K887" s="646"/>
      <c r="L887" s="1119"/>
      <c r="M887" s="646"/>
      <c r="N887" s="646"/>
      <c r="O887" s="646"/>
      <c r="P887" s="646"/>
      <c r="Q887" s="646"/>
    </row>
    <row r="888" spans="1:17" ht="13.15" thickBot="1" x14ac:dyDescent="0.4">
      <c r="A888" s="636"/>
      <c r="B888" s="652"/>
      <c r="C888" s="652"/>
      <c r="D888" s="652"/>
      <c r="E888" s="652"/>
      <c r="F888" s="652"/>
      <c r="G888" s="652"/>
      <c r="H888" s="652"/>
      <c r="I888" s="652"/>
      <c r="J888" s="652"/>
      <c r="K888" s="652"/>
      <c r="L888" s="652"/>
      <c r="M888" s="652"/>
      <c r="N888" s="652"/>
      <c r="O888" s="652"/>
      <c r="P888" s="652"/>
      <c r="Q888" s="987"/>
    </row>
    <row r="889" spans="1:17" ht="13.15" hidden="1" thickBot="1" x14ac:dyDescent="0.4">
      <c r="A889" s="988"/>
      <c r="B889" s="627"/>
      <c r="C889" s="1138" t="s">
        <v>628</v>
      </c>
      <c r="D889" s="1139"/>
      <c r="E889" s="1139"/>
      <c r="F889" s="1139"/>
      <c r="G889" s="1139"/>
      <c r="H889" s="1139"/>
      <c r="I889" s="1139"/>
      <c r="J889" s="1139"/>
      <c r="K889" s="1139"/>
      <c r="L889" s="1140" t="s">
        <v>275</v>
      </c>
      <c r="M889" s="627"/>
      <c r="N889" s="627"/>
      <c r="O889" s="627"/>
      <c r="P889" s="627"/>
      <c r="Q889" s="719"/>
    </row>
    <row r="890" spans="1:17" ht="13.15" hidden="1" thickBot="1" x14ac:dyDescent="0.4">
      <c r="A890" s="988"/>
      <c r="B890" s="627"/>
      <c r="C890" s="1039" t="s">
        <v>105</v>
      </c>
      <c r="D890" s="1031"/>
      <c r="E890" s="1031"/>
      <c r="F890" s="1031"/>
      <c r="G890" s="1031"/>
      <c r="H890" s="1031"/>
      <c r="I890" s="1031"/>
      <c r="J890" s="1032"/>
      <c r="K890" s="1033"/>
      <c r="L890" s="1040">
        <f ca="1">ROUND(SUM($C$252:$C$257)*$C$249/60*($J$290),0)</f>
        <v>9</v>
      </c>
      <c r="M890" s="1035" t="s">
        <v>46</v>
      </c>
      <c r="N890" s="627"/>
      <c r="O890" s="627"/>
      <c r="P890" s="627"/>
      <c r="Q890" s="719"/>
    </row>
    <row r="891" spans="1:17" ht="13.15" hidden="1" thickBot="1" x14ac:dyDescent="0.4">
      <c r="A891" s="988"/>
      <c r="B891" s="627"/>
      <c r="C891" s="1039" t="s">
        <v>106</v>
      </c>
      <c r="D891" s="1031"/>
      <c r="E891" s="1031"/>
      <c r="F891" s="1031"/>
      <c r="G891" s="1031"/>
      <c r="H891" s="1031"/>
      <c r="I891" s="1031"/>
      <c r="J891" s="1032"/>
      <c r="K891" s="1033"/>
      <c r="L891" s="1040">
        <f ca="1">ROUND(SUM($C$252:$C$257)*$C$249/60*($J$290),0)</f>
        <v>9</v>
      </c>
      <c r="M891" s="1035" t="s">
        <v>46</v>
      </c>
      <c r="N891" s="627"/>
      <c r="O891" s="627"/>
      <c r="P891" s="627"/>
      <c r="Q891" s="719"/>
    </row>
    <row r="892" spans="1:17" ht="13.15" hidden="1" thickBot="1" x14ac:dyDescent="0.4">
      <c r="A892" s="988"/>
      <c r="B892" s="627"/>
      <c r="C892" s="1039" t="s">
        <v>107</v>
      </c>
      <c r="D892" s="1031"/>
      <c r="E892" s="1031"/>
      <c r="F892" s="1031"/>
      <c r="G892" s="1031"/>
      <c r="H892" s="1031"/>
      <c r="I892" s="1031"/>
      <c r="J892" s="1032"/>
      <c r="K892" s="1033"/>
      <c r="L892" s="1040">
        <f ca="1">ROUND(SUM($C$252:$C$257)*$C$249/50*($J$290),0)</f>
        <v>10</v>
      </c>
      <c r="M892" s="1035" t="s">
        <v>46</v>
      </c>
      <c r="N892" s="627"/>
      <c r="O892" s="627"/>
      <c r="P892" s="627"/>
      <c r="Q892" s="719"/>
    </row>
    <row r="893" spans="1:17" ht="13.15" hidden="1" thickBot="1" x14ac:dyDescent="0.4">
      <c r="A893" s="988"/>
      <c r="B893" s="627"/>
      <c r="C893" s="1039" t="s">
        <v>108</v>
      </c>
      <c r="D893" s="1031"/>
      <c r="E893" s="1031"/>
      <c r="F893" s="1031"/>
      <c r="G893" s="1031"/>
      <c r="H893" s="1031"/>
      <c r="I893" s="1031"/>
      <c r="J893" s="1032"/>
      <c r="K893" s="1033"/>
      <c r="L893" s="1040">
        <f ca="1">ROUND(SUM($C$252:$C$257)*$C$249/30*($J$290),0)</f>
        <v>17</v>
      </c>
      <c r="M893" s="1035" t="s">
        <v>46</v>
      </c>
      <c r="N893" s="627"/>
      <c r="O893" s="627"/>
      <c r="P893" s="627"/>
      <c r="Q893" s="719"/>
    </row>
    <row r="894" spans="1:17" ht="13.15" hidden="1" thickBot="1" x14ac:dyDescent="0.4">
      <c r="A894" s="988"/>
      <c r="B894" s="627"/>
      <c r="C894" s="1039" t="s">
        <v>109</v>
      </c>
      <c r="D894" s="1031"/>
      <c r="E894" s="1031"/>
      <c r="F894" s="1031"/>
      <c r="G894" s="1031"/>
      <c r="H894" s="1031"/>
      <c r="I894" s="1031"/>
      <c r="J894" s="1032"/>
      <c r="K894" s="1033"/>
      <c r="L894" s="1040">
        <f ca="1">ROUND(SUM($C$252:$C$257)*$C$249/120*($J$290),0)</f>
        <v>4</v>
      </c>
      <c r="M894" s="1035" t="s">
        <v>46</v>
      </c>
      <c r="N894" s="627"/>
      <c r="O894" s="627"/>
      <c r="P894" s="627"/>
      <c r="Q894" s="719"/>
    </row>
    <row r="895" spans="1:17" ht="13.15" hidden="1" thickBot="1" x14ac:dyDescent="0.4">
      <c r="A895" s="988"/>
      <c r="B895" s="627"/>
      <c r="C895" s="1039" t="s">
        <v>110</v>
      </c>
      <c r="D895" s="1031"/>
      <c r="E895" s="1031"/>
      <c r="F895" s="1031"/>
      <c r="G895" s="1031"/>
      <c r="H895" s="1031"/>
      <c r="I895" s="1031"/>
      <c r="J895" s="1032"/>
      <c r="K895" s="1033"/>
      <c r="L895" s="1040">
        <f ca="1">ROUND(SUM($C$252:$C$257)*$C$249/10*($J$290),0)</f>
        <v>51</v>
      </c>
      <c r="M895" s="1035" t="s">
        <v>46</v>
      </c>
      <c r="N895" s="627"/>
      <c r="O895" s="627"/>
      <c r="P895" s="627"/>
      <c r="Q895" s="719"/>
    </row>
    <row r="896" spans="1:17" ht="13.15" hidden="1" thickBot="1" x14ac:dyDescent="0.4">
      <c r="A896" s="988"/>
      <c r="B896" s="627"/>
      <c r="C896" s="1039" t="s">
        <v>111</v>
      </c>
      <c r="D896" s="1031"/>
      <c r="E896" s="1031"/>
      <c r="F896" s="1031"/>
      <c r="G896" s="1031"/>
      <c r="H896" s="1031"/>
      <c r="I896" s="1031"/>
      <c r="J896" s="1032"/>
      <c r="K896" s="1033"/>
      <c r="L896" s="1040">
        <f ca="1">ROUND(SUM($C$252:$C$257)*$C$249/10*($J$290),0)</f>
        <v>51</v>
      </c>
      <c r="M896" s="1035" t="s">
        <v>46</v>
      </c>
      <c r="N896" s="627"/>
      <c r="O896" s="627"/>
      <c r="P896" s="627"/>
      <c r="Q896" s="719"/>
    </row>
    <row r="897" spans="1:62" ht="13.15" hidden="1" thickBot="1" x14ac:dyDescent="0.4">
      <c r="A897" s="988"/>
      <c r="B897" s="627"/>
      <c r="C897" s="1039" t="s">
        <v>112</v>
      </c>
      <c r="D897" s="1031"/>
      <c r="E897" s="1031"/>
      <c r="F897" s="1031"/>
      <c r="G897" s="1031"/>
      <c r="H897" s="1031"/>
      <c r="I897" s="1031"/>
      <c r="J897" s="1032"/>
      <c r="K897" s="1033"/>
      <c r="L897" s="1040">
        <f ca="1">ROUND(SUM($C$252:$C$257)*$C$249/15*($J$290),0)</f>
        <v>34</v>
      </c>
      <c r="M897" s="1035" t="s">
        <v>46</v>
      </c>
      <c r="N897" s="627"/>
      <c r="O897" s="627"/>
      <c r="P897" s="627"/>
      <c r="Q897" s="719"/>
      <c r="R897" s="627"/>
      <c r="S897" s="627"/>
      <c r="T897" s="627"/>
      <c r="U897" s="627"/>
      <c r="V897" s="627"/>
      <c r="W897" s="627"/>
      <c r="X897" s="627"/>
      <c r="Y897" s="627"/>
      <c r="Z897" s="627"/>
      <c r="AA897" s="627"/>
      <c r="AB897" s="627"/>
      <c r="AC897" s="627"/>
      <c r="AD897" s="627"/>
      <c r="AE897" s="627"/>
      <c r="AF897" s="627"/>
      <c r="AG897" s="627"/>
      <c r="AH897" s="627"/>
      <c r="AI897" s="627"/>
      <c r="AJ897" s="627"/>
      <c r="AK897" s="627"/>
      <c r="AL897" s="627"/>
      <c r="AM897" s="627"/>
      <c r="AN897" s="627"/>
      <c r="AO897" s="627"/>
      <c r="AP897" s="627"/>
      <c r="AQ897" s="627"/>
      <c r="AR897" s="627"/>
      <c r="AS897" s="627"/>
      <c r="AT897" s="627"/>
      <c r="AU897" s="627"/>
      <c r="AV897" s="627"/>
      <c r="AW897" s="627"/>
      <c r="AX897" s="627"/>
      <c r="AY897" s="627"/>
      <c r="AZ897" s="627"/>
      <c r="BA897" s="627"/>
      <c r="BB897" s="627"/>
      <c r="BC897" s="627"/>
      <c r="BD897" s="627"/>
      <c r="BE897" s="627"/>
      <c r="BF897" s="627"/>
      <c r="BG897" s="627"/>
      <c r="BH897" s="627"/>
      <c r="BI897" s="627"/>
      <c r="BJ897" s="627"/>
    </row>
    <row r="898" spans="1:62" ht="13.15" hidden="1" thickBot="1" x14ac:dyDescent="0.4">
      <c r="A898" s="988"/>
      <c r="B898" s="627"/>
      <c r="C898" s="1039" t="s">
        <v>113</v>
      </c>
      <c r="D898" s="1031"/>
      <c r="E898" s="1031"/>
      <c r="F898" s="1031"/>
      <c r="G898" s="1031"/>
      <c r="H898" s="1031"/>
      <c r="I898" s="1031"/>
      <c r="J898" s="1032"/>
      <c r="K898" s="1033"/>
      <c r="L898" s="1040">
        <f ca="1">ROUND(SUM($C$252:$C$257)*$C$249/15*($J$290),0)</f>
        <v>34</v>
      </c>
      <c r="M898" s="1035" t="s">
        <v>46</v>
      </c>
      <c r="N898" s="627"/>
      <c r="O898" s="627"/>
      <c r="P898" s="627"/>
      <c r="Q898" s="719"/>
      <c r="R898" s="627"/>
      <c r="S898" s="627"/>
      <c r="T898" s="627"/>
      <c r="U898" s="627"/>
      <c r="V898" s="627"/>
      <c r="W898" s="627"/>
      <c r="X898" s="627"/>
      <c r="Y898" s="627"/>
      <c r="Z898" s="627"/>
      <c r="AA898" s="627"/>
      <c r="AB898" s="627"/>
      <c r="AC898" s="627"/>
      <c r="AD898" s="627"/>
      <c r="AE898" s="627"/>
      <c r="AF898" s="627"/>
      <c r="AG898" s="627"/>
      <c r="AH898" s="627"/>
      <c r="AI898" s="627"/>
      <c r="AJ898" s="627"/>
      <c r="AK898" s="627"/>
      <c r="AL898" s="627"/>
      <c r="AM898" s="627"/>
      <c r="AN898" s="627"/>
      <c r="AO898" s="627"/>
      <c r="AP898" s="627"/>
      <c r="AQ898" s="627"/>
      <c r="AR898" s="627"/>
      <c r="AS898" s="627"/>
      <c r="AT898" s="627"/>
      <c r="AU898" s="627"/>
      <c r="AV898" s="627"/>
      <c r="AW898" s="627"/>
      <c r="AX898" s="627"/>
      <c r="AY898" s="627"/>
      <c r="AZ898" s="627"/>
      <c r="BA898" s="627"/>
      <c r="BB898" s="627"/>
      <c r="BC898" s="627"/>
      <c r="BD898" s="627"/>
      <c r="BE898" s="627"/>
      <c r="BF898" s="627"/>
      <c r="BG898" s="627"/>
      <c r="BH898" s="627"/>
      <c r="BI898" s="627"/>
      <c r="BJ898" s="627"/>
    </row>
    <row r="899" spans="1:62" ht="13.15" hidden="1" thickBot="1" x14ac:dyDescent="0.4">
      <c r="A899" s="988"/>
      <c r="B899" s="627"/>
      <c r="C899" s="1039" t="s">
        <v>114</v>
      </c>
      <c r="D899" s="1031"/>
      <c r="E899" s="1031"/>
      <c r="F899" s="1031"/>
      <c r="G899" s="1031"/>
      <c r="H899" s="1031"/>
      <c r="I899" s="1031"/>
      <c r="J899" s="1032"/>
      <c r="K899" s="1033"/>
      <c r="L899" s="1040">
        <f ca="1">ROUND(SUM($C$252:$C$257)*$C$249/15*($J$290),0)</f>
        <v>34</v>
      </c>
      <c r="M899" s="1035" t="s">
        <v>46</v>
      </c>
      <c r="N899" s="627"/>
      <c r="O899" s="627"/>
      <c r="P899" s="627"/>
      <c r="Q899" s="719"/>
      <c r="R899" s="627"/>
      <c r="S899" s="627"/>
      <c r="T899" s="627"/>
      <c r="U899" s="627"/>
      <c r="V899" s="627"/>
      <c r="W899" s="627"/>
      <c r="X899" s="627"/>
      <c r="Y899" s="627"/>
      <c r="Z899" s="627"/>
      <c r="AA899" s="627"/>
      <c r="AB899" s="627"/>
      <c r="AC899" s="627"/>
      <c r="AD899" s="627"/>
      <c r="AE899" s="627"/>
      <c r="AF899" s="627"/>
      <c r="AG899" s="627"/>
      <c r="AH899" s="627"/>
      <c r="AI899" s="627"/>
      <c r="AJ899" s="627"/>
      <c r="AK899" s="627"/>
      <c r="AL899" s="627"/>
      <c r="AM899" s="627"/>
      <c r="AN899" s="627"/>
      <c r="AO899" s="627"/>
      <c r="AP899" s="627"/>
      <c r="AQ899" s="627"/>
      <c r="AR899" s="627"/>
      <c r="AS899" s="627"/>
      <c r="AT899" s="627"/>
      <c r="AU899" s="627"/>
      <c r="AV899" s="627"/>
      <c r="AW899" s="627"/>
      <c r="AX899" s="627"/>
      <c r="AY899" s="627"/>
      <c r="AZ899" s="627"/>
      <c r="BA899" s="627"/>
      <c r="BB899" s="627"/>
      <c r="BC899" s="627"/>
      <c r="BD899" s="627"/>
      <c r="BE899" s="627"/>
      <c r="BF899" s="627"/>
      <c r="BG899" s="627"/>
      <c r="BH899" s="627"/>
      <c r="BI899" s="627"/>
      <c r="BJ899" s="627"/>
    </row>
    <row r="900" spans="1:62" ht="13.15" hidden="1" thickBot="1" x14ac:dyDescent="0.4">
      <c r="A900" s="988"/>
      <c r="B900" s="627"/>
      <c r="C900" s="1039" t="s">
        <v>115</v>
      </c>
      <c r="D900" s="1031"/>
      <c r="E900" s="1031"/>
      <c r="F900" s="1031"/>
      <c r="G900" s="1031"/>
      <c r="H900" s="1031"/>
      <c r="I900" s="1031"/>
      <c r="J900" s="1032"/>
      <c r="K900" s="1033"/>
      <c r="L900" s="1040">
        <f ca="1">ROUND(SUM($C$252:$C$257)*$C$249/30*($J$290),0)</f>
        <v>17</v>
      </c>
      <c r="M900" s="1035" t="s">
        <v>46</v>
      </c>
      <c r="N900" s="627"/>
      <c r="O900" s="627"/>
      <c r="P900" s="627"/>
      <c r="Q900" s="719"/>
      <c r="R900" s="627"/>
      <c r="S900" s="627"/>
      <c r="T900" s="627"/>
      <c r="U900" s="627"/>
      <c r="V900" s="627"/>
      <c r="W900" s="627"/>
      <c r="X900" s="627"/>
      <c r="Y900" s="627"/>
      <c r="Z900" s="627"/>
      <c r="AA900" s="627"/>
      <c r="AB900" s="627"/>
      <c r="AC900" s="627"/>
      <c r="AD900" s="627"/>
      <c r="AE900" s="627"/>
      <c r="AF900" s="627"/>
      <c r="AG900" s="627"/>
      <c r="AH900" s="627"/>
      <c r="AI900" s="627"/>
      <c r="AJ900" s="627"/>
      <c r="AK900" s="627"/>
      <c r="AL900" s="627"/>
      <c r="AM900" s="627"/>
      <c r="AN900" s="627"/>
      <c r="AO900" s="627"/>
      <c r="AP900" s="627"/>
      <c r="AQ900" s="627"/>
      <c r="AR900" s="627"/>
      <c r="AS900" s="627"/>
      <c r="AT900" s="627"/>
      <c r="AU900" s="627"/>
      <c r="AV900" s="627"/>
      <c r="AW900" s="627"/>
      <c r="AX900" s="627"/>
      <c r="AY900" s="627"/>
      <c r="AZ900" s="627"/>
      <c r="BA900" s="627"/>
      <c r="BB900" s="627"/>
      <c r="BC900" s="627"/>
      <c r="BD900" s="627"/>
      <c r="BE900" s="627"/>
      <c r="BF900" s="627"/>
      <c r="BG900" s="627"/>
      <c r="BH900" s="627"/>
      <c r="BI900" s="627"/>
      <c r="BJ900" s="627"/>
    </row>
    <row r="901" spans="1:62" ht="13.15" hidden="1" thickBot="1" x14ac:dyDescent="0.4">
      <c r="A901" s="988"/>
      <c r="B901" s="627"/>
      <c r="C901" s="1039" t="s">
        <v>116</v>
      </c>
      <c r="D901" s="1031"/>
      <c r="E901" s="1031"/>
      <c r="F901" s="1031"/>
      <c r="G901" s="1031"/>
      <c r="H901" s="1031"/>
      <c r="I901" s="1031"/>
      <c r="J901" s="1032"/>
      <c r="K901" s="1033"/>
      <c r="L901" s="1040">
        <f ca="1">ROUND(SUM($C$252:$C$257)*$C$249/5*($J$290),0)</f>
        <v>103</v>
      </c>
      <c r="M901" s="1035" t="s">
        <v>46</v>
      </c>
      <c r="N901" s="627"/>
      <c r="O901" s="627"/>
      <c r="P901" s="627"/>
      <c r="Q901" s="719"/>
      <c r="R901" s="627"/>
      <c r="S901" s="627"/>
      <c r="T901" s="627"/>
      <c r="U901" s="627"/>
      <c r="V901" s="627"/>
      <c r="W901" s="627"/>
      <c r="X901" s="627"/>
      <c r="Y901" s="627"/>
      <c r="Z901" s="627"/>
      <c r="AA901" s="627"/>
      <c r="AB901" s="627"/>
      <c r="AC901" s="627"/>
      <c r="AD901" s="627"/>
      <c r="AE901" s="627"/>
      <c r="AF901" s="627"/>
      <c r="AG901" s="627"/>
      <c r="AH901" s="627"/>
      <c r="AI901" s="627"/>
      <c r="AJ901" s="627"/>
      <c r="AK901" s="627"/>
      <c r="AL901" s="627"/>
      <c r="AM901" s="627"/>
      <c r="AN901" s="627"/>
      <c r="AO901" s="627"/>
      <c r="AP901" s="627"/>
      <c r="AQ901" s="627"/>
      <c r="AR901" s="627"/>
      <c r="AS901" s="627"/>
      <c r="AT901" s="627"/>
      <c r="AU901" s="627"/>
      <c r="AV901" s="627"/>
      <c r="AW901" s="627"/>
      <c r="AX901" s="627"/>
      <c r="AY901" s="627"/>
      <c r="AZ901" s="627"/>
      <c r="BA901" s="627"/>
      <c r="BB901" s="627"/>
      <c r="BC901" s="627"/>
      <c r="BD901" s="627"/>
      <c r="BE901" s="627"/>
      <c r="BF901" s="627"/>
      <c r="BG901" s="627"/>
      <c r="BH901" s="627"/>
      <c r="BI901" s="627"/>
      <c r="BJ901" s="627"/>
    </row>
    <row r="902" spans="1:62" ht="13.15" hidden="1" thickBot="1" x14ac:dyDescent="0.4">
      <c r="A902" s="988"/>
      <c r="B902" s="627"/>
      <c r="C902" s="1039" t="s">
        <v>117</v>
      </c>
      <c r="D902" s="1031"/>
      <c r="E902" s="1031"/>
      <c r="F902" s="1031"/>
      <c r="G902" s="1031"/>
      <c r="H902" s="1031"/>
      <c r="I902" s="1031"/>
      <c r="J902" s="1032"/>
      <c r="K902" s="1033"/>
      <c r="L902" s="1040">
        <f ca="1">ROUND(SUM($C$252:$C$257)*$C$249/60*($J$290),0)</f>
        <v>9</v>
      </c>
      <c r="M902" s="1035" t="s">
        <v>46</v>
      </c>
      <c r="N902" s="627"/>
      <c r="O902" s="627"/>
      <c r="P902" s="627"/>
      <c r="Q902" s="719"/>
      <c r="R902" s="627"/>
      <c r="S902" s="627"/>
      <c r="T902" s="627"/>
      <c r="U902" s="627"/>
      <c r="V902" s="627"/>
      <c r="W902" s="627"/>
      <c r="X902" s="627"/>
      <c r="Y902" s="627"/>
      <c r="Z902" s="627"/>
      <c r="AA902" s="627"/>
      <c r="AB902" s="627"/>
      <c r="AC902" s="627"/>
      <c r="AD902" s="627"/>
      <c r="AE902" s="627"/>
      <c r="AF902" s="627"/>
      <c r="AG902" s="627"/>
      <c r="AH902" s="627"/>
      <c r="AI902" s="627"/>
      <c r="AJ902" s="627"/>
      <c r="AK902" s="627"/>
      <c r="AL902" s="627"/>
      <c r="AM902" s="627"/>
      <c r="AN902" s="627"/>
      <c r="AO902" s="627"/>
      <c r="AP902" s="627"/>
      <c r="AQ902" s="627"/>
      <c r="AR902" s="627"/>
      <c r="AS902" s="627"/>
      <c r="AT902" s="627"/>
      <c r="AU902" s="627"/>
      <c r="AV902" s="627"/>
      <c r="AW902" s="627"/>
      <c r="AX902" s="627"/>
      <c r="AY902" s="627"/>
      <c r="AZ902" s="627"/>
      <c r="BA902" s="627"/>
      <c r="BB902" s="627"/>
      <c r="BC902" s="627"/>
      <c r="BD902" s="627"/>
      <c r="BE902" s="627"/>
      <c r="BF902" s="627"/>
      <c r="BG902" s="627"/>
      <c r="BH902" s="627"/>
      <c r="BI902" s="627"/>
      <c r="BJ902" s="627"/>
    </row>
    <row r="903" spans="1:62" ht="13.15" hidden="1" thickBot="1" x14ac:dyDescent="0.4">
      <c r="A903" s="988"/>
      <c r="B903" s="627"/>
      <c r="C903" s="627"/>
      <c r="D903" s="627"/>
      <c r="E903" s="627"/>
      <c r="F903" s="627"/>
      <c r="G903" s="627"/>
      <c r="H903" s="627"/>
      <c r="I903" s="627"/>
      <c r="J903" s="627"/>
      <c r="K903" s="627"/>
      <c r="L903" s="627"/>
      <c r="M903" s="627"/>
      <c r="N903" s="627"/>
      <c r="O903" s="627"/>
      <c r="P903" s="627"/>
      <c r="Q903" s="719"/>
      <c r="R903" s="627"/>
      <c r="S903" s="627"/>
      <c r="T903" s="627"/>
      <c r="U903" s="627"/>
      <c r="V903" s="627"/>
      <c r="W903" s="627"/>
      <c r="X903" s="627"/>
      <c r="Y903" s="627"/>
      <c r="Z903" s="627"/>
      <c r="AA903" s="627"/>
      <c r="AB903" s="627"/>
      <c r="AC903" s="627"/>
      <c r="AD903" s="627"/>
      <c r="AE903" s="627"/>
      <c r="AF903" s="627"/>
      <c r="AG903" s="627"/>
      <c r="AH903" s="627"/>
      <c r="AI903" s="627"/>
      <c r="AJ903" s="627"/>
      <c r="AK903" s="627"/>
      <c r="AL903" s="627"/>
      <c r="AM903" s="627"/>
      <c r="AN903" s="627"/>
      <c r="AO903" s="627"/>
      <c r="AP903" s="627"/>
      <c r="AQ903" s="627"/>
      <c r="AR903" s="627"/>
      <c r="AS903" s="627"/>
      <c r="AT903" s="627"/>
      <c r="AU903" s="627"/>
      <c r="AV903" s="627"/>
      <c r="AW903" s="627"/>
      <c r="AX903" s="627"/>
      <c r="AY903" s="627"/>
      <c r="AZ903" s="627"/>
      <c r="BA903" s="627"/>
      <c r="BB903" s="627"/>
      <c r="BC903" s="627"/>
      <c r="BD903" s="627"/>
      <c r="BE903" s="627"/>
      <c r="BF903" s="627"/>
      <c r="BG903" s="627"/>
      <c r="BH903" s="627"/>
      <c r="BI903" s="627"/>
      <c r="BJ903" s="627"/>
    </row>
    <row r="904" spans="1:62" ht="13.15" hidden="1" thickBot="1" x14ac:dyDescent="0.4">
      <c r="A904" s="988"/>
      <c r="B904" s="627"/>
      <c r="C904" s="1138" t="s">
        <v>629</v>
      </c>
      <c r="D904" s="1139"/>
      <c r="E904" s="1139"/>
      <c r="F904" s="1139"/>
      <c r="G904" s="1139"/>
      <c r="H904" s="1139"/>
      <c r="I904" s="1139"/>
      <c r="J904" s="1139"/>
      <c r="K904" s="1139"/>
      <c r="L904" s="1140" t="s">
        <v>275</v>
      </c>
      <c r="M904" s="627"/>
      <c r="N904" s="627"/>
      <c r="O904" s="627"/>
      <c r="P904" s="627"/>
      <c r="Q904" s="719"/>
      <c r="R904" s="627"/>
      <c r="S904" s="627"/>
      <c r="T904" s="627"/>
      <c r="U904" s="627"/>
      <c r="V904" s="627"/>
      <c r="W904" s="627"/>
      <c r="X904" s="627"/>
      <c r="Y904" s="627"/>
      <c r="Z904" s="627"/>
      <c r="AA904" s="627"/>
      <c r="AB904" s="627"/>
      <c r="AC904" s="627"/>
      <c r="AD904" s="627"/>
      <c r="AE904" s="627"/>
      <c r="AF904" s="627"/>
      <c r="AG904" s="627"/>
      <c r="AH904" s="627"/>
      <c r="AI904" s="627"/>
      <c r="AJ904" s="627"/>
      <c r="AK904" s="627"/>
      <c r="AL904" s="627"/>
      <c r="AM904" s="627"/>
      <c r="AN904" s="627"/>
      <c r="AO904" s="627"/>
      <c r="AP904" s="627"/>
      <c r="AQ904" s="627"/>
      <c r="AR904" s="627"/>
      <c r="AS904" s="627"/>
      <c r="AT904" s="627"/>
      <c r="AU904" s="627"/>
      <c r="AV904" s="627"/>
      <c r="AW904" s="627"/>
      <c r="AX904" s="627"/>
      <c r="AY904" s="627"/>
      <c r="AZ904" s="627"/>
      <c r="BA904" s="627"/>
      <c r="BB904" s="627"/>
      <c r="BC904" s="627"/>
      <c r="BD904" s="627"/>
      <c r="BE904" s="627"/>
      <c r="BF904" s="627"/>
      <c r="BG904" s="627"/>
      <c r="BH904" s="627"/>
      <c r="BI904" s="627"/>
      <c r="BJ904" s="627"/>
    </row>
    <row r="905" spans="1:62" ht="13.15" hidden="1" thickBot="1" x14ac:dyDescent="0.4">
      <c r="A905" s="988"/>
      <c r="B905" s="627"/>
      <c r="C905" s="1039" t="s">
        <v>630</v>
      </c>
      <c r="D905" s="1031"/>
      <c r="E905" s="1031"/>
      <c r="F905" s="1031"/>
      <c r="G905" s="1031"/>
      <c r="H905" s="1031"/>
      <c r="I905" s="1031"/>
      <c r="J905" s="1032"/>
      <c r="K905" s="1033"/>
      <c r="L905" s="1040">
        <f ca="1">ROUND(L283/(C253+C255)/9,0)</f>
        <v>146</v>
      </c>
      <c r="M905" s="1035" t="s">
        <v>46</v>
      </c>
      <c r="N905" s="627"/>
      <c r="O905" s="627"/>
      <c r="P905" s="627"/>
      <c r="Q905" s="719"/>
      <c r="R905" s="627"/>
      <c r="S905" s="627"/>
      <c r="T905" s="627"/>
      <c r="U905" s="627"/>
      <c r="V905" s="627"/>
      <c r="W905" s="627"/>
      <c r="X905" s="627"/>
      <c r="Y905" s="627"/>
      <c r="Z905" s="627"/>
      <c r="AA905" s="627"/>
      <c r="AB905" s="627"/>
      <c r="AC905" s="627"/>
      <c r="AD905" s="627"/>
      <c r="AE905" s="627"/>
      <c r="AF905" s="627"/>
      <c r="AG905" s="627"/>
      <c r="AH905" s="627"/>
      <c r="AI905" s="627"/>
      <c r="AJ905" s="627"/>
      <c r="AK905" s="627"/>
      <c r="AL905" s="627"/>
      <c r="AM905" s="627"/>
      <c r="AN905" s="627"/>
      <c r="AO905" s="627"/>
      <c r="AP905" s="627"/>
      <c r="AQ905" s="627"/>
      <c r="AR905" s="627"/>
      <c r="AS905" s="627"/>
      <c r="AT905" s="627"/>
      <c r="AU905" s="627"/>
      <c r="AV905" s="627"/>
      <c r="AW905" s="627"/>
      <c r="AX905" s="627"/>
      <c r="AY905" s="627"/>
      <c r="AZ905" s="627"/>
      <c r="BA905" s="627"/>
      <c r="BB905" s="627"/>
      <c r="BC905" s="627"/>
      <c r="BD905" s="627"/>
      <c r="BE905" s="627"/>
      <c r="BF905" s="627"/>
      <c r="BG905" s="627"/>
      <c r="BH905" s="627"/>
      <c r="BI905" s="627"/>
      <c r="BJ905" s="627"/>
    </row>
    <row r="906" spans="1:62" ht="13.15" hidden="1" thickBot="1" x14ac:dyDescent="0.4">
      <c r="A906" s="988"/>
      <c r="B906" s="627"/>
      <c r="C906" s="1039" t="s">
        <v>631</v>
      </c>
      <c r="D906" s="1031"/>
      <c r="E906" s="1031"/>
      <c r="F906" s="1031"/>
      <c r="G906" s="1031"/>
      <c r="H906" s="1031"/>
      <c r="I906" s="1031"/>
      <c r="J906" s="1032"/>
      <c r="K906" s="1033"/>
      <c r="L906" s="1040">
        <f ca="1">ROUND(L283/(C253+C255)/9,0)</f>
        <v>146</v>
      </c>
      <c r="M906" s="1035" t="s">
        <v>46</v>
      </c>
      <c r="N906" s="627"/>
      <c r="O906" s="627"/>
      <c r="P906" s="627"/>
      <c r="Q906" s="719"/>
      <c r="R906" s="627"/>
      <c r="S906" s="627"/>
      <c r="T906" s="627"/>
      <c r="U906" s="627"/>
      <c r="V906" s="627"/>
      <c r="W906" s="627"/>
      <c r="X906" s="627"/>
      <c r="Y906" s="627"/>
      <c r="Z906" s="627"/>
      <c r="AA906" s="627"/>
      <c r="AB906" s="627"/>
      <c r="AC906" s="627"/>
      <c r="AD906" s="627"/>
      <c r="AE906" s="627"/>
      <c r="AF906" s="627"/>
      <c r="AG906" s="627"/>
      <c r="AH906" s="627"/>
      <c r="AI906" s="627"/>
      <c r="AJ906" s="627"/>
      <c r="AK906" s="627"/>
      <c r="AL906" s="627"/>
      <c r="AM906" s="627"/>
      <c r="AN906" s="627"/>
      <c r="AO906" s="627"/>
      <c r="AP906" s="627"/>
      <c r="AQ906" s="627"/>
      <c r="AR906" s="627"/>
      <c r="AS906" s="627"/>
      <c r="AT906" s="627"/>
      <c r="AU906" s="627"/>
      <c r="AV906" s="627"/>
      <c r="AW906" s="627"/>
      <c r="AX906" s="627"/>
      <c r="AY906" s="627"/>
      <c r="AZ906" s="627"/>
      <c r="BA906" s="627"/>
      <c r="BB906" s="627"/>
      <c r="BC906" s="627"/>
      <c r="BD906" s="627"/>
      <c r="BE906" s="627"/>
      <c r="BF906" s="627"/>
      <c r="BG906" s="627"/>
      <c r="BH906" s="627"/>
      <c r="BI906" s="627"/>
      <c r="BJ906" s="627"/>
    </row>
    <row r="907" spans="1:62" ht="13.15" hidden="1" thickBot="1" x14ac:dyDescent="0.4">
      <c r="A907" s="988"/>
      <c r="B907" s="627"/>
      <c r="C907" s="1039" t="s">
        <v>632</v>
      </c>
      <c r="D907" s="1031"/>
      <c r="E907" s="1031"/>
      <c r="F907" s="1031"/>
      <c r="G907" s="1031"/>
      <c r="H907" s="1031"/>
      <c r="I907" s="1031"/>
      <c r="J907" s="1032"/>
      <c r="K907" s="1033"/>
      <c r="L907" s="1040">
        <f ca="1">ROUND(L283/(C253+C255)/9,0)*2</f>
        <v>292</v>
      </c>
      <c r="M907" s="1035" t="s">
        <v>46</v>
      </c>
      <c r="N907" s="627"/>
      <c r="O907" s="627"/>
      <c r="P907" s="627"/>
      <c r="Q907" s="719"/>
      <c r="R907" s="627"/>
      <c r="S907" s="627"/>
      <c r="T907" s="627"/>
      <c r="U907" s="627"/>
      <c r="V907" s="627"/>
      <c r="W907" s="627"/>
      <c r="X907" s="627"/>
      <c r="Y907" s="627"/>
      <c r="Z907" s="627"/>
      <c r="AA907" s="627"/>
      <c r="AB907" s="627"/>
      <c r="AC907" s="627"/>
      <c r="AD907" s="627"/>
      <c r="AE907" s="627"/>
      <c r="AF907" s="627"/>
      <c r="AG907" s="627"/>
      <c r="AH907" s="627"/>
      <c r="AI907" s="627"/>
      <c r="AJ907" s="627"/>
      <c r="AK907" s="627"/>
      <c r="AL907" s="627"/>
      <c r="AM907" s="627"/>
      <c r="AN907" s="627"/>
      <c r="AO907" s="627"/>
      <c r="AP907" s="627"/>
      <c r="AQ907" s="627"/>
      <c r="AR907" s="627"/>
      <c r="AS907" s="627"/>
      <c r="AT907" s="627"/>
      <c r="AU907" s="627"/>
      <c r="AV907" s="627"/>
      <c r="AW907" s="627"/>
      <c r="AX907" s="627"/>
      <c r="AY907" s="627"/>
      <c r="AZ907" s="627"/>
      <c r="BA907" s="627"/>
      <c r="BB907" s="627"/>
      <c r="BC907" s="627"/>
      <c r="BD907" s="627"/>
      <c r="BE907" s="627"/>
      <c r="BF907" s="627"/>
      <c r="BG907" s="627"/>
      <c r="BH907" s="627"/>
      <c r="BI907" s="627"/>
      <c r="BJ907" s="627"/>
    </row>
    <row r="908" spans="1:62" ht="15.75" thickTop="1" thickBot="1" x14ac:dyDescent="0.4">
      <c r="A908" s="988"/>
      <c r="B908" s="989"/>
      <c r="C908" s="1382" t="s">
        <v>633</v>
      </c>
      <c r="D908" s="1382"/>
      <c r="E908" s="1382"/>
      <c r="F908" s="1382"/>
      <c r="G908" s="1382"/>
      <c r="H908" s="1382"/>
      <c r="I908" s="1382"/>
      <c r="J908" s="1382"/>
      <c r="K908" s="1382"/>
      <c r="L908" s="1382"/>
      <c r="M908" s="1382"/>
      <c r="N908" s="1382"/>
      <c r="O908" s="1382"/>
      <c r="P908" s="990"/>
      <c r="Q908" s="719"/>
      <c r="R908" s="627"/>
      <c r="S908" s="627"/>
      <c r="T908" s="627"/>
      <c r="U908" s="627"/>
      <c r="V908" s="627"/>
      <c r="W908" s="627"/>
      <c r="X908" s="627"/>
      <c r="Y908" s="627"/>
      <c r="Z908" s="627"/>
      <c r="AA908" s="627"/>
      <c r="AB908" s="627"/>
      <c r="AC908" s="627"/>
      <c r="AD908" s="627"/>
      <c r="AE908" s="627"/>
      <c r="AF908" s="627"/>
      <c r="AG908" s="627"/>
      <c r="AH908" s="627"/>
      <c r="AI908" s="627"/>
      <c r="AJ908" s="627"/>
      <c r="AK908" s="627"/>
      <c r="AL908" s="627"/>
      <c r="AM908" s="627"/>
      <c r="AN908" s="627"/>
      <c r="AO908" s="627"/>
      <c r="AP908" s="627"/>
      <c r="AQ908" s="627"/>
      <c r="AR908" s="627"/>
      <c r="AS908" s="627"/>
      <c r="AT908" s="627"/>
      <c r="AU908" s="627"/>
      <c r="AV908" s="627"/>
      <c r="AW908" s="627"/>
      <c r="AX908" s="627"/>
      <c r="AY908" s="627"/>
      <c r="AZ908" s="627"/>
      <c r="BA908" s="627"/>
      <c r="BB908" s="627"/>
      <c r="BC908" s="627"/>
      <c r="BD908" s="627"/>
      <c r="BE908" s="627"/>
      <c r="BF908" s="627"/>
      <c r="BG908" s="627"/>
      <c r="BH908" s="627"/>
      <c r="BI908" s="627"/>
      <c r="BJ908" s="627"/>
    </row>
    <row r="909" spans="1:62" ht="7.5" customHeight="1" thickTop="1" x14ac:dyDescent="0.35">
      <c r="A909" s="988"/>
      <c r="B909" s="627"/>
      <c r="C909" s="627"/>
      <c r="D909" s="627"/>
      <c r="E909" s="627"/>
      <c r="F909" s="627"/>
      <c r="G909" s="627"/>
      <c r="H909" s="627"/>
      <c r="I909" s="627"/>
      <c r="J909" s="627"/>
      <c r="K909" s="627"/>
      <c r="L909" s="627"/>
      <c r="M909" s="627"/>
      <c r="N909" s="627"/>
      <c r="O909" s="627"/>
      <c r="P909" s="627"/>
      <c r="Q909" s="719"/>
      <c r="R909" s="627"/>
      <c r="S909" s="627"/>
      <c r="T909" s="627"/>
      <c r="U909" s="627"/>
      <c r="V909" s="627"/>
      <c r="W909" s="627"/>
      <c r="X909" s="627"/>
      <c r="Y909" s="627"/>
      <c r="Z909" s="627"/>
      <c r="AA909" s="627"/>
      <c r="AB909" s="627"/>
      <c r="AC909" s="627"/>
      <c r="AD909" s="627"/>
      <c r="AE909" s="627"/>
      <c r="AF909" s="627"/>
      <c r="AG909" s="627"/>
      <c r="AH909" s="627"/>
      <c r="AI909" s="627"/>
      <c r="AJ909" s="627"/>
      <c r="AK909" s="627"/>
      <c r="AL909" s="627"/>
      <c r="AM909" s="627"/>
      <c r="AN909" s="627"/>
      <c r="AO909" s="627"/>
      <c r="AP909" s="627"/>
      <c r="AQ909" s="627"/>
      <c r="AR909" s="627"/>
      <c r="AS909" s="627"/>
      <c r="AT909" s="627"/>
      <c r="AU909" s="627"/>
      <c r="AV909" s="627"/>
      <c r="AW909" s="627"/>
      <c r="AX909" s="627"/>
      <c r="AY909" s="627"/>
      <c r="AZ909" s="627"/>
      <c r="BA909" s="627"/>
      <c r="BB909" s="627"/>
      <c r="BC909" s="627"/>
      <c r="BD909" s="627"/>
      <c r="BE909" s="627"/>
      <c r="BF909" s="627"/>
      <c r="BG909" s="627"/>
      <c r="BH909" s="627"/>
      <c r="BI909" s="627"/>
      <c r="BJ909" s="627"/>
    </row>
    <row r="910" spans="1:62" ht="16.5" customHeight="1" x14ac:dyDescent="0.35">
      <c r="A910" s="988"/>
      <c r="B910" s="627"/>
      <c r="C910" s="627" t="s">
        <v>634</v>
      </c>
      <c r="D910" s="627"/>
      <c r="E910" s="627"/>
      <c r="F910" s="627"/>
      <c r="G910" s="627"/>
      <c r="H910" s="627"/>
      <c r="I910" s="627"/>
      <c r="J910" s="627"/>
      <c r="K910" s="627"/>
      <c r="L910" s="627"/>
      <c r="M910" s="627"/>
      <c r="N910" s="627"/>
      <c r="O910" s="627"/>
      <c r="P910" s="627"/>
      <c r="Q910" s="719"/>
      <c r="R910" s="627"/>
      <c r="S910" s="627"/>
      <c r="T910" s="627"/>
      <c r="U910" s="627"/>
      <c r="V910" s="627"/>
      <c r="W910" s="627"/>
      <c r="X910" s="627"/>
      <c r="Y910" s="627"/>
      <c r="Z910" s="627"/>
      <c r="AA910" s="627"/>
      <c r="AB910" s="627"/>
      <c r="AC910" s="627"/>
      <c r="AD910" s="627"/>
      <c r="AE910" s="627"/>
      <c r="AF910" s="627"/>
      <c r="AG910" s="627"/>
      <c r="AH910" s="627"/>
      <c r="AI910" s="627"/>
      <c r="AJ910" s="627"/>
      <c r="AK910" s="627"/>
      <c r="AL910" s="627"/>
      <c r="AM910" s="627"/>
      <c r="AN910" s="627"/>
      <c r="AO910" s="627"/>
      <c r="AP910" s="627"/>
      <c r="AQ910" s="627"/>
      <c r="AR910" s="627"/>
      <c r="AS910" s="627"/>
      <c r="AT910" s="627"/>
      <c r="AU910" s="627"/>
      <c r="AV910" s="627"/>
      <c r="AW910" s="627"/>
      <c r="AX910" s="627"/>
      <c r="AY910" s="627"/>
      <c r="AZ910" s="627"/>
      <c r="BA910" s="627"/>
      <c r="BB910" s="627"/>
      <c r="BC910" s="627"/>
      <c r="BD910" s="627"/>
      <c r="BE910" s="627"/>
      <c r="BF910" s="627"/>
      <c r="BG910" s="627"/>
      <c r="BH910" s="627"/>
      <c r="BI910" s="627"/>
      <c r="BJ910" s="627"/>
    </row>
    <row r="911" spans="1:62" ht="5.25" customHeight="1" x14ac:dyDescent="0.35">
      <c r="A911" s="988"/>
      <c r="B911" s="627"/>
      <c r="C911" s="627"/>
      <c r="D911" s="627"/>
      <c r="E911" s="627"/>
      <c r="F911" s="627"/>
      <c r="G911" s="627"/>
      <c r="H911" s="627"/>
      <c r="I911" s="627"/>
      <c r="J911" s="627"/>
      <c r="K911" s="627"/>
      <c r="L911" s="627"/>
      <c r="M911" s="627"/>
      <c r="N911" s="627"/>
      <c r="O911" s="627"/>
      <c r="P911" s="627"/>
      <c r="Q911" s="719"/>
      <c r="R911" s="627"/>
      <c r="S911" s="627"/>
      <c r="T911" s="627"/>
      <c r="U911" s="627"/>
      <c r="V911" s="627"/>
      <c r="W911" s="627"/>
      <c r="X911" s="627"/>
      <c r="Y911" s="627"/>
      <c r="Z911" s="627"/>
      <c r="AA911" s="627"/>
      <c r="AB911" s="627"/>
      <c r="AC911" s="627"/>
      <c r="AD911" s="627"/>
      <c r="AE911" s="627"/>
      <c r="AF911" s="627"/>
      <c r="AG911" s="627"/>
      <c r="AH911" s="627"/>
      <c r="AI911" s="627"/>
      <c r="AJ911" s="627"/>
      <c r="AK911" s="627"/>
      <c r="AL911" s="627"/>
      <c r="AM911" s="627"/>
      <c r="AN911" s="627"/>
      <c r="AO911" s="627"/>
      <c r="AP911" s="627"/>
      <c r="AQ911" s="627"/>
      <c r="AR911" s="627"/>
      <c r="AS911" s="627"/>
      <c r="AT911" s="627"/>
      <c r="AU911" s="627"/>
      <c r="AV911" s="627"/>
      <c r="AW911" s="627"/>
      <c r="AX911" s="627"/>
      <c r="AY911" s="627"/>
      <c r="AZ911" s="627"/>
      <c r="BA911" s="627"/>
      <c r="BB911" s="627"/>
      <c r="BC911" s="627"/>
      <c r="BD911" s="627"/>
      <c r="BE911" s="627"/>
      <c r="BF911" s="627"/>
      <c r="BG911" s="627"/>
      <c r="BH911" s="627"/>
      <c r="BI911" s="627"/>
      <c r="BJ911" s="627"/>
    </row>
    <row r="912" spans="1:62" ht="12.75" customHeight="1" x14ac:dyDescent="0.4">
      <c r="A912" s="988"/>
      <c r="B912" s="627"/>
      <c r="C912" s="365"/>
      <c r="D912" s="626"/>
      <c r="E912" s="627" t="s">
        <v>52</v>
      </c>
      <c r="F912" s="626" t="s">
        <v>35</v>
      </c>
      <c r="G912" s="627" t="s">
        <v>53</v>
      </c>
      <c r="H912" s="627"/>
      <c r="I912" s="627"/>
      <c r="J912" s="627"/>
      <c r="K912" s="627"/>
      <c r="L912" s="627"/>
      <c r="M912" s="627"/>
      <c r="N912" s="627"/>
      <c r="O912" s="627"/>
      <c r="P912" s="627"/>
      <c r="Q912" s="719"/>
      <c r="R912" s="627"/>
      <c r="S912" s="627"/>
      <c r="T912" s="627"/>
      <c r="U912" s="627"/>
      <c r="V912" s="627"/>
      <c r="W912" s="627"/>
      <c r="X912" s="627"/>
      <c r="Y912" s="627"/>
      <c r="Z912" s="627"/>
      <c r="AA912" s="627"/>
      <c r="AB912" s="627"/>
      <c r="AC912" s="627"/>
      <c r="AD912" s="627"/>
      <c r="AE912" s="627"/>
      <c r="AF912" s="627"/>
      <c r="AG912" s="627"/>
      <c r="AH912" s="627"/>
      <c r="AI912" s="627"/>
      <c r="AJ912" s="627"/>
      <c r="AK912" s="627"/>
      <c r="AL912" s="627"/>
      <c r="AM912" s="627"/>
      <c r="AN912" s="627"/>
      <c r="AO912" s="627"/>
      <c r="AP912" s="627"/>
      <c r="AQ912" s="627"/>
      <c r="AR912" s="627"/>
      <c r="AS912" s="627"/>
      <c r="AT912" s="627"/>
      <c r="AU912" s="627"/>
      <c r="AV912" s="627"/>
      <c r="AW912" s="627"/>
      <c r="AX912" s="627"/>
      <c r="AY912" s="627"/>
      <c r="AZ912" s="627"/>
      <c r="BA912" s="627"/>
      <c r="BB912" s="627"/>
      <c r="BC912" s="627"/>
      <c r="BD912" s="627"/>
      <c r="BE912" s="627"/>
      <c r="BF912" s="627"/>
      <c r="BG912" s="627"/>
      <c r="BH912" s="627"/>
      <c r="BI912" s="627"/>
      <c r="BJ912" s="627"/>
    </row>
    <row r="913" spans="1:62" ht="4.5" customHeight="1" x14ac:dyDescent="0.4">
      <c r="A913" s="988"/>
      <c r="B913" s="627"/>
      <c r="C913" s="365"/>
      <c r="D913" s="365"/>
      <c r="E913" s="365"/>
      <c r="F913" s="365"/>
      <c r="G913" s="365"/>
      <c r="H913" s="627"/>
      <c r="I913" s="627"/>
      <c r="J913" s="627"/>
      <c r="K913" s="627"/>
      <c r="L913" s="627"/>
      <c r="M913" s="627"/>
      <c r="N913" s="627"/>
      <c r="O913" s="627"/>
      <c r="P913" s="627"/>
      <c r="Q913" s="719"/>
      <c r="R913" s="627"/>
      <c r="S913" s="627"/>
      <c r="T913" s="627"/>
      <c r="U913" s="627"/>
      <c r="V913" s="627"/>
      <c r="W913" s="627"/>
      <c r="X913" s="627"/>
      <c r="Y913" s="627"/>
      <c r="Z913" s="627"/>
      <c r="AA913" s="627"/>
      <c r="AB913" s="627"/>
      <c r="AC913" s="627"/>
      <c r="AD913" s="627"/>
      <c r="AE913" s="627"/>
      <c r="AF913" s="627"/>
      <c r="AG913" s="627"/>
      <c r="AH913" s="627"/>
      <c r="AI913" s="627"/>
      <c r="AJ913" s="627"/>
      <c r="AK913" s="627"/>
      <c r="AL913" s="627"/>
      <c r="AM913" s="627"/>
      <c r="AN913" s="627"/>
      <c r="AO913" s="627"/>
      <c r="AP913" s="627"/>
      <c r="AQ913" s="627"/>
      <c r="AR913" s="627"/>
      <c r="AS913" s="627"/>
      <c r="AT913" s="627"/>
      <c r="AU913" s="627"/>
      <c r="AV913" s="627"/>
      <c r="AW913" s="627"/>
      <c r="AX913" s="627"/>
      <c r="AY913" s="627"/>
      <c r="AZ913" s="627"/>
      <c r="BA913" s="627"/>
      <c r="BB913" s="627"/>
      <c r="BC913" s="627"/>
      <c r="BD913" s="627"/>
      <c r="BE913" s="627"/>
      <c r="BF913" s="627"/>
      <c r="BG913" s="627"/>
      <c r="BH913" s="627"/>
      <c r="BI913" s="627"/>
      <c r="BJ913" s="627"/>
    </row>
    <row r="914" spans="1:62" ht="9.75" customHeight="1" thickBot="1" x14ac:dyDescent="0.45">
      <c r="A914" s="988"/>
      <c r="B914" s="627"/>
      <c r="C914" s="365"/>
      <c r="D914" s="365"/>
      <c r="E914" s="365"/>
      <c r="F914" s="365"/>
      <c r="G914" s="365"/>
      <c r="H914" s="627"/>
      <c r="I914" s="627"/>
      <c r="J914" s="627"/>
      <c r="K914" s="627"/>
      <c r="L914" s="627"/>
      <c r="M914" s="627"/>
      <c r="N914" s="627"/>
      <c r="O914" s="627"/>
      <c r="P914" s="627"/>
      <c r="Q914" s="719"/>
      <c r="R914" s="627"/>
      <c r="S914" s="627"/>
      <c r="T914" s="627"/>
      <c r="U914" s="627"/>
      <c r="V914" s="627"/>
      <c r="W914" s="627"/>
      <c r="X914" s="627"/>
      <c r="Y914" s="627"/>
      <c r="Z914" s="627"/>
      <c r="AA914" s="627"/>
      <c r="AB914" s="627"/>
      <c r="AC914" s="627"/>
      <c r="AD914" s="627"/>
      <c r="AE914" s="627"/>
      <c r="AF914" s="627"/>
      <c r="AG914" s="627"/>
      <c r="AH914" s="627"/>
      <c r="AI914" s="627"/>
      <c r="AJ914" s="627"/>
      <c r="AK914" s="627"/>
      <c r="AL914" s="627"/>
      <c r="AM914" s="627"/>
      <c r="AN914" s="627"/>
      <c r="AO914" s="627"/>
      <c r="AP914" s="627"/>
      <c r="AQ914" s="627"/>
      <c r="AR914" s="627"/>
      <c r="AS914" s="627"/>
      <c r="AT914" s="627"/>
      <c r="AU914" s="627"/>
      <c r="AV914" s="627"/>
      <c r="AW914" s="627"/>
      <c r="AX914" s="627"/>
      <c r="AY914" s="627"/>
      <c r="AZ914" s="627"/>
      <c r="BA914" s="627"/>
      <c r="BB914" s="627"/>
      <c r="BC914" s="627"/>
      <c r="BD914" s="627"/>
      <c r="BE914" s="627"/>
      <c r="BF914" s="627"/>
      <c r="BG914" s="627"/>
      <c r="BH914" s="627"/>
      <c r="BI914" s="627"/>
      <c r="BJ914" s="627"/>
    </row>
    <row r="915" spans="1:62" ht="15.4" thickBot="1" x14ac:dyDescent="0.45">
      <c r="A915" s="988"/>
      <c r="B915" s="692"/>
      <c r="C915" s="24" t="s">
        <v>635</v>
      </c>
      <c r="D915" s="1041"/>
      <c r="E915" s="1041"/>
      <c r="F915" s="1041"/>
      <c r="G915" s="1041"/>
      <c r="H915" s="1041"/>
      <c r="I915" s="1041"/>
      <c r="J915" s="1041"/>
      <c r="K915" s="1041"/>
      <c r="L915" s="1041"/>
      <c r="M915" s="1041"/>
      <c r="N915" s="1041"/>
      <c r="O915" s="1041"/>
      <c r="P915" s="691"/>
      <c r="Q915" s="719"/>
      <c r="R915" s="627"/>
      <c r="S915" s="627"/>
      <c r="T915" s="627"/>
      <c r="U915" s="627"/>
      <c r="V915" s="627"/>
      <c r="W915" s="627"/>
      <c r="X915" s="627"/>
      <c r="Y915" s="627"/>
      <c r="Z915" s="627"/>
      <c r="AA915" s="627"/>
      <c r="AB915" s="627"/>
      <c r="AC915" s="627"/>
      <c r="AD915" s="627"/>
      <c r="AE915" s="627"/>
      <c r="AF915" s="627"/>
      <c r="AG915" s="627"/>
      <c r="AH915" s="627"/>
      <c r="AI915" s="627"/>
      <c r="AJ915" s="627"/>
      <c r="AK915" s="627"/>
      <c r="AL915" s="627"/>
      <c r="AM915" s="627"/>
      <c r="AN915" s="627"/>
      <c r="AO915" s="627"/>
      <c r="AP915" s="627"/>
      <c r="AQ915" s="627"/>
      <c r="AR915" s="627"/>
      <c r="AS915" s="627"/>
      <c r="AT915" s="627"/>
      <c r="AU915" s="627"/>
      <c r="AV915" s="627"/>
      <c r="AW915" s="627"/>
      <c r="AX915" s="627"/>
      <c r="AY915" s="627"/>
      <c r="AZ915" s="627"/>
      <c r="BA915" s="627"/>
      <c r="BB915" s="627"/>
      <c r="BC915" s="627"/>
      <c r="BD915" s="627"/>
      <c r="BE915" s="627"/>
      <c r="BF915" s="627"/>
      <c r="BG915" s="627"/>
      <c r="BH915" s="627"/>
      <c r="BI915" s="627"/>
      <c r="BJ915" s="627"/>
    </row>
    <row r="916" spans="1:62" ht="15" x14ac:dyDescent="0.4">
      <c r="A916" s="988"/>
      <c r="B916" s="365"/>
      <c r="C916" s="627"/>
      <c r="D916" s="627"/>
      <c r="E916" s="627"/>
      <c r="F916" s="627"/>
      <c r="G916" s="627"/>
      <c r="H916" s="627"/>
      <c r="I916" s="627"/>
      <c r="J916" s="627"/>
      <c r="K916" s="627"/>
      <c r="L916" s="627"/>
      <c r="M916" s="627"/>
      <c r="N916" s="627"/>
      <c r="O916" s="627"/>
      <c r="P916" s="627"/>
      <c r="Q916" s="719"/>
      <c r="R916" s="627"/>
      <c r="S916" s="627"/>
      <c r="T916" s="627"/>
      <c r="U916" s="627"/>
      <c r="V916" s="627"/>
      <c r="W916" s="627"/>
      <c r="X916" s="627"/>
      <c r="Y916" s="627"/>
      <c r="Z916" s="627"/>
      <c r="AA916" s="627"/>
      <c r="AB916" s="627"/>
      <c r="AC916" s="627"/>
      <c r="AD916" s="627"/>
      <c r="AE916" s="627"/>
      <c r="AF916" s="627"/>
      <c r="AG916" s="627"/>
      <c r="AH916" s="627"/>
      <c r="AI916" s="627"/>
      <c r="AJ916" s="627"/>
      <c r="AK916" s="627"/>
      <c r="AL916" s="627"/>
      <c r="AM916" s="627"/>
      <c r="AN916" s="627"/>
      <c r="AO916" s="627"/>
      <c r="AP916" s="627"/>
      <c r="AQ916" s="627"/>
      <c r="AR916" s="627"/>
      <c r="AS916" s="627"/>
      <c r="AT916" s="627"/>
      <c r="AU916" s="627"/>
      <c r="AV916" s="627"/>
      <c r="AW916" s="627"/>
      <c r="AX916" s="627"/>
      <c r="AY916" s="627"/>
      <c r="AZ916" s="627"/>
      <c r="BA916" s="627"/>
      <c r="BB916" s="627"/>
      <c r="BC916" s="627"/>
      <c r="BD916" s="627"/>
      <c r="BE916" s="627"/>
      <c r="BF916" s="627"/>
      <c r="BG916" s="627"/>
      <c r="BH916" s="627"/>
      <c r="BI916" s="627"/>
      <c r="BJ916" s="627"/>
    </row>
    <row r="917" spans="1:62" ht="15" x14ac:dyDescent="0.4">
      <c r="A917" s="988"/>
      <c r="B917" s="365"/>
      <c r="C917" s="627" t="s">
        <v>636</v>
      </c>
      <c r="D917" s="627"/>
      <c r="E917" s="627"/>
      <c r="F917" s="627"/>
      <c r="G917" s="627"/>
      <c r="H917" s="627"/>
      <c r="I917" s="627"/>
      <c r="J917" s="627"/>
      <c r="K917" s="627"/>
      <c r="L917" s="627"/>
      <c r="M917" s="627"/>
      <c r="N917" s="627"/>
      <c r="O917" s="627"/>
      <c r="P917" s="627"/>
      <c r="Q917" s="719"/>
      <c r="R917" s="627"/>
      <c r="S917" s="627"/>
      <c r="T917" s="627"/>
      <c r="U917" s="627"/>
      <c r="V917" s="627"/>
      <c r="W917" s="627"/>
      <c r="X917" s="627"/>
      <c r="Y917" s="627"/>
      <c r="Z917" s="627"/>
      <c r="AA917" s="627"/>
      <c r="AB917" s="627"/>
      <c r="AC917" s="627"/>
      <c r="AD917" s="627"/>
      <c r="AE917" s="627"/>
      <c r="AF917" s="627"/>
      <c r="AG917" s="627"/>
      <c r="AH917" s="627"/>
      <c r="AI917" s="627"/>
      <c r="AJ917" s="627"/>
      <c r="AK917" s="627"/>
      <c r="AL917" s="627"/>
      <c r="AM917" s="627"/>
      <c r="AN917" s="627"/>
      <c r="AO917" s="627"/>
      <c r="AP917" s="627"/>
      <c r="AQ917" s="627"/>
      <c r="AR917" s="627"/>
      <c r="AS917" s="627"/>
      <c r="AT917" s="627"/>
      <c r="AU917" s="627"/>
      <c r="AV917" s="627"/>
      <c r="AW917" s="627"/>
      <c r="AX917" s="627"/>
      <c r="AY917" s="627"/>
      <c r="AZ917" s="627"/>
      <c r="BA917" s="627"/>
      <c r="BB917" s="627"/>
      <c r="BC917" s="627"/>
      <c r="BD917" s="627"/>
      <c r="BE917" s="627"/>
      <c r="BF917" s="627"/>
      <c r="BG917" s="627"/>
      <c r="BH917" s="627"/>
      <c r="BI917" s="627"/>
      <c r="BJ917" s="627"/>
    </row>
    <row r="918" spans="1:62" ht="15" x14ac:dyDescent="0.4">
      <c r="A918" s="988"/>
      <c r="B918" s="365"/>
      <c r="C918" s="627"/>
      <c r="D918" s="627" t="s">
        <v>637</v>
      </c>
      <c r="E918" s="627"/>
      <c r="F918" s="627"/>
      <c r="G918" s="627"/>
      <c r="H918" s="660"/>
      <c r="I918" s="627" t="s">
        <v>130</v>
      </c>
      <c r="J918" s="627"/>
      <c r="K918" s="627"/>
      <c r="L918" s="627"/>
      <c r="M918" s="627"/>
      <c r="N918" s="627"/>
      <c r="O918" s="627"/>
      <c r="P918" s="627"/>
      <c r="Q918" s="719"/>
      <c r="R918" s="627"/>
      <c r="S918" s="627"/>
      <c r="T918" s="627"/>
      <c r="U918" s="627"/>
      <c r="V918" s="627"/>
      <c r="W918" s="627"/>
      <c r="X918" s="627"/>
      <c r="Y918" s="627"/>
      <c r="Z918" s="627"/>
      <c r="AA918" s="627"/>
      <c r="AB918" s="627"/>
      <c r="AC918" s="627"/>
      <c r="AD918" s="627"/>
      <c r="AE918" s="627"/>
      <c r="AF918" s="627"/>
      <c r="AG918" s="627"/>
      <c r="AH918" s="627"/>
      <c r="AI918" s="627"/>
      <c r="AJ918" s="627"/>
      <c r="AK918" s="627"/>
      <c r="AL918" s="627"/>
      <c r="AM918" s="627"/>
      <c r="AN918" s="627"/>
      <c r="AO918" s="627"/>
      <c r="AP918" s="627"/>
      <c r="AQ918" s="627"/>
      <c r="AR918" s="627"/>
      <c r="AS918" s="627"/>
      <c r="AT918" s="627"/>
      <c r="AU918" s="627"/>
      <c r="AV918" s="627"/>
      <c r="AW918" s="627"/>
      <c r="AX918" s="627"/>
      <c r="AY918" s="627"/>
      <c r="AZ918" s="627"/>
      <c r="BA918" s="627"/>
      <c r="BB918" s="627"/>
      <c r="BC918" s="627"/>
      <c r="BD918" s="627"/>
      <c r="BE918" s="627"/>
      <c r="BF918" s="627"/>
      <c r="BG918" s="627"/>
      <c r="BH918" s="627"/>
      <c r="BI918" s="627"/>
      <c r="BJ918" s="627"/>
    </row>
    <row r="919" spans="1:62" ht="15" x14ac:dyDescent="0.4">
      <c r="A919" s="988"/>
      <c r="B919" s="365"/>
      <c r="C919" s="627"/>
      <c r="D919" s="627" t="s">
        <v>638</v>
      </c>
      <c r="E919" s="627"/>
      <c r="F919" s="627"/>
      <c r="G919" s="627"/>
      <c r="H919" s="660"/>
      <c r="I919" s="627" t="s">
        <v>130</v>
      </c>
      <c r="J919" s="627"/>
      <c r="K919" s="627"/>
      <c r="L919" s="627"/>
      <c r="M919" s="627"/>
      <c r="N919" s="627"/>
      <c r="O919" s="627"/>
      <c r="P919" s="627"/>
      <c r="Q919" s="719"/>
      <c r="R919" s="627"/>
      <c r="S919" s="627"/>
      <c r="T919" s="627"/>
      <c r="U919" s="627"/>
      <c r="V919" s="627"/>
      <c r="W919" s="627"/>
      <c r="X919" s="627"/>
      <c r="Y919" s="627"/>
      <c r="Z919" s="627"/>
      <c r="AA919" s="627"/>
      <c r="AB919" s="627"/>
      <c r="AC919" s="627"/>
      <c r="AD919" s="627"/>
      <c r="AE919" s="627"/>
      <c r="AF919" s="627"/>
      <c r="AG919" s="627"/>
      <c r="AH919" s="627"/>
      <c r="AI919" s="627"/>
      <c r="AJ919" s="627"/>
      <c r="AK919" s="627"/>
      <c r="AL919" s="627"/>
      <c r="AM919" s="627"/>
      <c r="AN919" s="627"/>
      <c r="AO919" s="627"/>
      <c r="AP919" s="627"/>
      <c r="AQ919" s="627"/>
      <c r="AR919" s="627"/>
      <c r="AS919" s="627"/>
      <c r="AT919" s="627"/>
      <c r="AU919" s="627"/>
      <c r="AV919" s="627"/>
      <c r="AW919" s="627"/>
      <c r="AX919" s="627"/>
      <c r="AY919" s="627"/>
      <c r="AZ919" s="627"/>
      <c r="BA919" s="627"/>
      <c r="BB919" s="627"/>
      <c r="BC919" s="627"/>
      <c r="BD919" s="627"/>
      <c r="BE919" s="627"/>
      <c r="BF919" s="627"/>
      <c r="BG919" s="627"/>
      <c r="BH919" s="627"/>
      <c r="BI919" s="627"/>
      <c r="BJ919" s="627"/>
    </row>
    <row r="920" spans="1:62" ht="9.75" customHeight="1" x14ac:dyDescent="0.4">
      <c r="A920" s="988"/>
      <c r="B920" s="365"/>
      <c r="C920" s="627"/>
      <c r="D920" s="627"/>
      <c r="E920" s="627"/>
      <c r="F920" s="627"/>
      <c r="G920" s="627"/>
      <c r="H920" s="627"/>
      <c r="I920" s="627"/>
      <c r="J920" s="627"/>
      <c r="K920" s="627"/>
      <c r="L920" s="627"/>
      <c r="M920" s="627"/>
      <c r="N920" s="627"/>
      <c r="O920" s="627"/>
      <c r="P920" s="627"/>
      <c r="Q920" s="719"/>
      <c r="R920" s="627"/>
      <c r="S920" s="627"/>
      <c r="T920" s="627"/>
      <c r="U920" s="627"/>
      <c r="V920" s="627"/>
      <c r="W920" s="627"/>
      <c r="X920" s="627"/>
      <c r="Y920" s="627"/>
      <c r="Z920" s="627"/>
      <c r="AA920" s="627"/>
      <c r="AB920" s="627"/>
      <c r="AC920" s="627"/>
      <c r="AD920" s="627"/>
      <c r="AE920" s="627"/>
      <c r="AF920" s="627"/>
      <c r="AG920" s="627"/>
      <c r="AH920" s="627"/>
      <c r="AI920" s="627"/>
      <c r="AJ920" s="627"/>
      <c r="AK920" s="627"/>
      <c r="AL920" s="627"/>
      <c r="AM920" s="627"/>
      <c r="AN920" s="627"/>
      <c r="AO920" s="627"/>
      <c r="AP920" s="627"/>
      <c r="AQ920" s="627"/>
      <c r="AR920" s="627"/>
      <c r="AS920" s="627"/>
      <c r="AT920" s="627"/>
      <c r="AU920" s="627"/>
      <c r="AV920" s="627"/>
      <c r="AW920" s="627"/>
      <c r="AX920" s="627"/>
      <c r="AY920" s="627"/>
      <c r="AZ920" s="627"/>
      <c r="BA920" s="627"/>
      <c r="BB920" s="627"/>
      <c r="BC920" s="627"/>
      <c r="BD920" s="627"/>
      <c r="BE920" s="627"/>
      <c r="BF920" s="627"/>
      <c r="BG920" s="627"/>
      <c r="BH920" s="627"/>
      <c r="BI920" s="627"/>
      <c r="BJ920" s="627"/>
    </row>
    <row r="921" spans="1:62" x14ac:dyDescent="0.35">
      <c r="A921" s="988"/>
      <c r="B921" s="627"/>
      <c r="C921" s="627" t="s">
        <v>639</v>
      </c>
      <c r="D921" s="627"/>
      <c r="E921" s="627"/>
      <c r="F921" s="660"/>
      <c r="G921" s="627" t="s">
        <v>130</v>
      </c>
      <c r="H921" s="627"/>
      <c r="I921" s="627"/>
      <c r="J921" s="627"/>
      <c r="K921" s="627"/>
      <c r="L921" s="627"/>
      <c r="M921" s="627"/>
      <c r="N921" s="627"/>
      <c r="O921" s="627"/>
      <c r="P921" s="627"/>
      <c r="Q921" s="719"/>
      <c r="R921" s="627"/>
      <c r="S921" s="627"/>
      <c r="T921" s="627"/>
      <c r="U921" s="627"/>
      <c r="V921" s="627"/>
      <c r="W921" s="627"/>
      <c r="X921" s="627"/>
      <c r="Y921" s="627"/>
      <c r="Z921" s="627"/>
      <c r="AA921" s="627"/>
      <c r="AB921" s="627"/>
      <c r="AC921" s="627"/>
      <c r="AD921" s="627"/>
      <c r="AE921" s="627"/>
      <c r="AF921" s="627"/>
      <c r="AG921" s="627"/>
      <c r="AH921" s="627"/>
      <c r="AI921" s="627"/>
      <c r="AJ921" s="627"/>
      <c r="AK921" s="627"/>
      <c r="AL921" s="627"/>
      <c r="AM921" s="627"/>
      <c r="AN921" s="627"/>
      <c r="AO921" s="627"/>
      <c r="AP921" s="627"/>
      <c r="AQ921" s="627"/>
      <c r="AR921" s="627"/>
      <c r="AS921" s="627"/>
      <c r="AT921" s="627"/>
      <c r="AU921" s="627"/>
      <c r="AV921" s="627"/>
      <c r="AW921" s="627"/>
      <c r="AX921" s="627"/>
      <c r="AY921" s="627"/>
      <c r="AZ921" s="627"/>
      <c r="BA921" s="627"/>
      <c r="BB921" s="627"/>
      <c r="BC921" s="627"/>
      <c r="BD921" s="627"/>
      <c r="BE921" s="627"/>
      <c r="BF921" s="627"/>
      <c r="BG921" s="627"/>
      <c r="BH921" s="627"/>
      <c r="BI921" s="627"/>
      <c r="BJ921" s="627"/>
    </row>
    <row r="922" spans="1:62" x14ac:dyDescent="0.35">
      <c r="A922" s="988"/>
      <c r="B922" s="627"/>
      <c r="C922" s="627" t="s">
        <v>640</v>
      </c>
      <c r="D922" s="627"/>
      <c r="E922" s="627"/>
      <c r="F922" s="203">
        <f>IF(H922=0,4.8,H922)</f>
        <v>4.8</v>
      </c>
      <c r="G922" s="627" t="s">
        <v>641</v>
      </c>
      <c r="H922" s="660"/>
      <c r="I922" s="627" t="s">
        <v>642</v>
      </c>
      <c r="J922" s="627"/>
      <c r="K922" s="627"/>
      <c r="L922" s="627"/>
      <c r="M922" s="627"/>
      <c r="N922" s="627"/>
      <c r="O922" s="627"/>
      <c r="P922" s="627"/>
      <c r="Q922" s="719"/>
      <c r="R922" s="627"/>
      <c r="S922" s="627"/>
      <c r="T922" s="627"/>
      <c r="U922" s="627"/>
      <c r="V922" s="627"/>
      <c r="W922" s="627"/>
      <c r="X922" s="627"/>
      <c r="Y922" s="627"/>
      <c r="Z922" s="627"/>
      <c r="AA922" s="627"/>
      <c r="AB922" s="627"/>
      <c r="AC922" s="627"/>
      <c r="AD922" s="627"/>
      <c r="AE922" s="627"/>
      <c r="AF922" s="627"/>
      <c r="AG922" s="627"/>
      <c r="AH922" s="627"/>
      <c r="AI922" s="627"/>
      <c r="AJ922" s="627"/>
      <c r="AK922" s="627"/>
      <c r="AL922" s="627"/>
      <c r="AM922" s="627"/>
      <c r="AN922" s="627"/>
      <c r="AO922" s="627"/>
      <c r="AP922" s="627"/>
      <c r="AQ922" s="627"/>
      <c r="AR922" s="627"/>
      <c r="AS922" s="627"/>
      <c r="AT922" s="627"/>
      <c r="AU922" s="627"/>
      <c r="AV922" s="627"/>
      <c r="AW922" s="627"/>
      <c r="AX922" s="627"/>
      <c r="AY922" s="627"/>
      <c r="AZ922" s="627"/>
      <c r="BA922" s="627"/>
      <c r="BB922" s="627"/>
      <c r="BC922" s="627"/>
      <c r="BD922" s="627"/>
      <c r="BE922" s="627"/>
      <c r="BF922" s="627"/>
      <c r="BG922" s="627"/>
      <c r="BH922" s="627"/>
      <c r="BI922" s="627"/>
      <c r="BJ922" s="627"/>
    </row>
    <row r="923" spans="1:62" x14ac:dyDescent="0.35">
      <c r="A923" s="988"/>
      <c r="B923" s="627"/>
      <c r="C923" s="627" t="s">
        <v>643</v>
      </c>
      <c r="D923" s="627"/>
      <c r="E923" s="627"/>
      <c r="F923" s="203">
        <f>IF(M924=0,11,M924)</f>
        <v>8</v>
      </c>
      <c r="G923" s="627" t="s">
        <v>644</v>
      </c>
      <c r="H923" s="627"/>
      <c r="I923" s="627"/>
      <c r="J923" s="627"/>
      <c r="K923" s="627"/>
      <c r="L923" s="627"/>
      <c r="M923" s="627"/>
      <c r="N923" s="627"/>
      <c r="O923" s="627"/>
      <c r="P923" s="627"/>
      <c r="Q923" s="719"/>
      <c r="R923" s="627"/>
      <c r="S923" s="627"/>
      <c r="T923" s="627"/>
      <c r="U923" s="627"/>
      <c r="V923" s="627"/>
      <c r="W923" s="627"/>
      <c r="X923" s="627"/>
      <c r="Y923" s="627"/>
      <c r="Z923" s="627"/>
      <c r="AA923" s="627"/>
      <c r="AB923" s="627"/>
      <c r="AC923" s="627"/>
      <c r="AD923" s="627"/>
      <c r="AE923" s="627"/>
      <c r="AF923" s="627"/>
      <c r="AG923" s="627"/>
      <c r="AH923" s="627"/>
      <c r="AI923" s="627"/>
      <c r="AJ923" s="627"/>
      <c r="AK923" s="627"/>
      <c r="AL923" s="627"/>
      <c r="AM923" s="627"/>
      <c r="AN923" s="627"/>
      <c r="AO923" s="627"/>
      <c r="AP923" s="627"/>
      <c r="AQ923" s="627"/>
      <c r="AR923" s="627"/>
      <c r="AS923" s="627"/>
      <c r="AT923" s="627"/>
      <c r="AU923" s="627"/>
      <c r="AV923" s="627"/>
      <c r="AW923" s="627"/>
      <c r="AX923" s="627"/>
      <c r="AY923" s="627"/>
      <c r="AZ923" s="627"/>
      <c r="BA923" s="627"/>
      <c r="BB923" s="627"/>
      <c r="BC923" s="627"/>
      <c r="BD923" s="627"/>
      <c r="BE923" s="627"/>
      <c r="BF923" s="627"/>
      <c r="BG923" s="627"/>
      <c r="BH923" s="627"/>
      <c r="BI923" s="627"/>
      <c r="BJ923" s="627"/>
    </row>
    <row r="924" spans="1:62" x14ac:dyDescent="0.35">
      <c r="A924" s="988"/>
      <c r="B924" s="627"/>
      <c r="C924"/>
      <c r="D924" s="627"/>
      <c r="E924" s="627"/>
      <c r="F924" s="627"/>
      <c r="G924" s="627"/>
      <c r="H924" s="627"/>
      <c r="I924" s="627" t="s">
        <v>645</v>
      </c>
      <c r="J924" s="627"/>
      <c r="K924" s="627"/>
      <c r="L924" s="627"/>
      <c r="M924" s="1344">
        <v>8</v>
      </c>
      <c r="N924" s="1345"/>
      <c r="O924" s="627" t="s">
        <v>646</v>
      </c>
      <c r="P924" s="627"/>
      <c r="Q924" s="719"/>
      <c r="R924" s="627"/>
      <c r="S924" s="627"/>
      <c r="T924" s="627"/>
      <c r="U924" s="627"/>
      <c r="V924" s="627"/>
      <c r="W924" s="627"/>
      <c r="X924" s="627"/>
      <c r="Y924" s="627"/>
      <c r="Z924" s="627"/>
      <c r="AA924" s="627"/>
      <c r="AB924" s="627"/>
      <c r="AC924" s="627"/>
      <c r="AD924" s="627"/>
      <c r="AE924" s="627"/>
      <c r="AF924" s="627"/>
      <c r="AG924" s="627"/>
      <c r="AH924" s="627"/>
      <c r="AI924" s="627"/>
      <c r="AJ924" s="627"/>
      <c r="AK924" s="627"/>
      <c r="AL924" s="627"/>
      <c r="AM924" s="627"/>
      <c r="AN924" s="627"/>
      <c r="AO924" s="627"/>
      <c r="AP924" s="627"/>
      <c r="AQ924" s="627"/>
      <c r="AR924" s="627"/>
      <c r="AS924" s="627"/>
      <c r="AT924" s="627"/>
      <c r="AU924" s="627"/>
      <c r="AV924" s="627"/>
      <c r="AW924" s="627"/>
      <c r="AX924" s="627"/>
      <c r="AY924" s="627"/>
      <c r="AZ924" s="627"/>
      <c r="BA924" s="627"/>
      <c r="BB924" s="627"/>
      <c r="BC924" s="627"/>
      <c r="BD924" s="627"/>
      <c r="BE924" s="627"/>
      <c r="BF924" s="627"/>
      <c r="BG924" s="627"/>
      <c r="BH924" s="627"/>
      <c r="BI924" s="627"/>
      <c r="BJ924" s="627"/>
    </row>
    <row r="925" spans="1:62" x14ac:dyDescent="0.35">
      <c r="A925" s="988"/>
      <c r="B925" s="627"/>
      <c r="C925"/>
      <c r="D925" s="627"/>
      <c r="E925" s="627"/>
      <c r="F925" s="627"/>
      <c r="G925" s="627"/>
      <c r="H925" s="627"/>
      <c r="I925" s="627"/>
      <c r="J925" s="627"/>
      <c r="K925" s="627"/>
      <c r="L925" s="627"/>
      <c r="M925" s="627"/>
      <c r="N925" s="627"/>
      <c r="O925" s="627" t="s">
        <v>647</v>
      </c>
      <c r="P925" s="627"/>
      <c r="Q925" s="719"/>
      <c r="R925" s="627"/>
      <c r="S925" s="627"/>
      <c r="T925" s="627"/>
      <c r="U925" s="627"/>
      <c r="V925" s="627"/>
      <c r="W925" s="627"/>
      <c r="X925" s="627"/>
      <c r="Y925" s="627"/>
      <c r="Z925" s="627"/>
      <c r="AA925" s="627"/>
      <c r="AB925" s="627"/>
      <c r="AC925" s="627"/>
      <c r="AD925" s="627"/>
      <c r="AE925" s="627"/>
      <c r="AF925" s="627"/>
      <c r="AG925" s="627"/>
      <c r="AH925" s="627"/>
      <c r="AI925" s="627"/>
      <c r="AJ925" s="627"/>
      <c r="AK925" s="627"/>
      <c r="AL925" s="627"/>
      <c r="AM925" s="627"/>
      <c r="AN925" s="627"/>
      <c r="AO925" s="627"/>
      <c r="AP925" s="627"/>
      <c r="AQ925" s="627"/>
      <c r="AR925" s="627"/>
      <c r="AS925" s="627"/>
      <c r="AT925" s="627"/>
      <c r="AU925" s="627"/>
      <c r="AV925" s="627"/>
      <c r="AW925" s="627"/>
      <c r="AX925" s="627"/>
      <c r="AY925" s="627"/>
      <c r="AZ925" s="627"/>
      <c r="BA925" s="627"/>
      <c r="BB925" s="627"/>
      <c r="BC925" s="627"/>
      <c r="BD925" s="627"/>
      <c r="BE925" s="627"/>
      <c r="BF925" s="627"/>
      <c r="BG925" s="627"/>
      <c r="BH925" s="627"/>
      <c r="BI925" s="627"/>
      <c r="BJ925" s="627"/>
    </row>
    <row r="926" spans="1:62" ht="13.15" hidden="1" thickBot="1" x14ac:dyDescent="0.4">
      <c r="A926" s="988"/>
      <c r="B926" s="627"/>
      <c r="C926" s="692">
        <f ca="1">IF(L926=0,0,"PARA MELHOR DISTRIBUIÇÃO DAS LAJES ALTERAR O COMPRIMENTO MÁXIMO PARA= ")</f>
        <v>0</v>
      </c>
      <c r="D926" s="1041"/>
      <c r="E926" s="1041"/>
      <c r="F926" s="1041"/>
      <c r="G926" s="1041"/>
      <c r="H926" s="1041"/>
      <c r="I926" s="1041"/>
      <c r="J926" s="1041"/>
      <c r="K926" s="691"/>
      <c r="L926" s="1141">
        <f ca="1">LAJES!BU87</f>
        <v>0</v>
      </c>
      <c r="M926" s="691" t="s">
        <v>20</v>
      </c>
      <c r="N926" s="627"/>
      <c r="O926" s="627" t="s">
        <v>648</v>
      </c>
      <c r="P926" s="627"/>
      <c r="Q926" s="719"/>
      <c r="R926" s="627"/>
      <c r="S926" s="627"/>
      <c r="T926" s="627"/>
      <c r="U926" s="627"/>
      <c r="V926" s="627"/>
      <c r="W926" s="627"/>
      <c r="X926" s="627"/>
      <c r="Y926" s="627"/>
      <c r="Z926" s="627"/>
      <c r="AA926" s="627"/>
      <c r="AB926" s="627"/>
      <c r="AC926" s="627"/>
      <c r="AD926" s="627"/>
      <c r="AE926" s="627"/>
      <c r="AF926" s="627"/>
      <c r="AG926" s="627"/>
      <c r="AH926" s="627"/>
      <c r="AI926" s="627"/>
      <c r="AJ926" s="627"/>
      <c r="AK926" s="627"/>
      <c r="AL926" s="627"/>
      <c r="AM926" s="627"/>
      <c r="AN926" s="627"/>
      <c r="AO926" s="627"/>
      <c r="AP926" s="627"/>
      <c r="AQ926" s="627"/>
      <c r="AR926" s="627"/>
      <c r="AS926" s="627"/>
      <c r="AT926" s="627"/>
      <c r="AU926" s="627"/>
      <c r="AV926" s="627"/>
      <c r="AW926" s="627"/>
      <c r="AX926" s="627"/>
      <c r="AY926" s="627"/>
      <c r="AZ926" s="627"/>
      <c r="BA926" s="627"/>
      <c r="BB926" s="627"/>
      <c r="BC926" s="627"/>
      <c r="BD926" s="627"/>
      <c r="BE926" s="627"/>
      <c r="BF926" s="627"/>
      <c r="BG926" s="627"/>
      <c r="BH926" s="627"/>
      <c r="BI926" s="627"/>
      <c r="BJ926" s="627"/>
    </row>
    <row r="927" spans="1:62" x14ac:dyDescent="0.35">
      <c r="A927" s="988"/>
      <c r="B927" s="627"/>
      <c r="C927"/>
      <c r="D927" s="627"/>
      <c r="E927" s="627"/>
      <c r="F927" s="627"/>
      <c r="G927" s="627"/>
      <c r="H927" s="627"/>
      <c r="I927" s="627"/>
      <c r="J927" s="627"/>
      <c r="K927" s="627"/>
      <c r="L927" s="627"/>
      <c r="M927" s="627"/>
      <c r="N927" s="627"/>
      <c r="O927" s="627" t="s">
        <v>648</v>
      </c>
      <c r="P927" s="627"/>
      <c r="Q927" s="719"/>
      <c r="R927" s="627"/>
      <c r="S927" s="627"/>
      <c r="T927" s="627"/>
      <c r="U927" s="627"/>
      <c r="V927" s="627"/>
      <c r="W927" s="627"/>
      <c r="X927" s="627"/>
      <c r="Y927" s="627"/>
      <c r="Z927" s="627"/>
      <c r="AA927" s="627"/>
      <c r="AB927" s="627"/>
      <c r="AC927" s="627"/>
      <c r="AD927" s="627"/>
      <c r="AE927" s="627"/>
      <c r="AF927" s="627"/>
      <c r="AG927" s="627"/>
      <c r="AH927" s="627"/>
      <c r="AI927" s="627"/>
      <c r="AJ927" s="627"/>
      <c r="AK927" s="627"/>
      <c r="AL927" s="627"/>
      <c r="AM927" s="627"/>
      <c r="AN927" s="627"/>
      <c r="AO927" s="627"/>
      <c r="AP927" s="627"/>
      <c r="AQ927" s="627"/>
      <c r="AR927" s="627"/>
      <c r="AS927" s="627"/>
      <c r="AT927" s="627"/>
      <c r="AU927" s="627"/>
      <c r="AV927" s="627"/>
      <c r="AW927" s="627"/>
      <c r="AX927" s="627"/>
      <c r="AY927" s="627"/>
      <c r="AZ927" s="627"/>
      <c r="BA927" s="627"/>
      <c r="BB927" s="627"/>
      <c r="BC927" s="627"/>
      <c r="BD927" s="627"/>
      <c r="BE927" s="627"/>
      <c r="BF927" s="627"/>
      <c r="BG927" s="627"/>
      <c r="BH927" s="627"/>
      <c r="BI927" s="627"/>
      <c r="BJ927" s="627"/>
    </row>
    <row r="928" spans="1:62" x14ac:dyDescent="0.35">
      <c r="A928" s="988"/>
      <c r="B928" s="627"/>
      <c r="C928" s="291" t="s">
        <v>649</v>
      </c>
      <c r="D928" s="292"/>
      <c r="E928" s="292"/>
      <c r="F928" s="292"/>
      <c r="G928" s="292"/>
      <c r="H928" s="1142"/>
      <c r="I928" s="1142"/>
      <c r="J928" s="1142"/>
      <c r="K928" s="1142"/>
      <c r="L928" s="1142"/>
      <c r="M928" s="1143"/>
      <c r="N928" s="627"/>
      <c r="O928" s="627" t="s">
        <v>650</v>
      </c>
      <c r="P928" s="627"/>
      <c r="Q928" s="719"/>
      <c r="R928" s="627"/>
      <c r="S928" s="627"/>
      <c r="T928" s="627"/>
      <c r="U928" s="627"/>
      <c r="V928" s="627"/>
      <c r="W928" s="627"/>
      <c r="X928" s="627"/>
      <c r="Y928" s="627"/>
      <c r="Z928" s="627"/>
      <c r="AA928" s="627"/>
      <c r="AB928" s="627"/>
      <c r="AC928" s="627"/>
      <c r="AD928" s="627"/>
      <c r="AE928" s="627"/>
      <c r="AF928" s="627"/>
      <c r="AG928" s="627"/>
      <c r="AH928" s="627"/>
      <c r="AI928" s="627"/>
      <c r="AJ928" s="627"/>
      <c r="AK928" s="627"/>
      <c r="AL928" s="627"/>
      <c r="AM928" s="627"/>
      <c r="AN928" s="627"/>
      <c r="AO928" s="627"/>
      <c r="AP928" s="627"/>
      <c r="AQ928" s="627"/>
      <c r="AR928" s="627"/>
      <c r="AS928" s="627"/>
      <c r="AT928" s="627"/>
      <c r="AU928" s="627"/>
      <c r="AV928" s="627"/>
      <c r="AW928" s="627"/>
      <c r="AX928" s="627"/>
      <c r="AY928" s="627"/>
      <c r="AZ928" s="627"/>
      <c r="BA928" s="627"/>
      <c r="BB928" s="627"/>
      <c r="BC928" s="627"/>
      <c r="BD928" s="627"/>
      <c r="BE928" s="627"/>
      <c r="BF928" s="627"/>
      <c r="BG928" s="627"/>
      <c r="BH928" s="627"/>
      <c r="BI928" s="627"/>
      <c r="BJ928" s="627"/>
    </row>
    <row r="929" spans="1:62" x14ac:dyDescent="0.35">
      <c r="A929" s="988"/>
      <c r="B929" s="627"/>
      <c r="C929" s="988"/>
      <c r="D929" t="s">
        <v>651</v>
      </c>
      <c r="E929"/>
      <c r="F929"/>
      <c r="G929"/>
      <c r="H929"/>
      <c r="I929" s="627"/>
      <c r="J929" s="627"/>
      <c r="K929" s="627"/>
      <c r="L929" s="627"/>
      <c r="M929" s="719"/>
      <c r="N929" s="627"/>
      <c r="O929" s="627" t="s">
        <v>652</v>
      </c>
      <c r="P929" s="627"/>
      <c r="Q929" s="719"/>
      <c r="R929" s="627"/>
      <c r="S929" s="627"/>
      <c r="T929" s="627"/>
      <c r="U929" s="627"/>
      <c r="V929" s="627"/>
      <c r="W929" s="627"/>
      <c r="X929" s="627"/>
      <c r="Y929" s="627"/>
      <c r="Z929" s="627"/>
      <c r="AA929" s="627"/>
      <c r="AB929" s="627"/>
      <c r="AC929" s="627"/>
      <c r="AD929" s="627"/>
      <c r="AE929" s="627"/>
      <c r="AF929" s="627"/>
      <c r="AG929" s="627"/>
      <c r="AH929" s="627"/>
      <c r="AI929" s="627"/>
      <c r="AJ929" s="627"/>
      <c r="AK929" s="627"/>
      <c r="AL929" s="627"/>
      <c r="AM929" s="627"/>
      <c r="AN929" s="627"/>
      <c r="AO929" s="627"/>
      <c r="AP929" s="627"/>
      <c r="AQ929" s="627"/>
      <c r="AR929" s="627"/>
      <c r="AS929" s="627"/>
      <c r="AT929" s="627"/>
      <c r="AU929" s="627"/>
      <c r="AV929" s="627"/>
      <c r="AW929" s="627"/>
      <c r="AX929" s="627"/>
      <c r="AY929" s="627"/>
      <c r="AZ929" s="627"/>
      <c r="BA929" s="627"/>
      <c r="BB929" s="627"/>
      <c r="BC929" s="627"/>
      <c r="BD929" s="627"/>
      <c r="BE929" s="627"/>
      <c r="BF929" s="627"/>
      <c r="BG929" s="627"/>
      <c r="BH929" s="627"/>
      <c r="BI929" s="627"/>
      <c r="BJ929" s="627"/>
    </row>
    <row r="930" spans="1:62" x14ac:dyDescent="0.35">
      <c r="A930" s="988"/>
      <c r="B930" s="627"/>
      <c r="C930" s="988"/>
      <c r="D930"/>
      <c r="E930" t="s">
        <v>653</v>
      </c>
      <c r="F930" s="660">
        <v>0.5</v>
      </c>
      <c r="G930" t="s">
        <v>20</v>
      </c>
      <c r="H930" s="660"/>
      <c r="I930" s="627" t="s">
        <v>654</v>
      </c>
      <c r="J930" s="627"/>
      <c r="K930" s="627"/>
      <c r="L930" s="627"/>
      <c r="M930" s="719"/>
      <c r="N930" s="627"/>
      <c r="O930" s="627" t="s">
        <v>655</v>
      </c>
      <c r="P930" s="627"/>
      <c r="Q930" s="719"/>
      <c r="R930" s="627"/>
      <c r="S930" s="627"/>
      <c r="T930" s="627"/>
      <c r="U930" s="627"/>
      <c r="V930" s="627"/>
      <c r="W930" s="627"/>
      <c r="X930" s="627"/>
      <c r="Y930" s="627"/>
      <c r="Z930" s="627"/>
      <c r="AA930" s="627"/>
      <c r="AB930" s="627"/>
      <c r="AC930" s="627"/>
      <c r="AD930" s="627"/>
      <c r="AE930" s="627"/>
      <c r="AF930" s="627"/>
      <c r="AG930" s="627"/>
      <c r="AH930" s="627"/>
      <c r="AI930" s="627"/>
      <c r="AJ930" s="627"/>
      <c r="AK930" s="627"/>
      <c r="AL930" s="627"/>
      <c r="AM930" s="627"/>
      <c r="AN930" s="627"/>
      <c r="AO930" s="627"/>
      <c r="AP930" s="627"/>
      <c r="AQ930" s="627"/>
      <c r="AR930" s="627"/>
      <c r="AS930" s="627"/>
      <c r="AT930" s="627"/>
      <c r="AU930" s="627"/>
      <c r="AV930" s="627"/>
      <c r="AW930" s="627"/>
      <c r="AX930" s="627"/>
      <c r="AY930" s="627"/>
      <c r="AZ930" s="627"/>
      <c r="BA930" s="627"/>
      <c r="BB930" s="627"/>
      <c r="BC930" s="627"/>
      <c r="BD930" s="627"/>
      <c r="BE930" s="627"/>
      <c r="BF930" s="627"/>
      <c r="BG930" s="627"/>
      <c r="BH930" s="627"/>
      <c r="BI930" s="627"/>
      <c r="BJ930" s="627"/>
    </row>
    <row r="931" spans="1:62" x14ac:dyDescent="0.35">
      <c r="A931" s="988"/>
      <c r="B931" s="627"/>
      <c r="C931" s="988"/>
      <c r="D931"/>
      <c r="E931" t="s">
        <v>656</v>
      </c>
      <c r="F931" s="660">
        <v>0.5</v>
      </c>
      <c r="G931" t="s">
        <v>20</v>
      </c>
      <c r="H931" s="660"/>
      <c r="I931" s="627" t="s">
        <v>654</v>
      </c>
      <c r="J931" s="627"/>
      <c r="K931" s="627"/>
      <c r="L931" s="627"/>
      <c r="M931" s="719"/>
      <c r="N931" s="627"/>
      <c r="O931" s="627" t="s">
        <v>657</v>
      </c>
      <c r="P931" s="627"/>
      <c r="Q931" s="719"/>
      <c r="R931" s="627"/>
      <c r="S931" s="627"/>
      <c r="T931" s="627"/>
      <c r="U931" s="627"/>
      <c r="V931" s="627"/>
      <c r="W931" s="627"/>
      <c r="X931" s="627"/>
      <c r="Y931" s="627"/>
      <c r="Z931" s="627"/>
      <c r="AA931" s="627"/>
      <c r="AB931" s="627"/>
      <c r="AC931" s="627"/>
      <c r="AD931" s="627"/>
      <c r="AE931" s="627"/>
      <c r="AF931" s="627"/>
      <c r="AG931" s="627"/>
      <c r="AH931" s="627"/>
      <c r="AI931" s="627"/>
      <c r="AJ931" s="627"/>
      <c r="AK931" s="627"/>
      <c r="AL931" s="627"/>
      <c r="AM931" s="627"/>
      <c r="AN931" s="627"/>
      <c r="AO931" s="627"/>
      <c r="AP931" s="627"/>
      <c r="AQ931" s="627"/>
      <c r="AR931" s="627"/>
      <c r="AS931" s="627"/>
      <c r="AT931" s="627"/>
      <c r="AU931" s="627"/>
      <c r="AV931" s="627"/>
      <c r="AW931" s="627"/>
      <c r="AX931" s="627"/>
      <c r="AY931" s="627"/>
      <c r="AZ931" s="627"/>
      <c r="BA931" s="627"/>
      <c r="BB931" s="627"/>
      <c r="BC931" s="627"/>
      <c r="BD931" s="627"/>
      <c r="BE931" s="627"/>
      <c r="BF931" s="627"/>
      <c r="BG931" s="627"/>
      <c r="BH931" s="627"/>
      <c r="BI931" s="627"/>
      <c r="BJ931" s="627"/>
    </row>
    <row r="932" spans="1:62" x14ac:dyDescent="0.35">
      <c r="A932" s="988"/>
      <c r="B932" s="627"/>
      <c r="C932" s="988"/>
      <c r="D932"/>
      <c r="E932" t="s">
        <v>658</v>
      </c>
      <c r="F932" s="660">
        <f>IF(H932=0,100,H932)</f>
        <v>100</v>
      </c>
      <c r="G932" t="s">
        <v>132</v>
      </c>
      <c r="H932" s="660"/>
      <c r="I932" s="627" t="s">
        <v>654</v>
      </c>
      <c r="J932" s="627"/>
      <c r="K932" s="627"/>
      <c r="L932" s="627"/>
      <c r="M932" s="719"/>
      <c r="N932" s="627"/>
      <c r="O932" s="627" t="s">
        <v>659</v>
      </c>
      <c r="P932" s="627"/>
      <c r="Q932" s="719"/>
      <c r="R932" s="627"/>
      <c r="S932" s="627"/>
      <c r="T932" s="627"/>
      <c r="U932" s="627"/>
      <c r="V932" s="627"/>
      <c r="W932" s="627"/>
      <c r="X932" s="627"/>
      <c r="Y932" s="627"/>
      <c r="Z932" s="627"/>
      <c r="AA932" s="627"/>
      <c r="AB932" s="627"/>
      <c r="AC932" s="627"/>
      <c r="AD932" s="627"/>
      <c r="AE932" s="627"/>
      <c r="AF932" s="627"/>
      <c r="AG932" s="627"/>
      <c r="AH932" s="627"/>
      <c r="AI932" s="627"/>
      <c r="AJ932" s="627"/>
      <c r="AK932" s="627"/>
      <c r="AL932" s="627"/>
      <c r="AM932" s="627"/>
      <c r="AN932" s="627"/>
      <c r="AO932" s="627"/>
      <c r="AP932" s="627"/>
      <c r="AQ932" s="627"/>
      <c r="AR932" s="627"/>
      <c r="AS932" s="627"/>
      <c r="AT932" s="627"/>
      <c r="AU932" s="627"/>
      <c r="AV932" s="627"/>
      <c r="AW932" s="627"/>
      <c r="AX932" s="627"/>
      <c r="AY932" s="627"/>
      <c r="AZ932" s="627"/>
      <c r="BA932" s="627"/>
      <c r="BB932" s="627"/>
      <c r="BC932" s="627"/>
      <c r="BD932" s="627"/>
      <c r="BE932" s="627"/>
      <c r="BF932" s="627"/>
      <c r="BG932" s="627"/>
      <c r="BH932" s="627"/>
      <c r="BI932" s="627"/>
      <c r="BJ932" s="627"/>
    </row>
    <row r="933" spans="1:62" x14ac:dyDescent="0.35">
      <c r="A933" s="988"/>
      <c r="B933" s="627"/>
      <c r="C933" s="988"/>
      <c r="D933" t="s">
        <v>660</v>
      </c>
      <c r="E933"/>
      <c r="F933" s="4"/>
      <c r="G933"/>
      <c r="H933"/>
      <c r="I933" s="627"/>
      <c r="J933" s="627"/>
      <c r="K933" s="627"/>
      <c r="L933" s="627"/>
      <c r="M933" s="719"/>
      <c r="N933" s="627"/>
      <c r="O933" s="627" t="s">
        <v>661</v>
      </c>
      <c r="P933" s="627"/>
      <c r="Q933" s="719"/>
      <c r="R933" s="627"/>
      <c r="S933" s="627"/>
      <c r="T933" s="627"/>
      <c r="U933" s="627"/>
      <c r="V933" s="627"/>
      <c r="W933" s="627"/>
      <c r="X933" s="627"/>
      <c r="Y933" s="627"/>
      <c r="Z933" s="627"/>
      <c r="AA933" s="627"/>
      <c r="AB933" s="627"/>
      <c r="AC933" s="627"/>
      <c r="AD933" s="627"/>
      <c r="AE933" s="627"/>
      <c r="AF933" s="627"/>
      <c r="AG933" s="627"/>
      <c r="AH933" s="627"/>
      <c r="AI933" s="627"/>
      <c r="AJ933" s="627"/>
      <c r="AK933" s="627"/>
      <c r="AL933" s="627"/>
      <c r="AM933" s="627"/>
      <c r="AN933" s="627"/>
      <c r="AO933" s="627"/>
      <c r="AP933" s="627"/>
      <c r="AQ933" s="627"/>
      <c r="AR933" s="627"/>
      <c r="AS933" s="627"/>
      <c r="AT933" s="627"/>
      <c r="AU933" s="627"/>
      <c r="AV933" s="627"/>
      <c r="AW933" s="627"/>
      <c r="AX933" s="627"/>
      <c r="AY933" s="627"/>
      <c r="AZ933" s="627"/>
      <c r="BA933" s="627"/>
      <c r="BB933" s="627"/>
      <c r="BC933" s="627"/>
      <c r="BD933" s="627"/>
      <c r="BE933" s="627"/>
      <c r="BF933" s="627"/>
      <c r="BG933" s="627"/>
      <c r="BH933" s="627"/>
      <c r="BI933" s="627"/>
      <c r="BJ933" s="627"/>
    </row>
    <row r="934" spans="1:62" x14ac:dyDescent="0.35">
      <c r="A934" s="988"/>
      <c r="B934" s="627"/>
      <c r="C934" s="988"/>
      <c r="D934"/>
      <c r="E934" t="s">
        <v>662</v>
      </c>
      <c r="F934" s="660">
        <f>IF(H934=0,0.25,H934)</f>
        <v>0.25</v>
      </c>
      <c r="G934" t="s">
        <v>20</v>
      </c>
      <c r="H934" s="660"/>
      <c r="I934" s="627" t="s">
        <v>654</v>
      </c>
      <c r="J934" s="627"/>
      <c r="K934" s="627"/>
      <c r="L934" s="627"/>
      <c r="M934" s="719"/>
      <c r="N934" s="627"/>
      <c r="O934" s="627" t="s">
        <v>663</v>
      </c>
      <c r="P934" s="627"/>
      <c r="Q934" s="719"/>
      <c r="R934" s="627"/>
      <c r="S934" s="627"/>
      <c r="T934" s="627"/>
      <c r="U934" s="627"/>
      <c r="V934" s="627"/>
      <c r="W934" s="627"/>
      <c r="X934" s="627"/>
      <c r="Y934" s="627"/>
      <c r="Z934" s="627"/>
      <c r="AA934" s="627"/>
      <c r="AB934" s="627"/>
      <c r="AC934" s="627"/>
      <c r="AD934" s="627"/>
      <c r="AE934" s="627"/>
      <c r="AF934" s="627"/>
      <c r="AG934" s="627"/>
      <c r="AH934" s="627"/>
      <c r="AI934" s="627"/>
      <c r="AJ934" s="627"/>
      <c r="AK934" s="627"/>
      <c r="AL934" s="627"/>
      <c r="AM934" s="627"/>
      <c r="AN934" s="627"/>
      <c r="AO934" s="627"/>
      <c r="AP934" s="627"/>
      <c r="AQ934" s="627"/>
      <c r="AR934" s="627"/>
      <c r="AS934" s="627"/>
      <c r="AT934" s="627"/>
      <c r="AU934" s="627"/>
      <c r="AV934" s="627"/>
      <c r="AW934" s="627"/>
      <c r="AX934" s="627"/>
      <c r="AY934" s="627"/>
      <c r="AZ934" s="627"/>
      <c r="BA934" s="627"/>
      <c r="BB934" s="627"/>
      <c r="BC934" s="627"/>
      <c r="BD934" s="627"/>
      <c r="BE934" s="627"/>
      <c r="BF934" s="627"/>
      <c r="BG934" s="627"/>
      <c r="BH934" s="627"/>
      <c r="BI934" s="627"/>
      <c r="BJ934" s="627"/>
    </row>
    <row r="935" spans="1:62" x14ac:dyDescent="0.35">
      <c r="A935" s="988"/>
      <c r="B935" s="627"/>
      <c r="C935" s="988"/>
      <c r="D935"/>
      <c r="E935" t="s">
        <v>664</v>
      </c>
      <c r="F935" s="660">
        <f>IF(H935=0,0.25,H935)</f>
        <v>0.25</v>
      </c>
      <c r="G935" t="s">
        <v>20</v>
      </c>
      <c r="H935" s="660"/>
      <c r="I935" s="627" t="s">
        <v>654</v>
      </c>
      <c r="J935" s="627"/>
      <c r="K935" s="627"/>
      <c r="L935" s="627"/>
      <c r="M935" s="719"/>
      <c r="N935" s="627"/>
      <c r="O935" s="627" t="s">
        <v>665</v>
      </c>
      <c r="P935" s="627"/>
      <c r="Q935" s="719"/>
      <c r="R935" s="627"/>
      <c r="S935" s="627"/>
      <c r="T935" s="627"/>
      <c r="U935" s="627"/>
      <c r="V935" s="627"/>
      <c r="W935" s="627"/>
      <c r="X935" s="627"/>
      <c r="Y935" s="627"/>
      <c r="Z935" s="627"/>
      <c r="AA935" s="627"/>
      <c r="AB935" s="627"/>
      <c r="AC935" s="627"/>
      <c r="AD935" s="627"/>
      <c r="AE935" s="627"/>
      <c r="AF935" s="627"/>
      <c r="AG935" s="627"/>
      <c r="AH935" s="627"/>
      <c r="AI935" s="627"/>
      <c r="AJ935" s="627"/>
      <c r="AK935" s="627"/>
      <c r="AL935" s="627"/>
      <c r="AM935" s="627"/>
      <c r="AN935" s="627"/>
      <c r="AO935" s="627"/>
      <c r="AP935" s="627"/>
      <c r="AQ935" s="627"/>
      <c r="AR935" s="627"/>
      <c r="AS935" s="627"/>
      <c r="AT935" s="627"/>
      <c r="AU935" s="627"/>
      <c r="AV935" s="627"/>
      <c r="AW935" s="627"/>
      <c r="AX935" s="627"/>
      <c r="AY935" s="627"/>
      <c r="AZ935" s="627"/>
      <c r="BA935" s="627"/>
      <c r="BB935" s="627"/>
      <c r="BC935" s="627"/>
      <c r="BD935" s="627"/>
      <c r="BE935" s="627"/>
      <c r="BF935" s="627"/>
      <c r="BG935" s="627"/>
      <c r="BH935" s="627"/>
      <c r="BI935" s="627"/>
      <c r="BJ935" s="627"/>
    </row>
    <row r="936" spans="1:62" x14ac:dyDescent="0.35">
      <c r="A936" s="988"/>
      <c r="B936" s="627"/>
      <c r="C936" s="988"/>
      <c r="D936"/>
      <c r="E936" t="s">
        <v>666</v>
      </c>
      <c r="F936" s="660">
        <f>IF(H936=0,0.25,H936)</f>
        <v>0.25</v>
      </c>
      <c r="G936" t="s">
        <v>20</v>
      </c>
      <c r="H936" s="660"/>
      <c r="I936" s="627" t="s">
        <v>654</v>
      </c>
      <c r="J936" s="627"/>
      <c r="K936" s="627"/>
      <c r="L936" s="627"/>
      <c r="M936" s="719"/>
      <c r="N936" s="627"/>
      <c r="O936" s="627"/>
      <c r="P936" s="627"/>
      <c r="Q936" s="719"/>
      <c r="R936" s="627"/>
      <c r="S936" s="627"/>
      <c r="T936" s="627"/>
      <c r="U936" s="627"/>
      <c r="V936" s="627"/>
      <c r="W936" s="627"/>
      <c r="X936" s="627"/>
      <c r="Y936" s="627"/>
      <c r="Z936" s="627"/>
      <c r="AA936" s="627"/>
      <c r="AB936" s="627"/>
      <c r="AC936" s="627"/>
      <c r="AD936" s="627"/>
      <c r="AE936" s="627"/>
      <c r="AF936" s="627"/>
      <c r="AG936" s="627"/>
      <c r="AH936" s="627"/>
      <c r="AI936" s="627"/>
      <c r="AJ936" s="627"/>
      <c r="AK936" s="627"/>
      <c r="AL936" s="627"/>
      <c r="AM936" s="627"/>
      <c r="AN936" s="627"/>
      <c r="AO936" s="627"/>
      <c r="AP936" s="627"/>
      <c r="AQ936" s="627"/>
      <c r="AR936" s="627"/>
      <c r="AS936" s="627"/>
      <c r="AT936" s="627"/>
      <c r="AU936" s="627"/>
      <c r="AV936" s="627"/>
      <c r="AW936" s="627"/>
      <c r="AX936" s="627"/>
      <c r="AY936" s="627"/>
      <c r="AZ936" s="627"/>
      <c r="BA936" s="627"/>
      <c r="BB936" s="627"/>
      <c r="BC936" s="627"/>
      <c r="BD936" s="627"/>
      <c r="BE936" s="627"/>
      <c r="BF936" s="627"/>
      <c r="BG936" s="627"/>
      <c r="BH936" s="627"/>
      <c r="BI936" s="627"/>
      <c r="BJ936" s="627"/>
    </row>
    <row r="937" spans="1:62" ht="7.5" customHeight="1" x14ac:dyDescent="0.35">
      <c r="A937" s="988"/>
      <c r="B937" s="627"/>
      <c r="C937" s="20"/>
      <c r="D937"/>
      <c r="E937"/>
      <c r="F937"/>
      <c r="G937"/>
      <c r="H937" s="627"/>
      <c r="I937" s="627"/>
      <c r="J937" s="627"/>
      <c r="K937" s="627"/>
      <c r="L937" s="627"/>
      <c r="M937" s="719"/>
      <c r="N937" s="627"/>
      <c r="O937" s="627"/>
      <c r="P937" s="627"/>
      <c r="Q937" s="719"/>
      <c r="R937" s="627"/>
      <c r="S937" s="627"/>
      <c r="T937" s="627"/>
      <c r="U937" s="627"/>
      <c r="V937" s="627"/>
      <c r="W937" s="627"/>
      <c r="X937" s="627"/>
      <c r="Y937" s="627"/>
      <c r="Z937" s="627"/>
      <c r="AA937" s="627"/>
      <c r="AB937" s="627"/>
      <c r="AC937" s="627"/>
      <c r="AD937" s="627"/>
      <c r="AE937" s="627"/>
      <c r="AF937" s="627"/>
      <c r="AG937" s="627"/>
      <c r="AH937" s="627"/>
      <c r="AI937" s="627"/>
      <c r="AJ937" s="627"/>
      <c r="AK937" s="627"/>
      <c r="AL937" s="627"/>
      <c r="AM937" s="627"/>
      <c r="AN937" s="627"/>
      <c r="AO937" s="627"/>
      <c r="AP937" s="627"/>
      <c r="AQ937" s="627"/>
      <c r="AR937" s="627"/>
      <c r="AS937" s="627"/>
      <c r="AT937" s="627"/>
      <c r="AU937" s="627"/>
      <c r="AV937" s="627"/>
      <c r="AW937" s="627"/>
      <c r="AX937" s="627"/>
      <c r="AY937" s="627"/>
      <c r="AZ937" s="627"/>
      <c r="BA937" s="627"/>
      <c r="BB937" s="627"/>
      <c r="BC937" s="627"/>
      <c r="BD937" s="627"/>
      <c r="BE937" s="627"/>
      <c r="BF937" s="627"/>
      <c r="BG937" s="627"/>
      <c r="BH937" s="627"/>
      <c r="BI937" s="627"/>
      <c r="BJ937" s="627"/>
    </row>
    <row r="938" spans="1:62" x14ac:dyDescent="0.35">
      <c r="A938" s="988"/>
      <c r="B938" s="627"/>
      <c r="C938" s="20"/>
      <c r="D938" t="s">
        <v>667</v>
      </c>
      <c r="E938"/>
      <c r="F938" s="660">
        <f>IF(H938=0,0.05,H938)</f>
        <v>0.05</v>
      </c>
      <c r="G938" t="s">
        <v>20</v>
      </c>
      <c r="H938" s="660"/>
      <c r="I938" s="627" t="s">
        <v>654</v>
      </c>
      <c r="J938" s="627"/>
      <c r="K938" s="627"/>
      <c r="L938" s="627"/>
      <c r="M938" s="719"/>
      <c r="N938" s="627"/>
      <c r="O938" s="627"/>
      <c r="P938" s="627"/>
      <c r="Q938" s="719"/>
      <c r="R938" s="627"/>
      <c r="S938" s="627"/>
      <c r="T938" s="627"/>
      <c r="U938" s="627"/>
      <c r="V938" s="627"/>
      <c r="W938" s="627"/>
      <c r="X938" s="627"/>
      <c r="Y938" s="627"/>
      <c r="Z938" s="627"/>
      <c r="AA938" s="627"/>
      <c r="AB938" s="627"/>
      <c r="AC938" s="627"/>
      <c r="AD938" s="627"/>
      <c r="AE938" s="627"/>
      <c r="AF938" s="627"/>
      <c r="AG938" s="627"/>
      <c r="AH938" s="627"/>
      <c r="AI938" s="627"/>
      <c r="AJ938" s="627"/>
      <c r="AK938" s="627"/>
      <c r="AL938" s="627"/>
      <c r="AM938" s="627"/>
      <c r="AN938" s="627"/>
      <c r="AO938" s="627"/>
      <c r="AP938" s="627"/>
      <c r="AQ938" s="627"/>
      <c r="AR938" s="627"/>
      <c r="AS938" s="627"/>
      <c r="AT938" s="627"/>
      <c r="AU938" s="627"/>
      <c r="AV938" s="627"/>
      <c r="AW938" s="627"/>
      <c r="AX938" s="627"/>
      <c r="AY938" s="627"/>
      <c r="AZ938" s="627"/>
      <c r="BA938" s="627"/>
      <c r="BB938" s="627"/>
      <c r="BC938" s="627"/>
      <c r="BD938" s="627"/>
      <c r="BE938" s="627"/>
      <c r="BF938" s="627"/>
      <c r="BG938" s="627"/>
      <c r="BH938" s="627"/>
      <c r="BI938" s="627"/>
      <c r="BJ938" s="627"/>
    </row>
    <row r="939" spans="1:62" ht="7.5" customHeight="1" x14ac:dyDescent="0.35">
      <c r="A939" s="988"/>
      <c r="B939" s="627"/>
      <c r="C939" s="20"/>
      <c r="D939"/>
      <c r="E939"/>
      <c r="F939"/>
      <c r="G939"/>
      <c r="H939" s="627"/>
      <c r="I939" s="627"/>
      <c r="J939" s="627"/>
      <c r="K939" s="627"/>
      <c r="L939" s="627"/>
      <c r="M939" s="719"/>
      <c r="N939" s="627"/>
      <c r="O939" s="627"/>
      <c r="P939" s="627"/>
      <c r="Q939" s="719"/>
      <c r="R939" s="627"/>
      <c r="S939" s="627"/>
      <c r="T939" s="627"/>
      <c r="U939" s="627"/>
      <c r="V939" s="627"/>
      <c r="W939" s="627"/>
      <c r="X939" s="627"/>
      <c r="Y939" s="627"/>
      <c r="Z939" s="627"/>
      <c r="AA939" s="627"/>
      <c r="AB939" s="627"/>
      <c r="AC939" s="627"/>
      <c r="AD939" s="627"/>
      <c r="AE939" s="627"/>
      <c r="AF939" s="627"/>
      <c r="AG939" s="627"/>
      <c r="AH939" s="627"/>
      <c r="AI939" s="627"/>
      <c r="AJ939" s="627"/>
      <c r="AK939" s="627"/>
      <c r="AL939" s="627"/>
      <c r="AM939" s="627"/>
      <c r="AN939" s="627"/>
      <c r="AO939" s="627"/>
      <c r="AP939" s="627"/>
      <c r="AQ939" s="627"/>
      <c r="AR939" s="627"/>
      <c r="AS939" s="627"/>
      <c r="AT939" s="627"/>
      <c r="AU939" s="627"/>
      <c r="AV939" s="627"/>
      <c r="AW939" s="627"/>
      <c r="AX939" s="627"/>
      <c r="AY939" s="627"/>
      <c r="AZ939" s="627"/>
      <c r="BA939" s="627"/>
      <c r="BB939" s="627"/>
      <c r="BC939" s="627"/>
      <c r="BD939" s="627"/>
      <c r="BE939" s="627"/>
      <c r="BF939" s="627"/>
      <c r="BG939" s="627"/>
      <c r="BH939" s="627"/>
      <c r="BI939" s="627"/>
      <c r="BJ939" s="627"/>
    </row>
    <row r="940" spans="1:62" ht="7.5" customHeight="1" x14ac:dyDescent="0.35">
      <c r="A940" s="988"/>
      <c r="B940" s="627"/>
      <c r="C940" s="20"/>
      <c r="D940"/>
      <c r="E940"/>
      <c r="F940"/>
      <c r="G940"/>
      <c r="H940" s="627"/>
      <c r="I940" s="627"/>
      <c r="J940" s="627"/>
      <c r="K940" s="627"/>
      <c r="L940" s="627"/>
      <c r="M940" s="719"/>
      <c r="N940" s="627"/>
      <c r="O940" s="627"/>
      <c r="P940" s="627"/>
      <c r="Q940" s="719"/>
      <c r="R940" s="627"/>
      <c r="S940" s="627"/>
      <c r="T940" s="627"/>
      <c r="U940" s="627"/>
      <c r="V940" s="627"/>
      <c r="W940" s="627"/>
      <c r="X940" s="627"/>
      <c r="Y940" s="627"/>
      <c r="Z940" s="627"/>
      <c r="AA940" s="627"/>
      <c r="AB940" s="627"/>
      <c r="AC940" s="627"/>
      <c r="AD940" s="627"/>
      <c r="AE940" s="627"/>
      <c r="AF940" s="627"/>
      <c r="AG940" s="627"/>
      <c r="AH940" s="627"/>
      <c r="AI940" s="627"/>
      <c r="AJ940" s="627"/>
      <c r="AK940" s="627"/>
      <c r="AL940" s="627"/>
      <c r="AM940" s="627"/>
      <c r="AN940" s="627"/>
      <c r="AO940" s="627"/>
      <c r="AP940" s="627"/>
      <c r="AQ940" s="627"/>
      <c r="AR940" s="627"/>
      <c r="AS940" s="627"/>
      <c r="AT940" s="627"/>
      <c r="AU940" s="627"/>
      <c r="AV940" s="627"/>
      <c r="AW940" s="627"/>
      <c r="AX940" s="627"/>
      <c r="AY940" s="627"/>
      <c r="AZ940" s="627"/>
      <c r="BA940" s="627"/>
      <c r="BB940" s="627"/>
      <c r="BC940" s="627"/>
      <c r="BD940" s="627"/>
      <c r="BE940" s="627"/>
      <c r="BF940" s="627"/>
      <c r="BG940" s="627"/>
      <c r="BH940" s="627"/>
      <c r="BI940" s="627"/>
      <c r="BJ940" s="627"/>
    </row>
    <row r="941" spans="1:62" x14ac:dyDescent="0.35">
      <c r="A941" s="988"/>
      <c r="B941" s="627"/>
      <c r="C941" s="20"/>
      <c r="D941" s="627" t="s">
        <v>668</v>
      </c>
      <c r="E941"/>
      <c r="F941"/>
      <c r="G941"/>
      <c r="H941" s="627"/>
      <c r="I941" s="627"/>
      <c r="J941" s="627"/>
      <c r="K941" s="627"/>
      <c r="L941" s="627"/>
      <c r="M941" s="719"/>
      <c r="N941" s="627"/>
      <c r="O941" s="627"/>
      <c r="P941" s="627"/>
      <c r="Q941" s="719"/>
      <c r="R941" s="627"/>
      <c r="S941" s="627"/>
      <c r="T941" s="627"/>
      <c r="U941" s="627"/>
      <c r="V941" s="627"/>
      <c r="W941" s="627"/>
      <c r="X941" s="627"/>
      <c r="Y941" s="627"/>
      <c r="Z941" s="627"/>
      <c r="AA941" s="627"/>
      <c r="AB941" s="627"/>
      <c r="AC941" s="627"/>
      <c r="AD941" s="627"/>
      <c r="AE941" s="627"/>
      <c r="AF941" s="627"/>
      <c r="AG941" s="627"/>
      <c r="AH941" s="627"/>
      <c r="AI941" s="627"/>
      <c r="AJ941" s="627"/>
      <c r="AK941" s="627"/>
      <c r="AL941" s="627"/>
      <c r="AM941" s="627"/>
      <c r="AN941" s="627"/>
      <c r="AO941" s="627"/>
      <c r="AP941" s="627"/>
      <c r="AQ941" s="627"/>
      <c r="AR941" s="627"/>
      <c r="AS941" s="627"/>
      <c r="AT941" s="627"/>
      <c r="AU941" s="627"/>
      <c r="AV941" s="627"/>
      <c r="AW941" s="627"/>
      <c r="AX941" s="627"/>
      <c r="AY941" s="627"/>
      <c r="AZ941" s="627"/>
      <c r="BA941" s="627"/>
      <c r="BB941" s="627"/>
      <c r="BC941" s="627"/>
      <c r="BD941" s="627"/>
      <c r="BE941" s="627"/>
      <c r="BF941" s="627"/>
      <c r="BG941" s="627"/>
      <c r="BH941" s="627"/>
      <c r="BI941" s="627"/>
      <c r="BJ941" s="627"/>
    </row>
    <row r="942" spans="1:62" x14ac:dyDescent="0.35">
      <c r="A942" s="988"/>
      <c r="B942" s="627"/>
      <c r="C942" s="20"/>
      <c r="D942" s="627"/>
      <c r="E942"/>
      <c r="F942" s="660">
        <f>IF(H942=0,1,H942)</f>
        <v>1</v>
      </c>
      <c r="G942" t="s">
        <v>46</v>
      </c>
      <c r="H942" s="660"/>
      <c r="I942" s="627" t="s">
        <v>654</v>
      </c>
      <c r="J942" s="627"/>
      <c r="K942" s="627"/>
      <c r="L942" s="627"/>
      <c r="M942" s="719"/>
      <c r="N942" s="627"/>
      <c r="O942" s="627"/>
      <c r="P942" s="627"/>
      <c r="Q942" s="719"/>
      <c r="R942" s="627"/>
      <c r="S942" s="627"/>
      <c r="T942" s="627"/>
      <c r="U942" s="627"/>
      <c r="V942" s="627"/>
      <c r="W942" s="627"/>
      <c r="X942" s="627"/>
      <c r="Y942" s="627"/>
      <c r="Z942" s="627"/>
      <c r="AA942" s="627"/>
      <c r="AB942" s="627"/>
      <c r="AC942" s="627"/>
      <c r="AD942" s="627"/>
      <c r="AE942" s="627"/>
      <c r="AF942" s="627"/>
      <c r="AG942" s="627"/>
      <c r="AH942" s="627"/>
      <c r="AI942" s="627"/>
      <c r="AJ942" s="627"/>
      <c r="AK942" s="627"/>
      <c r="AL942" s="627"/>
      <c r="AM942" s="627"/>
      <c r="AN942" s="627"/>
      <c r="AO942" s="627"/>
      <c r="AP942" s="627"/>
      <c r="AQ942" s="627"/>
      <c r="AR942" s="627"/>
      <c r="AS942" s="627"/>
      <c r="AT942" s="627"/>
      <c r="AU942" s="627"/>
      <c r="AV942" s="627"/>
      <c r="AW942" s="627"/>
      <c r="AX942" s="627"/>
      <c r="AY942" s="627"/>
      <c r="AZ942" s="627"/>
      <c r="BA942" s="627"/>
      <c r="BB942" s="627"/>
      <c r="BC942" s="627"/>
      <c r="BD942" s="627"/>
      <c r="BE942" s="627"/>
      <c r="BF942" s="627"/>
      <c r="BG942" s="627"/>
      <c r="BH942" s="627"/>
      <c r="BI942" s="627"/>
      <c r="BJ942" s="627"/>
    </row>
    <row r="943" spans="1:62" ht="10.5" customHeight="1" x14ac:dyDescent="0.35">
      <c r="A943" s="988"/>
      <c r="B943" s="627"/>
      <c r="C943" s="20"/>
      <c r="D943" s="627"/>
      <c r="E943"/>
      <c r="F943" s="761"/>
      <c r="G943"/>
      <c r="H943"/>
      <c r="I943" s="627"/>
      <c r="J943" s="627"/>
      <c r="K943" s="627"/>
      <c r="L943" s="627"/>
      <c r="M943" s="719"/>
      <c r="N943" s="627"/>
      <c r="O943" s="627"/>
      <c r="P943" s="627"/>
      <c r="Q943" s="719"/>
      <c r="R943" s="627"/>
      <c r="S943" s="627"/>
      <c r="T943" s="627"/>
      <c r="U943" s="627"/>
      <c r="V943" s="627"/>
      <c r="W943" s="627"/>
      <c r="X943" s="627"/>
      <c r="Y943" s="627"/>
      <c r="Z943" s="627"/>
      <c r="AA943" s="627"/>
      <c r="AB943" s="627"/>
      <c r="AC943" s="627"/>
      <c r="AD943" s="627"/>
      <c r="AE943" s="627"/>
      <c r="AF943" s="627"/>
      <c r="AG943" s="627"/>
      <c r="AH943" s="627"/>
      <c r="AI943" s="627"/>
      <c r="AJ943" s="627"/>
      <c r="AK943" s="627"/>
      <c r="AL943" s="627"/>
      <c r="AM943" s="627"/>
      <c r="AN943" s="627"/>
      <c r="AO943" s="627"/>
      <c r="AP943" s="627"/>
      <c r="AQ943" s="627"/>
      <c r="AR943" s="627"/>
      <c r="AS943" s="627"/>
      <c r="AT943" s="627"/>
      <c r="AU943" s="627"/>
      <c r="AV943" s="627"/>
      <c r="AW943" s="627"/>
      <c r="AX943" s="627"/>
      <c r="AY943" s="627"/>
      <c r="AZ943" s="627"/>
      <c r="BA943" s="627"/>
      <c r="BB943" s="627"/>
      <c r="BC943" s="627"/>
      <c r="BD943" s="627"/>
      <c r="BE943" s="627"/>
      <c r="BF943" s="627"/>
      <c r="BG943" s="627"/>
      <c r="BH943" s="627"/>
      <c r="BI943" s="627"/>
      <c r="BJ943" s="627"/>
    </row>
    <row r="944" spans="1:62" x14ac:dyDescent="0.35">
      <c r="A944" s="988"/>
      <c r="B944" s="627"/>
      <c r="C944" s="20"/>
      <c r="D944" s="627" t="s">
        <v>669</v>
      </c>
      <c r="E944"/>
      <c r="F944" s="761"/>
      <c r="G944"/>
      <c r="H944"/>
      <c r="I944" s="627"/>
      <c r="J944" s="627"/>
      <c r="K944" s="627"/>
      <c r="L944" s="627"/>
      <c r="M944" s="719"/>
      <c r="N944" s="627"/>
      <c r="O944" s="627"/>
      <c r="P944" s="627"/>
      <c r="Q944" s="719"/>
      <c r="R944" s="627"/>
      <c r="S944" s="627"/>
      <c r="T944" s="627"/>
      <c r="U944" s="627"/>
      <c r="V944" s="627"/>
      <c r="W944" s="627"/>
      <c r="X944" s="627"/>
      <c r="Y944" s="627"/>
      <c r="Z944" s="627"/>
      <c r="AA944" s="627"/>
      <c r="AB944" s="627"/>
      <c r="AC944" s="627"/>
      <c r="AD944" s="627"/>
      <c r="AE944" s="627"/>
      <c r="AF944" s="627"/>
      <c r="AG944" s="627"/>
      <c r="AH944" s="627"/>
      <c r="AI944" s="627"/>
      <c r="AJ944" s="627"/>
      <c r="AK944" s="627"/>
      <c r="AL944" s="627"/>
      <c r="AM944" s="627"/>
      <c r="AN944" s="627"/>
      <c r="AO944" s="627"/>
      <c r="AP944" s="627"/>
      <c r="AQ944" s="627"/>
      <c r="AR944" s="627"/>
      <c r="AS944" s="627"/>
      <c r="AT944" s="627"/>
      <c r="AU944" s="627"/>
      <c r="AV944" s="627"/>
      <c r="AW944" s="627"/>
      <c r="AX944" s="627"/>
      <c r="AY944" s="627"/>
      <c r="AZ944" s="627"/>
      <c r="BA944" s="627"/>
      <c r="BB944" s="627"/>
      <c r="BC944" s="627"/>
      <c r="BD944" s="627"/>
      <c r="BE944" s="627"/>
      <c r="BF944" s="627"/>
      <c r="BG944" s="627"/>
      <c r="BH944" s="627"/>
      <c r="BI944" s="627"/>
      <c r="BJ944" s="627"/>
    </row>
    <row r="945" spans="1:17" x14ac:dyDescent="0.35">
      <c r="A945" s="988"/>
      <c r="B945" s="627"/>
      <c r="C945" s="20"/>
      <c r="D945" s="627"/>
      <c r="E945"/>
      <c r="F945" s="660">
        <f>IF(H945=0,1.5,H945)</f>
        <v>1.5</v>
      </c>
      <c r="G945" s="627" t="s">
        <v>670</v>
      </c>
      <c r="H945" s="660"/>
      <c r="I945" s="627" t="s">
        <v>654</v>
      </c>
      <c r="J945" s="627"/>
      <c r="K945" s="627"/>
      <c r="L945" s="627"/>
      <c r="M945" s="719"/>
      <c r="N945" s="627"/>
      <c r="O945" s="627"/>
      <c r="P945" s="627"/>
      <c r="Q945" s="719"/>
    </row>
    <row r="946" spans="1:17" ht="9.75" customHeight="1" x14ac:dyDescent="0.35">
      <c r="A946" s="988"/>
      <c r="B946" s="627"/>
      <c r="C946" s="20"/>
      <c r="D946" s="627"/>
      <c r="E946"/>
      <c r="F946" s="761"/>
      <c r="G946"/>
      <c r="H946"/>
      <c r="I946" s="627"/>
      <c r="J946" s="627"/>
      <c r="K946" s="627"/>
      <c r="L946" s="627"/>
      <c r="M946" s="719"/>
      <c r="N946" s="627"/>
      <c r="O946" s="627"/>
      <c r="P946" s="627"/>
      <c r="Q946" s="719"/>
    </row>
    <row r="947" spans="1:17" x14ac:dyDescent="0.35">
      <c r="A947" s="988"/>
      <c r="B947" s="627"/>
      <c r="C947" s="20"/>
      <c r="D947" s="627" t="s">
        <v>671</v>
      </c>
      <c r="E947"/>
      <c r="F947" s="761"/>
      <c r="G947"/>
      <c r="H947"/>
      <c r="I947" s="627"/>
      <c r="J947" s="627"/>
      <c r="K947" s="627"/>
      <c r="L947" s="627"/>
      <c r="M947" s="719"/>
      <c r="N947" s="627"/>
      <c r="O947" s="627"/>
      <c r="P947" s="627"/>
      <c r="Q947" s="719"/>
    </row>
    <row r="948" spans="1:17" x14ac:dyDescent="0.35">
      <c r="A948" s="988"/>
      <c r="B948" s="627"/>
      <c r="C948" s="20"/>
      <c r="D948" s="627"/>
      <c r="E948"/>
      <c r="F948" s="660">
        <f>IF(H948=0,8,H948)</f>
        <v>8</v>
      </c>
      <c r="G948" t="s">
        <v>672</v>
      </c>
      <c r="H948" s="660"/>
      <c r="I948" s="627" t="s">
        <v>654</v>
      </c>
      <c r="J948" s="627"/>
      <c r="K948" s="627"/>
      <c r="L948" s="627"/>
      <c r="M948" s="719"/>
      <c r="N948" s="627"/>
      <c r="O948" s="627"/>
      <c r="P948" s="627"/>
      <c r="Q948" s="719"/>
    </row>
    <row r="949" spans="1:17" ht="6" customHeight="1" x14ac:dyDescent="0.35">
      <c r="A949" s="988"/>
      <c r="B949" s="627"/>
      <c r="C949" s="20"/>
      <c r="D949"/>
      <c r="E949"/>
      <c r="F949"/>
      <c r="G949"/>
      <c r="H949" s="627"/>
      <c r="I949" s="627"/>
      <c r="J949" s="627"/>
      <c r="K949" s="627"/>
      <c r="L949" s="627"/>
      <c r="M949" s="719"/>
      <c r="N949" s="627"/>
      <c r="O949" s="627"/>
      <c r="P949" s="627"/>
      <c r="Q949" s="719"/>
    </row>
    <row r="950" spans="1:17" x14ac:dyDescent="0.35">
      <c r="A950" s="988"/>
      <c r="B950" s="627"/>
      <c r="C950" s="291" t="s">
        <v>673</v>
      </c>
      <c r="D950" s="292"/>
      <c r="E950" s="292"/>
      <c r="F950" s="292"/>
      <c r="G950" s="292"/>
      <c r="H950" s="1142"/>
      <c r="I950" s="1142"/>
      <c r="J950" s="1142"/>
      <c r="K950" s="1142"/>
      <c r="L950" s="1142"/>
      <c r="M950" s="1143"/>
      <c r="N950" s="627"/>
      <c r="O950" s="627"/>
      <c r="P950" s="627"/>
      <c r="Q950" s="719"/>
    </row>
    <row r="951" spans="1:17" x14ac:dyDescent="0.35">
      <c r="A951" s="988"/>
      <c r="B951" s="627"/>
      <c r="C951" s="20"/>
      <c r="D951"/>
      <c r="E951"/>
      <c r="F951"/>
      <c r="G951"/>
      <c r="H951" s="627"/>
      <c r="I951" s="627"/>
      <c r="J951" s="627"/>
      <c r="K951" s="627"/>
      <c r="L951" s="627"/>
      <c r="M951" s="719"/>
      <c r="N951" s="627"/>
      <c r="O951" s="627"/>
      <c r="P951" s="627"/>
      <c r="Q951" s="719"/>
    </row>
    <row r="952" spans="1:17" x14ac:dyDescent="0.35">
      <c r="A952" s="988"/>
      <c r="B952" s="627"/>
      <c r="C952" s="20"/>
      <c r="D952" s="627"/>
      <c r="E952" t="s">
        <v>674</v>
      </c>
      <c r="F952" s="660">
        <f>IF(H952=0,0.5,H952)</f>
        <v>0.5</v>
      </c>
      <c r="G952" t="s">
        <v>20</v>
      </c>
      <c r="H952" s="660"/>
      <c r="I952" s="627" t="s">
        <v>654</v>
      </c>
      <c r="J952" s="627"/>
      <c r="K952" s="627"/>
      <c r="L952" s="627"/>
      <c r="M952" s="719"/>
      <c r="N952" s="627"/>
      <c r="O952" s="627"/>
      <c r="P952" s="627"/>
      <c r="Q952" s="719"/>
    </row>
    <row r="953" spans="1:17" x14ac:dyDescent="0.35">
      <c r="A953" s="988"/>
      <c r="B953" s="627"/>
      <c r="C953" s="20"/>
      <c r="D953" s="627"/>
      <c r="E953" t="s">
        <v>675</v>
      </c>
      <c r="F953" s="1064">
        <v>0.625</v>
      </c>
      <c r="G953" t="s">
        <v>20</v>
      </c>
      <c r="H953" s="660"/>
      <c r="I953" s="627" t="s">
        <v>654</v>
      </c>
      <c r="J953" s="627"/>
      <c r="K953" s="627"/>
      <c r="L953" s="627"/>
      <c r="M953" s="719"/>
      <c r="N953" s="627"/>
      <c r="O953" s="627"/>
      <c r="P953" s="627"/>
      <c r="Q953" s="719"/>
    </row>
    <row r="954" spans="1:17" x14ac:dyDescent="0.35">
      <c r="A954" s="988"/>
      <c r="B954" s="627"/>
      <c r="C954" s="20"/>
      <c r="D954" s="627"/>
      <c r="E954" t="s">
        <v>658</v>
      </c>
      <c r="F954" s="660">
        <f>IF(H954=0,100,H954)</f>
        <v>100</v>
      </c>
      <c r="G954" t="s">
        <v>132</v>
      </c>
      <c r="H954" s="660"/>
      <c r="I954" s="627" t="s">
        <v>654</v>
      </c>
      <c r="J954" s="627"/>
      <c r="K954" s="627"/>
      <c r="L954" s="627"/>
      <c r="M954" s="719"/>
      <c r="N954" s="627"/>
      <c r="O954" s="627"/>
      <c r="P954" s="627"/>
      <c r="Q954" s="719"/>
    </row>
    <row r="955" spans="1:17" ht="6" customHeight="1" x14ac:dyDescent="0.35">
      <c r="A955" s="988"/>
      <c r="B955" s="627"/>
      <c r="C955" s="20"/>
      <c r="D955" s="627"/>
      <c r="E955"/>
      <c r="F955" s="1057"/>
      <c r="G955"/>
      <c r="H955" s="627"/>
      <c r="I955" s="627"/>
      <c r="J955" s="627"/>
      <c r="K955" s="627"/>
      <c r="L955" s="627"/>
      <c r="M955" s="719"/>
      <c r="N955" s="627"/>
      <c r="O955" s="627"/>
      <c r="P955" s="627"/>
      <c r="Q955" s="719"/>
    </row>
    <row r="956" spans="1:17" x14ac:dyDescent="0.35">
      <c r="A956" s="988"/>
      <c r="B956" s="627"/>
      <c r="C956" s="20"/>
      <c r="D956" s="627" t="s">
        <v>668</v>
      </c>
      <c r="E956"/>
      <c r="F956"/>
      <c r="G956"/>
      <c r="H956" s="627"/>
      <c r="I956" s="627"/>
      <c r="J956" s="627"/>
      <c r="K956" s="627"/>
      <c r="L956" s="627"/>
      <c r="M956" s="719"/>
      <c r="N956" s="627"/>
      <c r="O956" s="627"/>
      <c r="P956" s="627"/>
      <c r="Q956" s="719"/>
    </row>
    <row r="957" spans="1:17" x14ac:dyDescent="0.35">
      <c r="A957" s="988"/>
      <c r="B957" s="627"/>
      <c r="C957" s="20"/>
      <c r="D957" s="627"/>
      <c r="E957"/>
      <c r="F957" s="660">
        <f>IF(H957=0,1,H957)</f>
        <v>1</v>
      </c>
      <c r="G957"/>
      <c r="H957" s="660"/>
      <c r="I957" s="627" t="s">
        <v>654</v>
      </c>
      <c r="J957" s="627"/>
      <c r="K957" s="627"/>
      <c r="L957" s="627"/>
      <c r="M957" s="719"/>
      <c r="N957" s="627"/>
      <c r="O957" s="627"/>
      <c r="P957" s="627"/>
      <c r="Q957" s="719"/>
    </row>
    <row r="958" spans="1:17" ht="10.5" customHeight="1" x14ac:dyDescent="0.35">
      <c r="A958" s="988"/>
      <c r="B958" s="627"/>
      <c r="C958" s="20"/>
      <c r="D958" s="627"/>
      <c r="E958"/>
      <c r="F958"/>
      <c r="G958"/>
      <c r="H958"/>
      <c r="I958"/>
      <c r="J958" s="627"/>
      <c r="K958" s="627"/>
      <c r="L958" s="627"/>
      <c r="M958" s="719"/>
      <c r="N958" s="627"/>
      <c r="O958" s="627"/>
      <c r="P958" s="627"/>
      <c r="Q958" s="719"/>
    </row>
    <row r="959" spans="1:17" x14ac:dyDescent="0.35">
      <c r="A959" s="988"/>
      <c r="B959" s="627"/>
      <c r="C959" s="20"/>
      <c r="D959" s="627" t="s">
        <v>676</v>
      </c>
      <c r="E959"/>
      <c r="F959" s="761"/>
      <c r="G959"/>
      <c r="H959"/>
      <c r="I959" s="627"/>
      <c r="J959" s="627"/>
      <c r="K959" s="627"/>
      <c r="L959" s="627"/>
      <c r="M959" s="719"/>
      <c r="N959" s="627"/>
      <c r="O959" s="627"/>
      <c r="P959" s="627"/>
      <c r="Q959" s="719"/>
    </row>
    <row r="960" spans="1:17" x14ac:dyDescent="0.35">
      <c r="A960" s="988"/>
      <c r="B960" s="627"/>
      <c r="C960" s="20"/>
      <c r="D960" s="627"/>
      <c r="E960"/>
      <c r="F960" s="660">
        <f>IF(H960=0,1.5,H960)</f>
        <v>1.5</v>
      </c>
      <c r="G960" s="627" t="s">
        <v>670</v>
      </c>
      <c r="H960" s="660"/>
      <c r="I960" s="627" t="s">
        <v>654</v>
      </c>
      <c r="J960" s="627"/>
      <c r="K960" s="627"/>
      <c r="L960" s="627"/>
      <c r="M960" s="719"/>
      <c r="N960" s="627"/>
      <c r="O960" s="627"/>
      <c r="P960" s="627"/>
      <c r="Q960" s="719"/>
    </row>
    <row r="961" spans="1:17" ht="10.5" customHeight="1" x14ac:dyDescent="0.35">
      <c r="A961" s="988"/>
      <c r="B961" s="627"/>
      <c r="C961" s="20"/>
      <c r="D961" s="627"/>
      <c r="E961"/>
      <c r="F961"/>
      <c r="G961"/>
      <c r="H961"/>
      <c r="I961"/>
      <c r="J961" s="627"/>
      <c r="K961" s="627"/>
      <c r="L961" s="627"/>
      <c r="M961" s="719"/>
      <c r="N961" s="627"/>
      <c r="O961" s="627"/>
      <c r="P961" s="627"/>
      <c r="Q961" s="719"/>
    </row>
    <row r="962" spans="1:17" ht="13.5" customHeight="1" x14ac:dyDescent="0.35">
      <c r="A962" s="988"/>
      <c r="B962" s="627"/>
      <c r="C962" s="20"/>
      <c r="D962" s="627" t="s">
        <v>671</v>
      </c>
      <c r="E962"/>
      <c r="F962" s="761"/>
      <c r="G962"/>
      <c r="H962"/>
      <c r="I962" s="627"/>
      <c r="J962" s="627"/>
      <c r="K962" s="627"/>
      <c r="L962" s="627"/>
      <c r="M962" s="719"/>
      <c r="N962" s="627"/>
      <c r="O962" s="627"/>
      <c r="P962" s="627"/>
      <c r="Q962" s="719"/>
    </row>
    <row r="963" spans="1:17" x14ac:dyDescent="0.35">
      <c r="A963" s="988"/>
      <c r="B963" s="627"/>
      <c r="C963" s="20"/>
      <c r="D963" s="627"/>
      <c r="E963"/>
      <c r="F963" s="660">
        <f>IF(H963=0,12,H963)</f>
        <v>12</v>
      </c>
      <c r="G963" t="s">
        <v>672</v>
      </c>
      <c r="H963" s="660"/>
      <c r="I963" s="627" t="s">
        <v>654</v>
      </c>
      <c r="J963" s="627"/>
      <c r="K963" s="627"/>
      <c r="L963" s="627"/>
      <c r="M963" s="719"/>
      <c r="N963" s="627"/>
      <c r="O963" s="627"/>
      <c r="P963" s="627"/>
      <c r="Q963" s="719"/>
    </row>
    <row r="964" spans="1:17" ht="5.25" customHeight="1" x14ac:dyDescent="0.35">
      <c r="A964" s="988"/>
      <c r="B964" s="627"/>
      <c r="C964" s="18"/>
      <c r="D964" s="3"/>
      <c r="E964" s="3"/>
      <c r="F964" s="3"/>
      <c r="G964" s="3"/>
      <c r="H964" s="749"/>
      <c r="I964" s="749"/>
      <c r="J964" s="749"/>
      <c r="K964" s="749"/>
      <c r="L964" s="749"/>
      <c r="M964" s="748"/>
      <c r="N964" s="627"/>
      <c r="O964" s="627"/>
      <c r="P964" s="627"/>
      <c r="Q964" s="719"/>
    </row>
    <row r="965" spans="1:17" ht="6" customHeight="1" x14ac:dyDescent="0.35">
      <c r="A965" s="988"/>
      <c r="B965" s="627"/>
      <c r="C965"/>
      <c r="D965" s="627"/>
      <c r="E965" s="627"/>
      <c r="F965" s="627"/>
      <c r="G965" s="627"/>
      <c r="H965" s="627"/>
      <c r="I965" s="627"/>
      <c r="J965" s="627"/>
      <c r="K965" s="627"/>
      <c r="L965" s="627"/>
      <c r="M965" s="627"/>
      <c r="N965" s="627"/>
      <c r="O965" s="627"/>
      <c r="P965" s="627"/>
      <c r="Q965" s="719"/>
    </row>
    <row r="966" spans="1:17" x14ac:dyDescent="0.35">
      <c r="A966" s="988"/>
      <c r="B966" s="627"/>
      <c r="C966" s="1144" t="s">
        <v>677</v>
      </c>
      <c r="D966" s="292"/>
      <c r="E966" s="292"/>
      <c r="F966" s="292"/>
      <c r="G966" s="292"/>
      <c r="H966" s="1142"/>
      <c r="I966" s="1142"/>
      <c r="J966" s="1142"/>
      <c r="K966" s="1142"/>
      <c r="L966" s="1142"/>
      <c r="M966" s="1143"/>
      <c r="N966" s="627"/>
      <c r="O966" s="627"/>
      <c r="P966" s="627"/>
      <c r="Q966" s="719"/>
    </row>
    <row r="967" spans="1:17" ht="6" customHeight="1" x14ac:dyDescent="0.35">
      <c r="A967" s="988"/>
      <c r="B967" s="627"/>
      <c r="C967" s="20"/>
      <c r="D967" s="627"/>
      <c r="E967" s="627"/>
      <c r="F967" s="627"/>
      <c r="G967" s="627"/>
      <c r="H967" s="627"/>
      <c r="I967" s="627"/>
      <c r="J967" s="627"/>
      <c r="K967" s="627"/>
      <c r="L967" s="627"/>
      <c r="M967" s="719"/>
      <c r="N967" s="627"/>
      <c r="O967" s="627"/>
      <c r="P967" s="627"/>
      <c r="Q967" s="719"/>
    </row>
    <row r="968" spans="1:17" x14ac:dyDescent="0.35">
      <c r="A968" s="988"/>
      <c r="B968" s="627"/>
      <c r="C968" s="20"/>
      <c r="D968" t="s">
        <v>678</v>
      </c>
      <c r="E968" s="627"/>
      <c r="F968" s="627"/>
      <c r="G968" s="627"/>
      <c r="H968" s="627"/>
      <c r="I968" s="627"/>
      <c r="J968" s="627"/>
      <c r="K968" s="627"/>
      <c r="L968" s="627"/>
      <c r="M968" s="719"/>
      <c r="N968" s="627"/>
      <c r="O968" s="627"/>
      <c r="P968" s="627"/>
      <c r="Q968" s="719"/>
    </row>
    <row r="969" spans="1:17" x14ac:dyDescent="0.35">
      <c r="A969" s="988"/>
      <c r="B969" s="627"/>
      <c r="C969" s="20"/>
      <c r="D969" s="627"/>
      <c r="E969"/>
      <c r="F969" s="1064">
        <f>IF(H969=0,0.005,H969)</f>
        <v>5.0000000000000001E-3</v>
      </c>
      <c r="G969" t="s">
        <v>20</v>
      </c>
      <c r="H969" s="660"/>
      <c r="I969" s="627" t="s">
        <v>654</v>
      </c>
      <c r="J969" s="627"/>
      <c r="K969" s="627"/>
      <c r="L969" s="627"/>
      <c r="M969" s="719"/>
      <c r="N969" s="627"/>
      <c r="O969" s="627"/>
      <c r="P969" s="627"/>
      <c r="Q969" s="719"/>
    </row>
    <row r="970" spans="1:17" ht="6.75" customHeight="1" x14ac:dyDescent="0.35">
      <c r="A970" s="988"/>
      <c r="B970" s="627"/>
      <c r="C970" s="20"/>
      <c r="D970" s="627"/>
      <c r="E970"/>
      <c r="F970" s="1065"/>
      <c r="G970"/>
      <c r="H970"/>
      <c r="I970"/>
      <c r="J970" s="627"/>
      <c r="K970" s="627"/>
      <c r="L970" s="627"/>
      <c r="M970" s="719"/>
      <c r="N970" s="627"/>
      <c r="O970" s="627"/>
      <c r="P970" s="627"/>
      <c r="Q970" s="719"/>
    </row>
    <row r="971" spans="1:17" x14ac:dyDescent="0.35">
      <c r="A971" s="988"/>
      <c r="B971" s="627"/>
      <c r="C971" s="20"/>
      <c r="D971" t="s">
        <v>679</v>
      </c>
      <c r="E971" s="627"/>
      <c r="F971" s="627"/>
      <c r="G971" s="627"/>
      <c r="H971" s="627"/>
      <c r="I971" s="627"/>
      <c r="J971" s="627"/>
      <c r="K971" s="627"/>
      <c r="L971" s="627"/>
      <c r="M971" s="719"/>
      <c r="N971" s="627"/>
      <c r="O971" s="627"/>
      <c r="P971" s="627"/>
      <c r="Q971" s="719"/>
    </row>
    <row r="972" spans="1:17" x14ac:dyDescent="0.35">
      <c r="A972" s="988"/>
      <c r="B972" s="627"/>
      <c r="C972" s="20"/>
      <c r="D972" s="627"/>
      <c r="E972"/>
      <c r="F972" s="1064">
        <f>IF(H972=0,0.01,H972)</f>
        <v>0.01</v>
      </c>
      <c r="G972" t="s">
        <v>20</v>
      </c>
      <c r="H972" s="660"/>
      <c r="I972" s="627" t="s">
        <v>654</v>
      </c>
      <c r="J972" s="627"/>
      <c r="K972" s="627"/>
      <c r="L972" s="627"/>
      <c r="M972" s="719"/>
      <c r="N972" s="627"/>
      <c r="O972" s="627"/>
      <c r="P972" s="627"/>
      <c r="Q972" s="719"/>
    </row>
    <row r="973" spans="1:17" ht="6" customHeight="1" x14ac:dyDescent="0.35">
      <c r="A973" s="988"/>
      <c r="B973" s="627"/>
      <c r="C973" s="20"/>
      <c r="D973" s="627"/>
      <c r="E973" s="627"/>
      <c r="F973" s="627"/>
      <c r="G973" s="627"/>
      <c r="H973" s="627"/>
      <c r="I973" s="627"/>
      <c r="J973" s="627"/>
      <c r="K973" s="627"/>
      <c r="L973" s="627"/>
      <c r="M973" s="719"/>
      <c r="N973" s="627"/>
      <c r="O973" s="627"/>
      <c r="P973" s="627"/>
      <c r="Q973" s="719"/>
    </row>
    <row r="974" spans="1:17" x14ac:dyDescent="0.35">
      <c r="A974" s="988"/>
      <c r="B974" s="627"/>
      <c r="C974" s="20"/>
      <c r="D974" t="s">
        <v>680</v>
      </c>
      <c r="E974" s="627"/>
      <c r="F974" s="627"/>
      <c r="G974" s="627"/>
      <c r="H974" s="627"/>
      <c r="I974" s="627"/>
      <c r="J974" s="627"/>
      <c r="K974" s="627"/>
      <c r="L974" s="627"/>
      <c r="M974" s="719"/>
      <c r="N974" s="627"/>
      <c r="O974" s="627"/>
      <c r="P974" s="627"/>
      <c r="Q974" s="719"/>
    </row>
    <row r="975" spans="1:17" x14ac:dyDescent="0.35">
      <c r="A975" s="988"/>
      <c r="B975" s="627"/>
      <c r="C975" s="20"/>
      <c r="D975" s="627"/>
      <c r="E975"/>
      <c r="F975" s="1064">
        <f>IF(H975=0,4.8,H975)</f>
        <v>4.8</v>
      </c>
      <c r="G975" t="s">
        <v>20</v>
      </c>
      <c r="H975" s="627"/>
      <c r="I975" s="627"/>
      <c r="J975" s="627"/>
      <c r="K975" s="627"/>
      <c r="L975" s="627"/>
      <c r="M975" s="719"/>
      <c r="N975" s="627"/>
      <c r="O975" s="627"/>
      <c r="P975" s="627"/>
      <c r="Q975" s="719"/>
    </row>
    <row r="976" spans="1:17" ht="6" customHeight="1" x14ac:dyDescent="0.35">
      <c r="A976" s="988"/>
      <c r="B976" s="627"/>
      <c r="C976" s="20"/>
      <c r="D976" s="627"/>
      <c r="E976" s="627"/>
      <c r="F976" s="627"/>
      <c r="G976" s="627"/>
      <c r="H976" s="627"/>
      <c r="I976" s="627"/>
      <c r="J976" s="627"/>
      <c r="K976" s="627"/>
      <c r="L976" s="627"/>
      <c r="M976" s="719"/>
      <c r="N976" s="627"/>
      <c r="O976" s="627"/>
      <c r="P976" s="627"/>
      <c r="Q976" s="719"/>
    </row>
    <row r="977" spans="1:17" x14ac:dyDescent="0.35">
      <c r="A977" s="988"/>
      <c r="B977" s="627"/>
      <c r="C977" s="20"/>
      <c r="D977" s="627" t="s">
        <v>668</v>
      </c>
      <c r="E977"/>
      <c r="F977"/>
      <c r="G977"/>
      <c r="H977" s="627"/>
      <c r="I977" s="627"/>
      <c r="J977" s="627"/>
      <c r="K977" s="627"/>
      <c r="L977" s="627"/>
      <c r="M977" s="719"/>
      <c r="N977" s="627"/>
      <c r="O977" s="627"/>
      <c r="P977" s="627"/>
      <c r="Q977" s="719"/>
    </row>
    <row r="978" spans="1:17" x14ac:dyDescent="0.35">
      <c r="A978" s="988"/>
      <c r="B978" s="627"/>
      <c r="C978" s="20"/>
      <c r="D978" s="627"/>
      <c r="E978"/>
      <c r="F978" s="660">
        <f>IF(H978=0,4,H978)</f>
        <v>4</v>
      </c>
      <c r="G978" s="627" t="s">
        <v>46</v>
      </c>
      <c r="H978" s="660"/>
      <c r="I978" s="627" t="s">
        <v>654</v>
      </c>
      <c r="J978" s="627"/>
      <c r="K978" s="627"/>
      <c r="L978" s="627"/>
      <c r="M978" s="719"/>
      <c r="N978" s="627"/>
      <c r="O978" s="627"/>
      <c r="P978" s="627"/>
      <c r="Q978" s="719"/>
    </row>
    <row r="979" spans="1:17" ht="11.25" customHeight="1" x14ac:dyDescent="0.35">
      <c r="A979" s="988"/>
      <c r="B979" s="627"/>
      <c r="C979" s="20"/>
      <c r="D979" s="627"/>
      <c r="E979"/>
      <c r="F979"/>
      <c r="G979"/>
      <c r="H979"/>
      <c r="I979"/>
      <c r="J979" s="627"/>
      <c r="K979" s="627"/>
      <c r="L979" s="627"/>
      <c r="M979" s="719"/>
      <c r="N979" s="627"/>
      <c r="O979" s="627"/>
      <c r="P979" s="627"/>
      <c r="Q979" s="719"/>
    </row>
    <row r="980" spans="1:17" x14ac:dyDescent="0.35">
      <c r="A980" s="988"/>
      <c r="B980" s="627"/>
      <c r="C980" s="20"/>
      <c r="D980" s="627" t="s">
        <v>676</v>
      </c>
      <c r="E980"/>
      <c r="F980" s="761"/>
      <c r="G980"/>
      <c r="H980"/>
      <c r="I980" s="627"/>
      <c r="J980" s="627"/>
      <c r="K980" s="627"/>
      <c r="L980" s="627"/>
      <c r="M980" s="719"/>
      <c r="N980" s="627"/>
      <c r="O980" s="627"/>
      <c r="P980" s="627"/>
      <c r="Q980" s="719"/>
    </row>
    <row r="981" spans="1:17" x14ac:dyDescent="0.35">
      <c r="A981" s="988"/>
      <c r="B981" s="627"/>
      <c r="C981" s="20"/>
      <c r="D981" s="627"/>
      <c r="E981"/>
      <c r="F981" s="660">
        <f>IF(H981=0,1.5,H981)</f>
        <v>1.5</v>
      </c>
      <c r="G981" s="627" t="s">
        <v>670</v>
      </c>
      <c r="H981" s="660"/>
      <c r="I981" s="627" t="s">
        <v>654</v>
      </c>
      <c r="J981" s="627"/>
      <c r="K981" s="627"/>
      <c r="L981" s="627"/>
      <c r="M981" s="719"/>
      <c r="N981" s="627"/>
      <c r="O981" s="627"/>
      <c r="P981" s="627"/>
      <c r="Q981" s="719"/>
    </row>
    <row r="982" spans="1:17" ht="11.25" customHeight="1" x14ac:dyDescent="0.35">
      <c r="A982" s="988"/>
      <c r="B982" s="627"/>
      <c r="C982" s="20"/>
      <c r="D982" s="627"/>
      <c r="E982"/>
      <c r="F982"/>
      <c r="G982"/>
      <c r="H982"/>
      <c r="I982"/>
      <c r="J982" s="627"/>
      <c r="K982" s="627"/>
      <c r="L982" s="627"/>
      <c r="M982" s="719"/>
      <c r="N982" s="627"/>
      <c r="O982" s="627"/>
      <c r="P982" s="627"/>
      <c r="Q982" s="719"/>
    </row>
    <row r="983" spans="1:17" x14ac:dyDescent="0.35">
      <c r="A983" s="988"/>
      <c r="B983" s="627"/>
      <c r="C983" s="20"/>
      <c r="D983" s="627" t="s">
        <v>671</v>
      </c>
      <c r="E983"/>
      <c r="F983" s="761"/>
      <c r="G983"/>
      <c r="H983"/>
      <c r="I983" s="627"/>
      <c r="J983" s="627"/>
      <c r="K983" s="627"/>
      <c r="L983" s="627"/>
      <c r="M983" s="719"/>
      <c r="N983" s="627"/>
      <c r="O983" s="627"/>
      <c r="P983" s="627"/>
      <c r="Q983" s="719"/>
    </row>
    <row r="984" spans="1:17" x14ac:dyDescent="0.35">
      <c r="A984" s="988"/>
      <c r="B984" s="627"/>
      <c r="C984" s="20"/>
      <c r="D984" s="627"/>
      <c r="E984"/>
      <c r="F984" s="660">
        <f>IF(H984=0,15,H984)</f>
        <v>15</v>
      </c>
      <c r="G984" t="s">
        <v>672</v>
      </c>
      <c r="H984" s="660"/>
      <c r="I984" s="627" t="s">
        <v>654</v>
      </c>
      <c r="J984" s="627"/>
      <c r="K984" s="627"/>
      <c r="L984" s="627"/>
      <c r="M984" s="719"/>
      <c r="N984" s="627"/>
      <c r="O984" s="627"/>
      <c r="P984" s="627"/>
      <c r="Q984" s="719"/>
    </row>
    <row r="985" spans="1:17" ht="6" customHeight="1" x14ac:dyDescent="0.35">
      <c r="A985" s="988"/>
      <c r="B985" s="627"/>
      <c r="C985" s="18"/>
      <c r="D985" s="749"/>
      <c r="E985" s="749"/>
      <c r="F985" s="749"/>
      <c r="G985" s="749"/>
      <c r="H985" s="749"/>
      <c r="I985" s="749"/>
      <c r="J985" s="749"/>
      <c r="K985" s="749"/>
      <c r="L985" s="749"/>
      <c r="M985" s="748"/>
      <c r="N985" s="627"/>
      <c r="O985" s="627"/>
      <c r="P985" s="627"/>
      <c r="Q985" s="719"/>
    </row>
    <row r="986" spans="1:17" ht="6" customHeight="1" x14ac:dyDescent="0.35">
      <c r="A986" s="988"/>
      <c r="B986" s="627"/>
      <c r="C986"/>
      <c r="D986" s="627"/>
      <c r="E986" s="627"/>
      <c r="F986" s="627"/>
      <c r="G986" s="627"/>
      <c r="H986" s="627"/>
      <c r="I986" s="627"/>
      <c r="J986" s="627"/>
      <c r="K986" s="627"/>
      <c r="L986" s="627"/>
      <c r="M986" s="627"/>
      <c r="N986" s="627"/>
      <c r="O986" s="627"/>
      <c r="P986" s="627"/>
      <c r="Q986" s="719"/>
    </row>
    <row r="987" spans="1:17" x14ac:dyDescent="0.35">
      <c r="A987" s="988"/>
      <c r="B987" s="627"/>
      <c r="C987" s="291" t="s">
        <v>681</v>
      </c>
      <c r="D987" s="292"/>
      <c r="E987" s="292"/>
      <c r="F987" s="292"/>
      <c r="G987" s="292"/>
      <c r="H987" s="1142"/>
      <c r="I987" s="1142"/>
      <c r="J987" s="1142"/>
      <c r="K987" s="1142"/>
      <c r="L987" s="1142"/>
      <c r="M987" s="1143"/>
      <c r="N987" s="627"/>
      <c r="O987" s="627"/>
      <c r="P987" s="627"/>
      <c r="Q987" s="719"/>
    </row>
    <row r="988" spans="1:17" ht="6.75" customHeight="1" x14ac:dyDescent="0.35">
      <c r="A988" s="988"/>
      <c r="B988" s="627"/>
      <c r="C988" s="20"/>
      <c r="D988" s="627"/>
      <c r="E988" s="627"/>
      <c r="F988" s="627"/>
      <c r="G988" s="627"/>
      <c r="H988" s="627"/>
      <c r="I988" s="627"/>
      <c r="J988" s="627"/>
      <c r="K988" s="627"/>
      <c r="L988" s="627"/>
      <c r="M988" s="719"/>
      <c r="N988" s="627"/>
      <c r="O988" s="627"/>
      <c r="P988" s="627"/>
      <c r="Q988" s="719"/>
    </row>
    <row r="989" spans="1:17" x14ac:dyDescent="0.35">
      <c r="A989" s="988"/>
      <c r="B989" s="627"/>
      <c r="C989" s="20"/>
      <c r="D989" s="633" t="s">
        <v>682</v>
      </c>
      <c r="E989" s="1119">
        <f>IF(D912=0,0,LAJES!D12)</f>
        <v>0</v>
      </c>
      <c r="F989" s="629" t="s">
        <v>46</v>
      </c>
      <c r="G989" s="1489" t="s">
        <v>683</v>
      </c>
      <c r="H989" s="1490"/>
      <c r="I989" s="1119">
        <f ca="1">LAJES!AO123</f>
        <v>0</v>
      </c>
      <c r="J989" s="629" t="s">
        <v>445</v>
      </c>
      <c r="K989" s="627"/>
      <c r="L989" s="627"/>
      <c r="M989" s="719"/>
      <c r="N989" s="627"/>
      <c r="O989" s="627"/>
      <c r="P989" s="627"/>
      <c r="Q989" s="719"/>
    </row>
    <row r="990" spans="1:17" x14ac:dyDescent="0.35">
      <c r="A990" s="988"/>
      <c r="B990" s="627"/>
      <c r="C990" s="20"/>
      <c r="D990" s="627"/>
      <c r="E990" s="627"/>
      <c r="F990" s="627"/>
      <c r="G990" s="647"/>
      <c r="H990" s="647"/>
      <c r="I990" s="627"/>
      <c r="J990" s="627"/>
      <c r="K990" s="627"/>
      <c r="L990" s="627"/>
      <c r="M990" s="719"/>
      <c r="N990" s="627"/>
      <c r="O990" s="627"/>
      <c r="P990" s="627"/>
      <c r="Q990" s="719"/>
    </row>
    <row r="991" spans="1:17" x14ac:dyDescent="0.35">
      <c r="A991" s="988"/>
      <c r="B991" s="627"/>
      <c r="C991" s="20"/>
      <c r="D991" s="633" t="s">
        <v>684</v>
      </c>
      <c r="E991" s="1119">
        <f ca="1">LAJES!D29</f>
        <v>0</v>
      </c>
      <c r="F991" s="629" t="s">
        <v>46</v>
      </c>
      <c r="G991" s="1489" t="s">
        <v>685</v>
      </c>
      <c r="H991" s="1490"/>
      <c r="I991" s="1119">
        <f ca="1">LAJES!AP123</f>
        <v>0</v>
      </c>
      <c r="J991" s="629" t="s">
        <v>445</v>
      </c>
      <c r="K991" s="627"/>
      <c r="L991" s="627"/>
      <c r="M991" s="719"/>
      <c r="N991" s="627"/>
      <c r="O991" s="627"/>
      <c r="P991" s="627"/>
      <c r="Q991" s="719"/>
    </row>
    <row r="992" spans="1:17" x14ac:dyDescent="0.35">
      <c r="A992" s="988"/>
      <c r="B992" s="627"/>
      <c r="C992" s="20"/>
      <c r="D992" s="627"/>
      <c r="E992" s="627"/>
      <c r="F992" s="627"/>
      <c r="G992" s="647"/>
      <c r="H992" s="647"/>
      <c r="I992" s="627"/>
      <c r="J992" s="627"/>
      <c r="K992" s="627"/>
      <c r="L992" s="627"/>
      <c r="M992" s="719"/>
      <c r="N992" s="627"/>
      <c r="O992" s="627"/>
      <c r="P992" s="627"/>
      <c r="Q992" s="719"/>
    </row>
    <row r="993" spans="1:17" x14ac:dyDescent="0.35">
      <c r="A993" s="988"/>
      <c r="B993" s="627"/>
      <c r="C993" s="20"/>
      <c r="D993" s="633" t="s">
        <v>686</v>
      </c>
      <c r="E993" s="1119">
        <f ca="1">LAJES!D35</f>
        <v>0</v>
      </c>
      <c r="F993" s="629" t="s">
        <v>46</v>
      </c>
      <c r="G993" s="1489" t="s">
        <v>687</v>
      </c>
      <c r="H993" s="1490"/>
      <c r="I993" s="1119">
        <f ca="1">LAJES!AQ123</f>
        <v>0</v>
      </c>
      <c r="J993" s="629" t="s">
        <v>445</v>
      </c>
      <c r="K993" s="627"/>
      <c r="L993" s="627"/>
      <c r="M993" s="719"/>
      <c r="N993" s="627"/>
      <c r="O993" s="627"/>
      <c r="P993" s="627"/>
      <c r="Q993" s="719"/>
    </row>
    <row r="994" spans="1:17" ht="7.5" customHeight="1" x14ac:dyDescent="0.35">
      <c r="A994" s="988"/>
      <c r="B994" s="627"/>
      <c r="C994" s="18"/>
      <c r="D994" s="749"/>
      <c r="E994" s="749"/>
      <c r="F994" s="749"/>
      <c r="G994" s="749"/>
      <c r="H994" s="749"/>
      <c r="I994" s="749"/>
      <c r="J994" s="749"/>
      <c r="K994" s="749"/>
      <c r="L994" s="749"/>
      <c r="M994" s="748"/>
      <c r="N994" s="627"/>
      <c r="O994" s="627"/>
      <c r="P994" s="627"/>
      <c r="Q994" s="719"/>
    </row>
    <row r="995" spans="1:17" ht="10.5" customHeight="1" x14ac:dyDescent="0.35">
      <c r="A995" s="988"/>
      <c r="B995" s="627"/>
      <c r="C995"/>
      <c r="D995" s="627"/>
      <c r="E995" s="627"/>
      <c r="F995" s="627"/>
      <c r="G995" s="627"/>
      <c r="H995" s="627"/>
      <c r="I995" s="627"/>
      <c r="J995" s="627"/>
      <c r="K995" s="627"/>
      <c r="L995" s="627"/>
      <c r="M995" s="627"/>
      <c r="N995" s="627"/>
      <c r="O995" s="627"/>
      <c r="P995" s="627"/>
      <c r="Q995" s="719"/>
    </row>
    <row r="996" spans="1:17" x14ac:dyDescent="0.35">
      <c r="A996" s="988"/>
      <c r="B996" s="627"/>
      <c r="C996" s="627" t="s">
        <v>688</v>
      </c>
      <c r="D996" s="627"/>
      <c r="E996" s="627"/>
      <c r="F996" s="627"/>
      <c r="G996" s="627"/>
      <c r="H996" s="627"/>
      <c r="I996" s="627"/>
      <c r="J996" s="627"/>
      <c r="K996" s="627"/>
      <c r="L996" s="627"/>
      <c r="M996" s="627"/>
      <c r="N996" s="627"/>
      <c r="O996" s="627"/>
      <c r="P996" s="627"/>
      <c r="Q996" s="719"/>
    </row>
    <row r="997" spans="1:17" ht="4.5" customHeight="1" x14ac:dyDescent="0.35">
      <c r="A997" s="988"/>
      <c r="B997" s="627"/>
      <c r="C997" s="627"/>
      <c r="D997" s="627"/>
      <c r="E997" s="627"/>
      <c r="F997" s="627"/>
      <c r="G997" s="627"/>
      <c r="H997" s="627"/>
      <c r="I997" s="627"/>
      <c r="J997" s="627"/>
      <c r="K997" s="627"/>
      <c r="L997" s="627"/>
      <c r="M997" s="627"/>
      <c r="N997" s="627"/>
      <c r="O997" s="627"/>
      <c r="P997" s="627"/>
      <c r="Q997" s="719"/>
    </row>
    <row r="998" spans="1:17" ht="15" x14ac:dyDescent="0.4">
      <c r="A998" s="988"/>
      <c r="B998" s="627"/>
      <c r="C998" s="365"/>
      <c r="D998" s="626"/>
      <c r="E998" s="627" t="s">
        <v>52</v>
      </c>
      <c r="F998" s="626"/>
      <c r="G998" s="627" t="s">
        <v>53</v>
      </c>
      <c r="H998" s="627"/>
      <c r="I998" s="627"/>
      <c r="J998" s="627"/>
      <c r="K998" s="627"/>
      <c r="L998" s="627"/>
      <c r="M998" s="627"/>
      <c r="N998" s="627"/>
      <c r="O998" s="627"/>
      <c r="P998" s="627"/>
      <c r="Q998" s="719"/>
    </row>
    <row r="999" spans="1:17" ht="9.75" customHeight="1" x14ac:dyDescent="0.35">
      <c r="A999" s="988"/>
      <c r="B999" s="627"/>
      <c r="C999"/>
      <c r="D999" s="627"/>
      <c r="E999" s="627"/>
      <c r="F999" s="627"/>
      <c r="G999" s="627"/>
      <c r="H999" s="627"/>
      <c r="I999" s="627"/>
      <c r="J999" s="627"/>
      <c r="K999" s="627"/>
      <c r="L999" s="627"/>
      <c r="M999" s="627"/>
      <c r="N999" s="627"/>
      <c r="O999" s="627"/>
      <c r="P999" s="627"/>
      <c r="Q999" s="719"/>
    </row>
    <row r="1000" spans="1:17" ht="9.75" customHeight="1" x14ac:dyDescent="0.35">
      <c r="A1000" s="988"/>
      <c r="B1000" s="627"/>
      <c r="C1000"/>
      <c r="D1000" s="627"/>
      <c r="E1000" s="627"/>
      <c r="F1000" s="627"/>
      <c r="G1000" s="627"/>
      <c r="H1000" s="627"/>
      <c r="I1000" s="627"/>
      <c r="J1000" s="627"/>
      <c r="K1000" s="627"/>
      <c r="L1000" s="627"/>
      <c r="M1000" s="627"/>
      <c r="N1000" s="627"/>
      <c r="O1000" s="627"/>
      <c r="P1000" s="627"/>
      <c r="Q1000" s="719"/>
    </row>
    <row r="1001" spans="1:17" ht="9.75" customHeight="1" x14ac:dyDescent="0.35">
      <c r="A1001" s="988"/>
      <c r="B1001" s="627"/>
      <c r="C1001"/>
      <c r="D1001" s="627"/>
      <c r="E1001" s="627"/>
      <c r="F1001" s="627"/>
      <c r="G1001" s="627"/>
      <c r="H1001" s="627"/>
      <c r="I1001" s="627"/>
      <c r="J1001" s="627"/>
      <c r="K1001" s="627"/>
      <c r="L1001" s="627"/>
      <c r="M1001" s="627"/>
      <c r="N1001" s="627"/>
      <c r="O1001" s="627"/>
      <c r="P1001" s="627"/>
      <c r="Q1001" s="719"/>
    </row>
    <row r="1002" spans="1:17" ht="9.75" customHeight="1" x14ac:dyDescent="0.35">
      <c r="A1002" s="988"/>
      <c r="B1002" s="627"/>
      <c r="C1002"/>
      <c r="D1002" s="627"/>
      <c r="E1002" s="627"/>
      <c r="F1002" s="627"/>
      <c r="G1002" s="627"/>
      <c r="H1002" s="627"/>
      <c r="I1002" s="627"/>
      <c r="J1002" s="627"/>
      <c r="K1002" s="627"/>
      <c r="L1002" s="627"/>
      <c r="M1002" s="627"/>
      <c r="N1002" s="627"/>
      <c r="O1002" s="627"/>
      <c r="P1002" s="627"/>
      <c r="Q1002" s="719"/>
    </row>
    <row r="1003" spans="1:17" ht="9.75" customHeight="1" thickBot="1" x14ac:dyDescent="0.4">
      <c r="A1003" s="988"/>
      <c r="B1003" s="627"/>
      <c r="C1003"/>
      <c r="D1003" s="627"/>
      <c r="E1003" s="627"/>
      <c r="F1003" s="627"/>
      <c r="G1003" s="627"/>
      <c r="H1003" s="627"/>
      <c r="I1003" s="627"/>
      <c r="J1003" s="627"/>
      <c r="K1003" s="627"/>
      <c r="L1003" s="627"/>
      <c r="M1003" s="627"/>
      <c r="N1003" s="627"/>
      <c r="O1003" s="627"/>
      <c r="P1003" s="627"/>
      <c r="Q1003" s="719"/>
    </row>
    <row r="1004" spans="1:17" ht="15.4" thickBot="1" x14ac:dyDescent="0.45">
      <c r="A1004" s="988"/>
      <c r="B1004" s="692"/>
      <c r="C1004" s="24" t="s">
        <v>689</v>
      </c>
      <c r="D1004" s="1041"/>
      <c r="E1004" s="1041"/>
      <c r="F1004" s="1041"/>
      <c r="G1004" s="1041"/>
      <c r="H1004" s="1041"/>
      <c r="I1004" s="1041"/>
      <c r="J1004" s="1041"/>
      <c r="K1004" s="1041"/>
      <c r="L1004" s="1041"/>
      <c r="M1004" s="1041"/>
      <c r="N1004" s="1041"/>
      <c r="O1004" s="1041"/>
      <c r="P1004" s="691"/>
      <c r="Q1004" s="719"/>
    </row>
    <row r="1005" spans="1:17" x14ac:dyDescent="0.35">
      <c r="A1005" s="988"/>
      <c r="B1005" s="627"/>
      <c r="C1005" s="627"/>
      <c r="D1005" s="627"/>
      <c r="E1005" s="627"/>
      <c r="F1005" s="627"/>
      <c r="G1005" s="627"/>
      <c r="H1005" s="627"/>
      <c r="I1005" s="627"/>
      <c r="J1005" s="627"/>
      <c r="K1005" s="627"/>
      <c r="L1005" s="627"/>
      <c r="M1005" s="627"/>
      <c r="N1005" s="627"/>
      <c r="O1005" s="627"/>
      <c r="P1005" s="627"/>
      <c r="Q1005" s="719"/>
    </row>
    <row r="1006" spans="1:17" ht="6" customHeight="1" x14ac:dyDescent="0.35">
      <c r="A1006" s="988"/>
      <c r="B1006" s="636"/>
      <c r="C1006" s="652"/>
      <c r="D1006" s="652"/>
      <c r="E1006" s="652"/>
      <c r="F1006" s="652"/>
      <c r="G1006" s="652"/>
      <c r="H1006" s="652"/>
      <c r="I1006" s="652"/>
      <c r="J1006" s="652"/>
      <c r="K1006" s="652"/>
      <c r="L1006" s="652"/>
      <c r="M1006" s="652"/>
      <c r="N1006" s="652"/>
      <c r="O1006" s="652"/>
      <c r="P1006" s="987"/>
      <c r="Q1006" s="719"/>
    </row>
    <row r="1007" spans="1:17" x14ac:dyDescent="0.35">
      <c r="A1007" s="988"/>
      <c r="B1007" s="988"/>
      <c r="C1007" s="627" t="s">
        <v>690</v>
      </c>
      <c r="D1007" s="627"/>
      <c r="E1007" s="627"/>
      <c r="F1007" s="627"/>
      <c r="G1007" s="627"/>
      <c r="H1007" s="627"/>
      <c r="I1007" s="627"/>
      <c r="J1007" s="627"/>
      <c r="K1007" s="627"/>
      <c r="L1007" s="627"/>
      <c r="M1007" s="627"/>
      <c r="N1007" s="627"/>
      <c r="O1007" s="627"/>
      <c r="P1007" s="719"/>
      <c r="Q1007" s="719"/>
    </row>
    <row r="1008" spans="1:17" hidden="1" x14ac:dyDescent="0.35">
      <c r="A1008" s="988"/>
      <c r="B1008" s="988"/>
      <c r="C1008" s="660">
        <v>1</v>
      </c>
      <c r="D1008" s="627" t="str">
        <f>IF(C1008&gt;1,"EQUIPES","EQUIPE")</f>
        <v>EQUIPE</v>
      </c>
      <c r="E1008" s="183"/>
      <c r="F1008" s="627"/>
      <c r="G1008" s="627"/>
      <c r="H1008" s="627"/>
      <c r="I1008" s="627"/>
      <c r="J1008" s="627"/>
      <c r="K1008" s="627"/>
      <c r="L1008" s="627"/>
      <c r="M1008" s="627"/>
      <c r="N1008" s="627"/>
      <c r="O1008" s="627"/>
      <c r="P1008" s="719"/>
      <c r="Q1008" s="719"/>
    </row>
    <row r="1009" spans="1:17" x14ac:dyDescent="0.35">
      <c r="A1009" s="988"/>
      <c r="B1009" s="988"/>
      <c r="C1009" s="627"/>
      <c r="D1009" s="627"/>
      <c r="E1009" s="627"/>
      <c r="F1009" s="627" t="s">
        <v>200</v>
      </c>
      <c r="G1009" s="627"/>
      <c r="H1009" s="627"/>
      <c r="I1009" s="627"/>
      <c r="J1009" s="627"/>
      <c r="K1009" s="627"/>
      <c r="L1009" s="627"/>
      <c r="M1009" s="627"/>
      <c r="N1009" s="627"/>
      <c r="O1009" s="627"/>
      <c r="P1009" s="719"/>
      <c r="Q1009" s="719"/>
    </row>
    <row r="1010" spans="1:17" x14ac:dyDescent="0.35">
      <c r="A1010" s="988"/>
      <c r="B1010" s="988"/>
      <c r="C1010" s="627" t="s">
        <v>201</v>
      </c>
      <c r="D1010" s="627"/>
      <c r="E1010" s="627"/>
      <c r="F1010" s="627" t="s">
        <v>202</v>
      </c>
      <c r="G1010" s="627"/>
      <c r="H1010" s="627"/>
      <c r="I1010" s="627"/>
      <c r="J1010" s="627"/>
      <c r="K1010" s="627"/>
      <c r="L1010" s="627"/>
      <c r="M1010" s="627"/>
      <c r="N1010" s="627"/>
      <c r="O1010" s="627"/>
      <c r="P1010" s="719"/>
      <c r="Q1010" s="719"/>
    </row>
    <row r="1011" spans="1:17" x14ac:dyDescent="0.35">
      <c r="A1011" s="988"/>
      <c r="B1011" s="988"/>
      <c r="C1011" s="1009">
        <f>IF(F1011=0,1,IF(F1011="X",0,F1011))</f>
        <v>1</v>
      </c>
      <c r="D1011" s="627" t="s">
        <v>91</v>
      </c>
      <c r="E1011" s="627"/>
      <c r="F1011" s="661"/>
      <c r="G1011" s="627" t="s">
        <v>203</v>
      </c>
      <c r="H1011" s="627"/>
      <c r="I1011" s="627"/>
      <c r="J1011" s="627"/>
      <c r="K1011" s="627"/>
      <c r="L1011" s="627"/>
      <c r="M1011" s="627"/>
      <c r="N1011" s="627"/>
      <c r="O1011" s="627"/>
      <c r="P1011" s="719"/>
      <c r="Q1011" s="719"/>
    </row>
    <row r="1012" spans="1:17" x14ac:dyDescent="0.35">
      <c r="A1012" s="988"/>
      <c r="B1012" s="988"/>
      <c r="C1012" s="203">
        <f>IF(F1012=0,1,IF(F1012="X",0,F1012))</f>
        <v>1</v>
      </c>
      <c r="D1012" s="204" t="s">
        <v>565</v>
      </c>
      <c r="E1012" s="627"/>
      <c r="F1012" s="661"/>
      <c r="G1012" s="627" t="s">
        <v>203</v>
      </c>
      <c r="H1012" s="627"/>
      <c r="I1012" s="627"/>
      <c r="J1012" s="627"/>
      <c r="K1012" s="627"/>
      <c r="L1012" s="627"/>
      <c r="M1012" s="627"/>
      <c r="N1012" s="627"/>
      <c r="O1012" s="627"/>
      <c r="P1012" s="719"/>
      <c r="Q1012" s="719"/>
    </row>
    <row r="1013" spans="1:17" x14ac:dyDescent="0.35">
      <c r="A1013" s="988"/>
      <c r="B1013" s="988"/>
      <c r="C1013" s="203">
        <f>IF(F1013=0,1,IF(F1013="X",0,F1013))</f>
        <v>1</v>
      </c>
      <c r="D1013" s="204" t="s">
        <v>566</v>
      </c>
      <c r="E1013" s="627"/>
      <c r="F1013" s="661"/>
      <c r="G1013" s="627" t="s">
        <v>203</v>
      </c>
      <c r="H1013" s="627"/>
      <c r="I1013" s="627"/>
      <c r="J1013" s="627"/>
      <c r="K1013" s="627"/>
      <c r="L1013" s="627"/>
      <c r="M1013" s="627"/>
      <c r="N1013" s="627"/>
      <c r="O1013" s="627"/>
      <c r="P1013" s="719"/>
      <c r="Q1013" s="719"/>
    </row>
    <row r="1014" spans="1:17" x14ac:dyDescent="0.35">
      <c r="A1014" s="988"/>
      <c r="B1014" s="988"/>
      <c r="C1014" s="1009">
        <f ca="1">IF(F1014=0,IF(LAJES!O33&gt;0,3+LAJES!O33,3),IF(F1014="X",0,F1014))</f>
        <v>3</v>
      </c>
      <c r="D1014" s="627" t="s">
        <v>95</v>
      </c>
      <c r="E1014" s="627"/>
      <c r="F1014" s="661"/>
      <c r="G1014" s="627" t="s">
        <v>203</v>
      </c>
      <c r="H1014" s="627"/>
      <c r="I1014" s="627"/>
      <c r="J1014" s="627"/>
      <c r="K1014" s="627"/>
      <c r="L1014" s="627"/>
      <c r="M1014" s="627"/>
      <c r="N1014" s="627"/>
      <c r="O1014" s="627"/>
      <c r="P1014" s="719"/>
      <c r="Q1014" s="719"/>
    </row>
    <row r="1015" spans="1:17" x14ac:dyDescent="0.35">
      <c r="A1015" s="988"/>
      <c r="B1015" s="988"/>
      <c r="C1015" s="1009">
        <f>IF(F1021&gt;0,F1021,IF(F1015=0,1,IF(F1015="X",0,F1015)))</f>
        <v>1</v>
      </c>
      <c r="D1015" s="627" t="s">
        <v>204</v>
      </c>
      <c r="E1015" s="627"/>
      <c r="F1015" s="250"/>
      <c r="G1015" s="627" t="s">
        <v>203</v>
      </c>
      <c r="H1015" s="627"/>
      <c r="I1015" s="627"/>
      <c r="J1015" s="627"/>
      <c r="K1015" s="627"/>
      <c r="L1015" s="627"/>
      <c r="M1015" s="627"/>
      <c r="N1015" s="627"/>
      <c r="O1015" s="627"/>
      <c r="P1015" s="719"/>
      <c r="Q1015" s="719"/>
    </row>
    <row r="1016" spans="1:17" x14ac:dyDescent="0.35">
      <c r="A1016" s="988"/>
      <c r="B1016" s="988"/>
      <c r="C1016" s="1009">
        <f>IF(F1022&gt;0,F1022,IF(F1016=0,1,IF(F1016="X",0,F1016)))</f>
        <v>1</v>
      </c>
      <c r="D1016" s="627" t="s">
        <v>270</v>
      </c>
      <c r="E1016" s="627"/>
      <c r="F1016" s="250"/>
      <c r="G1016" s="627" t="s">
        <v>203</v>
      </c>
      <c r="H1016" s="627"/>
      <c r="I1016" s="627"/>
      <c r="J1016" s="627"/>
      <c r="K1016" s="627"/>
      <c r="L1016" s="627"/>
      <c r="M1016" s="627"/>
      <c r="N1016" s="627"/>
      <c r="O1016" s="627"/>
      <c r="P1016" s="719"/>
      <c r="Q1016" s="719"/>
    </row>
    <row r="1017" spans="1:17" x14ac:dyDescent="0.35">
      <c r="A1017" s="988"/>
      <c r="B1017" s="988"/>
      <c r="C1017" s="1009">
        <f>IF(I15=0,0,IF(D912=0,0,ROUNDDOWN(LAJES!H505/LAJES!H486,0)))</f>
        <v>0</v>
      </c>
      <c r="D1017" s="183" t="s">
        <v>207</v>
      </c>
      <c r="E1017" s="183"/>
      <c r="F1017" s="627"/>
      <c r="G1017" s="627"/>
      <c r="H1017" s="627"/>
      <c r="I1017" s="627"/>
      <c r="J1017" s="627"/>
      <c r="K1017" s="627"/>
      <c r="L1017" s="627"/>
      <c r="M1017" s="627"/>
      <c r="N1017" s="627"/>
      <c r="O1017" s="627"/>
      <c r="P1017" s="719"/>
      <c r="Q1017" s="719"/>
    </row>
    <row r="1018" spans="1:17" x14ac:dyDescent="0.35">
      <c r="A1018" s="988"/>
      <c r="B1018" s="988"/>
      <c r="C1018" s="203">
        <f>IF(F1018="X",0,C259)</f>
        <v>2</v>
      </c>
      <c r="D1018" s="204" t="s">
        <v>208</v>
      </c>
      <c r="E1018" s="183"/>
      <c r="F1018" s="660"/>
      <c r="G1018" s="627" t="s">
        <v>203</v>
      </c>
      <c r="H1018" s="627"/>
      <c r="I1018" s="627"/>
      <c r="J1018" s="627"/>
      <c r="K1018" s="627"/>
      <c r="L1018" s="627"/>
      <c r="M1018" s="627"/>
      <c r="N1018" s="627"/>
      <c r="O1018" s="627"/>
      <c r="P1018" s="719"/>
      <c r="Q1018" s="719"/>
    </row>
    <row r="1019" spans="1:17" x14ac:dyDescent="0.35">
      <c r="A1019" s="988"/>
      <c r="B1019" s="988"/>
      <c r="C1019" s="203">
        <f>IF(F1019="X",0,C260)</f>
        <v>1</v>
      </c>
      <c r="D1019" s="204" t="s">
        <v>209</v>
      </c>
      <c r="E1019" s="627"/>
      <c r="F1019" s="660"/>
      <c r="G1019" s="627" t="s">
        <v>203</v>
      </c>
      <c r="H1019" s="627"/>
      <c r="I1019" s="627"/>
      <c r="J1019" s="627"/>
      <c r="K1019" s="627"/>
      <c r="L1019" s="627"/>
      <c r="M1019" s="627"/>
      <c r="N1019" s="627"/>
      <c r="O1019" s="627"/>
      <c r="P1019" s="719"/>
      <c r="Q1019" s="719"/>
    </row>
    <row r="1020" spans="1:17" x14ac:dyDescent="0.35">
      <c r="A1020" s="988"/>
      <c r="B1020" s="988"/>
      <c r="C1020" s="627"/>
      <c r="D1020" s="627"/>
      <c r="E1020" s="627"/>
      <c r="F1020" s="627"/>
      <c r="G1020" s="627"/>
      <c r="H1020" s="627"/>
      <c r="I1020" s="627"/>
      <c r="J1020" s="627"/>
      <c r="K1020" s="627"/>
      <c r="L1020" s="627"/>
      <c r="M1020" s="627"/>
      <c r="N1020" s="627"/>
      <c r="O1020" s="627"/>
      <c r="P1020" s="719"/>
      <c r="Q1020" s="719"/>
    </row>
    <row r="1021" spans="1:17" hidden="1" x14ac:dyDescent="0.35">
      <c r="A1021" s="988"/>
      <c r="B1021" s="988"/>
      <c r="C1021" s="627" t="s">
        <v>567</v>
      </c>
      <c r="D1021" s="627"/>
      <c r="E1021" s="627"/>
      <c r="F1021" s="661"/>
      <c r="G1021" s="627" t="s">
        <v>46</v>
      </c>
      <c r="H1021" s="627"/>
      <c r="I1021" s="627"/>
      <c r="J1021" s="627"/>
      <c r="K1021" s="627"/>
      <c r="L1021" s="627"/>
      <c r="M1021" s="627"/>
      <c r="N1021" s="627"/>
      <c r="O1021" s="627"/>
      <c r="P1021" s="719"/>
      <c r="Q1021" s="719"/>
    </row>
    <row r="1022" spans="1:17" hidden="1" x14ac:dyDescent="0.35">
      <c r="A1022" s="988"/>
      <c r="B1022" s="988"/>
      <c r="C1022" s="627"/>
      <c r="D1022" s="627"/>
      <c r="E1022" s="627"/>
      <c r="F1022" s="627"/>
      <c r="G1022" s="627"/>
      <c r="H1022" s="627"/>
      <c r="I1022" s="627"/>
      <c r="J1022" s="627"/>
      <c r="K1022" s="627"/>
      <c r="L1022" s="627"/>
      <c r="M1022" s="627"/>
      <c r="N1022" s="627"/>
      <c r="O1022" s="627"/>
      <c r="P1022" s="719"/>
      <c r="Q1022" s="719"/>
    </row>
    <row r="1023" spans="1:17" ht="27.95" customHeight="1" x14ac:dyDescent="0.35">
      <c r="A1023" s="988"/>
      <c r="B1023" s="762"/>
      <c r="C1023" s="1315">
        <f>IF(AND(L996&lt;2.4,L996&gt;0),"VOCÊ DEFINIU "&amp;L996&amp;" DIAS POR REPETIÇÃO, "&amp;" LOGO OBRIGATÓRIO TRABALHAR NO SÁBADO, ENTRE COM HORAS EXTRA NO SÁBADO !",0)</f>
        <v>0</v>
      </c>
      <c r="D1023" s="1316"/>
      <c r="E1023" s="1316"/>
      <c r="F1023" s="1316"/>
      <c r="G1023" s="1316"/>
      <c r="H1023" s="1316"/>
      <c r="I1023" s="1316"/>
      <c r="J1023" s="1316"/>
      <c r="K1023" s="1316"/>
      <c r="L1023" s="1316"/>
      <c r="M1023" s="1316"/>
      <c r="N1023" s="1316"/>
      <c r="O1023" s="1316"/>
      <c r="P1023" s="1316"/>
      <c r="Q1023" s="1317"/>
    </row>
    <row r="1024" spans="1:17" x14ac:dyDescent="0.35">
      <c r="A1024" s="988"/>
      <c r="B1024" s="762"/>
      <c r="C1024" s="762" t="s">
        <v>210</v>
      </c>
      <c r="D1024" s="761"/>
      <c r="E1024" s="761"/>
      <c r="F1024" s="761"/>
      <c r="G1024" s="660"/>
      <c r="H1024" s="761" t="s">
        <v>187</v>
      </c>
      <c r="I1024" s="761" t="s">
        <v>211</v>
      </c>
      <c r="J1024" s="761"/>
      <c r="K1024" s="761"/>
      <c r="L1024" s="761"/>
      <c r="M1024" s="761"/>
      <c r="N1024" s="627"/>
      <c r="O1024" s="660"/>
      <c r="P1024" s="627" t="s">
        <v>130</v>
      </c>
      <c r="Q1024" s="719"/>
    </row>
    <row r="1025" spans="1:72" ht="5.45" customHeight="1" x14ac:dyDescent="0.35">
      <c r="A1025" s="988"/>
      <c r="B1025" s="762"/>
      <c r="C1025" s="762"/>
      <c r="D1025" s="761"/>
      <c r="E1025" s="761"/>
      <c r="F1025" s="761"/>
      <c r="G1025" s="761"/>
      <c r="H1025" s="761"/>
      <c r="I1025" s="761"/>
      <c r="J1025" s="761"/>
      <c r="K1025" s="761"/>
      <c r="L1025" s="761"/>
      <c r="M1025" s="761"/>
      <c r="N1025" s="627"/>
      <c r="O1025" s="627"/>
      <c r="P1025" s="627"/>
      <c r="Q1025" s="719"/>
      <c r="R1025" s="627"/>
      <c r="S1025" s="627"/>
      <c r="T1025" s="627"/>
      <c r="U1025" s="627"/>
      <c r="V1025" s="627"/>
      <c r="W1025" s="627"/>
      <c r="X1025" s="627"/>
      <c r="Y1025" s="627"/>
      <c r="Z1025" s="627"/>
      <c r="AA1025" s="627"/>
      <c r="AB1025" s="627"/>
      <c r="AC1025" s="627"/>
      <c r="AD1025" s="627"/>
      <c r="AE1025" s="627"/>
      <c r="AF1025" s="627"/>
      <c r="AG1025" s="627"/>
      <c r="AH1025" s="627"/>
      <c r="AI1025" s="627"/>
      <c r="AJ1025" s="627"/>
      <c r="AK1025" s="627"/>
      <c r="AL1025" s="627"/>
      <c r="AM1025" s="627"/>
      <c r="AN1025" s="627"/>
      <c r="AO1025" s="627"/>
      <c r="AP1025" s="627"/>
      <c r="AQ1025" s="627"/>
      <c r="AR1025" s="627"/>
      <c r="AS1025" s="627"/>
      <c r="AT1025" s="627"/>
      <c r="AU1025" s="627"/>
      <c r="AV1025" s="627"/>
      <c r="AW1025" s="627"/>
      <c r="AX1025" s="627"/>
      <c r="AY1025" s="627"/>
      <c r="AZ1025" s="627"/>
      <c r="BA1025" s="627"/>
      <c r="BB1025" s="627"/>
      <c r="BC1025" s="627"/>
      <c r="BD1025" s="627"/>
      <c r="BE1025" s="627"/>
      <c r="BF1025" s="627"/>
      <c r="BG1025" s="627"/>
      <c r="BH1025" s="627"/>
      <c r="BI1025" s="627"/>
      <c r="BJ1025" s="627"/>
      <c r="BK1025" s="627"/>
      <c r="BL1025" s="627"/>
      <c r="BM1025" s="627"/>
      <c r="BN1025" s="627"/>
      <c r="BO1025" s="627"/>
      <c r="BP1025" s="627"/>
      <c r="BQ1025" s="627"/>
      <c r="BR1025" s="627"/>
      <c r="BS1025" s="627"/>
      <c r="BT1025" s="627"/>
    </row>
    <row r="1026" spans="1:72" x14ac:dyDescent="0.35">
      <c r="A1026" s="988"/>
      <c r="B1026" s="762"/>
      <c r="C1026" s="762" t="s">
        <v>212</v>
      </c>
      <c r="D1026" s="761"/>
      <c r="E1026" s="761"/>
      <c r="F1026" s="761"/>
      <c r="G1026" s="660"/>
      <c r="H1026" s="761" t="s">
        <v>187</v>
      </c>
      <c r="I1026" s="761" t="s">
        <v>211</v>
      </c>
      <c r="J1026" s="761"/>
      <c r="K1026" s="761"/>
      <c r="L1026" s="761"/>
      <c r="M1026" s="761"/>
      <c r="N1026" s="627"/>
      <c r="O1026" s="660"/>
      <c r="P1026" s="627" t="s">
        <v>130</v>
      </c>
      <c r="Q1026" s="719"/>
      <c r="R1026" s="627"/>
      <c r="S1026" s="627"/>
      <c r="T1026" s="627"/>
      <c r="U1026" s="627"/>
      <c r="V1026" s="627"/>
      <c r="W1026" s="627"/>
      <c r="X1026" s="627"/>
      <c r="Y1026" s="627"/>
      <c r="Z1026" s="627"/>
      <c r="AA1026" s="627"/>
      <c r="AB1026" s="627"/>
      <c r="AC1026" s="627"/>
      <c r="AD1026" s="627"/>
      <c r="AE1026" s="627"/>
      <c r="AF1026" s="627"/>
      <c r="AG1026" s="627"/>
      <c r="AH1026" s="627"/>
      <c r="AI1026" s="627"/>
      <c r="AJ1026" s="627"/>
      <c r="AK1026" s="627"/>
      <c r="AL1026" s="627"/>
      <c r="AM1026" s="627"/>
      <c r="AN1026" s="627"/>
      <c r="AO1026" s="627"/>
      <c r="AP1026" s="627"/>
      <c r="AQ1026" s="627"/>
      <c r="AR1026" s="627"/>
      <c r="AS1026" s="627"/>
      <c r="AT1026" s="627"/>
      <c r="AU1026" s="627"/>
      <c r="AV1026" s="627"/>
      <c r="AW1026" s="627"/>
      <c r="AX1026" s="627"/>
      <c r="AY1026" s="627"/>
      <c r="AZ1026" s="627"/>
      <c r="BA1026" s="627"/>
      <c r="BB1026" s="627"/>
      <c r="BC1026" s="627"/>
      <c r="BD1026" s="627"/>
      <c r="BE1026" s="627"/>
      <c r="BF1026" s="627"/>
      <c r="BG1026" s="627"/>
      <c r="BH1026" s="627"/>
      <c r="BI1026" s="627"/>
      <c r="BJ1026" s="627"/>
      <c r="BK1026" s="627"/>
      <c r="BL1026" s="627"/>
      <c r="BM1026" s="627"/>
      <c r="BN1026" s="627"/>
      <c r="BO1026" s="627"/>
      <c r="BP1026" s="627"/>
      <c r="BQ1026" s="627"/>
      <c r="BR1026" s="627"/>
      <c r="BS1026" s="627"/>
      <c r="BT1026" s="627"/>
    </row>
    <row r="1027" spans="1:72" ht="5.0999999999999996" customHeight="1" x14ac:dyDescent="0.35">
      <c r="A1027" s="988"/>
      <c r="B1027" s="762"/>
      <c r="C1027" s="1054"/>
      <c r="D1027" s="1055"/>
      <c r="E1027" s="1055"/>
      <c r="F1027" s="1055"/>
      <c r="G1027" s="1055"/>
      <c r="H1027" s="1055"/>
      <c r="I1027" s="1055"/>
      <c r="J1027" s="1055"/>
      <c r="K1027" s="1055"/>
      <c r="L1027" s="1055"/>
      <c r="M1027" s="1055"/>
      <c r="N1027" s="749"/>
      <c r="O1027" s="749"/>
      <c r="P1027" s="749"/>
      <c r="Q1027" s="748"/>
      <c r="R1027" s="627"/>
      <c r="S1027" s="627"/>
      <c r="T1027" s="627"/>
      <c r="U1027" s="627"/>
      <c r="V1027" s="627"/>
      <c r="W1027" s="627"/>
      <c r="X1027" s="627"/>
      <c r="Y1027" s="627"/>
      <c r="Z1027" s="627"/>
      <c r="AA1027" s="627"/>
      <c r="AB1027" s="627"/>
      <c r="AC1027" s="627"/>
      <c r="AD1027" s="627"/>
      <c r="AE1027" s="627"/>
      <c r="AF1027" s="627"/>
      <c r="AG1027" s="627"/>
      <c r="AH1027" s="627"/>
      <c r="AI1027" s="627"/>
      <c r="AJ1027" s="627"/>
      <c r="AK1027" s="627"/>
      <c r="AL1027" s="627"/>
      <c r="AM1027" s="627"/>
      <c r="AN1027" s="627"/>
      <c r="AO1027" s="627"/>
      <c r="AP1027" s="627"/>
      <c r="AQ1027" s="627"/>
      <c r="AR1027" s="627"/>
      <c r="AS1027" s="627"/>
      <c r="AT1027" s="627"/>
      <c r="AU1027" s="627"/>
      <c r="AV1027" s="627"/>
      <c r="AW1027" s="627"/>
      <c r="AX1027" s="627"/>
      <c r="AY1027" s="627"/>
      <c r="AZ1027" s="627"/>
      <c r="BA1027" s="627"/>
      <c r="BB1027" s="627"/>
      <c r="BC1027" s="627"/>
      <c r="BD1027" s="627"/>
      <c r="BE1027" s="627"/>
      <c r="BF1027" s="627"/>
      <c r="BG1027" s="627"/>
      <c r="BH1027" s="627"/>
      <c r="BI1027" s="627"/>
      <c r="BJ1027" s="627"/>
      <c r="BK1027" s="627"/>
      <c r="BL1027" s="627"/>
      <c r="BM1027" s="627"/>
      <c r="BN1027" s="627"/>
      <c r="BO1027" s="627"/>
      <c r="BP1027" s="627"/>
      <c r="BQ1027" s="627"/>
      <c r="BR1027" s="627"/>
      <c r="BS1027" s="627"/>
      <c r="BT1027" s="627"/>
    </row>
    <row r="1028" spans="1:72" ht="5.0999999999999996" customHeight="1" x14ac:dyDescent="0.35">
      <c r="A1028" s="988"/>
      <c r="B1028" s="762"/>
      <c r="C1028" s="1056"/>
      <c r="D1028" s="1057"/>
      <c r="E1028" s="1057"/>
      <c r="F1028" s="1057"/>
      <c r="G1028" s="1057"/>
      <c r="H1028" s="1057"/>
      <c r="I1028" s="1057"/>
      <c r="J1028" s="1057"/>
      <c r="K1028" s="1057"/>
      <c r="L1028" s="1057"/>
      <c r="M1028" s="1057"/>
      <c r="N1028" s="652"/>
      <c r="O1028" s="652"/>
      <c r="P1028" s="652"/>
      <c r="Q1028" s="987"/>
      <c r="R1028" s="627"/>
      <c r="S1028" s="627"/>
      <c r="T1028" s="627"/>
      <c r="U1028" s="627"/>
      <c r="V1028" s="627"/>
      <c r="W1028" s="627"/>
      <c r="X1028" s="627"/>
      <c r="Y1028" s="627"/>
      <c r="Z1028" s="627"/>
      <c r="AA1028" s="627"/>
      <c r="AB1028" s="627"/>
      <c r="AC1028" s="627"/>
      <c r="AD1028" s="627"/>
      <c r="AE1028" s="627"/>
      <c r="AF1028" s="627"/>
      <c r="AG1028" s="627"/>
      <c r="AH1028" s="627"/>
      <c r="AI1028" s="627"/>
      <c r="AJ1028" s="627"/>
      <c r="AK1028" s="627"/>
      <c r="AL1028" s="627"/>
      <c r="AM1028" s="627"/>
      <c r="AN1028" s="627"/>
      <c r="AO1028" s="627"/>
      <c r="AP1028" s="627"/>
      <c r="AQ1028" s="627"/>
      <c r="AR1028" s="627"/>
      <c r="AS1028" s="627"/>
      <c r="AT1028" s="627"/>
      <c r="AU1028" s="627"/>
      <c r="AV1028" s="627"/>
      <c r="AW1028" s="627"/>
      <c r="AX1028" s="627"/>
      <c r="AY1028" s="627"/>
      <c r="AZ1028" s="627"/>
      <c r="BA1028" s="627"/>
      <c r="BB1028" s="627"/>
      <c r="BC1028" s="627"/>
      <c r="BD1028" s="627"/>
      <c r="BE1028" s="627"/>
      <c r="BF1028" s="627"/>
      <c r="BG1028" s="627"/>
      <c r="BH1028" s="627"/>
      <c r="BI1028" s="627"/>
      <c r="BJ1028" s="627"/>
      <c r="BK1028" s="627"/>
      <c r="BL1028" s="627"/>
      <c r="BM1028" s="627"/>
      <c r="BN1028" s="627"/>
      <c r="BO1028" s="627"/>
      <c r="BP1028" s="627"/>
      <c r="BQ1028" s="627"/>
      <c r="BR1028" s="627"/>
      <c r="BS1028" s="627"/>
      <c r="BT1028" s="627"/>
    </row>
    <row r="1029" spans="1:72" ht="12.75" customHeight="1" x14ac:dyDescent="0.35">
      <c r="A1029" s="988"/>
      <c r="B1029" s="988"/>
      <c r="C1029" s="988" t="s">
        <v>213</v>
      </c>
      <c r="D1029" s="627"/>
      <c r="E1029" s="627"/>
      <c r="F1029" s="627"/>
      <c r="G1029" s="627"/>
      <c r="H1029" s="627"/>
      <c r="I1029" s="627"/>
      <c r="J1029" s="627"/>
      <c r="K1029" s="627"/>
      <c r="L1029" s="660">
        <f>IF($I$15=0,0,IF(N1029="X",0,IF(N1029&gt;0,N1029,IF(G1024+G1026=0,0,IF(G1024+G1026&gt;0,(((G1024+G1026)+44)/44-1)*100)))))</f>
        <v>0</v>
      </c>
      <c r="M1029" s="627" t="s">
        <v>130</v>
      </c>
      <c r="N1029" s="697"/>
      <c r="O1029" s="988" t="s">
        <v>214</v>
      </c>
      <c r="P1029" s="627"/>
      <c r="Q1029" s="719"/>
      <c r="R1029" s="627"/>
      <c r="S1029" s="627"/>
      <c r="T1029" s="627"/>
      <c r="U1029" s="627"/>
      <c r="V1029" s="627"/>
      <c r="W1029" s="627"/>
      <c r="X1029" s="627"/>
      <c r="Y1029" s="627"/>
      <c r="Z1029" s="627"/>
      <c r="AA1029" s="627"/>
      <c r="AB1029" s="627"/>
      <c r="AC1029" s="627"/>
      <c r="AD1029" s="627"/>
      <c r="AE1029" s="627"/>
      <c r="AF1029" s="627"/>
      <c r="AG1029" s="627"/>
      <c r="AH1029" s="627"/>
      <c r="AI1029" s="627"/>
      <c r="AJ1029" s="627"/>
      <c r="AK1029" s="627"/>
      <c r="AL1029" s="627"/>
      <c r="AM1029" s="627"/>
      <c r="AN1029" s="627"/>
      <c r="AO1029" s="627"/>
      <c r="AP1029" s="627"/>
      <c r="AQ1029" s="627"/>
      <c r="AR1029" s="627"/>
      <c r="AS1029" s="627"/>
      <c r="AT1029" s="627"/>
      <c r="AU1029" s="627"/>
      <c r="AV1029" s="627"/>
      <c r="AW1029" s="627"/>
      <c r="AX1029" s="627"/>
      <c r="AY1029" s="627"/>
      <c r="AZ1029" s="627"/>
      <c r="BA1029" s="627"/>
      <c r="BB1029" s="627"/>
      <c r="BC1029" s="627"/>
      <c r="BD1029" s="627"/>
      <c r="BE1029" s="627"/>
      <c r="BF1029" s="627"/>
      <c r="BG1029" s="627"/>
      <c r="BH1029" s="627"/>
      <c r="BI1029" s="627"/>
      <c r="BJ1029" s="627"/>
      <c r="BK1029" s="627"/>
      <c r="BL1029" s="627"/>
      <c r="BM1029" s="627"/>
      <c r="BN1029" s="627"/>
      <c r="BO1029" s="627"/>
      <c r="BP1029" s="627"/>
      <c r="BQ1029" s="627"/>
      <c r="BR1029" s="627"/>
      <c r="BS1029" s="627"/>
      <c r="BT1029" s="627"/>
    </row>
    <row r="1030" spans="1:72" ht="12.75" customHeight="1" x14ac:dyDescent="0.35">
      <c r="A1030" s="988"/>
      <c r="B1030" s="988"/>
      <c r="C1030" s="988"/>
      <c r="D1030" s="627"/>
      <c r="E1030" s="627"/>
      <c r="F1030" s="627"/>
      <c r="G1030" s="627"/>
      <c r="H1030" s="627"/>
      <c r="I1030" s="627"/>
      <c r="J1030" s="627"/>
      <c r="K1030" s="627"/>
      <c r="L1030" s="627"/>
      <c r="M1030" s="627"/>
      <c r="N1030" s="627"/>
      <c r="O1030" s="988" t="s">
        <v>215</v>
      </c>
      <c r="P1030" s="627"/>
      <c r="Q1030" s="719"/>
      <c r="R1030" s="627"/>
      <c r="S1030" s="627"/>
      <c r="T1030" s="627"/>
      <c r="U1030" s="627"/>
      <c r="V1030" s="627"/>
      <c r="W1030" s="627"/>
      <c r="X1030" s="627"/>
      <c r="Y1030" s="627"/>
      <c r="Z1030" s="627"/>
      <c r="AA1030" s="627"/>
      <c r="AB1030" s="627"/>
      <c r="AC1030" s="627"/>
      <c r="AD1030" s="627"/>
      <c r="AE1030" s="627"/>
      <c r="AF1030" s="627"/>
      <c r="AG1030" s="627"/>
      <c r="AH1030" s="627"/>
      <c r="AI1030" s="627"/>
      <c r="AJ1030" s="627"/>
      <c r="AK1030" s="627"/>
      <c r="AL1030" s="627"/>
      <c r="AM1030" s="627"/>
      <c r="AN1030" s="627"/>
      <c r="AO1030" s="627"/>
      <c r="AP1030" s="627"/>
      <c r="AQ1030" s="627"/>
      <c r="AR1030" s="627"/>
      <c r="AS1030" s="627"/>
      <c r="AT1030" s="627"/>
      <c r="AU1030" s="627"/>
      <c r="AV1030" s="627"/>
      <c r="AW1030" s="627"/>
      <c r="AX1030" s="627"/>
      <c r="AY1030" s="627"/>
      <c r="AZ1030" s="627"/>
      <c r="BA1030" s="627"/>
      <c r="BB1030" s="627"/>
      <c r="BC1030" s="627"/>
      <c r="BD1030" s="627"/>
      <c r="BE1030" s="627"/>
      <c r="BF1030" s="627"/>
      <c r="BG1030" s="627"/>
      <c r="BH1030" s="627"/>
      <c r="BI1030" s="627"/>
      <c r="BJ1030" s="627"/>
      <c r="BK1030" s="627"/>
      <c r="BL1030" s="627"/>
      <c r="BM1030" s="627"/>
      <c r="BN1030" s="627"/>
      <c r="BO1030" s="627"/>
      <c r="BP1030" s="627"/>
      <c r="BQ1030" s="627"/>
      <c r="BR1030" s="627"/>
      <c r="BS1030" s="627"/>
      <c r="BT1030" s="627"/>
    </row>
    <row r="1031" spans="1:72" ht="12.75" customHeight="1" x14ac:dyDescent="0.35">
      <c r="A1031" s="988"/>
      <c r="B1031" s="988"/>
      <c r="C1031" s="988" t="s">
        <v>216</v>
      </c>
      <c r="D1031" s="627"/>
      <c r="E1031" s="627"/>
      <c r="F1031" s="627"/>
      <c r="G1031" s="627"/>
      <c r="H1031" s="627"/>
      <c r="I1031" s="627"/>
      <c r="J1031" s="627"/>
      <c r="K1031" s="627"/>
      <c r="L1031" s="660">
        <f>IF($I$15=0,0,IF(N1031="X",0,IF(N1031&gt;0,N1031,IF(G1024+G1026=0,0,(G1024*(O1024)+G1026*(O1026))/(G1024+G1026)))))</f>
        <v>0</v>
      </c>
      <c r="M1031" s="627" t="s">
        <v>130</v>
      </c>
      <c r="N1031" s="697"/>
      <c r="O1031" s="988" t="s">
        <v>217</v>
      </c>
      <c r="P1031" s="627"/>
      <c r="Q1031" s="719"/>
      <c r="R1031" s="627"/>
      <c r="S1031" s="627"/>
      <c r="T1031" s="627"/>
      <c r="U1031" s="627"/>
      <c r="V1031" s="627"/>
      <c r="W1031" s="627"/>
      <c r="X1031" s="627"/>
      <c r="Y1031" s="627"/>
      <c r="Z1031" s="627"/>
      <c r="AA1031" s="627"/>
      <c r="AB1031" s="627"/>
      <c r="AC1031" s="627"/>
      <c r="AD1031" s="627"/>
      <c r="AE1031" s="627"/>
      <c r="AF1031" s="627"/>
      <c r="AG1031" s="627"/>
      <c r="AH1031" s="627"/>
      <c r="AI1031" s="627"/>
      <c r="AJ1031" s="627"/>
      <c r="AK1031" s="627"/>
      <c r="AL1031" s="627"/>
      <c r="AM1031" s="627"/>
      <c r="AN1031" s="627"/>
      <c r="AO1031" s="627"/>
      <c r="AP1031" s="627"/>
      <c r="AQ1031" s="627"/>
      <c r="AR1031" s="627"/>
      <c r="AS1031" s="627"/>
      <c r="AT1031" s="627"/>
      <c r="AU1031" s="627"/>
      <c r="AV1031" s="627"/>
      <c r="AW1031" s="627"/>
      <c r="AX1031" s="627"/>
      <c r="AY1031" s="627"/>
      <c r="AZ1031" s="627"/>
      <c r="BA1031" s="627"/>
      <c r="BB1031" s="627"/>
      <c r="BC1031" s="627"/>
      <c r="BD1031" s="627"/>
      <c r="BE1031" s="627"/>
      <c r="BF1031" s="627"/>
      <c r="BG1031" s="627"/>
      <c r="BH1031" s="627"/>
      <c r="BI1031" s="627"/>
      <c r="BJ1031" s="627"/>
      <c r="BK1031" s="627"/>
      <c r="BL1031" s="627"/>
      <c r="BM1031" s="627"/>
      <c r="BN1031" s="627"/>
      <c r="BO1031" s="627"/>
      <c r="BP1031" s="627"/>
      <c r="BQ1031" s="627"/>
      <c r="BR1031" s="627"/>
      <c r="BS1031" s="627"/>
      <c r="BT1031" s="627"/>
    </row>
    <row r="1032" spans="1:72" ht="4.5" customHeight="1" x14ac:dyDescent="0.35">
      <c r="A1032" s="988"/>
      <c r="B1032" s="988"/>
      <c r="C1032" s="637"/>
      <c r="D1032" s="749"/>
      <c r="E1032" s="749"/>
      <c r="F1032" s="749"/>
      <c r="G1032" s="749"/>
      <c r="H1032" s="749"/>
      <c r="I1032" s="749"/>
      <c r="J1032" s="749"/>
      <c r="K1032" s="749"/>
      <c r="L1032" s="1055"/>
      <c r="M1032" s="749"/>
      <c r="N1032" s="749"/>
      <c r="O1032" s="749"/>
      <c r="P1032" s="749"/>
      <c r="Q1032" s="748"/>
      <c r="R1032" s="627"/>
      <c r="S1032" s="627"/>
      <c r="T1032" s="627"/>
      <c r="U1032" s="627"/>
      <c r="V1032" s="627"/>
      <c r="W1032" s="627"/>
      <c r="X1032" s="627"/>
      <c r="Y1032" s="627"/>
      <c r="Z1032" s="627"/>
      <c r="AA1032" s="627"/>
      <c r="AB1032" s="627"/>
      <c r="AC1032" s="627"/>
      <c r="AD1032" s="627"/>
      <c r="AE1032" s="627"/>
      <c r="AF1032" s="627"/>
      <c r="AG1032" s="627"/>
      <c r="AH1032" s="627"/>
      <c r="AI1032" s="627"/>
      <c r="AJ1032" s="627"/>
      <c r="AK1032" s="627"/>
      <c r="AL1032" s="627"/>
      <c r="AM1032" s="627"/>
      <c r="AN1032" s="627"/>
      <c r="AO1032" s="627"/>
      <c r="AP1032" s="627"/>
      <c r="AQ1032" s="627"/>
      <c r="AR1032" s="627"/>
      <c r="AS1032" s="627"/>
      <c r="AT1032" s="627"/>
      <c r="AU1032" s="627"/>
      <c r="AV1032" s="627"/>
      <c r="AW1032" s="627"/>
      <c r="AX1032" s="627"/>
      <c r="AY1032" s="627"/>
      <c r="AZ1032" s="627"/>
      <c r="BA1032" s="627"/>
      <c r="BB1032" s="627"/>
      <c r="BC1032" s="627"/>
      <c r="BD1032" s="627"/>
      <c r="BE1032" s="627"/>
      <c r="BF1032" s="627"/>
      <c r="BG1032" s="627"/>
      <c r="BH1032" s="627"/>
      <c r="BI1032" s="627"/>
      <c r="BJ1032" s="627"/>
      <c r="BK1032" s="627"/>
      <c r="BL1032" s="627"/>
      <c r="BM1032" s="627"/>
      <c r="BN1032" s="627"/>
      <c r="BO1032" s="627"/>
      <c r="BP1032" s="627"/>
      <c r="BQ1032" s="627"/>
      <c r="BR1032" s="627"/>
      <c r="BS1032" s="627"/>
      <c r="BT1032" s="627"/>
    </row>
    <row r="1033" spans="1:72" ht="4.5" customHeight="1" x14ac:dyDescent="0.35">
      <c r="A1033" s="988"/>
      <c r="B1033" s="988"/>
      <c r="C1033" s="652"/>
      <c r="D1033" s="652"/>
      <c r="E1033" s="652"/>
      <c r="F1033" s="652"/>
      <c r="G1033" s="652"/>
      <c r="H1033" s="652"/>
      <c r="I1033" s="652"/>
      <c r="J1033" s="652"/>
      <c r="K1033" s="652"/>
      <c r="L1033" s="1057"/>
      <c r="M1033" s="652"/>
      <c r="N1033" s="652"/>
      <c r="O1033" s="652"/>
      <c r="P1033" s="987"/>
      <c r="Q1033" s="719"/>
      <c r="R1033" s="627"/>
      <c r="S1033" s="627"/>
      <c r="T1033" s="627"/>
      <c r="U1033" s="627"/>
      <c r="V1033" s="627"/>
      <c r="W1033" s="627"/>
      <c r="X1033" s="627"/>
      <c r="Y1033" s="627"/>
      <c r="Z1033" s="627"/>
      <c r="AA1033" s="627"/>
      <c r="AB1033" s="627"/>
      <c r="AC1033" s="627"/>
      <c r="AD1033" s="627"/>
      <c r="AE1033" s="627"/>
      <c r="AF1033" s="627"/>
      <c r="AG1033" s="627"/>
      <c r="AH1033" s="627"/>
      <c r="AI1033" s="627"/>
      <c r="AJ1033" s="627"/>
      <c r="AK1033" s="627"/>
      <c r="AL1033" s="627"/>
      <c r="AM1033" s="627"/>
      <c r="AN1033" s="627"/>
      <c r="AO1033" s="627"/>
      <c r="AP1033" s="627"/>
      <c r="AQ1033" s="627"/>
      <c r="AR1033" s="627"/>
      <c r="AS1033" s="627"/>
      <c r="AT1033" s="627"/>
      <c r="AU1033" s="627"/>
      <c r="AV1033" s="627"/>
      <c r="AW1033" s="627"/>
      <c r="AX1033" s="627"/>
      <c r="AY1033" s="627"/>
      <c r="AZ1033" s="627"/>
      <c r="BA1033" s="627"/>
      <c r="BB1033" s="627"/>
      <c r="BC1033" s="627"/>
      <c r="BD1033" s="627"/>
      <c r="BE1033" s="627"/>
      <c r="BF1033" s="627"/>
      <c r="BG1033" s="627"/>
      <c r="BH1033" s="627"/>
      <c r="BI1033" s="627"/>
      <c r="BJ1033" s="627"/>
      <c r="BK1033" s="627"/>
      <c r="BL1033" s="627"/>
      <c r="BM1033" s="627"/>
      <c r="BN1033" s="627"/>
      <c r="BO1033" s="627"/>
      <c r="BP1033" s="627"/>
      <c r="BQ1033" s="627"/>
      <c r="BR1033" s="627"/>
      <c r="BS1033" s="627"/>
      <c r="BT1033" s="627"/>
    </row>
    <row r="1034" spans="1:72" x14ac:dyDescent="0.35">
      <c r="A1034" s="988"/>
      <c r="B1034" s="988"/>
      <c r="C1034" s="627"/>
      <c r="D1034" s="627"/>
      <c r="E1034" s="627"/>
      <c r="F1034" s="627"/>
      <c r="G1034" s="627"/>
      <c r="H1034" s="627"/>
      <c r="I1034" s="627"/>
      <c r="J1034" s="627"/>
      <c r="K1034" s="627"/>
      <c r="L1034" s="627"/>
      <c r="M1034" s="627"/>
      <c r="N1034" s="627"/>
      <c r="O1034" s="627"/>
      <c r="P1034" s="719"/>
      <c r="Q1034" s="719"/>
      <c r="R1034" s="627"/>
      <c r="S1034" s="627"/>
      <c r="T1034" s="627"/>
      <c r="U1034" s="627"/>
      <c r="V1034" s="627"/>
      <c r="W1034" s="627"/>
      <c r="X1034" s="627"/>
      <c r="Y1034" s="627"/>
      <c r="Z1034" s="627"/>
      <c r="AA1034" s="627"/>
      <c r="AB1034" s="627"/>
      <c r="AC1034" s="627"/>
      <c r="AD1034" s="627"/>
      <c r="AE1034" s="627"/>
      <c r="AF1034" s="627"/>
      <c r="AG1034" s="627"/>
      <c r="AH1034" s="627"/>
      <c r="AI1034" s="627"/>
      <c r="AJ1034" s="627"/>
      <c r="AK1034" s="627"/>
      <c r="AL1034" s="627"/>
      <c r="AM1034" s="627"/>
      <c r="AN1034" s="627"/>
      <c r="AO1034" s="627"/>
      <c r="AP1034" s="627"/>
      <c r="AQ1034" s="627"/>
      <c r="AR1034" s="627"/>
      <c r="AS1034" s="627"/>
      <c r="AT1034" s="627"/>
      <c r="AU1034" s="627"/>
      <c r="AV1034" s="627"/>
      <c r="AW1034" s="627"/>
      <c r="AX1034" s="627"/>
      <c r="AY1034" s="627"/>
      <c r="AZ1034" s="627"/>
      <c r="BA1034" s="627"/>
      <c r="BB1034" s="627"/>
      <c r="BC1034" s="627"/>
      <c r="BD1034" s="627"/>
      <c r="BE1034" s="627"/>
      <c r="BF1034" s="627"/>
      <c r="BG1034" s="627"/>
      <c r="BH1034" s="627"/>
      <c r="BI1034" s="627"/>
      <c r="BJ1034" s="627"/>
      <c r="BK1034" s="627"/>
      <c r="BL1034" s="627"/>
      <c r="BM1034" s="627"/>
      <c r="BN1034" s="627"/>
      <c r="BO1034" s="627"/>
      <c r="BP1034" s="627"/>
      <c r="BQ1034" s="627"/>
      <c r="BR1034" s="627"/>
      <c r="BS1034" s="627"/>
      <c r="BT1034" s="627"/>
    </row>
    <row r="1035" spans="1:72" hidden="1" x14ac:dyDescent="0.35">
      <c r="A1035" s="988"/>
      <c r="B1035" s="988"/>
      <c r="C1035" s="627"/>
      <c r="D1035" s="627"/>
      <c r="E1035" s="627"/>
      <c r="F1035" s="627"/>
      <c r="G1035" s="627"/>
      <c r="H1035" s="627"/>
      <c r="I1035" s="627"/>
      <c r="J1035" s="627"/>
      <c r="K1035" s="627"/>
      <c r="L1035" s="627"/>
      <c r="M1035" s="627"/>
      <c r="N1035" s="627"/>
      <c r="O1035" s="627"/>
      <c r="P1035" s="719"/>
      <c r="Q1035" s="719"/>
      <c r="R1035" s="627"/>
      <c r="S1035" s="627"/>
      <c r="T1035" s="627"/>
      <c r="U1035" s="627"/>
      <c r="V1035" s="627"/>
      <c r="W1035" s="627"/>
      <c r="X1035" s="627"/>
      <c r="Y1035" s="627"/>
      <c r="Z1035" s="627"/>
      <c r="AA1035" s="627"/>
      <c r="AB1035" s="627"/>
      <c r="AC1035" s="627"/>
      <c r="AD1035" s="627"/>
      <c r="AE1035" s="627"/>
      <c r="AF1035" s="627"/>
      <c r="AG1035" s="627"/>
      <c r="AH1035" s="627"/>
      <c r="AI1035" s="627"/>
      <c r="AJ1035" s="627"/>
      <c r="AK1035" s="627"/>
      <c r="AL1035" s="627"/>
      <c r="AM1035" s="627"/>
      <c r="AN1035" s="627"/>
      <c r="AO1035" s="627"/>
      <c r="AP1035" s="627"/>
      <c r="AQ1035" s="627"/>
      <c r="AR1035" s="627"/>
      <c r="AS1035" s="627"/>
      <c r="AT1035" s="627"/>
      <c r="AU1035" s="627"/>
      <c r="AV1035" s="627"/>
      <c r="AW1035" s="627"/>
      <c r="AX1035" s="627"/>
      <c r="AY1035" s="627"/>
      <c r="AZ1035" s="627"/>
      <c r="BA1035" s="627"/>
      <c r="BB1035" s="627"/>
      <c r="BC1035" s="627"/>
      <c r="BD1035" s="627"/>
      <c r="BE1035" s="627"/>
      <c r="BF1035" s="627"/>
      <c r="BG1035" s="627"/>
      <c r="BH1035" s="627"/>
      <c r="BI1035" s="627"/>
      <c r="BJ1035" s="627"/>
      <c r="BK1035" s="627"/>
      <c r="BL1035" s="627"/>
      <c r="BM1035" s="627"/>
      <c r="BN1035" s="627"/>
      <c r="BO1035" s="627"/>
      <c r="BP1035" s="627"/>
      <c r="BQ1035" s="627"/>
      <c r="BR1035" s="627"/>
      <c r="BS1035" s="627"/>
      <c r="BT1035" s="627"/>
    </row>
    <row r="1036" spans="1:72" x14ac:dyDescent="0.35">
      <c r="A1036" s="988"/>
      <c r="B1036" s="988"/>
      <c r="C1036" t="s">
        <v>691</v>
      </c>
      <c r="D1036"/>
      <c r="E1036"/>
      <c r="F1036"/>
      <c r="G1036"/>
      <c r="H1036"/>
      <c r="I1036"/>
      <c r="J1036"/>
      <c r="K1036"/>
      <c r="L1036" s="627"/>
      <c r="M1036" s="627"/>
      <c r="N1036" s="627"/>
      <c r="O1036" s="627"/>
      <c r="P1036" s="719"/>
      <c r="Q1036" s="719"/>
      <c r="R1036" s="627"/>
      <c r="S1036" s="627"/>
      <c r="T1036" s="627"/>
      <c r="U1036" s="627"/>
      <c r="V1036" s="627"/>
      <c r="W1036" s="627"/>
      <c r="X1036" s="627"/>
      <c r="Y1036" s="627"/>
      <c r="Z1036" s="627"/>
      <c r="AA1036" s="627"/>
      <c r="AB1036" s="627"/>
      <c r="AC1036" s="627"/>
      <c r="AD1036" s="627"/>
      <c r="AE1036" s="627"/>
      <c r="AF1036" s="627"/>
      <c r="AG1036" s="627"/>
      <c r="AH1036" s="627"/>
      <c r="AI1036" s="627"/>
      <c r="AJ1036" s="627"/>
      <c r="AK1036" s="627"/>
      <c r="AL1036" s="627"/>
      <c r="AM1036" s="627"/>
      <c r="AN1036" s="627"/>
      <c r="AO1036" s="627"/>
      <c r="AP1036" s="627"/>
      <c r="AQ1036" s="627"/>
      <c r="AR1036" s="627"/>
      <c r="AS1036" s="627"/>
      <c r="AT1036" s="627"/>
      <c r="AU1036" s="627"/>
      <c r="AV1036" s="627"/>
      <c r="AW1036" s="627"/>
      <c r="AX1036" s="627"/>
      <c r="AY1036" s="627"/>
      <c r="AZ1036" s="627"/>
      <c r="BA1036" s="627"/>
      <c r="BB1036" s="627"/>
      <c r="BC1036" s="627"/>
      <c r="BD1036" s="627"/>
      <c r="BE1036" s="627"/>
      <c r="BF1036" s="627"/>
      <c r="BG1036" s="627"/>
      <c r="BH1036" s="627"/>
      <c r="BI1036" s="627"/>
      <c r="BJ1036" s="627"/>
      <c r="BK1036" s="627"/>
      <c r="BL1036" s="627"/>
      <c r="BM1036" s="627"/>
      <c r="BN1036" s="627"/>
      <c r="BO1036" s="627"/>
      <c r="BP1036" s="627"/>
      <c r="BQ1036" s="627"/>
      <c r="BR1036" s="627"/>
      <c r="BS1036" s="627"/>
      <c r="BT1036" s="627"/>
    </row>
    <row r="1037" spans="1:72" x14ac:dyDescent="0.35">
      <c r="A1037" s="988"/>
      <c r="B1037" s="988"/>
      <c r="C1037"/>
      <c r="D1037" t="s">
        <v>692</v>
      </c>
      <c r="E1037"/>
      <c r="F1037"/>
      <c r="G1037"/>
      <c r="H1037"/>
      <c r="I1037"/>
      <c r="J1037"/>
      <c r="K1037"/>
      <c r="L1037" s="627"/>
      <c r="M1037" s="627"/>
      <c r="N1037" s="627"/>
      <c r="O1037" s="627"/>
      <c r="P1037" s="719"/>
      <c r="Q1037" s="719"/>
      <c r="R1037" s="627"/>
      <c r="S1037" s="627"/>
      <c r="T1037" s="627"/>
      <c r="U1037" s="627"/>
      <c r="V1037" s="627"/>
      <c r="W1037" s="627"/>
      <c r="X1037" s="627"/>
      <c r="Y1037" s="627"/>
      <c r="Z1037" s="627"/>
      <c r="AA1037" s="627"/>
      <c r="AB1037" s="627"/>
      <c r="AC1037" s="627"/>
      <c r="AD1037" s="627"/>
      <c r="AE1037" s="627"/>
      <c r="AF1037" s="627"/>
      <c r="AG1037" s="627"/>
      <c r="AH1037" s="627"/>
      <c r="AI1037" s="627"/>
      <c r="AJ1037" s="627"/>
      <c r="AK1037" s="627"/>
      <c r="AL1037" s="627"/>
      <c r="AM1037" s="627"/>
      <c r="AN1037" s="627"/>
      <c r="AO1037" s="627"/>
      <c r="AP1037" s="627"/>
      <c r="AQ1037" s="627"/>
      <c r="AR1037" s="627"/>
      <c r="AS1037" s="627"/>
      <c r="AT1037" s="627"/>
      <c r="AU1037" s="627"/>
      <c r="AV1037" s="627"/>
      <c r="AW1037" s="627"/>
      <c r="AX1037" s="627"/>
      <c r="AY1037" s="627"/>
      <c r="AZ1037" s="627"/>
      <c r="BA1037" s="627"/>
      <c r="BB1037" s="627"/>
      <c r="BC1037" s="627"/>
      <c r="BD1037" s="627"/>
      <c r="BE1037" s="627"/>
      <c r="BF1037" s="627"/>
      <c r="BG1037" s="627"/>
      <c r="BH1037" s="627"/>
      <c r="BI1037" s="627"/>
      <c r="BJ1037" s="627"/>
      <c r="BK1037" s="627"/>
      <c r="BL1037" s="627"/>
      <c r="BM1037" s="627"/>
      <c r="BN1037" s="627"/>
      <c r="BO1037" s="627"/>
      <c r="BP1037" s="627"/>
      <c r="BQ1037" s="627"/>
      <c r="BR1037" s="627"/>
      <c r="BS1037" s="627"/>
      <c r="BT1037" s="627"/>
    </row>
    <row r="1038" spans="1:72" x14ac:dyDescent="0.35">
      <c r="A1038" s="988"/>
      <c r="B1038" s="988"/>
      <c r="C1038"/>
      <c r="D1038"/>
      <c r="E1038" s="626"/>
      <c r="F1038" s="627" t="s">
        <v>52</v>
      </c>
      <c r="G1038" s="626"/>
      <c r="H1038" s="627" t="s">
        <v>53</v>
      </c>
      <c r="I1038"/>
      <c r="J1038"/>
      <c r="K1038"/>
      <c r="L1038" s="627"/>
      <c r="M1038" s="627"/>
      <c r="N1038" s="627"/>
      <c r="O1038" s="627"/>
      <c r="P1038" s="719"/>
      <c r="Q1038" s="719"/>
      <c r="R1038" s="627"/>
      <c r="S1038" s="627"/>
      <c r="T1038" s="627"/>
      <c r="U1038" s="627"/>
      <c r="V1038" s="627"/>
      <c r="W1038" s="627"/>
      <c r="X1038" s="627"/>
      <c r="Y1038" s="627"/>
      <c r="Z1038" s="627"/>
      <c r="AA1038" s="627"/>
      <c r="AB1038" s="627"/>
      <c r="AC1038" s="627"/>
      <c r="AD1038" s="627"/>
      <c r="AE1038" s="627"/>
      <c r="AF1038" s="627"/>
      <c r="AG1038" s="627"/>
      <c r="AH1038" s="627"/>
      <c r="AI1038" s="627"/>
      <c r="AJ1038" s="627"/>
      <c r="AK1038" s="627"/>
      <c r="AL1038" s="627"/>
      <c r="AM1038" s="627"/>
      <c r="AN1038" s="627"/>
      <c r="AO1038" s="627"/>
      <c r="AP1038" s="627"/>
      <c r="AQ1038" s="627"/>
      <c r="AR1038" s="627"/>
      <c r="AS1038" s="627"/>
      <c r="AT1038" s="627"/>
      <c r="AU1038" s="627"/>
      <c r="AV1038" s="627"/>
      <c r="AW1038" s="627"/>
      <c r="AX1038" s="627"/>
      <c r="AY1038" s="627"/>
      <c r="AZ1038" s="627"/>
      <c r="BA1038" s="627"/>
      <c r="BB1038" s="627"/>
      <c r="BC1038" s="627"/>
      <c r="BD1038" s="627"/>
      <c r="BE1038" s="627"/>
      <c r="BF1038" s="627"/>
      <c r="BG1038" s="627"/>
      <c r="BH1038" s="627"/>
      <c r="BI1038" s="627"/>
      <c r="BJ1038" s="627"/>
      <c r="BK1038" s="627"/>
      <c r="BL1038" s="627"/>
      <c r="BM1038" s="627"/>
      <c r="BN1038" s="627"/>
      <c r="BO1038" s="627"/>
      <c r="BP1038" s="627"/>
      <c r="BQ1038" s="627"/>
      <c r="BR1038" s="627"/>
      <c r="BS1038" s="627"/>
      <c r="BT1038" s="627"/>
    </row>
    <row r="1039" spans="1:72" x14ac:dyDescent="0.35">
      <c r="A1039" s="988"/>
      <c r="B1039" s="988"/>
      <c r="C1039"/>
      <c r="D1039"/>
      <c r="E1039"/>
      <c r="F1039"/>
      <c r="G1039"/>
      <c r="H1039" s="627"/>
      <c r="I1039"/>
      <c r="J1039"/>
      <c r="K1039"/>
      <c r="L1039" s="627"/>
      <c r="M1039" s="627"/>
      <c r="N1039" s="627"/>
      <c r="O1039" s="627"/>
      <c r="P1039" s="719"/>
      <c r="Q1039" s="719"/>
      <c r="R1039" s="627"/>
      <c r="S1039" s="627"/>
      <c r="T1039" s="627"/>
      <c r="U1039" s="627"/>
      <c r="V1039" s="627"/>
      <c r="W1039" s="627"/>
      <c r="X1039" s="627"/>
      <c r="Y1039" s="627"/>
      <c r="Z1039" s="627"/>
      <c r="AA1039" s="627"/>
      <c r="AB1039" s="627"/>
      <c r="AC1039" s="627"/>
      <c r="AD1039" s="627"/>
      <c r="AE1039" s="627"/>
      <c r="AF1039" s="627"/>
      <c r="AG1039" s="627"/>
      <c r="AH1039" s="627"/>
      <c r="AI1039" s="627"/>
      <c r="AJ1039" s="627"/>
      <c r="AK1039" s="627"/>
      <c r="AL1039" s="627"/>
      <c r="AM1039" s="627"/>
      <c r="AN1039" s="627"/>
      <c r="AO1039" s="627"/>
      <c r="AP1039" s="627"/>
      <c r="AQ1039" s="627"/>
      <c r="AR1039" s="627"/>
      <c r="AS1039" s="627"/>
      <c r="AT1039" s="627"/>
      <c r="AU1039" s="627"/>
      <c r="AV1039" s="627"/>
      <c r="AW1039" s="627"/>
      <c r="AX1039" s="627"/>
      <c r="AY1039" s="627"/>
      <c r="AZ1039" s="627"/>
      <c r="BA1039" s="627"/>
      <c r="BB1039" s="627"/>
      <c r="BC1039" s="627"/>
      <c r="BD1039" s="627"/>
      <c r="BE1039" s="627"/>
      <c r="BF1039" s="627"/>
      <c r="BG1039" s="627"/>
      <c r="BH1039" s="627"/>
      <c r="BI1039" s="627"/>
      <c r="BJ1039" s="627"/>
      <c r="BK1039" s="627"/>
      <c r="BL1039" s="627"/>
      <c r="BM1039" s="627"/>
      <c r="BN1039" s="627"/>
      <c r="BO1039" s="627"/>
      <c r="BP1039" s="627"/>
      <c r="BQ1039" s="627"/>
      <c r="BR1039" s="627"/>
      <c r="BS1039" s="627"/>
      <c r="BT1039" s="627"/>
    </row>
    <row r="1040" spans="1:72" x14ac:dyDescent="0.35">
      <c r="A1040" s="988"/>
      <c r="B1040" s="988"/>
      <c r="C1040"/>
      <c r="D1040" t="s">
        <v>693</v>
      </c>
      <c r="E1040"/>
      <c r="F1040" s="660"/>
      <c r="G1040" t="s">
        <v>130</v>
      </c>
      <c r="H1040"/>
      <c r="I1040"/>
      <c r="J1040"/>
      <c r="K1040"/>
      <c r="L1040" s="627"/>
      <c r="M1040" s="627"/>
      <c r="N1040" s="627"/>
      <c r="O1040" s="627"/>
      <c r="P1040" s="719"/>
      <c r="Q1040" s="719"/>
      <c r="R1040" s="627"/>
      <c r="S1040" s="627"/>
      <c r="T1040" s="627"/>
      <c r="U1040" s="627"/>
      <c r="V1040" s="627"/>
      <c r="W1040" s="627"/>
      <c r="X1040" s="627"/>
      <c r="Y1040" s="627"/>
      <c r="Z1040" s="627"/>
      <c r="AA1040" s="627"/>
      <c r="AB1040" s="627"/>
      <c r="AC1040" s="627"/>
      <c r="AD1040" s="627"/>
      <c r="AE1040" s="627"/>
      <c r="AF1040" s="627"/>
      <c r="AG1040" s="627"/>
      <c r="AH1040" s="627"/>
      <c r="AI1040" s="627"/>
      <c r="AJ1040" s="627"/>
      <c r="AK1040" s="627"/>
      <c r="AL1040" s="627"/>
      <c r="AM1040" s="627"/>
      <c r="AN1040" s="627"/>
      <c r="AO1040" s="627"/>
      <c r="AP1040" s="627"/>
      <c r="AQ1040" s="627"/>
      <c r="AR1040" s="627"/>
      <c r="AS1040" s="627"/>
      <c r="AT1040" s="627"/>
      <c r="AU1040" s="627"/>
      <c r="AV1040" s="627"/>
      <c r="AW1040" s="627"/>
      <c r="AX1040" s="627"/>
      <c r="AY1040" s="627"/>
      <c r="AZ1040" s="627"/>
      <c r="BA1040" s="627"/>
      <c r="BB1040" s="627"/>
      <c r="BC1040" s="627"/>
      <c r="BD1040" s="627"/>
      <c r="BE1040" s="627"/>
      <c r="BF1040" s="627"/>
      <c r="BG1040" s="627"/>
      <c r="BH1040" s="627"/>
      <c r="BI1040" s="627"/>
      <c r="BJ1040" s="627"/>
      <c r="BK1040" s="627"/>
      <c r="BL1040" s="627"/>
      <c r="BM1040" s="627"/>
      <c r="BN1040" s="627"/>
      <c r="BO1040" s="627"/>
      <c r="BP1040" s="627"/>
      <c r="BQ1040" s="627"/>
      <c r="BR1040" s="627"/>
      <c r="BS1040" s="627"/>
      <c r="BT1040" s="627"/>
    </row>
    <row r="1041" spans="1:72" x14ac:dyDescent="0.35">
      <c r="A1041" s="988"/>
      <c r="B1041" s="988"/>
      <c r="C1041"/>
      <c r="D1041"/>
      <c r="E1041"/>
      <c r="F1041"/>
      <c r="G1041"/>
      <c r="H1041"/>
      <c r="I1041"/>
      <c r="J1041"/>
      <c r="K1041"/>
      <c r="L1041" s="627"/>
      <c r="M1041" s="627"/>
      <c r="N1041" s="627"/>
      <c r="O1041" s="627"/>
      <c r="P1041" s="719"/>
      <c r="Q1041" s="719"/>
      <c r="R1041" s="627"/>
      <c r="S1041" s="627"/>
      <c r="T1041" s="627"/>
      <c r="U1041" s="627"/>
      <c r="V1041" s="627"/>
      <c r="W1041" s="627"/>
      <c r="X1041" s="627"/>
      <c r="Y1041" s="627"/>
      <c r="Z1041" s="627"/>
      <c r="AA1041" s="627"/>
      <c r="AB1041" s="627"/>
      <c r="AC1041" s="627"/>
      <c r="AD1041" s="627"/>
      <c r="AE1041" s="627"/>
      <c r="AF1041" s="627"/>
      <c r="AG1041" s="627"/>
      <c r="AH1041" s="627"/>
      <c r="AI1041" s="627"/>
      <c r="AJ1041" s="627"/>
      <c r="AK1041" s="627"/>
      <c r="AL1041" s="627"/>
      <c r="AM1041" s="627"/>
      <c r="AN1041" s="627"/>
      <c r="AO1041" s="627"/>
      <c r="AP1041" s="627"/>
      <c r="AQ1041" s="627"/>
      <c r="AR1041" s="627"/>
      <c r="AS1041" s="627"/>
      <c r="AT1041" s="627"/>
      <c r="AU1041" s="627"/>
      <c r="AV1041" s="627"/>
      <c r="AW1041" s="627"/>
      <c r="AX1041" s="627"/>
      <c r="AY1041" s="627"/>
      <c r="AZ1041" s="627"/>
      <c r="BA1041" s="627"/>
      <c r="BB1041" s="627"/>
      <c r="BC1041" s="627"/>
      <c r="BD1041" s="627"/>
      <c r="BE1041" s="627"/>
      <c r="BF1041" s="627"/>
      <c r="BG1041" s="627"/>
      <c r="BH1041" s="627"/>
      <c r="BI1041" s="627"/>
      <c r="BJ1041" s="627"/>
      <c r="BK1041" s="627"/>
      <c r="BL1041" s="627"/>
      <c r="BM1041" s="627"/>
      <c r="BN1041" s="627"/>
      <c r="BO1041" s="627"/>
      <c r="BP1041" s="627"/>
      <c r="BQ1041" s="627"/>
      <c r="BR1041" s="627"/>
      <c r="BS1041" s="627"/>
      <c r="BT1041" s="627"/>
    </row>
    <row r="1042" spans="1:72" x14ac:dyDescent="0.35">
      <c r="A1042" s="988"/>
      <c r="B1042" s="988"/>
      <c r="C1042"/>
      <c r="D1042"/>
      <c r="E1042"/>
      <c r="F1042"/>
      <c r="G1042"/>
      <c r="H1042"/>
      <c r="I1042"/>
      <c r="J1042"/>
      <c r="K1042"/>
      <c r="L1042" s="627"/>
      <c r="M1042" s="627"/>
      <c r="N1042" s="627"/>
      <c r="O1042" s="627"/>
      <c r="P1042" s="719"/>
      <c r="Q1042" s="719"/>
      <c r="R1042" s="627"/>
      <c r="S1042" s="627"/>
      <c r="T1042" s="627"/>
      <c r="U1042" s="627"/>
      <c r="V1042" s="627"/>
      <c r="W1042" s="627"/>
      <c r="X1042" s="627"/>
      <c r="Y1042" s="627"/>
      <c r="Z1042" s="627"/>
      <c r="AA1042" s="627"/>
      <c r="AB1042" s="627"/>
      <c r="AC1042" s="627"/>
      <c r="AD1042" s="627"/>
      <c r="AE1042" s="627"/>
      <c r="AF1042" s="627"/>
      <c r="AG1042" s="627"/>
      <c r="AH1042" s="627"/>
      <c r="AI1042" s="627"/>
      <c r="AJ1042" s="627"/>
      <c r="AK1042" s="627"/>
      <c r="AL1042" s="627"/>
      <c r="AM1042" s="627"/>
      <c r="AN1042" s="627"/>
      <c r="AO1042" s="627"/>
      <c r="AP1042" s="627"/>
      <c r="AQ1042" s="627"/>
      <c r="AR1042" s="627"/>
      <c r="AS1042" s="627"/>
      <c r="AT1042" s="627"/>
      <c r="AU1042" s="627"/>
      <c r="AV1042" s="627"/>
      <c r="AW1042" s="627"/>
      <c r="AX1042" s="627"/>
      <c r="AY1042" s="627"/>
      <c r="AZ1042" s="627"/>
      <c r="BA1042" s="627"/>
      <c r="BB1042" s="627"/>
      <c r="BC1042" s="627"/>
      <c r="BD1042" s="627"/>
      <c r="BE1042" s="627"/>
      <c r="BF1042" s="627"/>
      <c r="BG1042" s="627"/>
      <c r="BH1042" s="627"/>
      <c r="BI1042" s="627"/>
      <c r="BJ1042" s="627"/>
      <c r="BK1042" s="627"/>
      <c r="BL1042" s="627"/>
      <c r="BM1042" s="627"/>
      <c r="BN1042" s="627"/>
      <c r="BO1042" s="627"/>
      <c r="BP1042" s="627"/>
      <c r="BQ1042" s="627"/>
      <c r="BR1042" s="627"/>
      <c r="BS1042" s="627"/>
      <c r="BT1042" s="627"/>
    </row>
    <row r="1043" spans="1:72" x14ac:dyDescent="0.35">
      <c r="A1043" s="988"/>
      <c r="B1043" s="988"/>
      <c r="C1043"/>
      <c r="D1043" t="s">
        <v>694</v>
      </c>
      <c r="E1043"/>
      <c r="F1043"/>
      <c r="G1043"/>
      <c r="H1043"/>
      <c r="I1043"/>
      <c r="J1043"/>
      <c r="K1043"/>
      <c r="L1043" s="627"/>
      <c r="M1043" s="627"/>
      <c r="N1043" s="627"/>
      <c r="O1043" s="627"/>
      <c r="P1043" s="719"/>
      <c r="Q1043" s="719"/>
      <c r="R1043" s="627"/>
      <c r="S1043" s="627"/>
      <c r="T1043" s="627"/>
      <c r="U1043" s="627"/>
      <c r="V1043" s="627"/>
      <c r="W1043" s="627"/>
      <c r="X1043" s="627"/>
      <c r="Y1043" s="627"/>
      <c r="Z1043" s="627"/>
      <c r="AA1043" s="627"/>
      <c r="AB1043" s="627"/>
      <c r="AC1043" s="627"/>
      <c r="AD1043" s="627"/>
      <c r="AE1043" s="627"/>
      <c r="AF1043" s="627"/>
      <c r="AG1043" s="627"/>
      <c r="AH1043" s="627"/>
      <c r="AI1043" s="627"/>
      <c r="AJ1043" s="627"/>
      <c r="AK1043" s="627"/>
      <c r="AL1043" s="627"/>
      <c r="AM1043" s="627"/>
      <c r="AN1043" s="627"/>
      <c r="AO1043" s="627"/>
      <c r="AP1043" s="627"/>
      <c r="AQ1043" s="627"/>
      <c r="AR1043" s="627"/>
      <c r="AS1043" s="627"/>
      <c r="AT1043" s="627"/>
      <c r="AU1043" s="627"/>
      <c r="AV1043" s="627"/>
      <c r="AW1043" s="627"/>
      <c r="AX1043" s="627"/>
      <c r="AY1043" s="627"/>
      <c r="AZ1043" s="627"/>
      <c r="BA1043" s="627"/>
      <c r="BB1043" s="627"/>
      <c r="BC1043" s="627"/>
      <c r="BD1043" s="627"/>
      <c r="BE1043" s="627"/>
      <c r="BF1043" s="627"/>
      <c r="BG1043" s="627"/>
      <c r="BH1043" s="627"/>
      <c r="BI1043" s="627"/>
      <c r="BJ1043" s="627"/>
      <c r="BK1043" s="627"/>
      <c r="BL1043" s="627"/>
      <c r="BM1043" s="627"/>
      <c r="BN1043" s="627"/>
      <c r="BO1043" s="627"/>
      <c r="BP1043" s="627"/>
      <c r="BQ1043" s="627"/>
      <c r="BR1043" s="627"/>
      <c r="BS1043" s="627"/>
      <c r="BT1043" s="627"/>
    </row>
    <row r="1044" spans="1:72" x14ac:dyDescent="0.35">
      <c r="A1044" s="988"/>
      <c r="B1044" s="988"/>
      <c r="C1044"/>
      <c r="D1044" t="s">
        <v>695</v>
      </c>
      <c r="E1044"/>
      <c r="F1044"/>
      <c r="G1044" s="626"/>
      <c r="H1044" s="627" t="s">
        <v>52</v>
      </c>
      <c r="I1044"/>
      <c r="J1044"/>
      <c r="K1044"/>
      <c r="L1044" s="627"/>
      <c r="M1044" s="627"/>
      <c r="N1044" s="627"/>
      <c r="O1044" s="627"/>
      <c r="P1044" s="719"/>
      <c r="Q1044" s="719"/>
      <c r="R1044" s="627"/>
      <c r="S1044" s="627"/>
      <c r="T1044" s="627"/>
      <c r="U1044" s="627"/>
      <c r="V1044" s="627"/>
      <c r="W1044" s="627"/>
      <c r="X1044" s="627"/>
      <c r="Y1044" s="627"/>
      <c r="Z1044" s="627"/>
      <c r="AA1044" s="627"/>
      <c r="AB1044" s="627"/>
      <c r="AC1044" s="627"/>
      <c r="AD1044" s="627"/>
      <c r="AE1044" s="627"/>
      <c r="AF1044" s="627"/>
      <c r="AG1044" s="627"/>
      <c r="AH1044" s="627"/>
      <c r="AI1044" s="627"/>
      <c r="AJ1044" s="627"/>
      <c r="AK1044" s="627"/>
      <c r="AL1044" s="627"/>
      <c r="AM1044" s="627"/>
      <c r="AN1044" s="627"/>
      <c r="AO1044" s="627"/>
      <c r="AP1044" s="627"/>
      <c r="AQ1044" s="627"/>
      <c r="AR1044" s="627"/>
      <c r="AS1044" s="627"/>
      <c r="AT1044" s="627"/>
      <c r="AU1044" s="627"/>
      <c r="AV1044" s="627"/>
      <c r="AW1044" s="627"/>
      <c r="AX1044" s="627"/>
      <c r="AY1044" s="627"/>
      <c r="AZ1044" s="627"/>
      <c r="BA1044" s="627"/>
      <c r="BB1044" s="627"/>
      <c r="BC1044" s="627"/>
      <c r="BD1044" s="627"/>
      <c r="BE1044" s="627"/>
      <c r="BF1044" s="627"/>
      <c r="BG1044" s="627"/>
      <c r="BH1044" s="627"/>
      <c r="BI1044" s="627"/>
      <c r="BJ1044" s="627"/>
      <c r="BK1044" s="627"/>
      <c r="BL1044" s="627"/>
      <c r="BM1044" s="627"/>
      <c r="BN1044" s="627"/>
      <c r="BO1044" s="627"/>
      <c r="BP1044" s="627"/>
      <c r="BQ1044" s="627"/>
      <c r="BR1044" s="627"/>
      <c r="BS1044" s="627"/>
      <c r="BT1044" s="627"/>
    </row>
    <row r="1045" spans="1:72" x14ac:dyDescent="0.35">
      <c r="A1045" s="988"/>
      <c r="B1045" s="988"/>
      <c r="C1045"/>
      <c r="D1045"/>
      <c r="E1045"/>
      <c r="F1045"/>
      <c r="G1045"/>
      <c r="H1045"/>
      <c r="I1045"/>
      <c r="J1045"/>
      <c r="K1045"/>
      <c r="L1045" s="627"/>
      <c r="M1045" s="627"/>
      <c r="N1045" s="627"/>
      <c r="O1045" s="627"/>
      <c r="P1045" s="719"/>
      <c r="Q1045" s="719"/>
      <c r="R1045" s="627"/>
      <c r="S1045" s="627"/>
      <c r="T1045" s="627"/>
      <c r="U1045" s="627"/>
      <c r="V1045" s="627"/>
      <c r="W1045" s="627"/>
      <c r="X1045" s="627"/>
      <c r="Y1045" s="627"/>
      <c r="Z1045" s="627"/>
      <c r="AA1045" s="627"/>
      <c r="AB1045" s="627"/>
      <c r="AC1045" s="627"/>
      <c r="AD1045" s="627"/>
      <c r="AE1045" s="627"/>
      <c r="AF1045" s="627"/>
      <c r="AG1045" s="627"/>
      <c r="AH1045" s="627"/>
      <c r="AI1045" s="627"/>
      <c r="AJ1045" s="627"/>
      <c r="AK1045" s="627"/>
      <c r="AL1045" s="627"/>
      <c r="AM1045" s="627"/>
      <c r="AN1045" s="627"/>
      <c r="AO1045" s="627"/>
      <c r="AP1045" s="627"/>
      <c r="AQ1045" s="627"/>
      <c r="AR1045" s="627"/>
      <c r="AS1045" s="627"/>
      <c r="AT1045" s="627"/>
      <c r="AU1045" s="627"/>
      <c r="AV1045" s="627"/>
      <c r="AW1045" s="627"/>
      <c r="AX1045" s="627"/>
      <c r="AY1045" s="627"/>
      <c r="AZ1045" s="627"/>
      <c r="BA1045" s="627"/>
      <c r="BB1045" s="627"/>
      <c r="BC1045" s="627"/>
      <c r="BD1045" s="627"/>
      <c r="BE1045" s="627"/>
      <c r="BF1045" s="627"/>
      <c r="BG1045" s="627"/>
      <c r="BH1045" s="627"/>
      <c r="BI1045" s="627"/>
      <c r="BJ1045" s="627"/>
      <c r="BK1045" s="627"/>
      <c r="BL1045" s="627"/>
      <c r="BM1045" s="627"/>
      <c r="BN1045" s="627"/>
      <c r="BO1045" s="627"/>
      <c r="BP1045" s="627"/>
      <c r="BQ1045" s="627"/>
      <c r="BR1045" s="627"/>
      <c r="BS1045" s="627"/>
      <c r="BT1045" s="627"/>
    </row>
    <row r="1046" spans="1:72" x14ac:dyDescent="0.35">
      <c r="A1046" s="988"/>
      <c r="B1046" s="988"/>
      <c r="C1046"/>
      <c r="D1046" t="s">
        <v>696</v>
      </c>
      <c r="E1046"/>
      <c r="F1046"/>
      <c r="G1046" s="626"/>
      <c r="H1046" s="627" t="s">
        <v>52</v>
      </c>
      <c r="I1046"/>
      <c r="J1046"/>
      <c r="K1046"/>
      <c r="L1046" s="627"/>
      <c r="M1046" s="627"/>
      <c r="N1046" s="627"/>
      <c r="O1046" s="627"/>
      <c r="P1046" s="719"/>
      <c r="Q1046" s="719"/>
      <c r="R1046" s="627"/>
      <c r="S1046" s="627"/>
      <c r="T1046" s="627"/>
      <c r="U1046" s="627"/>
      <c r="V1046" s="627"/>
      <c r="W1046" s="627"/>
      <c r="X1046" s="627"/>
      <c r="Y1046" s="627"/>
      <c r="Z1046" s="627"/>
      <c r="AA1046" s="627"/>
      <c r="AB1046" s="627"/>
      <c r="AC1046" s="627"/>
      <c r="AD1046" s="627"/>
      <c r="AE1046" s="627"/>
      <c r="AF1046" s="627"/>
      <c r="AG1046" s="627"/>
      <c r="AH1046" s="627"/>
      <c r="AI1046" s="627"/>
      <c r="AJ1046" s="627"/>
      <c r="AK1046" s="627"/>
      <c r="AL1046" s="627"/>
      <c r="AM1046" s="627"/>
      <c r="AN1046" s="627"/>
      <c r="AO1046" s="627"/>
      <c r="AP1046" s="627"/>
      <c r="AQ1046" s="627"/>
      <c r="AR1046" s="627"/>
      <c r="AS1046" s="627"/>
      <c r="AT1046" s="627"/>
      <c r="AU1046" s="627"/>
      <c r="AV1046" s="627"/>
      <c r="AW1046" s="627"/>
      <c r="AX1046" s="627"/>
      <c r="AY1046" s="627"/>
      <c r="AZ1046" s="627"/>
      <c r="BA1046" s="627"/>
      <c r="BB1046" s="627"/>
      <c r="BC1046" s="627"/>
      <c r="BD1046" s="627"/>
      <c r="BE1046" s="627"/>
      <c r="BF1046" s="627"/>
      <c r="BG1046" s="627"/>
      <c r="BH1046" s="627"/>
      <c r="BI1046" s="627"/>
      <c r="BJ1046" s="627"/>
      <c r="BK1046" s="627"/>
      <c r="BL1046" s="627"/>
      <c r="BM1046" s="627"/>
      <c r="BN1046" s="627"/>
      <c r="BO1046" s="627"/>
      <c r="BP1046" s="627"/>
      <c r="BQ1046" s="627"/>
      <c r="BR1046" s="627"/>
      <c r="BS1046" s="627"/>
      <c r="BT1046" s="627"/>
    </row>
    <row r="1047" spans="1:72" x14ac:dyDescent="0.35">
      <c r="A1047" s="988"/>
      <c r="B1047" s="988"/>
      <c r="C1047"/>
      <c r="D1047"/>
      <c r="E1047"/>
      <c r="F1047"/>
      <c r="G1047"/>
      <c r="H1047"/>
      <c r="I1047">
        <f>IF(E1038="x",ROUNDUP(L1228,0)-ROUNDUP(L1228,0)*F1040/100,ROUNDUP(L1228,0))</f>
        <v>0</v>
      </c>
      <c r="J1047"/>
      <c r="K1047"/>
      <c r="L1047" s="627"/>
      <c r="M1047" s="627"/>
      <c r="N1047" s="627"/>
      <c r="O1047" s="627"/>
      <c r="P1047" s="719"/>
      <c r="Q1047" s="719"/>
      <c r="R1047" s="627"/>
      <c r="S1047" s="627"/>
      <c r="T1047" s="627"/>
      <c r="U1047" s="627"/>
      <c r="V1047" s="627"/>
      <c r="W1047" s="627"/>
      <c r="X1047" s="627"/>
      <c r="Y1047" s="627"/>
      <c r="Z1047" s="627"/>
      <c r="AA1047" s="627"/>
      <c r="AB1047" s="627"/>
      <c r="AC1047" s="627"/>
      <c r="AD1047" s="627"/>
      <c r="AE1047" s="627"/>
      <c r="AF1047" s="627"/>
      <c r="AG1047" s="627"/>
      <c r="AH1047" s="627"/>
      <c r="AI1047" s="627"/>
      <c r="AJ1047" s="627"/>
      <c r="AK1047" s="627"/>
      <c r="AL1047" s="627"/>
      <c r="AM1047" s="627"/>
      <c r="AN1047" s="627"/>
      <c r="AO1047" s="627"/>
      <c r="AP1047" s="627"/>
      <c r="AQ1047" s="627"/>
      <c r="AR1047" s="627"/>
      <c r="AS1047" s="627"/>
      <c r="AT1047" s="627"/>
      <c r="AU1047" s="627"/>
      <c r="AV1047" s="627"/>
      <c r="AW1047" s="627"/>
      <c r="AX1047" s="627"/>
      <c r="AY1047" s="627"/>
      <c r="AZ1047" s="627"/>
      <c r="BA1047" s="627"/>
      <c r="BB1047" s="627"/>
      <c r="BC1047" s="627"/>
      <c r="BD1047" s="627"/>
      <c r="BE1047" s="627"/>
      <c r="BF1047" s="627"/>
      <c r="BG1047" s="627"/>
      <c r="BH1047" s="627"/>
      <c r="BI1047" s="627"/>
      <c r="BJ1047" s="627"/>
      <c r="BK1047" s="627"/>
      <c r="BL1047" s="627"/>
      <c r="BM1047" s="627"/>
      <c r="BN1047" s="627"/>
      <c r="BO1047" s="627"/>
      <c r="BP1047" s="627"/>
      <c r="BQ1047" s="627"/>
      <c r="BR1047" s="627"/>
      <c r="BS1047" s="627"/>
      <c r="BT1047" s="627"/>
    </row>
    <row r="1048" spans="1:72" x14ac:dyDescent="0.35">
      <c r="A1048" s="988"/>
      <c r="B1048" s="988"/>
      <c r="C1048"/>
      <c r="D1048" t="s">
        <v>697</v>
      </c>
      <c r="E1048"/>
      <c r="F1048"/>
      <c r="G1048" s="626"/>
      <c r="H1048" s="627" t="s">
        <v>52</v>
      </c>
      <c r="I1048"/>
      <c r="J1048"/>
      <c r="K1048"/>
      <c r="L1048" s="627"/>
      <c r="M1048" s="627"/>
      <c r="N1048" s="627"/>
      <c r="O1048" s="627"/>
      <c r="P1048" s="719"/>
      <c r="Q1048" s="719"/>
      <c r="R1048" s="627"/>
      <c r="S1048" s="627"/>
      <c r="T1048" s="627"/>
      <c r="U1048" s="627"/>
      <c r="V1048" s="627"/>
      <c r="W1048" s="627"/>
      <c r="X1048" s="627"/>
      <c r="Y1048" s="627"/>
      <c r="Z1048" s="627"/>
      <c r="AA1048" s="627"/>
      <c r="AB1048" s="627"/>
      <c r="AC1048" s="627"/>
      <c r="AD1048" s="627"/>
      <c r="AE1048" s="627"/>
      <c r="AF1048" s="627"/>
      <c r="AG1048" s="627"/>
      <c r="AH1048" s="627"/>
      <c r="AI1048" s="627"/>
      <c r="AJ1048" s="627"/>
      <c r="AK1048" s="627"/>
      <c r="AL1048" s="627"/>
      <c r="AM1048" s="627"/>
      <c r="AN1048" s="627"/>
      <c r="AO1048" s="627"/>
      <c r="AP1048" s="627"/>
      <c r="AQ1048" s="627"/>
      <c r="AR1048" s="627"/>
      <c r="AS1048" s="627"/>
      <c r="AT1048" s="627"/>
      <c r="AU1048" s="627"/>
      <c r="AV1048" s="627"/>
      <c r="AW1048" s="627"/>
      <c r="AX1048" s="627"/>
      <c r="AY1048" s="627"/>
      <c r="AZ1048" s="627"/>
      <c r="BA1048" s="627"/>
      <c r="BB1048" s="627"/>
      <c r="BC1048" s="627"/>
      <c r="BD1048" s="627"/>
      <c r="BE1048" s="627"/>
      <c r="BF1048" s="627"/>
      <c r="BG1048" s="627"/>
      <c r="BH1048" s="627"/>
      <c r="BI1048" s="627"/>
      <c r="BJ1048" s="627"/>
      <c r="BK1048" s="627"/>
      <c r="BL1048" s="627"/>
      <c r="BM1048" s="627"/>
      <c r="BN1048" s="627"/>
      <c r="BO1048" s="627"/>
      <c r="BP1048" s="627"/>
      <c r="BQ1048" s="627"/>
      <c r="BR1048" s="627"/>
      <c r="BS1048" s="627"/>
      <c r="BT1048" s="627"/>
    </row>
    <row r="1049" spans="1:72" x14ac:dyDescent="0.35">
      <c r="A1049" s="988"/>
      <c r="B1049" s="988"/>
      <c r="C1049"/>
      <c r="D1049"/>
      <c r="E1049"/>
      <c r="F1049"/>
      <c r="G1049"/>
      <c r="H1049"/>
      <c r="I1049"/>
      <c r="J1049"/>
      <c r="K1049"/>
      <c r="L1049" s="627"/>
      <c r="M1049" s="627"/>
      <c r="N1049" s="627"/>
      <c r="O1049" s="627"/>
      <c r="P1049" s="719"/>
      <c r="Q1049" s="719"/>
      <c r="R1049" s="627"/>
      <c r="S1049" s="627"/>
      <c r="T1049" s="627"/>
      <c r="U1049" s="627"/>
      <c r="V1049" s="627"/>
      <c r="W1049" s="627"/>
      <c r="X1049" s="627"/>
      <c r="Y1049" s="627"/>
      <c r="Z1049" s="627"/>
      <c r="AA1049" s="627"/>
      <c r="AB1049" s="627"/>
      <c r="AC1049" s="627"/>
      <c r="AD1049" s="627"/>
      <c r="AE1049" s="627"/>
      <c r="AF1049" s="627"/>
      <c r="AG1049" s="627"/>
      <c r="AH1049" s="627"/>
      <c r="AI1049" s="627"/>
      <c r="AJ1049" s="627"/>
      <c r="AK1049" s="627"/>
      <c r="AL1049" s="627"/>
      <c r="AM1049" s="627"/>
      <c r="AN1049" s="627"/>
      <c r="AO1049" s="627"/>
      <c r="AP1049" s="627"/>
      <c r="AQ1049" s="627"/>
      <c r="AR1049" s="627"/>
      <c r="AS1049" s="627"/>
      <c r="AT1049" s="627"/>
      <c r="AU1049" s="627"/>
      <c r="AV1049" s="627"/>
      <c r="AW1049" s="627"/>
      <c r="AX1049" s="627"/>
      <c r="AY1049" s="627"/>
      <c r="AZ1049" s="627"/>
      <c r="BA1049" s="627"/>
      <c r="BB1049" s="627"/>
      <c r="BC1049" s="627"/>
      <c r="BD1049" s="627"/>
      <c r="BE1049" s="627"/>
      <c r="BF1049" s="627"/>
      <c r="BG1049" s="627"/>
      <c r="BH1049" s="627"/>
      <c r="BI1049" s="627"/>
      <c r="BJ1049" s="627"/>
      <c r="BK1049" s="627"/>
      <c r="BL1049" s="627"/>
      <c r="BM1049" s="627"/>
      <c r="BN1049" s="627"/>
      <c r="BO1049" s="627"/>
      <c r="BP1049" s="627"/>
      <c r="BQ1049" s="627"/>
      <c r="BR1049" s="627"/>
      <c r="BS1049" s="627"/>
      <c r="BT1049" s="627"/>
    </row>
    <row r="1050" spans="1:72" x14ac:dyDescent="0.35">
      <c r="A1050" s="988"/>
      <c r="B1050" s="988"/>
      <c r="C1050"/>
      <c r="D1050" t="s">
        <v>698</v>
      </c>
      <c r="E1050"/>
      <c r="F1050"/>
      <c r="G1050" s="626"/>
      <c r="H1050" s="627" t="s">
        <v>52</v>
      </c>
      <c r="I1050"/>
      <c r="J1050"/>
      <c r="K1050"/>
      <c r="L1050" s="627"/>
      <c r="M1050" s="627"/>
      <c r="N1050" s="627"/>
      <c r="O1050" s="627"/>
      <c r="P1050" s="719"/>
      <c r="Q1050" s="719"/>
      <c r="R1050" s="627"/>
      <c r="S1050" s="627"/>
      <c r="T1050" s="627"/>
      <c r="U1050" s="627"/>
      <c r="V1050" s="627"/>
      <c r="W1050" s="627"/>
      <c r="X1050" s="627"/>
      <c r="Y1050" s="627"/>
      <c r="Z1050" s="627"/>
      <c r="AA1050" s="627"/>
      <c r="AB1050" s="627"/>
      <c r="AC1050" s="627"/>
      <c r="AD1050" s="627"/>
      <c r="AE1050" s="627"/>
      <c r="AF1050" s="627"/>
      <c r="AG1050" s="627"/>
      <c r="AH1050" s="627"/>
      <c r="AI1050" s="627"/>
      <c r="AJ1050" s="627"/>
      <c r="AK1050" s="627"/>
      <c r="AL1050" s="627"/>
      <c r="AM1050" s="627"/>
      <c r="AN1050" s="627"/>
      <c r="AO1050" s="627"/>
      <c r="AP1050" s="627"/>
      <c r="AQ1050" s="627"/>
      <c r="AR1050" s="627"/>
      <c r="AS1050" s="627"/>
      <c r="AT1050" s="627"/>
      <c r="AU1050" s="627"/>
      <c r="AV1050" s="627"/>
      <c r="AW1050" s="627"/>
      <c r="AX1050" s="627"/>
      <c r="AY1050" s="627"/>
      <c r="AZ1050" s="627"/>
      <c r="BA1050" s="627"/>
      <c r="BB1050" s="627"/>
      <c r="BC1050" s="627"/>
      <c r="BD1050" s="627"/>
      <c r="BE1050" s="627"/>
      <c r="BF1050" s="627"/>
      <c r="BG1050" s="627"/>
      <c r="BH1050" s="627"/>
      <c r="BI1050" s="627"/>
      <c r="BJ1050" s="627"/>
      <c r="BK1050" s="627"/>
      <c r="BL1050" s="627"/>
      <c r="BM1050" s="627"/>
      <c r="BN1050" s="627"/>
      <c r="BO1050" s="627"/>
      <c r="BP1050" s="627"/>
      <c r="BQ1050" s="627"/>
      <c r="BR1050" s="627"/>
      <c r="BS1050" s="627"/>
      <c r="BT1050" s="627"/>
    </row>
    <row r="1051" spans="1:72" x14ac:dyDescent="0.35">
      <c r="A1051" s="988"/>
      <c r="B1051" s="988"/>
      <c r="C1051"/>
      <c r="D1051"/>
      <c r="E1051"/>
      <c r="F1051"/>
      <c r="G1051"/>
      <c r="H1051"/>
      <c r="I1051"/>
      <c r="J1051"/>
      <c r="K1051"/>
      <c r="L1051" s="627"/>
      <c r="M1051" s="627"/>
      <c r="N1051" s="627"/>
      <c r="O1051" s="627"/>
      <c r="P1051" s="719"/>
      <c r="Q1051" s="719"/>
      <c r="R1051" s="627"/>
      <c r="S1051" s="627"/>
      <c r="T1051" s="627"/>
      <c r="U1051" s="627"/>
      <c r="V1051" s="627"/>
      <c r="W1051" s="627"/>
      <c r="X1051" s="627"/>
      <c r="Y1051" s="627"/>
      <c r="Z1051" s="627"/>
      <c r="AA1051" s="627"/>
      <c r="AB1051" s="627"/>
      <c r="AC1051" s="627"/>
      <c r="AD1051" s="627"/>
      <c r="AE1051" s="627"/>
      <c r="AF1051" s="627"/>
      <c r="AG1051" s="627"/>
      <c r="AH1051" s="627"/>
      <c r="AI1051" s="627"/>
      <c r="AJ1051" s="627"/>
      <c r="AK1051" s="627"/>
      <c r="AL1051" s="627"/>
      <c r="AM1051" s="627"/>
      <c r="AN1051" s="627"/>
      <c r="AO1051" s="627"/>
      <c r="AP1051" s="627"/>
      <c r="AQ1051" s="627"/>
      <c r="AR1051" s="627"/>
      <c r="AS1051" s="627"/>
      <c r="AT1051" s="627"/>
      <c r="AU1051" s="627"/>
      <c r="AV1051" s="627"/>
      <c r="AW1051" s="627"/>
      <c r="AX1051" s="627"/>
      <c r="AY1051" s="627"/>
      <c r="AZ1051" s="627"/>
      <c r="BA1051" s="627"/>
      <c r="BB1051" s="627"/>
      <c r="BC1051" s="627"/>
      <c r="BD1051" s="627"/>
      <c r="BE1051" s="627"/>
      <c r="BF1051" s="627"/>
      <c r="BG1051" s="627"/>
      <c r="BH1051" s="627"/>
      <c r="BI1051" s="627"/>
      <c r="BJ1051" s="627"/>
      <c r="BK1051" s="627"/>
      <c r="BL1051" s="627"/>
      <c r="BM1051" s="627"/>
      <c r="BN1051" s="627"/>
      <c r="BO1051" s="627"/>
      <c r="BP1051" s="627"/>
      <c r="BQ1051" s="627"/>
      <c r="BR1051" s="627"/>
      <c r="BS1051" s="627"/>
      <c r="BT1051" s="627"/>
    </row>
    <row r="1052" spans="1:72" x14ac:dyDescent="0.35">
      <c r="A1052" s="988"/>
      <c r="B1052" s="988"/>
      <c r="C1052" s="627"/>
      <c r="D1052" s="627" t="s">
        <v>699</v>
      </c>
      <c r="E1052"/>
      <c r="F1052"/>
      <c r="G1052" s="626"/>
      <c r="H1052" s="627" t="s">
        <v>52</v>
      </c>
      <c r="I1052" s="627"/>
      <c r="J1052" s="627"/>
      <c r="K1052" s="627"/>
      <c r="L1052" s="627"/>
      <c r="M1052" s="627"/>
      <c r="N1052" s="627"/>
      <c r="O1052" s="627"/>
      <c r="P1052" s="719"/>
      <c r="Q1052" s="719"/>
      <c r="R1052" s="627"/>
      <c r="S1052" s="627"/>
      <c r="T1052" s="627"/>
      <c r="U1052" s="627"/>
      <c r="V1052" s="627"/>
      <c r="W1052" s="627"/>
      <c r="X1052" s="627"/>
      <c r="Y1052" s="627"/>
      <c r="Z1052" s="627"/>
      <c r="AA1052" s="627"/>
      <c r="AB1052" s="627"/>
      <c r="AC1052" s="627"/>
      <c r="AD1052" s="627"/>
      <c r="AE1052" s="627"/>
      <c r="AF1052" s="627"/>
      <c r="AG1052" s="627"/>
      <c r="AH1052" s="627"/>
      <c r="AI1052" s="627"/>
      <c r="AJ1052" s="627"/>
      <c r="AK1052" s="627"/>
      <c r="AL1052" s="627"/>
      <c r="AM1052" s="627"/>
      <c r="AN1052" s="627"/>
      <c r="AO1052" s="627"/>
      <c r="AP1052" s="627"/>
      <c r="AQ1052" s="627"/>
      <c r="AR1052" s="627"/>
      <c r="AS1052" s="627"/>
      <c r="AT1052" s="627"/>
      <c r="AU1052" s="627"/>
      <c r="AV1052" s="627"/>
      <c r="AW1052" s="627"/>
      <c r="AX1052" s="627"/>
      <c r="AY1052" s="627"/>
      <c r="AZ1052" s="627"/>
      <c r="BA1052" s="627"/>
      <c r="BB1052" s="627"/>
      <c r="BC1052" s="627"/>
      <c r="BD1052" s="627"/>
      <c r="BE1052" s="627"/>
      <c r="BF1052" s="627"/>
      <c r="BG1052" s="627"/>
      <c r="BH1052" s="627"/>
      <c r="BI1052" s="627"/>
      <c r="BJ1052" s="627"/>
      <c r="BK1052" s="627"/>
      <c r="BL1052" s="627"/>
      <c r="BM1052" s="627"/>
      <c r="BN1052" s="627"/>
      <c r="BO1052" s="627"/>
      <c r="BP1052" s="627"/>
      <c r="BQ1052" s="627"/>
      <c r="BR1052" s="627"/>
      <c r="BS1052" s="627"/>
      <c r="BT1052" s="627"/>
    </row>
    <row r="1053" spans="1:72" x14ac:dyDescent="0.35">
      <c r="A1053" s="988"/>
      <c r="B1053" s="988"/>
      <c r="C1053" s="627"/>
      <c r="D1053"/>
      <c r="E1053"/>
      <c r="F1053"/>
      <c r="G1053" s="627"/>
      <c r="H1053" s="627"/>
      <c r="I1053" s="627"/>
      <c r="J1053" s="627"/>
      <c r="K1053" s="627"/>
      <c r="L1053" s="627"/>
      <c r="M1053" s="627"/>
      <c r="N1053" s="627"/>
      <c r="O1053" s="627"/>
      <c r="P1053" s="719"/>
      <c r="Q1053" s="719"/>
      <c r="R1053" s="627"/>
      <c r="S1053" s="627"/>
      <c r="T1053" s="627"/>
      <c r="U1053" s="627"/>
      <c r="V1053" s="627"/>
      <c r="W1053" s="627"/>
      <c r="X1053" s="627"/>
      <c r="Y1053" s="627"/>
      <c r="Z1053" s="627"/>
      <c r="AA1053" s="627"/>
      <c r="AB1053" s="627"/>
      <c r="AC1053" s="627"/>
      <c r="AD1053" s="627"/>
      <c r="AE1053" s="627"/>
      <c r="AF1053" s="627"/>
      <c r="AG1053" s="627"/>
      <c r="AH1053" s="627"/>
      <c r="AI1053" s="627"/>
      <c r="AJ1053" s="627"/>
      <c r="AK1053" s="627"/>
      <c r="AL1053" s="627"/>
      <c r="AM1053" s="627"/>
      <c r="AN1053" s="627"/>
      <c r="AO1053" s="627"/>
      <c r="AP1053" s="627"/>
      <c r="AQ1053" s="627"/>
      <c r="AR1053" s="627"/>
      <c r="AS1053" s="627"/>
      <c r="AT1053" s="627"/>
      <c r="AU1053" s="627"/>
      <c r="AV1053" s="627"/>
      <c r="AW1053" s="627"/>
      <c r="AX1053" s="627"/>
      <c r="AY1053" s="627"/>
      <c r="AZ1053" s="627"/>
      <c r="BA1053" s="627"/>
      <c r="BB1053" s="627"/>
      <c r="BC1053" s="627"/>
      <c r="BD1053" s="627"/>
      <c r="BE1053" s="627"/>
      <c r="BF1053" s="627"/>
      <c r="BG1053" s="627"/>
      <c r="BH1053" s="627"/>
      <c r="BI1053" s="627"/>
      <c r="BJ1053" s="627"/>
      <c r="BK1053" s="627"/>
      <c r="BL1053" s="627"/>
      <c r="BM1053" s="627"/>
      <c r="BN1053" s="627"/>
      <c r="BO1053" s="627"/>
      <c r="BP1053" s="627"/>
      <c r="BQ1053" s="627"/>
      <c r="BR1053" s="627"/>
      <c r="BS1053" s="627"/>
      <c r="BT1053" s="627"/>
    </row>
    <row r="1054" spans="1:72" x14ac:dyDescent="0.35">
      <c r="A1054" s="988"/>
      <c r="B1054" s="988"/>
      <c r="C1054" s="627"/>
      <c r="D1054" s="627" t="s">
        <v>700</v>
      </c>
      <c r="E1054"/>
      <c r="F1054"/>
      <c r="G1054" s="626"/>
      <c r="H1054" s="627" t="s">
        <v>52</v>
      </c>
      <c r="I1054" s="627"/>
      <c r="J1054" s="627"/>
      <c r="K1054" s="627"/>
      <c r="L1054" s="627"/>
      <c r="M1054" s="627"/>
      <c r="N1054" s="627"/>
      <c r="O1054" s="627"/>
      <c r="P1054" s="719"/>
      <c r="Q1054" s="719"/>
      <c r="R1054" s="627"/>
      <c r="S1054" s="627"/>
      <c r="T1054" s="627"/>
      <c r="U1054" s="627"/>
      <c r="V1054" s="627"/>
      <c r="W1054" s="627"/>
      <c r="X1054" s="627"/>
      <c r="Y1054" s="627"/>
      <c r="Z1054" s="627"/>
      <c r="AA1054" s="627"/>
      <c r="AB1054" s="627"/>
      <c r="AC1054" s="627"/>
      <c r="AD1054" s="627"/>
      <c r="AE1054" s="627"/>
      <c r="AF1054" s="627"/>
      <c r="AG1054" s="627"/>
      <c r="AH1054" s="627"/>
      <c r="AI1054" s="627"/>
      <c r="AJ1054" s="627"/>
      <c r="AK1054" s="627"/>
      <c r="AL1054" s="627"/>
      <c r="AM1054" s="627"/>
      <c r="AN1054" s="627"/>
      <c r="AO1054" s="627"/>
      <c r="AP1054" s="627"/>
      <c r="AQ1054" s="627"/>
      <c r="AR1054" s="627"/>
      <c r="AS1054" s="627"/>
      <c r="AT1054" s="627"/>
      <c r="AU1054" s="627"/>
      <c r="AV1054" s="627"/>
      <c r="AW1054" s="627"/>
      <c r="AX1054" s="627"/>
      <c r="AY1054" s="627"/>
      <c r="AZ1054" s="627"/>
      <c r="BA1054" s="627"/>
      <c r="BB1054" s="627"/>
      <c r="BC1054" s="627"/>
      <c r="BD1054" s="627"/>
      <c r="BE1054" s="627"/>
      <c r="BF1054" s="627"/>
      <c r="BG1054" s="627"/>
      <c r="BH1054" s="627"/>
      <c r="BI1054" s="627"/>
      <c r="BJ1054" s="627"/>
      <c r="BK1054" s="627"/>
      <c r="BL1054" s="627"/>
      <c r="BM1054" s="627"/>
      <c r="BN1054" s="627"/>
      <c r="BO1054" s="627"/>
      <c r="BP1054" s="627"/>
      <c r="BQ1054" s="627"/>
      <c r="BR1054" s="627"/>
      <c r="BS1054" s="627"/>
      <c r="BT1054" s="627"/>
    </row>
    <row r="1055" spans="1:72" hidden="1" x14ac:dyDescent="0.35">
      <c r="A1055" s="988"/>
      <c r="B1055" s="988"/>
      <c r="C1055" s="627"/>
      <c r="D1055" s="627" t="s">
        <v>701</v>
      </c>
      <c r="E1055" s="627"/>
      <c r="F1055" s="627"/>
      <c r="G1055" s="627"/>
      <c r="H1055" s="627"/>
      <c r="I1055" s="627"/>
      <c r="J1055" s="627"/>
      <c r="K1055" s="627"/>
      <c r="L1055" s="627"/>
      <c r="M1055" s="627"/>
      <c r="N1055" s="627"/>
      <c r="O1055" s="627"/>
      <c r="P1055" s="719"/>
      <c r="Q1055" s="719"/>
      <c r="R1055" s="627"/>
      <c r="S1055" s="627"/>
      <c r="T1055" s="627"/>
      <c r="U1055" s="627"/>
      <c r="V1055" s="627"/>
      <c r="W1055" s="627"/>
      <c r="X1055" s="627"/>
      <c r="Y1055" s="627"/>
      <c r="Z1055" s="627"/>
      <c r="AA1055" s="627"/>
      <c r="AB1055" s="627"/>
      <c r="AC1055" s="627"/>
      <c r="AD1055" s="627"/>
      <c r="AE1055" s="627"/>
      <c r="AF1055" s="627"/>
      <c r="AG1055" s="627"/>
      <c r="AH1055" s="627"/>
      <c r="AI1055" s="627"/>
      <c r="AJ1055" s="627"/>
      <c r="AK1055" s="627"/>
      <c r="AL1055" s="627"/>
      <c r="AM1055" s="627"/>
      <c r="AN1055" s="627"/>
      <c r="AO1055" s="627"/>
      <c r="AP1055" s="627"/>
      <c r="AQ1055" s="627"/>
      <c r="AR1055" s="627"/>
      <c r="AS1055" s="627"/>
      <c r="AT1055" s="627"/>
      <c r="AU1055" s="627"/>
      <c r="AV1055" s="627"/>
      <c r="AW1055" s="627"/>
      <c r="AX1055" s="627"/>
      <c r="AY1055" s="627"/>
      <c r="AZ1055" s="627"/>
      <c r="BA1055" s="627"/>
      <c r="BB1055" s="627"/>
      <c r="BC1055" s="627"/>
      <c r="BD1055" s="627"/>
      <c r="BE1055" s="627"/>
      <c r="BF1055" s="627"/>
      <c r="BG1055" s="627"/>
      <c r="BH1055" s="627"/>
      <c r="BI1055" s="627"/>
      <c r="BJ1055" s="627"/>
      <c r="BK1055" s="627"/>
      <c r="BL1055" s="627"/>
      <c r="BM1055" s="627"/>
      <c r="BN1055" s="627"/>
      <c r="BO1055" s="627"/>
      <c r="BP1055" s="627"/>
      <c r="BQ1055" s="627"/>
      <c r="BR1055" s="627"/>
      <c r="BS1055" s="627"/>
      <c r="BT1055" s="627"/>
    </row>
    <row r="1056" spans="1:72" hidden="1" x14ac:dyDescent="0.35">
      <c r="A1056" s="988"/>
      <c r="B1056" s="988"/>
      <c r="C1056" s="627"/>
      <c r="D1056" s="627" t="s">
        <v>702</v>
      </c>
      <c r="E1056" s="627"/>
      <c r="F1056" s="627"/>
      <c r="G1056" s="627"/>
      <c r="H1056" s="627"/>
      <c r="I1056" s="761">
        <f>100-F1040</f>
        <v>100</v>
      </c>
      <c r="J1056" s="627" t="s">
        <v>703</v>
      </c>
      <c r="K1056" s="627"/>
      <c r="L1056" s="627"/>
      <c r="M1056" s="627"/>
      <c r="N1056" s="627"/>
      <c r="O1056" s="627"/>
      <c r="P1056" s="719"/>
      <c r="Q1056" s="719"/>
      <c r="R1056" s="627"/>
      <c r="S1056" s="627"/>
      <c r="T1056" s="627"/>
      <c r="U1056" s="627"/>
      <c r="V1056" s="627"/>
      <c r="W1056" s="627"/>
      <c r="X1056" s="627"/>
      <c r="Y1056" s="627"/>
      <c r="Z1056" s="627"/>
      <c r="AA1056" s="627"/>
      <c r="AB1056" s="627"/>
      <c r="AC1056" s="627"/>
      <c r="AD1056" s="627"/>
      <c r="AE1056" s="627"/>
      <c r="AF1056" s="627"/>
      <c r="AG1056" s="627"/>
      <c r="AH1056" s="627"/>
      <c r="AI1056" s="627"/>
      <c r="AJ1056" s="627"/>
      <c r="AK1056" s="627"/>
      <c r="AL1056" s="627"/>
      <c r="AM1056" s="627"/>
      <c r="AN1056" s="627"/>
      <c r="AO1056" s="627"/>
      <c r="AP1056" s="627"/>
      <c r="AQ1056" s="627"/>
      <c r="AR1056" s="627"/>
      <c r="AS1056" s="627"/>
      <c r="AT1056" s="627"/>
      <c r="AU1056" s="627"/>
      <c r="AV1056" s="627"/>
      <c r="AW1056" s="627"/>
      <c r="AX1056" s="627"/>
      <c r="AY1056" s="627"/>
      <c r="AZ1056" s="627"/>
      <c r="BA1056" s="627"/>
      <c r="BB1056" s="627"/>
      <c r="BC1056" s="627"/>
      <c r="BD1056" s="627"/>
      <c r="BE1056" s="627"/>
      <c r="BF1056" s="627"/>
      <c r="BG1056" s="627"/>
      <c r="BH1056" s="627"/>
      <c r="BI1056" s="627"/>
      <c r="BJ1056" s="627"/>
      <c r="BK1056" s="627"/>
      <c r="BL1056" s="627"/>
      <c r="BM1056" s="627"/>
      <c r="BN1056" s="627"/>
      <c r="BO1056" s="627"/>
      <c r="BP1056" s="627"/>
      <c r="BQ1056" s="627"/>
      <c r="BR1056" s="627"/>
      <c r="BS1056" s="627"/>
      <c r="BT1056" s="627"/>
    </row>
    <row r="1057" spans="1:17" hidden="1" x14ac:dyDescent="0.35">
      <c r="A1057" s="988"/>
      <c r="B1057" s="988"/>
      <c r="C1057" s="627"/>
      <c r="D1057" s="627" t="s">
        <v>704</v>
      </c>
      <c r="E1057" s="627"/>
      <c r="F1057" s="627"/>
      <c r="G1057" s="627"/>
      <c r="H1057" s="627"/>
      <c r="I1057" s="627"/>
      <c r="J1057" s="627"/>
      <c r="K1057" s="627"/>
      <c r="L1057" s="627"/>
      <c r="M1057" s="627"/>
      <c r="N1057" s="627"/>
      <c r="O1057" s="627"/>
      <c r="P1057" s="719"/>
      <c r="Q1057" s="719"/>
    </row>
    <row r="1058" spans="1:17" hidden="1" x14ac:dyDescent="0.35">
      <c r="A1058" s="988"/>
      <c r="B1058" s="988"/>
      <c r="C1058" s="627"/>
      <c r="D1058" s="627" t="s">
        <v>705</v>
      </c>
      <c r="E1058" s="627"/>
      <c r="F1058" s="627"/>
      <c r="G1058" s="761"/>
      <c r="H1058" s="627"/>
      <c r="I1058" s="627"/>
      <c r="J1058" s="627"/>
      <c r="K1058" s="627"/>
      <c r="L1058" s="660"/>
      <c r="M1058" s="627" t="s">
        <v>130</v>
      </c>
      <c r="N1058" s="627"/>
      <c r="O1058" s="627"/>
      <c r="P1058" s="719"/>
      <c r="Q1058" s="719"/>
    </row>
    <row r="1059" spans="1:17" hidden="1" x14ac:dyDescent="0.35">
      <c r="A1059" s="988"/>
      <c r="B1059" s="988"/>
      <c r="C1059" s="627"/>
      <c r="D1059" s="627"/>
      <c r="E1059" s="627"/>
      <c r="F1059" s="627"/>
      <c r="G1059" s="627"/>
      <c r="H1059" s="627"/>
      <c r="I1059" s="627"/>
      <c r="J1059" s="627"/>
      <c r="K1059" s="627"/>
      <c r="L1059" s="627"/>
      <c r="M1059" s="627"/>
      <c r="N1059" s="627"/>
      <c r="O1059" s="627"/>
      <c r="P1059" s="719"/>
      <c r="Q1059" s="719"/>
    </row>
    <row r="1060" spans="1:17" hidden="1" x14ac:dyDescent="0.35">
      <c r="A1060" s="988"/>
      <c r="B1060" s="988"/>
      <c r="C1060" s="627" t="s">
        <v>706</v>
      </c>
      <c r="D1060" s="627"/>
      <c r="E1060" s="627"/>
      <c r="F1060" s="627"/>
      <c r="G1060" s="627"/>
      <c r="H1060" s="627"/>
      <c r="I1060" s="627"/>
      <c r="J1060" s="627"/>
      <c r="K1060" s="627"/>
      <c r="L1060" s="660"/>
      <c r="M1060" s="627" t="s">
        <v>130</v>
      </c>
      <c r="N1060" s="627"/>
      <c r="O1060" s="627"/>
      <c r="P1060" s="719"/>
      <c r="Q1060" s="719"/>
    </row>
    <row r="1061" spans="1:17" x14ac:dyDescent="0.35">
      <c r="A1061" s="988"/>
      <c r="B1061" s="637"/>
      <c r="C1061" s="749"/>
      <c r="D1061" s="749"/>
      <c r="E1061" s="749"/>
      <c r="F1061" s="749"/>
      <c r="G1061" s="749"/>
      <c r="H1061" s="749"/>
      <c r="I1061" s="749"/>
      <c r="J1061" s="749"/>
      <c r="K1061" s="749"/>
      <c r="L1061" s="749"/>
      <c r="M1061" s="749"/>
      <c r="N1061" s="749"/>
      <c r="O1061" s="749"/>
      <c r="P1061" s="748"/>
      <c r="Q1061" s="719"/>
    </row>
    <row r="1062" spans="1:17" ht="19.5" customHeight="1" thickBot="1" x14ac:dyDescent="0.4">
      <c r="A1062" s="988"/>
      <c r="B1062" s="627"/>
      <c r="C1062" s="627"/>
      <c r="D1062" s="627"/>
      <c r="E1062" s="627"/>
      <c r="F1062" s="627"/>
      <c r="G1062" s="627"/>
      <c r="H1062" s="627"/>
      <c r="I1062" s="627"/>
      <c r="J1062" s="627"/>
      <c r="K1062" s="627"/>
      <c r="L1062" s="627"/>
      <c r="M1062" s="627"/>
      <c r="N1062" s="627"/>
      <c r="O1062" s="627"/>
      <c r="P1062" s="627"/>
      <c r="Q1062" s="719"/>
    </row>
    <row r="1063" spans="1:17" ht="15.4" thickBot="1" x14ac:dyDescent="0.45">
      <c r="A1063" s="988"/>
      <c r="B1063" s="692"/>
      <c r="C1063" s="24" t="s">
        <v>707</v>
      </c>
      <c r="D1063" s="1041"/>
      <c r="E1063" s="1041"/>
      <c r="F1063" s="1041"/>
      <c r="G1063" s="1041"/>
      <c r="H1063" s="1041"/>
      <c r="I1063" s="1041"/>
      <c r="J1063" s="1041"/>
      <c r="K1063" s="1041"/>
      <c r="L1063" s="1041"/>
      <c r="M1063" s="1041"/>
      <c r="N1063" s="1041"/>
      <c r="O1063" s="1041"/>
      <c r="P1063" s="691"/>
      <c r="Q1063" s="719"/>
    </row>
    <row r="1064" spans="1:17" ht="6.75" customHeight="1" x14ac:dyDescent="0.35">
      <c r="A1064" s="988"/>
      <c r="B1064" s="627"/>
      <c r="C1064"/>
      <c r="D1064" s="627"/>
      <c r="E1064" s="627"/>
      <c r="F1064" s="627"/>
      <c r="G1064" s="627"/>
      <c r="H1064" s="627"/>
      <c r="I1064" s="627"/>
      <c r="J1064" s="627"/>
      <c r="K1064" s="627"/>
      <c r="L1064" s="627"/>
      <c r="M1064" s="627"/>
      <c r="N1064" s="627"/>
      <c r="O1064" s="627"/>
      <c r="P1064" s="627"/>
      <c r="Q1064" s="719"/>
    </row>
    <row r="1065" spans="1:17" x14ac:dyDescent="0.35">
      <c r="A1065" s="988"/>
      <c r="B1065" s="627"/>
      <c r="C1065" t="s">
        <v>708</v>
      </c>
      <c r="D1065" s="627"/>
      <c r="E1065" s="627"/>
      <c r="F1065" s="627"/>
      <c r="G1065" s="627"/>
      <c r="H1065" s="627"/>
      <c r="I1065" s="627"/>
      <c r="J1065" s="627"/>
      <c r="K1065" s="627"/>
      <c r="L1065" s="627"/>
      <c r="M1065" s="627"/>
      <c r="N1065" s="627"/>
      <c r="O1065" s="627"/>
      <c r="P1065" s="627"/>
      <c r="Q1065" s="719"/>
    </row>
    <row r="1066" spans="1:17" ht="4.5" customHeight="1" x14ac:dyDescent="0.35">
      <c r="A1066" s="988"/>
      <c r="B1066" s="636"/>
      <c r="C1066" s="652"/>
      <c r="D1066" s="652"/>
      <c r="E1066" s="652"/>
      <c r="F1066" s="652"/>
      <c r="G1066" s="652"/>
      <c r="H1066" s="652"/>
      <c r="I1066" s="652"/>
      <c r="J1066" s="652"/>
      <c r="K1066" s="652"/>
      <c r="L1066" s="652"/>
      <c r="M1066" s="652"/>
      <c r="N1066" s="652"/>
      <c r="O1066" s="652"/>
      <c r="P1066" s="987"/>
      <c r="Q1066" s="719"/>
    </row>
    <row r="1067" spans="1:17" x14ac:dyDescent="0.35">
      <c r="A1067" s="988"/>
      <c r="B1067" s="988"/>
      <c r="C1067" s="627" t="s">
        <v>601</v>
      </c>
      <c r="D1067" s="627"/>
      <c r="E1067" s="627"/>
      <c r="F1067" s="627"/>
      <c r="G1067" s="627"/>
      <c r="H1067" s="627"/>
      <c r="I1067" s="627"/>
      <c r="J1067" s="627"/>
      <c r="K1067" s="627"/>
      <c r="L1067" s="627"/>
      <c r="M1067" s="627"/>
      <c r="N1067" s="627"/>
      <c r="O1067" s="627"/>
      <c r="P1067" s="719"/>
      <c r="Q1067" s="719"/>
    </row>
    <row r="1068" spans="1:17" ht="15" customHeight="1" x14ac:dyDescent="0.35">
      <c r="A1068" s="988"/>
      <c r="B1068" s="988"/>
      <c r="C1068" s="627"/>
      <c r="D1068" s="627"/>
      <c r="E1068" s="627"/>
      <c r="F1068" s="627"/>
      <c r="G1068" s="626"/>
      <c r="H1068" s="627" t="str">
        <f>IF(F1060="X",0,"SIM")</f>
        <v>SIM</v>
      </c>
      <c r="I1068" s="626"/>
      <c r="J1068" s="627" t="str">
        <f>IF(F1060="X",0,"NÃO")</f>
        <v>NÃO</v>
      </c>
      <c r="K1068" s="627"/>
      <c r="L1068" s="627"/>
      <c r="M1068" s="627"/>
      <c r="N1068" s="627"/>
      <c r="O1068" s="627"/>
      <c r="P1068" s="719"/>
      <c r="Q1068" s="719"/>
    </row>
    <row r="1069" spans="1:17" ht="4.5" customHeight="1" x14ac:dyDescent="0.35">
      <c r="A1069" s="988"/>
      <c r="B1069" s="637"/>
      <c r="C1069" s="749"/>
      <c r="D1069" s="749"/>
      <c r="E1069" s="749"/>
      <c r="F1069" s="749"/>
      <c r="G1069" s="749"/>
      <c r="H1069" s="749"/>
      <c r="I1069" s="749"/>
      <c r="J1069" s="749"/>
      <c r="K1069" s="749"/>
      <c r="L1069" s="749"/>
      <c r="M1069" s="749"/>
      <c r="N1069" s="749"/>
      <c r="O1069" s="749"/>
      <c r="P1069" s="748"/>
      <c r="Q1069" s="719"/>
    </row>
    <row r="1070" spans="1:17" x14ac:dyDescent="0.35">
      <c r="A1070" s="988"/>
      <c r="B1070" s="627"/>
      <c r="C1070" s="627"/>
      <c r="D1070" s="627"/>
      <c r="E1070" s="627"/>
      <c r="F1070" s="627"/>
      <c r="G1070" s="627"/>
      <c r="H1070" s="627"/>
      <c r="I1070" s="627"/>
      <c r="J1070" s="627"/>
      <c r="K1070" s="627"/>
      <c r="L1070" s="627"/>
      <c r="M1070" s="627"/>
      <c r="N1070" s="627"/>
      <c r="O1070" s="627"/>
      <c r="P1070" s="627"/>
      <c r="Q1070" s="719"/>
    </row>
    <row r="1071" spans="1:17" ht="13.15" x14ac:dyDescent="0.4">
      <c r="A1071" s="988"/>
      <c r="B1071" s="636"/>
      <c r="C1071" s="337" t="s">
        <v>709</v>
      </c>
      <c r="D1071" s="652"/>
      <c r="E1071" s="652"/>
      <c r="F1071" s="652"/>
      <c r="G1071" s="652" t="s">
        <v>320</v>
      </c>
      <c r="H1071" s="652"/>
      <c r="I1071" s="652"/>
      <c r="J1071" s="1057">
        <f>E453</f>
        <v>1000</v>
      </c>
      <c r="K1071" s="652"/>
      <c r="L1071" s="652" t="s">
        <v>17</v>
      </c>
      <c r="M1071" s="652"/>
      <c r="N1071" s="652"/>
      <c r="O1071" s="652"/>
      <c r="P1071" s="987"/>
      <c r="Q1071" s="719"/>
    </row>
    <row r="1072" spans="1:17" ht="6" customHeight="1" x14ac:dyDescent="0.35">
      <c r="A1072" s="988"/>
      <c r="B1072" s="988"/>
      <c r="C1072" s="627"/>
      <c r="D1072" s="627"/>
      <c r="E1072" s="627"/>
      <c r="F1072" s="627"/>
      <c r="G1072" s="627"/>
      <c r="H1072" s="627"/>
      <c r="I1072" s="627"/>
      <c r="J1072" s="627"/>
      <c r="K1072" s="627"/>
      <c r="L1072" s="627"/>
      <c r="M1072" s="627"/>
      <c r="N1072" s="627"/>
      <c r="O1072" s="627"/>
      <c r="P1072" s="719"/>
      <c r="Q1072" s="719"/>
    </row>
    <row r="1073" spans="1:17" x14ac:dyDescent="0.35">
      <c r="A1073" s="988"/>
      <c r="B1073" s="988"/>
      <c r="C1073" s="627"/>
      <c r="D1073" s="627" t="s">
        <v>710</v>
      </c>
      <c r="E1073" s="627"/>
      <c r="F1073" s="627"/>
      <c r="G1073" s="627"/>
      <c r="H1073" s="627"/>
      <c r="I1073" s="627"/>
      <c r="J1073" s="627"/>
      <c r="K1073" s="627"/>
      <c r="L1073" s="627"/>
      <c r="M1073" s="627"/>
      <c r="N1073" s="627"/>
      <c r="O1073" s="627"/>
      <c r="P1073" s="719"/>
      <c r="Q1073" s="719"/>
    </row>
    <row r="1074" spans="1:17" ht="6" customHeight="1" x14ac:dyDescent="0.35">
      <c r="A1074" s="988"/>
      <c r="B1074" s="988"/>
      <c r="C1074" s="627"/>
      <c r="D1074" s="627"/>
      <c r="E1074" s="627"/>
      <c r="F1074" s="627"/>
      <c r="G1074" s="627"/>
      <c r="H1074" s="627"/>
      <c r="I1074" s="627"/>
      <c r="J1074" s="627"/>
      <c r="K1074" s="627"/>
      <c r="L1074" s="627"/>
      <c r="M1074" s="627"/>
      <c r="N1074" s="627"/>
      <c r="O1074" s="627"/>
      <c r="P1074" s="719"/>
      <c r="Q1074" s="719"/>
    </row>
    <row r="1075" spans="1:17" x14ac:dyDescent="0.35">
      <c r="A1075" s="988"/>
      <c r="B1075" s="988"/>
      <c r="C1075" s="627"/>
      <c r="D1075" s="627"/>
      <c r="E1075" s="626"/>
      <c r="F1075" s="627" t="s">
        <v>52</v>
      </c>
      <c r="G1075" s="626"/>
      <c r="H1075" s="627" t="s">
        <v>53</v>
      </c>
      <c r="I1075" s="627"/>
      <c r="J1075" s="627"/>
      <c r="K1075" s="627"/>
      <c r="L1075" s="627"/>
      <c r="M1075" s="627"/>
      <c r="N1075" s="627"/>
      <c r="O1075" s="627"/>
      <c r="P1075" s="719"/>
      <c r="Q1075" s="719"/>
    </row>
    <row r="1076" spans="1:17" ht="5.25" customHeight="1" x14ac:dyDescent="0.35">
      <c r="A1076" s="988"/>
      <c r="B1076" s="988"/>
      <c r="C1076" s="627"/>
      <c r="D1076" s="627"/>
      <c r="E1076" s="627"/>
      <c r="F1076" s="627"/>
      <c r="G1076" s="627"/>
      <c r="H1076" s="627"/>
      <c r="I1076" s="627"/>
      <c r="J1076" s="627"/>
      <c r="K1076" s="627"/>
      <c r="L1076" s="627"/>
      <c r="M1076" s="627"/>
      <c r="N1076" s="627"/>
      <c r="O1076" s="627"/>
      <c r="P1076" s="719"/>
      <c r="Q1076" s="719"/>
    </row>
    <row r="1077" spans="1:17" ht="5.25" customHeight="1" x14ac:dyDescent="0.35">
      <c r="A1077" s="988"/>
      <c r="B1077" s="637"/>
      <c r="C1077" s="749"/>
      <c r="D1077" s="749"/>
      <c r="E1077" s="749"/>
      <c r="F1077" s="749"/>
      <c r="G1077" s="749"/>
      <c r="H1077" s="749"/>
      <c r="I1077" s="749"/>
      <c r="J1077" s="749"/>
      <c r="K1077" s="749"/>
      <c r="L1077" s="749"/>
      <c r="M1077" s="749"/>
      <c r="N1077" s="749"/>
      <c r="O1077" s="749"/>
      <c r="P1077" s="748"/>
      <c r="Q1077" s="719"/>
    </row>
    <row r="1078" spans="1:17" hidden="1" x14ac:dyDescent="0.35">
      <c r="A1078" s="988"/>
      <c r="B1078" s="627"/>
      <c r="C1078" s="627"/>
      <c r="D1078" s="627"/>
      <c r="E1078" s="627"/>
      <c r="F1078" s="627"/>
      <c r="G1078" s="627"/>
      <c r="H1078" s="627"/>
      <c r="I1078" s="627"/>
      <c r="J1078" s="627"/>
      <c r="K1078" s="627"/>
      <c r="L1078" s="627"/>
      <c r="M1078" s="627"/>
      <c r="N1078" s="627"/>
      <c r="O1078" s="627"/>
      <c r="P1078" s="652"/>
      <c r="Q1078" s="719"/>
    </row>
    <row r="1079" spans="1:17" hidden="1" x14ac:dyDescent="0.35">
      <c r="A1079" s="988"/>
      <c r="B1079" s="988"/>
      <c r="C1079" s="183" t="s">
        <v>711</v>
      </c>
      <c r="D1079" s="627"/>
      <c r="E1079" s="627"/>
      <c r="F1079" s="627"/>
      <c r="G1079" s="627"/>
      <c r="H1079" s="627"/>
      <c r="I1079" s="627"/>
      <c r="J1079" s="627"/>
      <c r="K1079" s="627"/>
      <c r="L1079" s="627"/>
      <c r="M1079" s="627"/>
      <c r="N1079" s="627"/>
      <c r="O1079" s="627"/>
      <c r="P1079" s="719"/>
      <c r="Q1079" s="719"/>
    </row>
    <row r="1080" spans="1:17" hidden="1" x14ac:dyDescent="0.35">
      <c r="A1080" s="988"/>
      <c r="B1080" s="988"/>
      <c r="C1080" s="627"/>
      <c r="D1080" s="627"/>
      <c r="E1080" s="627"/>
      <c r="F1080" s="627"/>
      <c r="G1080" s="627"/>
      <c r="H1080" s="627"/>
      <c r="I1080" s="627"/>
      <c r="J1080" s="627"/>
      <c r="K1080" s="627"/>
      <c r="L1080" s="627"/>
      <c r="M1080" s="627"/>
      <c r="N1080" s="627"/>
      <c r="O1080" s="627"/>
      <c r="P1080" s="719"/>
      <c r="Q1080" s="719"/>
    </row>
    <row r="1081" spans="1:17" hidden="1" x14ac:dyDescent="0.35">
      <c r="A1081" s="988">
        <f>IF(C1081="x",1,0)</f>
        <v>0</v>
      </c>
      <c r="B1081" s="200">
        <v>1</v>
      </c>
      <c r="C1081" s="626"/>
      <c r="D1081" s="627">
        <f ca="1">LAJES!D166</f>
        <v>0</v>
      </c>
      <c r="E1081" s="627"/>
      <c r="F1081" s="627"/>
      <c r="G1081" s="627"/>
      <c r="H1081" s="627">
        <f ca="1">LAJES!H166</f>
        <v>0</v>
      </c>
      <c r="I1081" s="627">
        <f ca="1">LAJES!I166</f>
        <v>0</v>
      </c>
      <c r="J1081" s="627"/>
      <c r="K1081" s="627"/>
      <c r="L1081" s="627"/>
      <c r="M1081" s="627"/>
      <c r="N1081" s="627"/>
      <c r="O1081" s="627"/>
      <c r="P1081" s="719"/>
      <c r="Q1081" s="719"/>
    </row>
    <row r="1082" spans="1:17" hidden="1" x14ac:dyDescent="0.35">
      <c r="A1082" s="988"/>
      <c r="B1082" s="200"/>
      <c r="C1082" s="195">
        <f>IF(C1081="X","Y",0)</f>
        <v>0</v>
      </c>
      <c r="D1082" s="627"/>
      <c r="E1082" s="1136">
        <f ca="1">IF(D1081=0,0,"comprimento= "&amp;LAJES!F168&amp;" m")</f>
        <v>0</v>
      </c>
      <c r="F1082" s="195"/>
      <c r="G1082" s="195"/>
      <c r="H1082" s="195"/>
      <c r="I1082" s="627"/>
      <c r="J1082" s="627"/>
      <c r="K1082" s="627"/>
      <c r="L1082" s="627"/>
      <c r="M1082" s="627"/>
      <c r="N1082" s="627"/>
      <c r="O1082" s="627"/>
      <c r="P1082" s="719"/>
      <c r="Q1082" s="719"/>
    </row>
    <row r="1083" spans="1:17" hidden="1" x14ac:dyDescent="0.35">
      <c r="A1083" s="988"/>
      <c r="B1083" s="200"/>
      <c r="C1083" s="627"/>
      <c r="D1083" s="627"/>
      <c r="E1083" s="627"/>
      <c r="F1083" s="627"/>
      <c r="G1083" s="627"/>
      <c r="H1083" s="627"/>
      <c r="I1083" s="627"/>
      <c r="J1083" s="627"/>
      <c r="K1083" s="627"/>
      <c r="L1083" s="627"/>
      <c r="M1083" s="627"/>
      <c r="N1083" s="627"/>
      <c r="O1083" s="627"/>
      <c r="P1083" s="719"/>
      <c r="Q1083" s="719"/>
    </row>
    <row r="1084" spans="1:17" hidden="1" x14ac:dyDescent="0.35">
      <c r="A1084" s="988">
        <f>IF(C1084="x",1,0)</f>
        <v>0</v>
      </c>
      <c r="B1084" s="200">
        <v>2</v>
      </c>
      <c r="C1084" s="626"/>
      <c r="D1084" s="627">
        <f ca="1">LAJES!D169</f>
        <v>0</v>
      </c>
      <c r="E1084" s="627"/>
      <c r="F1084" s="627"/>
      <c r="G1084" s="627"/>
      <c r="H1084" s="627">
        <f ca="1">LAJES!H169</f>
        <v>0</v>
      </c>
      <c r="I1084" s="627">
        <f ca="1">LAJES!I169</f>
        <v>0</v>
      </c>
      <c r="J1084" s="627"/>
      <c r="K1084" s="627"/>
      <c r="L1084" s="627"/>
      <c r="M1084" s="627"/>
      <c r="N1084" s="627"/>
      <c r="O1084" s="627"/>
      <c r="P1084" s="719"/>
      <c r="Q1084" s="719"/>
    </row>
    <row r="1085" spans="1:17" hidden="1" x14ac:dyDescent="0.35">
      <c r="A1085" s="988"/>
      <c r="B1085" s="200"/>
      <c r="C1085" s="195">
        <f>IF(C1084="X","Y",0)</f>
        <v>0</v>
      </c>
      <c r="D1085" s="627"/>
      <c r="E1085" s="761">
        <f ca="1">IF(D1084=0,0,"comprimento= "&amp;LAJES!F171&amp;" m")</f>
        <v>0</v>
      </c>
      <c r="F1085" s="195"/>
      <c r="G1085" s="195"/>
      <c r="H1085" s="195"/>
      <c r="I1085" s="627"/>
      <c r="J1085" s="627"/>
      <c r="K1085" s="627"/>
      <c r="L1085" s="627"/>
      <c r="M1085" s="627"/>
      <c r="N1085" s="627"/>
      <c r="O1085" s="627"/>
      <c r="P1085" s="719"/>
      <c r="Q1085" s="719"/>
    </row>
    <row r="1086" spans="1:17" hidden="1" x14ac:dyDescent="0.35">
      <c r="A1086" s="988"/>
      <c r="B1086" s="200"/>
      <c r="C1086" s="627"/>
      <c r="D1086" s="627"/>
      <c r="E1086" s="627"/>
      <c r="F1086" s="627"/>
      <c r="G1086" s="627"/>
      <c r="H1086" s="627"/>
      <c r="I1086" s="627"/>
      <c r="J1086" s="627"/>
      <c r="K1086" s="627"/>
      <c r="L1086" s="627"/>
      <c r="M1086" s="627"/>
      <c r="N1086" s="627"/>
      <c r="O1086" s="627"/>
      <c r="P1086" s="719"/>
      <c r="Q1086" s="719"/>
    </row>
    <row r="1087" spans="1:17" hidden="1" x14ac:dyDescent="0.35">
      <c r="A1087" s="988">
        <f>IF(C1087="x",1,0)</f>
        <v>0</v>
      </c>
      <c r="B1087" s="200">
        <v>3</v>
      </c>
      <c r="C1087" s="626"/>
      <c r="D1087" s="627">
        <f ca="1">LAJES!D172</f>
        <v>0</v>
      </c>
      <c r="E1087" s="627"/>
      <c r="F1087" s="627"/>
      <c r="G1087" s="627"/>
      <c r="H1087" s="627">
        <f ca="1">LAJES!H172</f>
        <v>0</v>
      </c>
      <c r="I1087" s="627">
        <f ca="1">LAJES!I172</f>
        <v>0</v>
      </c>
      <c r="J1087" s="627"/>
      <c r="K1087" s="627"/>
      <c r="L1087" s="627"/>
      <c r="M1087" s="627"/>
      <c r="N1087" s="627"/>
      <c r="O1087" s="627"/>
      <c r="P1087" s="719"/>
      <c r="Q1087" s="719"/>
    </row>
    <row r="1088" spans="1:17" hidden="1" x14ac:dyDescent="0.35">
      <c r="A1088" s="988"/>
      <c r="B1088" s="200"/>
      <c r="C1088" s="195">
        <f>IF(C1087="X","Y",0)</f>
        <v>0</v>
      </c>
      <c r="D1088" s="627"/>
      <c r="E1088" s="761">
        <f ca="1">IF(D1087=0,0,"comprimento= "&amp;LAJES!F174&amp;" m")</f>
        <v>0</v>
      </c>
      <c r="F1088" s="195"/>
      <c r="G1088" s="195"/>
      <c r="H1088" s="195"/>
      <c r="I1088" s="627"/>
      <c r="J1088" s="627"/>
      <c r="K1088" s="627"/>
      <c r="L1088" s="627"/>
      <c r="M1088" s="627"/>
      <c r="N1088" s="627"/>
      <c r="O1088" s="627"/>
      <c r="P1088" s="719"/>
      <c r="Q1088" s="719"/>
    </row>
    <row r="1089" spans="1:17" hidden="1" x14ac:dyDescent="0.35">
      <c r="A1089" s="988"/>
      <c r="B1089" s="200"/>
      <c r="C1089" s="627"/>
      <c r="D1089" s="627"/>
      <c r="E1089" s="627"/>
      <c r="F1089" s="627"/>
      <c r="G1089" s="627"/>
      <c r="H1089" s="627"/>
      <c r="I1089" s="627"/>
      <c r="J1089" s="627"/>
      <c r="K1089" s="627"/>
      <c r="L1089" s="627"/>
      <c r="M1089" s="627"/>
      <c r="N1089" s="627"/>
      <c r="O1089" s="627"/>
      <c r="P1089" s="719"/>
      <c r="Q1089" s="719"/>
    </row>
    <row r="1090" spans="1:17" hidden="1" x14ac:dyDescent="0.35">
      <c r="A1090" s="988">
        <f>IF(C1090="x",1,0)</f>
        <v>0</v>
      </c>
      <c r="B1090" s="200">
        <v>4</v>
      </c>
      <c r="C1090" s="626"/>
      <c r="D1090" s="627">
        <f ca="1">LAJES!D175</f>
        <v>0</v>
      </c>
      <c r="E1090" s="627"/>
      <c r="F1090" s="627"/>
      <c r="G1090" s="627"/>
      <c r="H1090" s="627">
        <f ca="1">LAJES!H175</f>
        <v>0</v>
      </c>
      <c r="I1090" s="627">
        <f ca="1">LAJES!I175</f>
        <v>0</v>
      </c>
      <c r="J1090" s="627"/>
      <c r="K1090" s="627"/>
      <c r="L1090" s="627"/>
      <c r="M1090" s="627"/>
      <c r="N1090" s="627"/>
      <c r="O1090" s="627"/>
      <c r="P1090" s="719"/>
      <c r="Q1090" s="719"/>
    </row>
    <row r="1091" spans="1:17" hidden="1" x14ac:dyDescent="0.35">
      <c r="A1091" s="988"/>
      <c r="B1091" s="200"/>
      <c r="C1091" s="195">
        <f>IF(C1090="X","Y",0)</f>
        <v>0</v>
      </c>
      <c r="D1091" s="627"/>
      <c r="E1091" s="761">
        <f ca="1">IF(D1090=0,0,"comprimento= "&amp;LAJES!F177&amp;" m")</f>
        <v>0</v>
      </c>
      <c r="F1091" s="195"/>
      <c r="G1091" s="195"/>
      <c r="H1091" s="195"/>
      <c r="I1091" s="627"/>
      <c r="J1091" s="627"/>
      <c r="K1091" s="627"/>
      <c r="L1091" s="627"/>
      <c r="M1091" s="627"/>
      <c r="N1091" s="627"/>
      <c r="O1091" s="627"/>
      <c r="P1091" s="719"/>
      <c r="Q1091" s="719"/>
    </row>
    <row r="1092" spans="1:17" hidden="1" x14ac:dyDescent="0.35">
      <c r="A1092" s="988"/>
      <c r="B1092" s="200"/>
      <c r="C1092" s="627"/>
      <c r="D1092" s="627"/>
      <c r="E1092" s="627"/>
      <c r="F1092" s="627"/>
      <c r="G1092" s="627"/>
      <c r="H1092" s="627"/>
      <c r="I1092" s="627"/>
      <c r="J1092" s="627"/>
      <c r="K1092" s="627"/>
      <c r="L1092" s="627"/>
      <c r="M1092" s="627"/>
      <c r="N1092" s="627"/>
      <c r="O1092" s="627"/>
      <c r="P1092" s="719"/>
      <c r="Q1092" s="719"/>
    </row>
    <row r="1093" spans="1:17" hidden="1" x14ac:dyDescent="0.35">
      <c r="A1093" s="988">
        <f>IF(C1093="x",1,0)</f>
        <v>0</v>
      </c>
      <c r="B1093" s="200">
        <v>5</v>
      </c>
      <c r="C1093" s="626"/>
      <c r="D1093" s="627">
        <f ca="1">LAJES!D178</f>
        <v>0</v>
      </c>
      <c r="E1093" s="627"/>
      <c r="F1093" s="627"/>
      <c r="G1093" s="627"/>
      <c r="H1093" s="627">
        <f ca="1">LAJES!H178</f>
        <v>0</v>
      </c>
      <c r="I1093" s="627">
        <f ca="1">LAJES!I178</f>
        <v>0</v>
      </c>
      <c r="J1093" s="627"/>
      <c r="K1093" s="627"/>
      <c r="L1093" s="627"/>
      <c r="M1093" s="627"/>
      <c r="N1093" s="627"/>
      <c r="O1093" s="627"/>
      <c r="P1093" s="719"/>
      <c r="Q1093" s="719"/>
    </row>
    <row r="1094" spans="1:17" hidden="1" x14ac:dyDescent="0.35">
      <c r="A1094" s="988"/>
      <c r="B1094" s="200"/>
      <c r="C1094" s="195">
        <f>IF(C1093="X","Y",0)</f>
        <v>0</v>
      </c>
      <c r="D1094" s="627"/>
      <c r="E1094" s="761">
        <f ca="1">IF(D1093=0,0,"comprimento= "&amp;LAJES!F180&amp;" m")</f>
        <v>0</v>
      </c>
      <c r="F1094" s="195"/>
      <c r="G1094" s="195"/>
      <c r="H1094" s="195"/>
      <c r="I1094" s="195"/>
      <c r="J1094" s="627"/>
      <c r="K1094" s="627"/>
      <c r="L1094" s="627"/>
      <c r="M1094" s="627"/>
      <c r="N1094" s="627"/>
      <c r="O1094" s="627"/>
      <c r="P1094" s="719"/>
      <c r="Q1094" s="719"/>
    </row>
    <row r="1095" spans="1:17" hidden="1" x14ac:dyDescent="0.35">
      <c r="A1095" s="988"/>
      <c r="B1095" s="200"/>
      <c r="C1095" s="627"/>
      <c r="D1095" s="627"/>
      <c r="E1095" s="627"/>
      <c r="F1095" s="627"/>
      <c r="G1095" s="627"/>
      <c r="H1095" s="627"/>
      <c r="I1095" s="627"/>
      <c r="J1095" s="627"/>
      <c r="K1095" s="627"/>
      <c r="L1095" s="627"/>
      <c r="M1095" s="627"/>
      <c r="N1095" s="627"/>
      <c r="O1095" s="627"/>
      <c r="P1095" s="719"/>
      <c r="Q1095" s="719"/>
    </row>
    <row r="1096" spans="1:17" hidden="1" x14ac:dyDescent="0.35">
      <c r="A1096" s="988">
        <f>IF(C1096="x",1,0)</f>
        <v>0</v>
      </c>
      <c r="B1096" s="200">
        <v>6</v>
      </c>
      <c r="C1096" s="626"/>
      <c r="D1096" s="627">
        <f>LAJES!D181</f>
        <v>0</v>
      </c>
      <c r="E1096" s="627"/>
      <c r="F1096" s="627"/>
      <c r="G1096" s="627"/>
      <c r="H1096" s="627">
        <f>LAJES!H181</f>
        <v>0</v>
      </c>
      <c r="I1096" s="627">
        <f>LAJES!I181</f>
        <v>0</v>
      </c>
      <c r="J1096" s="627"/>
      <c r="K1096" s="627"/>
      <c r="L1096" s="627"/>
      <c r="M1096" s="627"/>
      <c r="N1096" s="627"/>
      <c r="O1096" s="627"/>
      <c r="P1096" s="719"/>
      <c r="Q1096" s="719"/>
    </row>
    <row r="1097" spans="1:17" hidden="1" x14ac:dyDescent="0.35">
      <c r="A1097" s="988"/>
      <c r="B1097" s="200"/>
      <c r="C1097" s="195">
        <f>IF(C1096="X","Y",0)</f>
        <v>0</v>
      </c>
      <c r="D1097" s="627"/>
      <c r="E1097" s="627">
        <f>LAJES!E182</f>
        <v>0</v>
      </c>
      <c r="F1097" s="627">
        <f>LAJES!F182</f>
        <v>0</v>
      </c>
      <c r="G1097" s="627"/>
      <c r="H1097" s="627"/>
      <c r="I1097" s="627"/>
      <c r="J1097" s="627"/>
      <c r="K1097" s="627"/>
      <c r="L1097" s="627"/>
      <c r="M1097" s="627"/>
      <c r="N1097" s="627"/>
      <c r="O1097" s="627"/>
      <c r="P1097" s="719"/>
      <c r="Q1097" s="719"/>
    </row>
    <row r="1098" spans="1:17" hidden="1" x14ac:dyDescent="0.35">
      <c r="A1098" s="988"/>
      <c r="B1098" s="200"/>
      <c r="C1098" s="627"/>
      <c r="D1098" s="627"/>
      <c r="E1098" s="627"/>
      <c r="F1098" s="627"/>
      <c r="G1098" s="627"/>
      <c r="H1098" s="627"/>
      <c r="I1098" s="627"/>
      <c r="J1098" s="627"/>
      <c r="K1098" s="627"/>
      <c r="L1098" s="627"/>
      <c r="M1098" s="627"/>
      <c r="N1098" s="627"/>
      <c r="O1098" s="627"/>
      <c r="P1098" s="719"/>
      <c r="Q1098" s="719"/>
    </row>
    <row r="1099" spans="1:17" hidden="1" x14ac:dyDescent="0.35">
      <c r="A1099" s="988">
        <f>IF(C1099="x",1,0)</f>
        <v>0</v>
      </c>
      <c r="B1099" s="200">
        <v>7</v>
      </c>
      <c r="C1099" s="626"/>
      <c r="D1099" s="627">
        <f>LAJES!D184</f>
        <v>0</v>
      </c>
      <c r="E1099" s="627"/>
      <c r="F1099" s="627"/>
      <c r="G1099" s="627"/>
      <c r="H1099" s="627">
        <f>LAJES!H184</f>
        <v>0</v>
      </c>
      <c r="I1099" s="627">
        <f>LAJES!I184</f>
        <v>0</v>
      </c>
      <c r="J1099" s="627"/>
      <c r="K1099" s="627"/>
      <c r="L1099" s="627"/>
      <c r="M1099" s="627"/>
      <c r="N1099" s="627"/>
      <c r="O1099" s="627"/>
      <c r="P1099" s="719"/>
      <c r="Q1099" s="719"/>
    </row>
    <row r="1100" spans="1:17" hidden="1" x14ac:dyDescent="0.35">
      <c r="A1100" s="988"/>
      <c r="B1100" s="200"/>
      <c r="C1100" s="195">
        <f>IF(C1099="X","Y",0)</f>
        <v>0</v>
      </c>
      <c r="D1100" s="627"/>
      <c r="E1100" s="627">
        <f>LAJES!E185</f>
        <v>0</v>
      </c>
      <c r="F1100" s="627">
        <f>LAJES!F185</f>
        <v>0</v>
      </c>
      <c r="G1100" s="627"/>
      <c r="H1100" s="627"/>
      <c r="I1100" s="627"/>
      <c r="J1100" s="627"/>
      <c r="K1100" s="627"/>
      <c r="L1100" s="627"/>
      <c r="M1100" s="627"/>
      <c r="N1100" s="627"/>
      <c r="O1100" s="627"/>
      <c r="P1100" s="719"/>
      <c r="Q1100" s="719"/>
    </row>
    <row r="1101" spans="1:17" hidden="1" x14ac:dyDescent="0.35">
      <c r="A1101" s="988"/>
      <c r="B1101" s="200"/>
      <c r="C1101" s="627"/>
      <c r="D1101" s="627"/>
      <c r="E1101" s="627"/>
      <c r="F1101" s="627"/>
      <c r="G1101" s="627"/>
      <c r="H1101" s="627"/>
      <c r="I1101" s="627"/>
      <c r="J1101" s="627"/>
      <c r="K1101" s="627"/>
      <c r="L1101" s="627"/>
      <c r="M1101" s="627"/>
      <c r="N1101" s="627"/>
      <c r="O1101" s="627"/>
      <c r="P1101" s="719"/>
      <c r="Q1101" s="719"/>
    </row>
    <row r="1102" spans="1:17" hidden="1" x14ac:dyDescent="0.35">
      <c r="A1102" s="988">
        <f>IF(C1102="x",1,0)</f>
        <v>0</v>
      </c>
      <c r="B1102" s="200">
        <v>8</v>
      </c>
      <c r="C1102" s="626"/>
      <c r="D1102" s="627">
        <f>LAJES!D187</f>
        <v>0</v>
      </c>
      <c r="E1102" s="627"/>
      <c r="F1102" s="627"/>
      <c r="G1102" s="627"/>
      <c r="H1102" s="627">
        <f>LAJES!H187</f>
        <v>0</v>
      </c>
      <c r="I1102" s="627">
        <f>LAJES!I187</f>
        <v>0</v>
      </c>
      <c r="J1102" s="627"/>
      <c r="K1102" s="627"/>
      <c r="L1102" s="627"/>
      <c r="M1102" s="627"/>
      <c r="N1102" s="627"/>
      <c r="O1102" s="627"/>
      <c r="P1102" s="719"/>
      <c r="Q1102" s="719"/>
    </row>
    <row r="1103" spans="1:17" hidden="1" x14ac:dyDescent="0.35">
      <c r="A1103" s="988"/>
      <c r="B1103" s="200"/>
      <c r="C1103" s="195">
        <f>IF(C1102="X","Y",0)</f>
        <v>0</v>
      </c>
      <c r="D1103" s="627"/>
      <c r="E1103" s="627">
        <f>LAJES!E188</f>
        <v>0</v>
      </c>
      <c r="F1103" s="627">
        <f>LAJES!F188</f>
        <v>0</v>
      </c>
      <c r="G1103" s="627"/>
      <c r="H1103" s="627"/>
      <c r="I1103" s="627"/>
      <c r="J1103" s="627"/>
      <c r="K1103" s="627"/>
      <c r="L1103" s="627"/>
      <c r="M1103" s="627"/>
      <c r="N1103" s="627"/>
      <c r="O1103" s="627"/>
      <c r="P1103" s="719"/>
      <c r="Q1103" s="719"/>
    </row>
    <row r="1104" spans="1:17" hidden="1" x14ac:dyDescent="0.35">
      <c r="A1104" s="988"/>
      <c r="B1104" s="200"/>
      <c r="C1104" s="627"/>
      <c r="D1104" s="627"/>
      <c r="E1104" s="627"/>
      <c r="F1104" s="627"/>
      <c r="G1104" s="627"/>
      <c r="H1104" s="627"/>
      <c r="I1104" s="627"/>
      <c r="J1104" s="627"/>
      <c r="K1104" s="627"/>
      <c r="L1104" s="627"/>
      <c r="M1104" s="627"/>
      <c r="N1104" s="627"/>
      <c r="O1104" s="627"/>
      <c r="P1104" s="719"/>
      <c r="Q1104" s="719"/>
    </row>
    <row r="1105" spans="1:17" hidden="1" x14ac:dyDescent="0.35">
      <c r="A1105" s="988">
        <f>IF(C1105="x",1,0)</f>
        <v>0</v>
      </c>
      <c r="B1105" s="200">
        <v>9</v>
      </c>
      <c r="C1105" s="626"/>
      <c r="D1105" s="627">
        <f>LAJES!D190</f>
        <v>0</v>
      </c>
      <c r="E1105" s="627"/>
      <c r="F1105" s="627"/>
      <c r="G1105" s="627"/>
      <c r="H1105" s="627">
        <f>LAJES!H190</f>
        <v>0</v>
      </c>
      <c r="I1105" s="627">
        <f>LAJES!I190</f>
        <v>0</v>
      </c>
      <c r="J1105" s="627"/>
      <c r="K1105" s="627"/>
      <c r="L1105" s="627"/>
      <c r="M1105" s="627"/>
      <c r="N1105" s="627"/>
      <c r="O1105" s="627"/>
      <c r="P1105" s="719"/>
      <c r="Q1105" s="719"/>
    </row>
    <row r="1106" spans="1:17" hidden="1" x14ac:dyDescent="0.35">
      <c r="A1106" s="988"/>
      <c r="B1106" s="200"/>
      <c r="C1106" s="195">
        <f>IF(C1105="X","Y",0)</f>
        <v>0</v>
      </c>
      <c r="D1106" s="627"/>
      <c r="E1106" s="627">
        <f>LAJES!E191</f>
        <v>0</v>
      </c>
      <c r="F1106" s="627">
        <f>LAJES!F191</f>
        <v>0</v>
      </c>
      <c r="G1106" s="627"/>
      <c r="H1106" s="627"/>
      <c r="I1106" s="627"/>
      <c r="J1106" s="627"/>
      <c r="K1106" s="627"/>
      <c r="L1106" s="627"/>
      <c r="M1106" s="627"/>
      <c r="N1106" s="627"/>
      <c r="O1106" s="627"/>
      <c r="P1106" s="719"/>
      <c r="Q1106" s="719"/>
    </row>
    <row r="1107" spans="1:17" hidden="1" x14ac:dyDescent="0.35">
      <c r="A1107" s="988"/>
      <c r="B1107" s="200"/>
      <c r="C1107" s="627"/>
      <c r="D1107" s="627"/>
      <c r="E1107" s="627"/>
      <c r="F1107" s="627"/>
      <c r="G1107" s="627"/>
      <c r="H1107" s="627"/>
      <c r="I1107" s="627"/>
      <c r="J1107" s="627"/>
      <c r="K1107" s="627"/>
      <c r="L1107" s="627"/>
      <c r="M1107" s="627"/>
      <c r="N1107" s="627"/>
      <c r="O1107" s="627"/>
      <c r="P1107" s="719"/>
      <c r="Q1107" s="719"/>
    </row>
    <row r="1108" spans="1:17" hidden="1" x14ac:dyDescent="0.35">
      <c r="A1108" s="988">
        <f>IF(C1108="x",1,0)</f>
        <v>0</v>
      </c>
      <c r="B1108" s="200">
        <v>10</v>
      </c>
      <c r="C1108" s="626"/>
      <c r="D1108" s="627">
        <f>LAJES!D193</f>
        <v>0</v>
      </c>
      <c r="E1108" s="627"/>
      <c r="F1108" s="627"/>
      <c r="G1108" s="627"/>
      <c r="H1108" s="627">
        <f>LAJES!H193</f>
        <v>0</v>
      </c>
      <c r="I1108" s="627">
        <f>LAJES!I193</f>
        <v>0</v>
      </c>
      <c r="J1108" s="627"/>
      <c r="K1108" s="627"/>
      <c r="L1108" s="627"/>
      <c r="M1108" s="627"/>
      <c r="N1108" s="627"/>
      <c r="O1108" s="627"/>
      <c r="P1108" s="719"/>
      <c r="Q1108" s="719"/>
    </row>
    <row r="1109" spans="1:17" hidden="1" x14ac:dyDescent="0.35">
      <c r="A1109" s="988"/>
      <c r="B1109" s="200"/>
      <c r="C1109" s="195">
        <f>IF(C1108="X","Y",0)</f>
        <v>0</v>
      </c>
      <c r="D1109" s="627"/>
      <c r="E1109" s="627">
        <f>LAJES!E194</f>
        <v>0</v>
      </c>
      <c r="F1109" s="627">
        <f>LAJES!F194</f>
        <v>0</v>
      </c>
      <c r="G1109" s="627"/>
      <c r="H1109" s="627"/>
      <c r="I1109" s="627"/>
      <c r="J1109" s="627"/>
      <c r="K1109" s="627"/>
      <c r="L1109" s="627"/>
      <c r="M1109" s="627"/>
      <c r="N1109" s="627"/>
      <c r="O1109" s="627"/>
      <c r="P1109" s="719"/>
      <c r="Q1109" s="719"/>
    </row>
    <row r="1110" spans="1:17" hidden="1" x14ac:dyDescent="0.35">
      <c r="A1110" s="988"/>
      <c r="B1110" s="200"/>
      <c r="C1110" s="195"/>
      <c r="D1110" s="627"/>
      <c r="E1110" s="627"/>
      <c r="F1110" s="627"/>
      <c r="G1110" s="627"/>
      <c r="H1110" s="627"/>
      <c r="I1110" s="627"/>
      <c r="J1110" s="627"/>
      <c r="K1110" s="627"/>
      <c r="L1110" s="627"/>
      <c r="M1110" s="627"/>
      <c r="N1110" s="627"/>
      <c r="O1110" s="627"/>
      <c r="P1110" s="719"/>
      <c r="Q1110" s="719"/>
    </row>
    <row r="1111" spans="1:17" hidden="1" x14ac:dyDescent="0.35">
      <c r="A1111" s="988">
        <f>IF(C1111="x",1,0)</f>
        <v>0</v>
      </c>
      <c r="B1111" s="200">
        <v>10</v>
      </c>
      <c r="C1111" s="626"/>
      <c r="D1111" s="627">
        <f>LAJES!D196</f>
        <v>0</v>
      </c>
      <c r="E1111" s="627"/>
      <c r="F1111" s="627"/>
      <c r="G1111" s="627"/>
      <c r="H1111" s="627">
        <f>LAJES!H196</f>
        <v>0</v>
      </c>
      <c r="I1111" s="627">
        <f>LAJES!I196</f>
        <v>0</v>
      </c>
      <c r="J1111" s="627"/>
      <c r="K1111" s="627"/>
      <c r="L1111" s="627"/>
      <c r="M1111" s="627"/>
      <c r="N1111" s="627"/>
      <c r="O1111" s="627"/>
      <c r="P1111" s="719"/>
      <c r="Q1111" s="719"/>
    </row>
    <row r="1112" spans="1:17" hidden="1" x14ac:dyDescent="0.35">
      <c r="A1112" s="988"/>
      <c r="B1112" s="200"/>
      <c r="C1112" s="195">
        <f>IF(C1111="X","Y",0)</f>
        <v>0</v>
      </c>
      <c r="D1112" s="627"/>
      <c r="E1112" s="627">
        <f>LAJES!E197</f>
        <v>0</v>
      </c>
      <c r="F1112" s="627">
        <f>LAJES!F197</f>
        <v>0</v>
      </c>
      <c r="G1112" s="627"/>
      <c r="H1112" s="627"/>
      <c r="I1112" s="627"/>
      <c r="J1112" s="627"/>
      <c r="K1112" s="627"/>
      <c r="L1112" s="627"/>
      <c r="M1112" s="627"/>
      <c r="N1112" s="627"/>
      <c r="O1112" s="627"/>
      <c r="P1112" s="719"/>
      <c r="Q1112" s="719"/>
    </row>
    <row r="1113" spans="1:17" hidden="1" x14ac:dyDescent="0.35">
      <c r="A1113" s="988"/>
      <c r="B1113" s="200"/>
      <c r="C1113" s="195"/>
      <c r="D1113" s="627"/>
      <c r="E1113" s="627"/>
      <c r="F1113" s="627"/>
      <c r="G1113" s="627"/>
      <c r="H1113" s="627"/>
      <c r="I1113" s="627"/>
      <c r="J1113" s="627"/>
      <c r="K1113" s="627"/>
      <c r="L1113" s="627"/>
      <c r="M1113" s="627"/>
      <c r="N1113" s="627"/>
      <c r="O1113" s="627"/>
      <c r="P1113" s="719"/>
      <c r="Q1113" s="719"/>
    </row>
    <row r="1114" spans="1:17" hidden="1" x14ac:dyDescent="0.35">
      <c r="A1114" s="988">
        <f>IF(C1114="x",1,0)</f>
        <v>0</v>
      </c>
      <c r="B1114" s="200">
        <v>10</v>
      </c>
      <c r="C1114" s="626"/>
      <c r="D1114" s="627">
        <f>LAJES!D199</f>
        <v>0</v>
      </c>
      <c r="E1114" s="627"/>
      <c r="F1114" s="627"/>
      <c r="G1114" s="627"/>
      <c r="H1114" s="627">
        <f>LAJES!H199</f>
        <v>0</v>
      </c>
      <c r="I1114" s="627">
        <f>LAJES!I199</f>
        <v>0</v>
      </c>
      <c r="J1114" s="627"/>
      <c r="K1114" s="627"/>
      <c r="L1114" s="627"/>
      <c r="M1114" s="627"/>
      <c r="N1114" s="627"/>
      <c r="O1114" s="627"/>
      <c r="P1114" s="719"/>
      <c r="Q1114" s="719"/>
    </row>
    <row r="1115" spans="1:17" hidden="1" x14ac:dyDescent="0.35">
      <c r="A1115" s="988"/>
      <c r="B1115" s="200"/>
      <c r="C1115" s="195">
        <f>IF(C1114="X","Y",0)</f>
        <v>0</v>
      </c>
      <c r="D1115" s="627"/>
      <c r="E1115" s="627">
        <f>LAJES!E200</f>
        <v>0</v>
      </c>
      <c r="F1115" s="627">
        <f>LAJES!F200</f>
        <v>0</v>
      </c>
      <c r="G1115" s="627"/>
      <c r="H1115" s="627"/>
      <c r="I1115" s="627"/>
      <c r="J1115" s="627"/>
      <c r="K1115" s="627"/>
      <c r="L1115" s="627"/>
      <c r="M1115" s="627"/>
      <c r="N1115" s="627"/>
      <c r="O1115" s="627"/>
      <c r="P1115" s="719"/>
      <c r="Q1115" s="719"/>
    </row>
    <row r="1116" spans="1:17" hidden="1" x14ac:dyDescent="0.35">
      <c r="A1116" s="988"/>
      <c r="B1116" s="200"/>
      <c r="C1116" s="195"/>
      <c r="D1116" s="627"/>
      <c r="E1116" s="627"/>
      <c r="F1116" s="627"/>
      <c r="G1116" s="627"/>
      <c r="H1116" s="627"/>
      <c r="I1116" s="627"/>
      <c r="J1116" s="627"/>
      <c r="K1116" s="627"/>
      <c r="L1116" s="627"/>
      <c r="M1116" s="627"/>
      <c r="N1116" s="627"/>
      <c r="O1116" s="627"/>
      <c r="P1116" s="719"/>
      <c r="Q1116" s="719"/>
    </row>
    <row r="1117" spans="1:17" hidden="1" x14ac:dyDescent="0.35">
      <c r="A1117" s="988">
        <f>IF(C1117="x",1,0)</f>
        <v>0</v>
      </c>
      <c r="B1117" s="200">
        <v>10</v>
      </c>
      <c r="C1117" s="626"/>
      <c r="D1117" s="627">
        <f>LAJES!D202</f>
        <v>0</v>
      </c>
      <c r="E1117" s="627"/>
      <c r="F1117" s="627"/>
      <c r="G1117" s="627"/>
      <c r="H1117" s="627">
        <f>LAJES!H202</f>
        <v>0</v>
      </c>
      <c r="I1117" s="627">
        <f>LAJES!I202</f>
        <v>0</v>
      </c>
      <c r="J1117" s="627"/>
      <c r="K1117" s="627"/>
      <c r="L1117" s="627"/>
      <c r="M1117" s="627"/>
      <c r="N1117" s="627"/>
      <c r="O1117" s="627"/>
      <c r="P1117" s="719"/>
      <c r="Q1117" s="719"/>
    </row>
    <row r="1118" spans="1:17" hidden="1" x14ac:dyDescent="0.35">
      <c r="A1118" s="988"/>
      <c r="B1118" s="200"/>
      <c r="C1118" s="195">
        <f>IF(C1117="X","Y",0)</f>
        <v>0</v>
      </c>
      <c r="D1118" s="627"/>
      <c r="E1118" s="627">
        <f>LAJES!E203</f>
        <v>0</v>
      </c>
      <c r="F1118" s="627">
        <f>LAJES!F203</f>
        <v>0</v>
      </c>
      <c r="G1118" s="627"/>
      <c r="H1118" s="627"/>
      <c r="I1118" s="627"/>
      <c r="J1118" s="627"/>
      <c r="K1118" s="627"/>
      <c r="L1118" s="627"/>
      <c r="M1118" s="627"/>
      <c r="N1118" s="627"/>
      <c r="O1118" s="627"/>
      <c r="P1118" s="719"/>
      <c r="Q1118" s="719"/>
    </row>
    <row r="1119" spans="1:17" hidden="1" x14ac:dyDescent="0.35">
      <c r="A1119" s="988"/>
      <c r="B1119" s="200"/>
      <c r="C1119" s="195"/>
      <c r="D1119" s="627"/>
      <c r="E1119" s="627"/>
      <c r="F1119" s="627"/>
      <c r="G1119" s="627"/>
      <c r="H1119" s="627"/>
      <c r="I1119" s="627"/>
      <c r="J1119" s="627"/>
      <c r="K1119" s="627"/>
      <c r="L1119" s="627"/>
      <c r="M1119" s="627"/>
      <c r="N1119" s="627"/>
      <c r="O1119" s="627"/>
      <c r="P1119" s="719"/>
      <c r="Q1119" s="719"/>
    </row>
    <row r="1120" spans="1:17" hidden="1" x14ac:dyDescent="0.35">
      <c r="A1120" s="988">
        <f>IF(C1120="x",1,0)</f>
        <v>0</v>
      </c>
      <c r="B1120" s="200">
        <v>10</v>
      </c>
      <c r="C1120" s="626"/>
      <c r="D1120" s="627">
        <f>LAJES!D205</f>
        <v>0</v>
      </c>
      <c r="E1120" s="627"/>
      <c r="F1120" s="627"/>
      <c r="G1120" s="627"/>
      <c r="H1120" s="627">
        <f>LAJES!H205</f>
        <v>0</v>
      </c>
      <c r="I1120" s="627">
        <f>LAJES!I205</f>
        <v>0</v>
      </c>
      <c r="J1120" s="627"/>
      <c r="K1120" s="627"/>
      <c r="L1120" s="627"/>
      <c r="M1120" s="627"/>
      <c r="N1120" s="627"/>
      <c r="O1120" s="627"/>
      <c r="P1120" s="719"/>
      <c r="Q1120" s="719"/>
    </row>
    <row r="1121" spans="1:17" hidden="1" x14ac:dyDescent="0.35">
      <c r="A1121" s="988"/>
      <c r="B1121" s="200"/>
      <c r="C1121" s="195">
        <f>IF(C1120="X","Y",0)</f>
        <v>0</v>
      </c>
      <c r="D1121" s="627"/>
      <c r="E1121" s="627">
        <f>LAJES!E206</f>
        <v>0</v>
      </c>
      <c r="F1121" s="627">
        <f>LAJES!F206</f>
        <v>0</v>
      </c>
      <c r="G1121" s="627"/>
      <c r="H1121" s="627"/>
      <c r="I1121" s="627"/>
      <c r="J1121" s="627"/>
      <c r="K1121" s="627"/>
      <c r="L1121" s="627"/>
      <c r="M1121" s="627"/>
      <c r="N1121" s="627"/>
      <c r="O1121" s="627"/>
      <c r="P1121" s="719"/>
      <c r="Q1121" s="719"/>
    </row>
    <row r="1122" spans="1:17" hidden="1" x14ac:dyDescent="0.35">
      <c r="A1122" s="988"/>
      <c r="B1122" s="200"/>
      <c r="C1122" s="195"/>
      <c r="D1122" s="627"/>
      <c r="E1122" s="627"/>
      <c r="F1122" s="627"/>
      <c r="G1122" s="627"/>
      <c r="H1122" s="627"/>
      <c r="I1122" s="627"/>
      <c r="J1122" s="627"/>
      <c r="K1122" s="627"/>
      <c r="L1122" s="627"/>
      <c r="M1122" s="627"/>
      <c r="N1122" s="627"/>
      <c r="O1122" s="627"/>
      <c r="P1122" s="719"/>
      <c r="Q1122" s="719"/>
    </row>
    <row r="1123" spans="1:17" hidden="1" x14ac:dyDescent="0.35">
      <c r="A1123" s="988">
        <f>IF(C1123="x",1,0)</f>
        <v>0</v>
      </c>
      <c r="B1123" s="200">
        <v>10</v>
      </c>
      <c r="C1123" s="626"/>
      <c r="D1123" s="627">
        <f>LAJES!D208</f>
        <v>0</v>
      </c>
      <c r="E1123" s="627"/>
      <c r="F1123" s="627"/>
      <c r="G1123" s="627"/>
      <c r="H1123" s="627">
        <f>LAJES!H208</f>
        <v>0</v>
      </c>
      <c r="I1123" s="627">
        <f>LAJES!I208</f>
        <v>0</v>
      </c>
      <c r="J1123" s="627"/>
      <c r="K1123" s="627"/>
      <c r="L1123" s="627"/>
      <c r="M1123" s="627"/>
      <c r="N1123" s="627"/>
      <c r="O1123" s="627"/>
      <c r="P1123" s="719"/>
      <c r="Q1123" s="719"/>
    </row>
    <row r="1124" spans="1:17" hidden="1" x14ac:dyDescent="0.35">
      <c r="A1124" s="988"/>
      <c r="B1124" s="200"/>
      <c r="C1124" s="195">
        <f>IF(C1123="X","Y",0)</f>
        <v>0</v>
      </c>
      <c r="D1124" s="627"/>
      <c r="E1124" s="627">
        <f>LAJES!E209</f>
        <v>0</v>
      </c>
      <c r="F1124" s="627">
        <f>LAJES!F209</f>
        <v>0</v>
      </c>
      <c r="G1124" s="627"/>
      <c r="H1124" s="627"/>
      <c r="I1124" s="627"/>
      <c r="J1124" s="627"/>
      <c r="K1124" s="627"/>
      <c r="L1124" s="627"/>
      <c r="M1124" s="627"/>
      <c r="N1124" s="627"/>
      <c r="O1124" s="627"/>
      <c r="P1124" s="719"/>
      <c r="Q1124" s="719"/>
    </row>
    <row r="1125" spans="1:17" hidden="1" x14ac:dyDescent="0.35">
      <c r="A1125" s="988"/>
      <c r="B1125" s="201"/>
      <c r="C1125" s="198">
        <f>IF(D1260="X","Y",0)</f>
        <v>0</v>
      </c>
      <c r="D1125" s="749"/>
      <c r="E1125" s="749"/>
      <c r="F1125" s="749"/>
      <c r="G1125" s="749"/>
      <c r="H1125" s="749"/>
      <c r="I1125" s="749"/>
      <c r="J1125" s="749"/>
      <c r="K1125" s="749"/>
      <c r="L1125" s="749"/>
      <c r="M1125" s="749"/>
      <c r="N1125" s="749"/>
      <c r="O1125" s="749"/>
      <c r="P1125" s="748"/>
      <c r="Q1125" s="719"/>
    </row>
    <row r="1126" spans="1:17" ht="12.6" hidden="1" customHeight="1" x14ac:dyDescent="0.35">
      <c r="A1126" s="988"/>
      <c r="B1126" s="646"/>
      <c r="C1126" s="646"/>
      <c r="D1126" s="646"/>
      <c r="E1126" s="646"/>
      <c r="F1126" s="646"/>
      <c r="G1126" s="646"/>
      <c r="H1126" s="646"/>
      <c r="I1126" s="646"/>
      <c r="J1126" s="646"/>
      <c r="K1126" s="646"/>
      <c r="L1126" s="646"/>
      <c r="M1126" s="646"/>
      <c r="N1126" s="646"/>
      <c r="O1126" s="646"/>
      <c r="P1126" s="646"/>
      <c r="Q1126" s="719"/>
    </row>
    <row r="1127" spans="1:17" ht="13.15" hidden="1" x14ac:dyDescent="0.4">
      <c r="A1127" s="988"/>
      <c r="B1127" s="636"/>
      <c r="C1127" s="337" t="s">
        <v>712</v>
      </c>
      <c r="D1127" s="652"/>
      <c r="E1127" s="652"/>
      <c r="F1127" s="652"/>
      <c r="G1127" s="652" t="s">
        <v>320</v>
      </c>
      <c r="H1127" s="652"/>
      <c r="I1127" s="652"/>
      <c r="J1127" s="1057">
        <f>E453</f>
        <v>1000</v>
      </c>
      <c r="K1127" s="652"/>
      <c r="L1127" s="652" t="s">
        <v>17</v>
      </c>
      <c r="M1127" s="652"/>
      <c r="N1127" s="652"/>
      <c r="O1127" s="652"/>
      <c r="P1127" s="987"/>
      <c r="Q1127" s="719"/>
    </row>
    <row r="1128" spans="1:17" ht="12.6" hidden="1" customHeight="1" x14ac:dyDescent="0.35">
      <c r="A1128" s="988"/>
      <c r="B1128" s="988"/>
      <c r="C1128" s="627"/>
      <c r="D1128" s="627"/>
      <c r="E1128" s="627"/>
      <c r="F1128" s="627"/>
      <c r="G1128" s="627"/>
      <c r="H1128" s="627"/>
      <c r="I1128" s="627"/>
      <c r="J1128" s="627"/>
      <c r="K1128" s="627"/>
      <c r="L1128" s="627"/>
      <c r="M1128" s="627"/>
      <c r="N1128" s="627"/>
      <c r="O1128" s="627"/>
      <c r="P1128" s="719"/>
      <c r="Q1128" s="719"/>
    </row>
    <row r="1129" spans="1:17" ht="12.6" hidden="1" customHeight="1" x14ac:dyDescent="0.35">
      <c r="A1129" s="988"/>
      <c r="B1129" s="988"/>
      <c r="C1129" s="627"/>
      <c r="D1129" s="627"/>
      <c r="E1129" s="627"/>
      <c r="F1129" s="627"/>
      <c r="G1129" s="627"/>
      <c r="H1129" s="627"/>
      <c r="I1129" s="627"/>
      <c r="J1129" s="627"/>
      <c r="K1129" s="627"/>
      <c r="L1129" s="627"/>
      <c r="M1129" s="627"/>
      <c r="N1129" s="627"/>
      <c r="O1129" s="627"/>
      <c r="P1129" s="719"/>
      <c r="Q1129" s="719"/>
    </row>
    <row r="1130" spans="1:17" hidden="1" x14ac:dyDescent="0.35">
      <c r="A1130" s="988"/>
      <c r="B1130" s="988"/>
      <c r="C1130" s="183" t="s">
        <v>711</v>
      </c>
      <c r="D1130" s="627"/>
      <c r="E1130" s="627"/>
      <c r="F1130" s="627"/>
      <c r="G1130" s="627"/>
      <c r="H1130" s="627"/>
      <c r="I1130" s="627"/>
      <c r="J1130" s="627"/>
      <c r="K1130" s="627"/>
      <c r="L1130" s="627"/>
      <c r="M1130" s="627"/>
      <c r="N1130" s="627"/>
      <c r="O1130" s="627"/>
      <c r="P1130" s="719"/>
      <c r="Q1130" s="719"/>
    </row>
    <row r="1131" spans="1:17" hidden="1" x14ac:dyDescent="0.35">
      <c r="A1131" s="988"/>
      <c r="B1131" s="988"/>
      <c r="C1131" s="627"/>
      <c r="D1131" s="627"/>
      <c r="E1131" s="627"/>
      <c r="F1131" s="627"/>
      <c r="G1131" s="627"/>
      <c r="H1131" s="627"/>
      <c r="I1131" s="627"/>
      <c r="J1131" s="627"/>
      <c r="K1131" s="627"/>
      <c r="L1131" s="627"/>
      <c r="M1131" s="627"/>
      <c r="N1131" s="627"/>
      <c r="O1131" s="627"/>
      <c r="P1131" s="719"/>
      <c r="Q1131" s="719"/>
    </row>
    <row r="1132" spans="1:17" hidden="1" x14ac:dyDescent="0.35">
      <c r="A1132" s="988">
        <f>IF(C1132="x",1,0)</f>
        <v>0</v>
      </c>
      <c r="B1132" s="200">
        <v>1</v>
      </c>
      <c r="C1132" s="626"/>
      <c r="D1132" s="627">
        <f ca="1">LAJES!D217</f>
        <v>0</v>
      </c>
      <c r="E1132" s="627"/>
      <c r="F1132" s="627"/>
      <c r="G1132" s="627"/>
      <c r="H1132" s="627">
        <f ca="1">LAJES!H217</f>
        <v>0</v>
      </c>
      <c r="I1132" s="627">
        <f ca="1">LAJES!I217</f>
        <v>0</v>
      </c>
      <c r="J1132" s="627"/>
      <c r="K1132" s="627"/>
      <c r="L1132" s="627"/>
      <c r="M1132" s="627"/>
      <c r="N1132" s="627"/>
      <c r="O1132" s="627"/>
      <c r="P1132" s="719"/>
      <c r="Q1132" s="719"/>
    </row>
    <row r="1133" spans="1:17" hidden="1" x14ac:dyDescent="0.35">
      <c r="A1133" s="988"/>
      <c r="B1133" s="200"/>
      <c r="C1133" s="195">
        <f>IF(C1132="X","Y",0)</f>
        <v>0</v>
      </c>
      <c r="D1133" s="761">
        <f ca="1">E1082</f>
        <v>0</v>
      </c>
      <c r="E1133" s="627"/>
      <c r="F1133" s="627"/>
      <c r="G1133" s="627"/>
      <c r="H1133" s="627">
        <f ca="1">LAJES!E218</f>
        <v>0</v>
      </c>
      <c r="I1133" s="627">
        <f ca="1">LAJES!F218</f>
        <v>0</v>
      </c>
      <c r="J1133" s="627"/>
      <c r="K1133" s="627"/>
      <c r="L1133" s="627"/>
      <c r="M1133" s="627"/>
      <c r="N1133" s="627"/>
      <c r="O1133" s="627"/>
      <c r="P1133" s="719"/>
      <c r="Q1133" s="719"/>
    </row>
    <row r="1134" spans="1:17" hidden="1" x14ac:dyDescent="0.35">
      <c r="A1134" s="988"/>
      <c r="B1134" s="200"/>
      <c r="C1134" s="627"/>
      <c r="D1134" s="627"/>
      <c r="E1134" s="627"/>
      <c r="F1134" s="627"/>
      <c r="G1134" s="627"/>
      <c r="H1134" s="627"/>
      <c r="I1134" s="627"/>
      <c r="J1134" s="627"/>
      <c r="K1134" s="627"/>
      <c r="L1134" s="627"/>
      <c r="M1134" s="627"/>
      <c r="N1134" s="627"/>
      <c r="O1134" s="627"/>
      <c r="P1134" s="719"/>
      <c r="Q1134" s="719"/>
    </row>
    <row r="1135" spans="1:17" hidden="1" x14ac:dyDescent="0.35">
      <c r="A1135" s="988">
        <f>IF(C1135="x",1,0)</f>
        <v>0</v>
      </c>
      <c r="B1135" s="200">
        <v>2</v>
      </c>
      <c r="C1135" s="626"/>
      <c r="D1135" s="627">
        <f ca="1">LAJES!D220</f>
        <v>0</v>
      </c>
      <c r="E1135" s="627"/>
      <c r="F1135" s="627"/>
      <c r="G1135" s="627"/>
      <c r="H1135" s="627">
        <f ca="1">LAJES!H220</f>
        <v>0</v>
      </c>
      <c r="I1135" s="627">
        <f ca="1">LAJES!I220</f>
        <v>0</v>
      </c>
      <c r="J1135" s="627"/>
      <c r="K1135" s="627"/>
      <c r="L1135" s="627"/>
      <c r="M1135" s="627"/>
      <c r="N1135" s="627"/>
      <c r="O1135" s="627"/>
      <c r="P1135" s="719"/>
      <c r="Q1135" s="719"/>
    </row>
    <row r="1136" spans="1:17" hidden="1" x14ac:dyDescent="0.35">
      <c r="A1136" s="988"/>
      <c r="B1136" s="200"/>
      <c r="C1136" s="195">
        <f>IF(C1135="X","Y",0)</f>
        <v>0</v>
      </c>
      <c r="D1136" s="761">
        <f ca="1">E1085</f>
        <v>0</v>
      </c>
      <c r="E1136" s="627"/>
      <c r="F1136" s="627"/>
      <c r="G1136" s="627"/>
      <c r="H1136" s="627">
        <f ca="1">LAJES!E221</f>
        <v>0</v>
      </c>
      <c r="I1136" s="627">
        <f ca="1">LAJES!F221</f>
        <v>0</v>
      </c>
      <c r="J1136" s="627"/>
      <c r="K1136" s="627"/>
      <c r="L1136" s="627"/>
      <c r="M1136" s="627"/>
      <c r="N1136" s="627"/>
      <c r="O1136" s="627"/>
      <c r="P1136" s="719"/>
      <c r="Q1136" s="719"/>
    </row>
    <row r="1137" spans="1:17" hidden="1" x14ac:dyDescent="0.35">
      <c r="A1137" s="988"/>
      <c r="B1137" s="200"/>
      <c r="C1137" s="627"/>
      <c r="D1137" s="627"/>
      <c r="E1137" s="627"/>
      <c r="F1137" s="627"/>
      <c r="G1137" s="627"/>
      <c r="H1137" s="627"/>
      <c r="I1137" s="627"/>
      <c r="J1137" s="627"/>
      <c r="K1137" s="627"/>
      <c r="L1137" s="627"/>
      <c r="M1137" s="627"/>
      <c r="N1137" s="627"/>
      <c r="O1137" s="627"/>
      <c r="P1137" s="719"/>
      <c r="Q1137" s="719"/>
    </row>
    <row r="1138" spans="1:17" hidden="1" x14ac:dyDescent="0.35">
      <c r="A1138" s="988">
        <f>IF(C1138="x",1,0)</f>
        <v>0</v>
      </c>
      <c r="B1138" s="200">
        <v>3</v>
      </c>
      <c r="C1138" s="626"/>
      <c r="D1138" s="627">
        <f ca="1">LAJES!D223</f>
        <v>0</v>
      </c>
      <c r="E1138" s="627"/>
      <c r="F1138" s="627"/>
      <c r="G1138" s="627"/>
      <c r="H1138" s="627">
        <f ca="1">LAJES!H223</f>
        <v>0</v>
      </c>
      <c r="I1138" s="627">
        <f ca="1">LAJES!I223</f>
        <v>0</v>
      </c>
      <c r="J1138" s="627"/>
      <c r="K1138" s="627"/>
      <c r="L1138" s="627"/>
      <c r="M1138" s="627"/>
      <c r="N1138" s="627"/>
      <c r="O1138" s="627"/>
      <c r="P1138" s="719"/>
      <c r="Q1138" s="719"/>
    </row>
    <row r="1139" spans="1:17" hidden="1" x14ac:dyDescent="0.35">
      <c r="A1139" s="988"/>
      <c r="B1139" s="200"/>
      <c r="C1139" s="195">
        <f>IF(C1138="X","Y",0)</f>
        <v>0</v>
      </c>
      <c r="D1139" s="761">
        <f ca="1">E1088</f>
        <v>0</v>
      </c>
      <c r="E1139" s="627"/>
      <c r="F1139" s="627"/>
      <c r="G1139" s="627"/>
      <c r="H1139" s="627">
        <f ca="1">LAJES!E224</f>
        <v>0</v>
      </c>
      <c r="I1139" s="627">
        <f ca="1">LAJES!F224</f>
        <v>0</v>
      </c>
      <c r="J1139" s="627"/>
      <c r="K1139" s="627"/>
      <c r="L1139" s="627"/>
      <c r="M1139" s="627"/>
      <c r="N1139" s="627"/>
      <c r="O1139" s="627"/>
      <c r="P1139" s="719"/>
      <c r="Q1139" s="719"/>
    </row>
    <row r="1140" spans="1:17" hidden="1" x14ac:dyDescent="0.35">
      <c r="A1140" s="988"/>
      <c r="B1140" s="200"/>
      <c r="C1140" s="627"/>
      <c r="D1140" s="627"/>
      <c r="E1140" s="627"/>
      <c r="F1140" s="627"/>
      <c r="G1140" s="627"/>
      <c r="H1140" s="627"/>
      <c r="I1140" s="627"/>
      <c r="J1140" s="627"/>
      <c r="K1140" s="627"/>
      <c r="L1140" s="627"/>
      <c r="M1140" s="627"/>
      <c r="N1140" s="627"/>
      <c r="O1140" s="627"/>
      <c r="P1140" s="719"/>
      <c r="Q1140" s="719"/>
    </row>
    <row r="1141" spans="1:17" hidden="1" x14ac:dyDescent="0.35">
      <c r="A1141" s="988">
        <f>IF(C1141="x",1,0)</f>
        <v>0</v>
      </c>
      <c r="B1141" s="200">
        <v>4</v>
      </c>
      <c r="C1141" s="626"/>
      <c r="D1141" s="627">
        <f ca="1">LAJES!D226</f>
        <v>0</v>
      </c>
      <c r="E1141" s="627"/>
      <c r="F1141" s="627"/>
      <c r="G1141" s="627"/>
      <c r="H1141" s="627">
        <f ca="1">LAJES!H226</f>
        <v>0</v>
      </c>
      <c r="I1141" s="627">
        <f ca="1">LAJES!I226</f>
        <v>0</v>
      </c>
      <c r="J1141" s="627"/>
      <c r="K1141" s="627"/>
      <c r="L1141" s="627"/>
      <c r="M1141" s="627"/>
      <c r="N1141" s="627"/>
      <c r="O1141" s="627"/>
      <c r="P1141" s="719"/>
      <c r="Q1141" s="719"/>
    </row>
    <row r="1142" spans="1:17" hidden="1" x14ac:dyDescent="0.35">
      <c r="A1142" s="988"/>
      <c r="B1142" s="200"/>
      <c r="C1142" s="195">
        <f>IF(C1141="X","Y",0)</f>
        <v>0</v>
      </c>
      <c r="D1142" s="761">
        <f ca="1">E1091</f>
        <v>0</v>
      </c>
      <c r="E1142" s="627"/>
      <c r="F1142" s="627"/>
      <c r="G1142" s="627"/>
      <c r="H1142" s="627">
        <f ca="1">LAJES!E227</f>
        <v>0</v>
      </c>
      <c r="I1142" s="627">
        <f ca="1">LAJES!F227</f>
        <v>0</v>
      </c>
      <c r="J1142" s="627"/>
      <c r="K1142" s="627"/>
      <c r="L1142" s="627"/>
      <c r="M1142" s="627"/>
      <c r="N1142" s="627"/>
      <c r="O1142" s="627"/>
      <c r="P1142" s="719"/>
      <c r="Q1142" s="719"/>
    </row>
    <row r="1143" spans="1:17" hidden="1" x14ac:dyDescent="0.35">
      <c r="A1143" s="988"/>
      <c r="B1143" s="200"/>
      <c r="C1143" s="627"/>
      <c r="D1143" s="627"/>
      <c r="E1143" s="627"/>
      <c r="F1143" s="627"/>
      <c r="G1143" s="627"/>
      <c r="H1143" s="627"/>
      <c r="I1143" s="627"/>
      <c r="J1143" s="627"/>
      <c r="K1143" s="627"/>
      <c r="L1143" s="627"/>
      <c r="M1143" s="627"/>
      <c r="N1143" s="627"/>
      <c r="O1143" s="627"/>
      <c r="P1143" s="719"/>
      <c r="Q1143" s="719"/>
    </row>
    <row r="1144" spans="1:17" hidden="1" x14ac:dyDescent="0.35">
      <c r="A1144" s="988">
        <f>IF(C1144="x",1,0)</f>
        <v>0</v>
      </c>
      <c r="B1144" s="200">
        <v>5</v>
      </c>
      <c r="C1144" s="626"/>
      <c r="D1144" s="627">
        <f ca="1">LAJES!D229</f>
        <v>0</v>
      </c>
      <c r="E1144" s="627"/>
      <c r="F1144" s="627"/>
      <c r="G1144" s="627"/>
      <c r="H1144" s="627">
        <f ca="1">LAJES!H229</f>
        <v>0</v>
      </c>
      <c r="I1144" s="627">
        <f ca="1">LAJES!I229</f>
        <v>0</v>
      </c>
      <c r="J1144" s="627"/>
      <c r="K1144" s="627"/>
      <c r="L1144" s="627"/>
      <c r="M1144" s="627"/>
      <c r="N1144" s="627"/>
      <c r="O1144" s="627"/>
      <c r="P1144" s="719"/>
      <c r="Q1144" s="719"/>
    </row>
    <row r="1145" spans="1:17" hidden="1" x14ac:dyDescent="0.35">
      <c r="A1145" s="988"/>
      <c r="B1145" s="200"/>
      <c r="C1145" s="195">
        <f>IF(C1144="X","Y",0)</f>
        <v>0</v>
      </c>
      <c r="D1145" s="761">
        <f ca="1">E1094</f>
        <v>0</v>
      </c>
      <c r="E1145" s="627"/>
      <c r="F1145" s="627"/>
      <c r="G1145" s="627"/>
      <c r="H1145" s="627">
        <f ca="1">LAJES!E230</f>
        <v>0</v>
      </c>
      <c r="I1145" s="627">
        <f ca="1">LAJES!F230</f>
        <v>0</v>
      </c>
      <c r="J1145" s="627"/>
      <c r="K1145" s="627"/>
      <c r="L1145" s="627"/>
      <c r="M1145" s="627"/>
      <c r="N1145" s="627"/>
      <c r="O1145" s="627"/>
      <c r="P1145" s="719"/>
      <c r="Q1145" s="719"/>
    </row>
    <row r="1146" spans="1:17" hidden="1" x14ac:dyDescent="0.35">
      <c r="A1146" s="988"/>
      <c r="B1146" s="200"/>
      <c r="C1146" s="627"/>
      <c r="D1146" s="627"/>
      <c r="E1146" s="627"/>
      <c r="F1146" s="627"/>
      <c r="G1146" s="627"/>
      <c r="H1146" s="627"/>
      <c r="I1146" s="627"/>
      <c r="J1146" s="627"/>
      <c r="K1146" s="627"/>
      <c r="L1146" s="627"/>
      <c r="M1146" s="627"/>
      <c r="N1146" s="627"/>
      <c r="O1146" s="627"/>
      <c r="P1146" s="719"/>
      <c r="Q1146" s="719"/>
    </row>
    <row r="1147" spans="1:17" hidden="1" x14ac:dyDescent="0.35">
      <c r="A1147" s="988">
        <f>IF(C1147="x",1,0)</f>
        <v>0</v>
      </c>
      <c r="B1147" s="200">
        <v>6</v>
      </c>
      <c r="C1147" s="626"/>
      <c r="D1147" s="627">
        <f ca="1">LAJES!D232</f>
        <v>0</v>
      </c>
      <c r="E1147" s="627"/>
      <c r="F1147" s="627"/>
      <c r="G1147" s="627"/>
      <c r="H1147" s="627">
        <f ca="1">LAJES!H232</f>
        <v>0</v>
      </c>
      <c r="I1147" s="627">
        <f ca="1">LAJES!I232</f>
        <v>0</v>
      </c>
      <c r="J1147" s="627"/>
      <c r="K1147" s="627"/>
      <c r="L1147" s="627"/>
      <c r="M1147" s="627"/>
      <c r="N1147" s="627"/>
      <c r="O1147" s="627"/>
      <c r="P1147" s="719"/>
      <c r="Q1147" s="719"/>
    </row>
    <row r="1148" spans="1:17" hidden="1" x14ac:dyDescent="0.35">
      <c r="A1148" s="988"/>
      <c r="B1148" s="200"/>
      <c r="C1148" s="195">
        <f>IF(C1147="X","Y",0)</f>
        <v>0</v>
      </c>
      <c r="D1148" s="627"/>
      <c r="E1148" s="627">
        <f ca="1">LAJES!E233</f>
        <v>0</v>
      </c>
      <c r="F1148" s="627">
        <f ca="1">LAJES!F233</f>
        <v>0</v>
      </c>
      <c r="G1148" s="627"/>
      <c r="H1148" s="627"/>
      <c r="I1148" s="627"/>
      <c r="J1148" s="627"/>
      <c r="K1148" s="627"/>
      <c r="L1148" s="627"/>
      <c r="M1148" s="627"/>
      <c r="N1148" s="627"/>
      <c r="O1148" s="627"/>
      <c r="P1148" s="719"/>
      <c r="Q1148" s="719"/>
    </row>
    <row r="1149" spans="1:17" hidden="1" x14ac:dyDescent="0.35">
      <c r="A1149" s="988"/>
      <c r="B1149" s="200"/>
      <c r="C1149" s="627"/>
      <c r="D1149" s="627"/>
      <c r="E1149" s="627"/>
      <c r="F1149" s="627"/>
      <c r="G1149" s="627"/>
      <c r="H1149" s="627"/>
      <c r="I1149" s="627"/>
      <c r="J1149" s="627"/>
      <c r="K1149" s="627"/>
      <c r="L1149" s="627"/>
      <c r="M1149" s="627"/>
      <c r="N1149" s="627"/>
      <c r="O1149" s="627"/>
      <c r="P1149" s="719"/>
      <c r="Q1149" s="719"/>
    </row>
    <row r="1150" spans="1:17" hidden="1" x14ac:dyDescent="0.35">
      <c r="A1150" s="988">
        <f>IF(C1150="x",1,0)</f>
        <v>0</v>
      </c>
      <c r="B1150" s="200">
        <v>7</v>
      </c>
      <c r="C1150" s="626"/>
      <c r="D1150" s="627">
        <f ca="1">LAJES!D235</f>
        <v>0</v>
      </c>
      <c r="E1150" s="627"/>
      <c r="F1150" s="627"/>
      <c r="G1150" s="627"/>
      <c r="H1150" s="627">
        <f ca="1">LAJES!H235</f>
        <v>0</v>
      </c>
      <c r="I1150" s="627">
        <f ca="1">LAJES!I235</f>
        <v>0</v>
      </c>
      <c r="J1150" s="627"/>
      <c r="K1150" s="627"/>
      <c r="L1150" s="627"/>
      <c r="M1150" s="627"/>
      <c r="N1150" s="627"/>
      <c r="O1150" s="627"/>
      <c r="P1150" s="719"/>
      <c r="Q1150" s="719"/>
    </row>
    <row r="1151" spans="1:17" hidden="1" x14ac:dyDescent="0.35">
      <c r="A1151" s="988"/>
      <c r="B1151" s="200"/>
      <c r="C1151" s="195">
        <f>IF(C1150="X","Y",0)</f>
        <v>0</v>
      </c>
      <c r="D1151" s="627"/>
      <c r="E1151" s="627">
        <f>LAJES!E236</f>
        <v>0</v>
      </c>
      <c r="F1151" s="627">
        <f ca="1">LAJES!F236</f>
        <v>0</v>
      </c>
      <c r="G1151" s="627"/>
      <c r="H1151" s="627"/>
      <c r="I1151" s="627"/>
      <c r="J1151" s="627"/>
      <c r="K1151" s="627"/>
      <c r="L1151" s="627"/>
      <c r="M1151" s="627"/>
      <c r="N1151" s="627"/>
      <c r="O1151" s="627"/>
      <c r="P1151" s="719"/>
      <c r="Q1151" s="719"/>
    </row>
    <row r="1152" spans="1:17" hidden="1" x14ac:dyDescent="0.35">
      <c r="A1152" s="988"/>
      <c r="B1152" s="200"/>
      <c r="C1152" s="627"/>
      <c r="D1152" s="627"/>
      <c r="E1152" s="627"/>
      <c r="F1152" s="627"/>
      <c r="G1152" s="627"/>
      <c r="H1152" s="627"/>
      <c r="I1152" s="627"/>
      <c r="J1152" s="627"/>
      <c r="K1152" s="627"/>
      <c r="L1152" s="627"/>
      <c r="M1152" s="627"/>
      <c r="N1152" s="627"/>
      <c r="O1152" s="627"/>
      <c r="P1152" s="719"/>
      <c r="Q1152" s="719"/>
    </row>
    <row r="1153" spans="1:17" hidden="1" x14ac:dyDescent="0.35">
      <c r="A1153" s="988">
        <f>IF(C1153="x",1,0)</f>
        <v>0</v>
      </c>
      <c r="B1153" s="200">
        <v>8</v>
      </c>
      <c r="C1153" s="626"/>
      <c r="D1153" s="627">
        <f ca="1">LAJES!D238</f>
        <v>0</v>
      </c>
      <c r="E1153" s="627"/>
      <c r="F1153" s="627"/>
      <c r="G1153" s="627"/>
      <c r="H1153" s="627">
        <f ca="1">LAJES!H238</f>
        <v>0</v>
      </c>
      <c r="I1153" s="627">
        <f ca="1">LAJES!I238</f>
        <v>0</v>
      </c>
      <c r="J1153" s="627"/>
      <c r="K1153" s="627"/>
      <c r="L1153" s="627"/>
      <c r="M1153" s="627"/>
      <c r="N1153" s="627"/>
      <c r="O1153" s="627"/>
      <c r="P1153" s="719"/>
      <c r="Q1153" s="719"/>
    </row>
    <row r="1154" spans="1:17" hidden="1" x14ac:dyDescent="0.35">
      <c r="A1154" s="988"/>
      <c r="B1154" s="200"/>
      <c r="C1154" s="195">
        <f>IF(C1153="X","Y",0)</f>
        <v>0</v>
      </c>
      <c r="D1154" s="627"/>
      <c r="E1154" s="627">
        <f ca="1">LAJES!E239</f>
        <v>0</v>
      </c>
      <c r="F1154" s="627">
        <f ca="1">LAJES!F239</f>
        <v>0</v>
      </c>
      <c r="G1154" s="627"/>
      <c r="H1154" s="627"/>
      <c r="I1154" s="627"/>
      <c r="J1154" s="627"/>
      <c r="K1154" s="627"/>
      <c r="L1154" s="627"/>
      <c r="M1154" s="627"/>
      <c r="N1154" s="627"/>
      <c r="O1154" s="627"/>
      <c r="P1154" s="719"/>
      <c r="Q1154" s="719"/>
    </row>
    <row r="1155" spans="1:17" hidden="1" x14ac:dyDescent="0.35">
      <c r="A1155" s="988"/>
      <c r="B1155" s="200"/>
      <c r="C1155" s="627"/>
      <c r="D1155" s="627"/>
      <c r="E1155" s="627"/>
      <c r="F1155" s="627"/>
      <c r="G1155" s="627"/>
      <c r="H1155" s="627"/>
      <c r="I1155" s="627"/>
      <c r="J1155" s="627"/>
      <c r="K1155" s="627"/>
      <c r="L1155" s="627"/>
      <c r="M1155" s="627"/>
      <c r="N1155" s="627"/>
      <c r="O1155" s="627"/>
      <c r="P1155" s="719"/>
      <c r="Q1155" s="719"/>
    </row>
    <row r="1156" spans="1:17" hidden="1" x14ac:dyDescent="0.35">
      <c r="A1156" s="988">
        <f>IF(C1156="x",1,0)</f>
        <v>0</v>
      </c>
      <c r="B1156" s="200">
        <v>9</v>
      </c>
      <c r="C1156" s="626"/>
      <c r="D1156" s="627">
        <f ca="1">LAJES!D241</f>
        <v>0</v>
      </c>
      <c r="E1156" s="627"/>
      <c r="F1156" s="627"/>
      <c r="G1156" s="627"/>
      <c r="H1156" s="627">
        <f ca="1">LAJES!H241</f>
        <v>0</v>
      </c>
      <c r="I1156" s="627">
        <f ca="1">LAJES!I241</f>
        <v>0</v>
      </c>
      <c r="J1156" s="627"/>
      <c r="K1156" s="627"/>
      <c r="L1156" s="627"/>
      <c r="M1156" s="627"/>
      <c r="N1156" s="627"/>
      <c r="O1156" s="627"/>
      <c r="P1156" s="719"/>
      <c r="Q1156" s="719"/>
    </row>
    <row r="1157" spans="1:17" hidden="1" x14ac:dyDescent="0.35">
      <c r="A1157" s="988"/>
      <c r="B1157" s="200"/>
      <c r="C1157" s="195">
        <f>IF(C1156="X","Y",0)</f>
        <v>0</v>
      </c>
      <c r="D1157" s="627"/>
      <c r="E1157" s="627">
        <f ca="1">LAJES!E242</f>
        <v>0</v>
      </c>
      <c r="F1157" s="627">
        <f ca="1">LAJES!F242</f>
        <v>0</v>
      </c>
      <c r="G1157" s="627"/>
      <c r="H1157" s="627"/>
      <c r="I1157" s="627"/>
      <c r="J1157" s="627"/>
      <c r="K1157" s="627"/>
      <c r="L1157" s="627"/>
      <c r="M1157" s="627"/>
      <c r="N1157" s="627"/>
      <c r="O1157" s="627"/>
      <c r="P1157" s="719"/>
      <c r="Q1157" s="719"/>
    </row>
    <row r="1158" spans="1:17" hidden="1" x14ac:dyDescent="0.35">
      <c r="A1158" s="988"/>
      <c r="B1158" s="200"/>
      <c r="C1158" s="627"/>
      <c r="D1158" s="627"/>
      <c r="E1158" s="627"/>
      <c r="F1158" s="627"/>
      <c r="G1158" s="627"/>
      <c r="H1158" s="627"/>
      <c r="I1158" s="627"/>
      <c r="J1158" s="627"/>
      <c r="K1158" s="627"/>
      <c r="L1158" s="627"/>
      <c r="M1158" s="627"/>
      <c r="N1158" s="627"/>
      <c r="O1158" s="627"/>
      <c r="P1158" s="719"/>
      <c r="Q1158" s="719"/>
    </row>
    <row r="1159" spans="1:17" hidden="1" x14ac:dyDescent="0.35">
      <c r="A1159" s="988">
        <f>IF(C1159="x",1,0)</f>
        <v>0</v>
      </c>
      <c r="B1159" s="200">
        <v>10</v>
      </c>
      <c r="C1159" s="626"/>
      <c r="D1159" s="627">
        <f ca="1">LAJES!D244</f>
        <v>0</v>
      </c>
      <c r="E1159" s="627"/>
      <c r="F1159" s="627"/>
      <c r="G1159" s="627"/>
      <c r="H1159" s="627">
        <f ca="1">LAJES!H244</f>
        <v>0</v>
      </c>
      <c r="I1159" s="627">
        <f ca="1">LAJES!I244</f>
        <v>0</v>
      </c>
      <c r="J1159" s="627"/>
      <c r="K1159" s="627"/>
      <c r="L1159" s="627"/>
      <c r="M1159" s="627"/>
      <c r="N1159" s="627"/>
      <c r="O1159" s="627"/>
      <c r="P1159" s="719"/>
      <c r="Q1159" s="719"/>
    </row>
    <row r="1160" spans="1:17" hidden="1" x14ac:dyDescent="0.35">
      <c r="A1160" s="988"/>
      <c r="B1160" s="200"/>
      <c r="C1160" s="195">
        <f>IF(C1159="X","Y",0)</f>
        <v>0</v>
      </c>
      <c r="D1160" s="627"/>
      <c r="E1160" s="627">
        <f ca="1">LAJES!E245</f>
        <v>0</v>
      </c>
      <c r="F1160" s="627">
        <f ca="1">LAJES!F245</f>
        <v>0</v>
      </c>
      <c r="G1160" s="627"/>
      <c r="H1160" s="627"/>
      <c r="I1160" s="627"/>
      <c r="J1160" s="627"/>
      <c r="K1160" s="627"/>
      <c r="L1160" s="627"/>
      <c r="M1160" s="627"/>
      <c r="N1160" s="627"/>
      <c r="O1160" s="627"/>
      <c r="P1160" s="719"/>
      <c r="Q1160" s="719"/>
    </row>
    <row r="1161" spans="1:17" hidden="1" x14ac:dyDescent="0.35">
      <c r="A1161" s="988"/>
      <c r="B1161" s="200"/>
      <c r="C1161" s="195"/>
      <c r="D1161" s="627"/>
      <c r="E1161" s="627"/>
      <c r="F1161" s="627"/>
      <c r="G1161" s="627"/>
      <c r="H1161" s="627"/>
      <c r="I1161" s="627"/>
      <c r="J1161" s="627"/>
      <c r="K1161" s="627"/>
      <c r="L1161" s="627"/>
      <c r="M1161" s="627"/>
      <c r="N1161" s="627"/>
      <c r="O1161" s="627"/>
      <c r="P1161" s="719"/>
      <c r="Q1161" s="719"/>
    </row>
    <row r="1162" spans="1:17" hidden="1" x14ac:dyDescent="0.35">
      <c r="A1162" s="988">
        <f>IF(C1162="x",1,0)</f>
        <v>0</v>
      </c>
      <c r="B1162" s="200">
        <v>10</v>
      </c>
      <c r="C1162" s="626"/>
      <c r="D1162" s="627">
        <f ca="1">LAJES!D247</f>
        <v>0</v>
      </c>
      <c r="E1162" s="627"/>
      <c r="F1162" s="627"/>
      <c r="G1162" s="627"/>
      <c r="H1162" s="627">
        <f ca="1">LAJES!H247</f>
        <v>0</v>
      </c>
      <c r="I1162" s="627">
        <f ca="1">LAJES!I247</f>
        <v>0</v>
      </c>
      <c r="J1162" s="627"/>
      <c r="K1162" s="627"/>
      <c r="L1162" s="627"/>
      <c r="M1162" s="627"/>
      <c r="N1162" s="627"/>
      <c r="O1162" s="627"/>
      <c r="P1162" s="719"/>
      <c r="Q1162" s="719"/>
    </row>
    <row r="1163" spans="1:17" hidden="1" x14ac:dyDescent="0.35">
      <c r="A1163" s="988"/>
      <c r="B1163" s="200"/>
      <c r="C1163" s="195">
        <f>IF(C1162="X","Y",0)</f>
        <v>0</v>
      </c>
      <c r="D1163" s="627"/>
      <c r="E1163" s="627">
        <f ca="1">LAJES!E248</f>
        <v>0</v>
      </c>
      <c r="F1163" s="627">
        <f ca="1">LAJES!F248</f>
        <v>0</v>
      </c>
      <c r="G1163" s="627"/>
      <c r="H1163" s="627"/>
      <c r="I1163" s="627"/>
      <c r="J1163" s="627"/>
      <c r="K1163" s="627"/>
      <c r="L1163" s="627"/>
      <c r="M1163" s="627"/>
      <c r="N1163" s="627"/>
      <c r="O1163" s="627"/>
      <c r="P1163" s="719"/>
      <c r="Q1163" s="719"/>
    </row>
    <row r="1164" spans="1:17" hidden="1" x14ac:dyDescent="0.35">
      <c r="A1164" s="988"/>
      <c r="B1164" s="200"/>
      <c r="C1164" s="195"/>
      <c r="D1164" s="627"/>
      <c r="E1164" s="627"/>
      <c r="F1164" s="627"/>
      <c r="G1164" s="627"/>
      <c r="H1164" s="627"/>
      <c r="I1164" s="627"/>
      <c r="J1164" s="627"/>
      <c r="K1164" s="627"/>
      <c r="L1164" s="627"/>
      <c r="M1164" s="627"/>
      <c r="N1164" s="627"/>
      <c r="O1164" s="627"/>
      <c r="P1164" s="719"/>
      <c r="Q1164" s="719"/>
    </row>
    <row r="1165" spans="1:17" hidden="1" x14ac:dyDescent="0.35">
      <c r="A1165" s="988">
        <f>IF(C1165="x",1,0)</f>
        <v>0</v>
      </c>
      <c r="B1165" s="200">
        <v>10</v>
      </c>
      <c r="C1165" s="626"/>
      <c r="D1165" s="627">
        <f ca="1">LAJES!D250</f>
        <v>0</v>
      </c>
      <c r="E1165" s="627"/>
      <c r="F1165" s="627"/>
      <c r="G1165" s="627"/>
      <c r="H1165" s="627">
        <f ca="1">LAJES!H250</f>
        <v>0</v>
      </c>
      <c r="I1165" s="627">
        <f ca="1">LAJES!I250</f>
        <v>0</v>
      </c>
      <c r="J1165" s="627"/>
      <c r="K1165" s="627"/>
      <c r="L1165" s="627"/>
      <c r="M1165" s="627"/>
      <c r="N1165" s="627"/>
      <c r="O1165" s="627"/>
      <c r="P1165" s="719"/>
      <c r="Q1165" s="719"/>
    </row>
    <row r="1166" spans="1:17" hidden="1" x14ac:dyDescent="0.35">
      <c r="A1166" s="988"/>
      <c r="B1166" s="200"/>
      <c r="C1166" s="195">
        <f>IF(C1165="X","Y",0)</f>
        <v>0</v>
      </c>
      <c r="D1166" s="627"/>
      <c r="E1166" s="627">
        <f ca="1">LAJES!E251</f>
        <v>0</v>
      </c>
      <c r="F1166" s="627">
        <f ca="1">LAJES!F251</f>
        <v>0</v>
      </c>
      <c r="G1166" s="627"/>
      <c r="H1166" s="627"/>
      <c r="I1166" s="627"/>
      <c r="J1166" s="627"/>
      <c r="K1166" s="627"/>
      <c r="L1166" s="627"/>
      <c r="M1166" s="627"/>
      <c r="N1166" s="627"/>
      <c r="O1166" s="627"/>
      <c r="P1166" s="719"/>
      <c r="Q1166" s="719"/>
    </row>
    <row r="1167" spans="1:17" hidden="1" x14ac:dyDescent="0.35">
      <c r="A1167" s="988"/>
      <c r="B1167" s="200"/>
      <c r="C1167" s="195"/>
      <c r="D1167" s="627"/>
      <c r="E1167" s="627"/>
      <c r="F1167" s="627"/>
      <c r="G1167" s="627"/>
      <c r="H1167" s="627"/>
      <c r="I1167" s="627"/>
      <c r="J1167" s="627"/>
      <c r="K1167" s="627"/>
      <c r="L1167" s="627"/>
      <c r="M1167" s="627"/>
      <c r="N1167" s="627"/>
      <c r="O1167" s="627"/>
      <c r="P1167" s="719"/>
      <c r="Q1167" s="719"/>
    </row>
    <row r="1168" spans="1:17" hidden="1" x14ac:dyDescent="0.35">
      <c r="A1168" s="988">
        <f>IF(C1168="x",1,0)</f>
        <v>0</v>
      </c>
      <c r="B1168" s="200">
        <v>10</v>
      </c>
      <c r="C1168" s="626"/>
      <c r="D1168" s="627">
        <f ca="1">LAJES!D253</f>
        <v>0</v>
      </c>
      <c r="E1168" s="627"/>
      <c r="F1168" s="627"/>
      <c r="G1168" s="627"/>
      <c r="H1168" s="627">
        <f ca="1">LAJES!H253</f>
        <v>0</v>
      </c>
      <c r="I1168" s="627">
        <f ca="1">LAJES!I253</f>
        <v>0</v>
      </c>
      <c r="J1168" s="627"/>
      <c r="K1168" s="627"/>
      <c r="L1168" s="627"/>
      <c r="M1168" s="627"/>
      <c r="N1168" s="627"/>
      <c r="O1168" s="627"/>
      <c r="P1168" s="719"/>
      <c r="Q1168" s="719"/>
    </row>
    <row r="1169" spans="1:17" hidden="1" x14ac:dyDescent="0.35">
      <c r="A1169" s="988"/>
      <c r="B1169" s="200"/>
      <c r="C1169" s="195">
        <f>IF(C1168="X","Y",0)</f>
        <v>0</v>
      </c>
      <c r="D1169" s="627"/>
      <c r="E1169" s="627">
        <f ca="1">LAJES!E254</f>
        <v>0</v>
      </c>
      <c r="F1169" s="627">
        <f ca="1">LAJES!F254</f>
        <v>0</v>
      </c>
      <c r="G1169" s="627"/>
      <c r="H1169" s="627"/>
      <c r="I1169" s="627"/>
      <c r="J1169" s="627"/>
      <c r="K1169" s="627"/>
      <c r="L1169" s="627"/>
      <c r="M1169" s="627"/>
      <c r="N1169" s="627"/>
      <c r="O1169" s="627"/>
      <c r="P1169" s="719"/>
      <c r="Q1169" s="719"/>
    </row>
    <row r="1170" spans="1:17" hidden="1" x14ac:dyDescent="0.35">
      <c r="A1170" s="988"/>
      <c r="B1170" s="200"/>
      <c r="C1170" s="195"/>
      <c r="D1170" s="627"/>
      <c r="E1170" s="627"/>
      <c r="F1170" s="627"/>
      <c r="G1170" s="627"/>
      <c r="H1170" s="627"/>
      <c r="I1170" s="627"/>
      <c r="J1170" s="627"/>
      <c r="K1170" s="627"/>
      <c r="L1170" s="627"/>
      <c r="M1170" s="627"/>
      <c r="N1170" s="627"/>
      <c r="O1170" s="627"/>
      <c r="P1170" s="719"/>
      <c r="Q1170" s="719"/>
    </row>
    <row r="1171" spans="1:17" hidden="1" x14ac:dyDescent="0.35">
      <c r="A1171" s="988">
        <f>IF(C1171="x",1,0)</f>
        <v>0</v>
      </c>
      <c r="B1171" s="200">
        <v>10</v>
      </c>
      <c r="C1171" s="626"/>
      <c r="D1171" s="627">
        <f ca="1">LAJES!D256</f>
        <v>0</v>
      </c>
      <c r="E1171" s="627"/>
      <c r="F1171" s="627"/>
      <c r="G1171" s="627"/>
      <c r="H1171" s="627">
        <f ca="1">LAJES!H256</f>
        <v>0</v>
      </c>
      <c r="I1171" s="627">
        <f ca="1">LAJES!I256</f>
        <v>0</v>
      </c>
      <c r="J1171" s="627"/>
      <c r="K1171" s="627"/>
      <c r="L1171" s="627"/>
      <c r="M1171" s="627"/>
      <c r="N1171" s="627"/>
      <c r="O1171" s="627"/>
      <c r="P1171" s="719"/>
      <c r="Q1171" s="719"/>
    </row>
    <row r="1172" spans="1:17" hidden="1" x14ac:dyDescent="0.35">
      <c r="A1172" s="988"/>
      <c r="B1172" s="200"/>
      <c r="C1172" s="195">
        <f>IF(C1171="X","Y",0)</f>
        <v>0</v>
      </c>
      <c r="D1172" s="627"/>
      <c r="E1172" s="627">
        <f ca="1">LAJES!E257</f>
        <v>0</v>
      </c>
      <c r="F1172" s="627">
        <f ca="1">LAJES!F257</f>
        <v>0</v>
      </c>
      <c r="G1172" s="627"/>
      <c r="H1172" s="627"/>
      <c r="I1172" s="627"/>
      <c r="J1172" s="627"/>
      <c r="K1172" s="627"/>
      <c r="L1172" s="627"/>
      <c r="M1172" s="627"/>
      <c r="N1172" s="627"/>
      <c r="O1172" s="627"/>
      <c r="P1172" s="719"/>
      <c r="Q1172" s="719"/>
    </row>
    <row r="1173" spans="1:17" hidden="1" x14ac:dyDescent="0.35">
      <c r="A1173" s="988"/>
      <c r="B1173" s="200"/>
      <c r="C1173" s="195"/>
      <c r="D1173" s="627"/>
      <c r="E1173" s="627"/>
      <c r="F1173" s="627"/>
      <c r="G1173" s="627"/>
      <c r="H1173" s="627"/>
      <c r="I1173" s="627"/>
      <c r="J1173" s="627"/>
      <c r="K1173" s="627"/>
      <c r="L1173" s="627"/>
      <c r="M1173" s="627"/>
      <c r="N1173" s="627"/>
      <c r="O1173" s="627"/>
      <c r="P1173" s="719"/>
      <c r="Q1173" s="719"/>
    </row>
    <row r="1174" spans="1:17" hidden="1" x14ac:dyDescent="0.35">
      <c r="A1174" s="988">
        <f>IF(C1174="x",1,0)</f>
        <v>0</v>
      </c>
      <c r="B1174" s="200">
        <v>10</v>
      </c>
      <c r="C1174" s="626"/>
      <c r="D1174" s="627">
        <f>LAJES!D276</f>
        <v>0</v>
      </c>
      <c r="E1174" s="627"/>
      <c r="F1174" s="627"/>
      <c r="G1174" s="627"/>
      <c r="H1174" s="627">
        <f>LAJES!H276</f>
        <v>0</v>
      </c>
      <c r="I1174" s="627">
        <f>LAJES!I276</f>
        <v>0</v>
      </c>
      <c r="J1174" s="627"/>
      <c r="K1174" s="627"/>
      <c r="L1174" s="627"/>
      <c r="M1174" s="627"/>
      <c r="N1174" s="627"/>
      <c r="O1174" s="627"/>
      <c r="P1174" s="719"/>
      <c r="Q1174" s="719"/>
    </row>
    <row r="1175" spans="1:17" hidden="1" x14ac:dyDescent="0.35">
      <c r="A1175" s="988"/>
      <c r="B1175" s="200"/>
      <c r="C1175" s="195">
        <f>IF(C1174="X","Y",0)</f>
        <v>0</v>
      </c>
      <c r="D1175" s="627"/>
      <c r="E1175" s="627">
        <f ca="1">LAJES!E260</f>
        <v>0</v>
      </c>
      <c r="F1175" s="627">
        <f ca="1">LAJES!F260</f>
        <v>0</v>
      </c>
      <c r="G1175" s="627"/>
      <c r="H1175" s="627"/>
      <c r="I1175" s="627"/>
      <c r="J1175" s="627"/>
      <c r="K1175" s="627"/>
      <c r="L1175" s="627"/>
      <c r="M1175" s="627"/>
      <c r="N1175" s="627"/>
      <c r="O1175" s="627"/>
      <c r="P1175" s="719"/>
      <c r="Q1175" s="719"/>
    </row>
    <row r="1176" spans="1:17" hidden="1" x14ac:dyDescent="0.35">
      <c r="A1176" s="988"/>
      <c r="B1176" s="201"/>
      <c r="C1176" s="198">
        <f>IF(D1328="X","Y",0)</f>
        <v>0</v>
      </c>
      <c r="D1176" s="749"/>
      <c r="E1176" s="749"/>
      <c r="F1176" s="749"/>
      <c r="G1176" s="749"/>
      <c r="H1176" s="749"/>
      <c r="I1176" s="749"/>
      <c r="J1176" s="749"/>
      <c r="K1176" s="749"/>
      <c r="L1176" s="749"/>
      <c r="M1176" s="749"/>
      <c r="N1176" s="749"/>
      <c r="O1176" s="749"/>
      <c r="P1176" s="748"/>
      <c r="Q1176" s="719"/>
    </row>
    <row r="1177" spans="1:17" x14ac:dyDescent="0.35">
      <c r="A1177" s="988"/>
      <c r="B1177" s="627"/>
      <c r="C1177" s="627"/>
      <c r="D1177" s="627"/>
      <c r="E1177" s="627"/>
      <c r="F1177" s="627"/>
      <c r="G1177" s="627"/>
      <c r="H1177" s="627"/>
      <c r="I1177" s="627"/>
      <c r="J1177" s="627"/>
      <c r="K1177" s="627"/>
      <c r="L1177" s="627"/>
      <c r="M1177" s="627"/>
      <c r="N1177" s="627"/>
      <c r="O1177" s="627"/>
      <c r="P1177" s="627"/>
      <c r="Q1177" s="719"/>
    </row>
    <row r="1178" spans="1:17" ht="6" customHeight="1" x14ac:dyDescent="0.35">
      <c r="A1178" s="988"/>
      <c r="B1178" s="636"/>
      <c r="C1178" s="652"/>
      <c r="D1178" s="652"/>
      <c r="E1178" s="652"/>
      <c r="F1178" s="652"/>
      <c r="G1178" s="652"/>
      <c r="H1178" s="652"/>
      <c r="I1178" s="652"/>
      <c r="J1178" s="652"/>
      <c r="K1178" s="652"/>
      <c r="L1178" s="652"/>
      <c r="M1178" s="652"/>
      <c r="N1178" s="652"/>
      <c r="O1178" s="652"/>
      <c r="P1178" s="987"/>
      <c r="Q1178" s="719"/>
    </row>
    <row r="1179" spans="1:17" x14ac:dyDescent="0.35">
      <c r="A1179" s="988"/>
      <c r="B1179" s="988"/>
      <c r="C1179" s="627" t="s">
        <v>713</v>
      </c>
      <c r="D1179" s="627"/>
      <c r="E1179" s="627"/>
      <c r="F1179" s="627"/>
      <c r="G1179" s="627"/>
      <c r="H1179" s="627"/>
      <c r="I1179" s="627"/>
      <c r="J1179" s="627"/>
      <c r="K1179" s="627"/>
      <c r="L1179" s="627"/>
      <c r="M1179" s="627"/>
      <c r="N1179" s="627"/>
      <c r="O1179" s="627"/>
      <c r="P1179" s="719"/>
      <c r="Q1179" s="719"/>
    </row>
    <row r="1180" spans="1:17" hidden="1" x14ac:dyDescent="0.35">
      <c r="A1180" s="988"/>
      <c r="B1180" s="988"/>
      <c r="C1180" s="660">
        <v>1</v>
      </c>
      <c r="D1180" s="627" t="str">
        <f>IF(C1180&gt;1,"EQUIPES","EQUIPE")</f>
        <v>EQUIPE</v>
      </c>
      <c r="E1180" s="183"/>
      <c r="F1180" s="627"/>
      <c r="G1180" s="627"/>
      <c r="H1180" s="627"/>
      <c r="I1180" s="627"/>
      <c r="J1180" s="627"/>
      <c r="K1180" s="627"/>
      <c r="L1180" s="627"/>
      <c r="M1180" s="627"/>
      <c r="N1180" s="627"/>
      <c r="O1180" s="627"/>
      <c r="P1180" s="719"/>
      <c r="Q1180" s="719"/>
    </row>
    <row r="1181" spans="1:17" x14ac:dyDescent="0.35">
      <c r="A1181" s="988"/>
      <c r="B1181" s="988"/>
      <c r="C1181" s="627"/>
      <c r="D1181" s="627"/>
      <c r="E1181" s="627"/>
      <c r="F1181" s="627" t="s">
        <v>200</v>
      </c>
      <c r="G1181" s="627"/>
      <c r="H1181" s="627"/>
      <c r="I1181" s="627"/>
      <c r="J1181" s="627"/>
      <c r="K1181" s="627"/>
      <c r="L1181" s="627"/>
      <c r="M1181" s="627"/>
      <c r="N1181" s="627"/>
      <c r="O1181" s="627"/>
      <c r="P1181" s="719"/>
      <c r="Q1181" s="719"/>
    </row>
    <row r="1182" spans="1:17" x14ac:dyDescent="0.35">
      <c r="A1182" s="988"/>
      <c r="B1182" s="988"/>
      <c r="C1182" s="627" t="s">
        <v>201</v>
      </c>
      <c r="D1182" s="627"/>
      <c r="E1182" s="627"/>
      <c r="F1182" s="627" t="s">
        <v>202</v>
      </c>
      <c r="G1182" s="627"/>
      <c r="H1182" s="627"/>
      <c r="I1182" s="627"/>
      <c r="J1182" s="627"/>
      <c r="K1182" s="627"/>
      <c r="L1182" s="627"/>
      <c r="M1182" s="627"/>
      <c r="N1182" s="627"/>
      <c r="O1182" s="627"/>
      <c r="P1182" s="719"/>
      <c r="Q1182" s="719"/>
    </row>
    <row r="1183" spans="1:17" x14ac:dyDescent="0.35">
      <c r="A1183" s="988"/>
      <c r="B1183" s="988"/>
      <c r="C1183" s="203">
        <f>IF(F1183=0,1,IF(F1183="X",0,F1183))</f>
        <v>1</v>
      </c>
      <c r="D1183" s="627" t="s">
        <v>714</v>
      </c>
      <c r="E1183" s="627"/>
      <c r="F1183" s="661"/>
      <c r="G1183" s="627" t="s">
        <v>203</v>
      </c>
      <c r="H1183" s="627"/>
      <c r="I1183" s="627"/>
      <c r="J1183" s="627"/>
      <c r="K1183" s="627"/>
      <c r="L1183" s="627"/>
      <c r="M1183" s="627"/>
      <c r="N1183" s="627"/>
      <c r="O1183" s="627"/>
      <c r="P1183" s="719"/>
      <c r="Q1183" s="719"/>
    </row>
    <row r="1184" spans="1:17" x14ac:dyDescent="0.35">
      <c r="A1184" s="988"/>
      <c r="B1184" s="988"/>
      <c r="C1184" s="1009">
        <f>IF(F1184=0,1,IF(F1184="X",0,F1184))</f>
        <v>1</v>
      </c>
      <c r="D1184" s="627" t="s">
        <v>91</v>
      </c>
      <c r="E1184" s="627"/>
      <c r="F1184" s="661"/>
      <c r="G1184" s="627" t="s">
        <v>203</v>
      </c>
      <c r="H1184" s="627"/>
      <c r="I1184" s="627"/>
      <c r="J1184" s="627"/>
      <c r="K1184" s="627"/>
      <c r="L1184" s="627"/>
      <c r="M1184" s="627"/>
      <c r="N1184" s="627"/>
      <c r="O1184" s="627"/>
      <c r="P1184" s="719"/>
      <c r="Q1184" s="719"/>
    </row>
    <row r="1185" spans="1:72" x14ac:dyDescent="0.35">
      <c r="A1185" s="988"/>
      <c r="B1185" s="988"/>
      <c r="C1185" s="203">
        <f>IF(F1185=0,1,IF(F1185="X",0,F1185))</f>
        <v>1</v>
      </c>
      <c r="D1185" s="204" t="s">
        <v>715</v>
      </c>
      <c r="E1185" s="627"/>
      <c r="F1185" s="661"/>
      <c r="G1185" s="627" t="s">
        <v>203</v>
      </c>
      <c r="H1185" s="627"/>
      <c r="I1185" s="627"/>
      <c r="J1185" s="627"/>
      <c r="K1185" s="627"/>
      <c r="L1185" s="627"/>
      <c r="M1185" s="627"/>
      <c r="N1185" s="627"/>
      <c r="O1185" s="627"/>
      <c r="P1185" s="719"/>
      <c r="Q1185" s="719"/>
      <c r="R1185" s="627"/>
      <c r="S1185" s="627"/>
      <c r="T1185" s="627"/>
      <c r="U1185" s="627"/>
      <c r="V1185" s="627"/>
      <c r="W1185" s="627"/>
      <c r="X1185" s="627"/>
      <c r="Y1185" s="627"/>
      <c r="Z1185" s="627"/>
      <c r="AA1185" s="627"/>
      <c r="AB1185" s="627"/>
      <c r="AC1185" s="627"/>
      <c r="AD1185" s="627"/>
      <c r="AE1185" s="627"/>
      <c r="AF1185" s="627"/>
      <c r="AG1185" s="627"/>
      <c r="AH1185" s="627"/>
      <c r="AI1185" s="627"/>
      <c r="AJ1185" s="627"/>
      <c r="AK1185" s="627"/>
      <c r="AL1185" s="627"/>
      <c r="AM1185" s="627"/>
      <c r="AN1185" s="627"/>
      <c r="AO1185" s="627"/>
      <c r="AP1185" s="627"/>
      <c r="AQ1185" s="627"/>
      <c r="AR1185" s="627"/>
      <c r="AS1185" s="627"/>
      <c r="AT1185" s="627"/>
      <c r="AU1185" s="627"/>
      <c r="AV1185" s="627"/>
      <c r="AW1185" s="627"/>
      <c r="AX1185" s="627"/>
      <c r="AY1185" s="627"/>
      <c r="AZ1185" s="627"/>
      <c r="BA1185" s="627"/>
      <c r="BB1185" s="627"/>
      <c r="BC1185" s="627"/>
      <c r="BD1185" s="627"/>
      <c r="BE1185" s="627"/>
      <c r="BF1185" s="627"/>
      <c r="BG1185" s="627"/>
      <c r="BH1185" s="627"/>
      <c r="BI1185" s="627"/>
      <c r="BJ1185" s="627"/>
      <c r="BK1185" s="627"/>
      <c r="BL1185" s="627"/>
      <c r="BM1185" s="627"/>
      <c r="BN1185" s="627"/>
      <c r="BO1185" s="627"/>
      <c r="BP1185" s="627"/>
      <c r="BQ1185" s="627"/>
      <c r="BR1185" s="627"/>
      <c r="BS1185" s="627"/>
      <c r="BT1185" s="627"/>
    </row>
    <row r="1186" spans="1:72" x14ac:dyDescent="0.35">
      <c r="A1186" s="988"/>
      <c r="B1186" s="988"/>
      <c r="C1186" s="203">
        <f>IF(F1186=0,1,IF(F1186="X",0,F1186))</f>
        <v>1</v>
      </c>
      <c r="D1186" s="204" t="s">
        <v>566</v>
      </c>
      <c r="E1186" s="627"/>
      <c r="F1186" s="661"/>
      <c r="G1186" s="627" t="s">
        <v>203</v>
      </c>
      <c r="H1186" s="627"/>
      <c r="I1186" s="627"/>
      <c r="J1186" s="627"/>
      <c r="K1186" s="627"/>
      <c r="L1186" s="627"/>
      <c r="M1186" s="627"/>
      <c r="N1186" s="627"/>
      <c r="O1186" s="627"/>
      <c r="P1186" s="719"/>
      <c r="Q1186" s="719"/>
      <c r="R1186" s="627"/>
      <c r="S1186" s="627"/>
      <c r="T1186" s="627"/>
      <c r="U1186" s="627"/>
      <c r="V1186" s="627"/>
      <c r="W1186" s="627"/>
      <c r="X1186" s="627"/>
      <c r="Y1186" s="627"/>
      <c r="Z1186" s="627"/>
      <c r="AA1186" s="627"/>
      <c r="AB1186" s="627"/>
      <c r="AC1186" s="627"/>
      <c r="AD1186" s="627"/>
      <c r="AE1186" s="627"/>
      <c r="AF1186" s="627"/>
      <c r="AG1186" s="627"/>
      <c r="AH1186" s="627"/>
      <c r="AI1186" s="627"/>
      <c r="AJ1186" s="627"/>
      <c r="AK1186" s="627"/>
      <c r="AL1186" s="627"/>
      <c r="AM1186" s="627"/>
      <c r="AN1186" s="627"/>
      <c r="AO1186" s="627"/>
      <c r="AP1186" s="627"/>
      <c r="AQ1186" s="627"/>
      <c r="AR1186" s="627"/>
      <c r="AS1186" s="627"/>
      <c r="AT1186" s="627"/>
      <c r="AU1186" s="627"/>
      <c r="AV1186" s="627"/>
      <c r="AW1186" s="627"/>
      <c r="AX1186" s="627"/>
      <c r="AY1186" s="627"/>
      <c r="AZ1186" s="627"/>
      <c r="BA1186" s="627"/>
      <c r="BB1186" s="627"/>
      <c r="BC1186" s="627"/>
      <c r="BD1186" s="627"/>
      <c r="BE1186" s="627"/>
      <c r="BF1186" s="627"/>
      <c r="BG1186" s="627"/>
      <c r="BH1186" s="627"/>
      <c r="BI1186" s="627"/>
      <c r="BJ1186" s="627"/>
      <c r="BK1186" s="627"/>
      <c r="BL1186" s="627"/>
      <c r="BM1186" s="627"/>
      <c r="BN1186" s="627"/>
      <c r="BO1186" s="627"/>
      <c r="BP1186" s="627"/>
      <c r="BQ1186" s="627"/>
      <c r="BR1186" s="627"/>
      <c r="BS1186" s="627"/>
      <c r="BT1186" s="627"/>
    </row>
    <row r="1187" spans="1:72" x14ac:dyDescent="0.35">
      <c r="A1187" s="988"/>
      <c r="B1187" s="988"/>
      <c r="C1187" s="1009">
        <f>IF(F1187=0,4,IF(F1187="X",0,F1187))</f>
        <v>4</v>
      </c>
      <c r="D1187" s="627" t="s">
        <v>95</v>
      </c>
      <c r="E1187" s="627"/>
      <c r="F1187" s="661"/>
      <c r="G1187" s="627" t="s">
        <v>203</v>
      </c>
      <c r="H1187" s="627"/>
      <c r="I1187" s="627"/>
      <c r="J1187" s="627"/>
      <c r="K1187" s="627"/>
      <c r="L1187" s="627"/>
      <c r="M1187" s="627"/>
      <c r="N1187" s="627"/>
      <c r="O1187" s="627"/>
      <c r="P1187" s="719"/>
      <c r="Q1187" s="719"/>
      <c r="R1187" s="627"/>
      <c r="S1187" s="627"/>
      <c r="T1187" s="627"/>
      <c r="U1187" s="627"/>
      <c r="V1187" s="627"/>
      <c r="W1187" s="627"/>
      <c r="X1187" s="627"/>
      <c r="Y1187" s="627"/>
      <c r="Z1187" s="627"/>
      <c r="AA1187" s="627"/>
      <c r="AB1187" s="627"/>
      <c r="AC1187" s="627"/>
      <c r="AD1187" s="627"/>
      <c r="AE1187" s="627"/>
      <c r="AF1187" s="627"/>
      <c r="AG1187" s="627"/>
      <c r="AH1187" s="627"/>
      <c r="AI1187" s="627"/>
      <c r="AJ1187" s="627"/>
      <c r="AK1187" s="627"/>
      <c r="AL1187" s="627"/>
      <c r="AM1187" s="627"/>
      <c r="AN1187" s="627"/>
      <c r="AO1187" s="627"/>
      <c r="AP1187" s="627"/>
      <c r="AQ1187" s="627"/>
      <c r="AR1187" s="627"/>
      <c r="AS1187" s="627"/>
      <c r="AT1187" s="627"/>
      <c r="AU1187" s="627"/>
      <c r="AV1187" s="627"/>
      <c r="AW1187" s="627"/>
      <c r="AX1187" s="627"/>
      <c r="AY1187" s="627"/>
      <c r="AZ1187" s="627"/>
      <c r="BA1187" s="627"/>
      <c r="BB1187" s="627"/>
      <c r="BC1187" s="627"/>
      <c r="BD1187" s="627"/>
      <c r="BE1187" s="627"/>
      <c r="BF1187" s="627"/>
      <c r="BG1187" s="627"/>
      <c r="BH1187" s="627"/>
      <c r="BI1187" s="627"/>
      <c r="BJ1187" s="627"/>
      <c r="BK1187" s="627"/>
      <c r="BL1187" s="627"/>
      <c r="BM1187" s="627"/>
      <c r="BN1187" s="627"/>
      <c r="BO1187" s="627"/>
      <c r="BP1187" s="627"/>
      <c r="BQ1187" s="627"/>
      <c r="BR1187" s="627"/>
      <c r="BS1187" s="627"/>
      <c r="BT1187" s="627"/>
    </row>
    <row r="1188" spans="1:72" x14ac:dyDescent="0.35">
      <c r="A1188" s="988"/>
      <c r="B1188" s="988"/>
      <c r="C1188" s="1009">
        <f>IF(F1190&gt;0,F1190,IF(F1188=0,1,IF(F1188="X",0,F1188)))</f>
        <v>1</v>
      </c>
      <c r="D1188" s="627" t="s">
        <v>204</v>
      </c>
      <c r="E1188" s="627"/>
      <c r="F1188" s="250"/>
      <c r="G1188" s="627" t="s">
        <v>203</v>
      </c>
      <c r="H1188" s="627"/>
      <c r="I1188" s="627"/>
      <c r="J1188" s="627"/>
      <c r="K1188" s="627"/>
      <c r="L1188" s="627"/>
      <c r="M1188" s="627"/>
      <c r="N1188" s="627"/>
      <c r="O1188" s="627"/>
      <c r="P1188" s="719"/>
      <c r="Q1188" s="719"/>
      <c r="R1188" s="627"/>
      <c r="S1188" s="627"/>
      <c r="T1188" s="627"/>
      <c r="U1188" s="627"/>
      <c r="V1188" s="627"/>
      <c r="W1188" s="627"/>
      <c r="X1188" s="627"/>
      <c r="Y1188" s="627"/>
      <c r="Z1188" s="627"/>
      <c r="AA1188" s="627"/>
      <c r="AB1188" s="627"/>
      <c r="AC1188" s="627"/>
      <c r="AD1188" s="627"/>
      <c r="AE1188" s="627"/>
      <c r="AF1188" s="627"/>
      <c r="AG1188" s="627"/>
      <c r="AH1188" s="627"/>
      <c r="AI1188" s="627"/>
      <c r="AJ1188" s="627"/>
      <c r="AK1188" s="627"/>
      <c r="AL1188" s="627"/>
      <c r="AM1188" s="627"/>
      <c r="AN1188" s="627"/>
      <c r="AO1188" s="627"/>
      <c r="AP1188" s="627"/>
      <c r="AQ1188" s="627"/>
      <c r="AR1188" s="627"/>
      <c r="AS1188" s="627"/>
      <c r="AT1188" s="627"/>
      <c r="AU1188" s="627"/>
      <c r="AV1188" s="627"/>
      <c r="AW1188" s="627"/>
      <c r="AX1188" s="627"/>
      <c r="AY1188" s="627"/>
      <c r="AZ1188" s="627"/>
      <c r="BA1188" s="627"/>
      <c r="BB1188" s="627"/>
      <c r="BC1188" s="627"/>
      <c r="BD1188" s="627"/>
      <c r="BE1188" s="627"/>
      <c r="BF1188" s="627"/>
      <c r="BG1188" s="627"/>
      <c r="BH1188" s="627"/>
      <c r="BI1188" s="627"/>
      <c r="BJ1188" s="627"/>
      <c r="BK1188" s="627"/>
      <c r="BL1188" s="627"/>
      <c r="BM1188" s="627"/>
      <c r="BN1188" s="627"/>
      <c r="BO1188" s="627"/>
      <c r="BP1188" s="627"/>
      <c r="BQ1188" s="627"/>
      <c r="BR1188" s="627"/>
      <c r="BS1188" s="627"/>
      <c r="BT1188" s="627"/>
    </row>
    <row r="1189" spans="1:72" x14ac:dyDescent="0.35">
      <c r="A1189" s="988"/>
      <c r="B1189" s="988"/>
      <c r="C1189" s="627"/>
      <c r="D1189" s="627"/>
      <c r="E1189" s="627"/>
      <c r="F1189" s="627"/>
      <c r="G1189" s="627"/>
      <c r="H1189" s="627"/>
      <c r="I1189" s="627"/>
      <c r="J1189" s="627"/>
      <c r="K1189" s="627"/>
      <c r="L1189" s="627"/>
      <c r="M1189" s="627"/>
      <c r="N1189" s="627"/>
      <c r="O1189" s="627"/>
      <c r="P1189" s="719"/>
      <c r="Q1189" s="719"/>
      <c r="R1189" s="627"/>
      <c r="S1189" s="627"/>
      <c r="T1189" s="627"/>
      <c r="U1189" s="627"/>
      <c r="V1189" s="627"/>
      <c r="W1189" s="627"/>
      <c r="X1189" s="627"/>
      <c r="Y1189" s="627"/>
      <c r="Z1189" s="627"/>
      <c r="AA1189" s="627"/>
      <c r="AB1189" s="627"/>
      <c r="AC1189" s="627"/>
      <c r="AD1189" s="627"/>
      <c r="AE1189" s="627"/>
      <c r="AF1189" s="627"/>
      <c r="AG1189" s="627"/>
      <c r="AH1189" s="627"/>
      <c r="AI1189" s="627"/>
      <c r="AJ1189" s="627"/>
      <c r="AK1189" s="627"/>
      <c r="AL1189" s="627"/>
      <c r="AM1189" s="627"/>
      <c r="AN1189" s="627"/>
      <c r="AO1189" s="627"/>
      <c r="AP1189" s="627"/>
      <c r="AQ1189" s="627"/>
      <c r="AR1189" s="627"/>
      <c r="AS1189" s="627"/>
      <c r="AT1189" s="627"/>
      <c r="AU1189" s="627"/>
      <c r="AV1189" s="627"/>
      <c r="AW1189" s="627"/>
      <c r="AX1189" s="627"/>
      <c r="AY1189" s="627"/>
      <c r="AZ1189" s="627"/>
      <c r="BA1189" s="627"/>
      <c r="BB1189" s="627"/>
      <c r="BC1189" s="627"/>
      <c r="BD1189" s="627"/>
      <c r="BE1189" s="627"/>
      <c r="BF1189" s="627"/>
      <c r="BG1189" s="627"/>
      <c r="BH1189" s="627"/>
      <c r="BI1189" s="627"/>
      <c r="BJ1189" s="627"/>
      <c r="BK1189" s="627"/>
      <c r="BL1189" s="627"/>
      <c r="BM1189" s="627"/>
      <c r="BN1189" s="627"/>
      <c r="BO1189" s="627"/>
      <c r="BP1189" s="627"/>
      <c r="BQ1189" s="627"/>
      <c r="BR1189" s="627"/>
      <c r="BS1189" s="627"/>
      <c r="BT1189" s="627"/>
    </row>
    <row r="1190" spans="1:72" x14ac:dyDescent="0.35">
      <c r="A1190" s="988"/>
      <c r="B1190" s="988"/>
      <c r="C1190" s="627" t="s">
        <v>567</v>
      </c>
      <c r="D1190" s="627"/>
      <c r="E1190" s="627"/>
      <c r="F1190" s="661"/>
      <c r="G1190" s="627" t="s">
        <v>46</v>
      </c>
      <c r="H1190" s="627"/>
      <c r="I1190" s="627"/>
      <c r="J1190" s="627"/>
      <c r="K1190" s="627"/>
      <c r="L1190" s="627"/>
      <c r="M1190" s="627"/>
      <c r="N1190" s="627"/>
      <c r="O1190" s="627"/>
      <c r="P1190" s="719"/>
      <c r="Q1190" s="719"/>
      <c r="R1190" s="627"/>
      <c r="S1190" s="627"/>
      <c r="T1190" s="627"/>
      <c r="U1190" s="627"/>
      <c r="V1190" s="627"/>
      <c r="W1190" s="627"/>
      <c r="X1190" s="627"/>
      <c r="Y1190" s="627"/>
      <c r="Z1190" s="627"/>
      <c r="AA1190" s="627"/>
      <c r="AB1190" s="627"/>
      <c r="AC1190" s="627"/>
      <c r="AD1190" s="627"/>
      <c r="AE1190" s="627"/>
      <c r="AF1190" s="627"/>
      <c r="AG1190" s="627"/>
      <c r="AH1190" s="627"/>
      <c r="AI1190" s="627"/>
      <c r="AJ1190" s="627"/>
      <c r="AK1190" s="627"/>
      <c r="AL1190" s="627"/>
      <c r="AM1190" s="627"/>
      <c r="AN1190" s="627"/>
      <c r="AO1190" s="627"/>
      <c r="AP1190" s="627"/>
      <c r="AQ1190" s="627"/>
      <c r="AR1190" s="627"/>
      <c r="AS1190" s="627"/>
      <c r="AT1190" s="627"/>
      <c r="AU1190" s="627"/>
      <c r="AV1190" s="627"/>
      <c r="AW1190" s="627"/>
      <c r="AX1190" s="627"/>
      <c r="AY1190" s="627"/>
      <c r="AZ1190" s="627"/>
      <c r="BA1190" s="627"/>
      <c r="BB1190" s="627"/>
      <c r="BC1190" s="627"/>
      <c r="BD1190" s="627"/>
      <c r="BE1190" s="627"/>
      <c r="BF1190" s="627"/>
      <c r="BG1190" s="627"/>
      <c r="BH1190" s="627"/>
      <c r="BI1190" s="627"/>
      <c r="BJ1190" s="627"/>
      <c r="BK1190" s="627"/>
      <c r="BL1190" s="627"/>
      <c r="BM1190" s="627"/>
      <c r="BN1190" s="627"/>
      <c r="BO1190" s="627"/>
      <c r="BP1190" s="627"/>
      <c r="BQ1190" s="627"/>
      <c r="BR1190" s="627"/>
      <c r="BS1190" s="627"/>
      <c r="BT1190" s="627"/>
    </row>
    <row r="1191" spans="1:72" x14ac:dyDescent="0.35">
      <c r="A1191" s="988"/>
      <c r="B1191" s="988"/>
      <c r="C1191" s="627"/>
      <c r="D1191" s="627"/>
      <c r="E1191" s="627"/>
      <c r="F1191" s="627"/>
      <c r="G1191" s="627"/>
      <c r="H1191" s="627"/>
      <c r="I1191" s="627"/>
      <c r="J1191" s="627"/>
      <c r="K1191" s="627"/>
      <c r="L1191" s="627"/>
      <c r="M1191" s="627"/>
      <c r="N1191" s="627"/>
      <c r="O1191" s="627"/>
      <c r="P1191" s="719"/>
      <c r="Q1191" s="719"/>
      <c r="R1191" s="627"/>
      <c r="S1191" s="627"/>
      <c r="T1191" s="627"/>
      <c r="U1191" s="627"/>
      <c r="V1191" s="627"/>
      <c r="W1191" s="627"/>
      <c r="X1191" s="627"/>
      <c r="Y1191" s="627"/>
      <c r="Z1191" s="627"/>
      <c r="AA1191" s="627"/>
      <c r="AB1191" s="627"/>
      <c r="AC1191" s="627"/>
      <c r="AD1191" s="627"/>
      <c r="AE1191" s="627"/>
      <c r="AF1191" s="627"/>
      <c r="AG1191" s="627"/>
      <c r="AH1191" s="627"/>
      <c r="AI1191" s="627"/>
      <c r="AJ1191" s="627"/>
      <c r="AK1191" s="627"/>
      <c r="AL1191" s="627"/>
      <c r="AM1191" s="627"/>
      <c r="AN1191" s="627"/>
      <c r="AO1191" s="627"/>
      <c r="AP1191" s="627"/>
      <c r="AQ1191" s="627"/>
      <c r="AR1191" s="627"/>
      <c r="AS1191" s="627"/>
      <c r="AT1191" s="627"/>
      <c r="AU1191" s="627"/>
      <c r="AV1191" s="627"/>
      <c r="AW1191" s="627"/>
      <c r="AX1191" s="627"/>
      <c r="AY1191" s="627"/>
      <c r="AZ1191" s="627"/>
      <c r="BA1191" s="627"/>
      <c r="BB1191" s="627"/>
      <c r="BC1191" s="627"/>
      <c r="BD1191" s="627"/>
      <c r="BE1191" s="627"/>
      <c r="BF1191" s="627"/>
      <c r="BG1191" s="627"/>
      <c r="BH1191" s="627"/>
      <c r="BI1191" s="627"/>
      <c r="BJ1191" s="627"/>
      <c r="BK1191" s="627"/>
      <c r="BL1191" s="627"/>
      <c r="BM1191" s="627"/>
      <c r="BN1191" s="627"/>
      <c r="BO1191" s="627"/>
      <c r="BP1191" s="627"/>
      <c r="BQ1191" s="627"/>
      <c r="BR1191" s="627"/>
      <c r="BS1191" s="627"/>
      <c r="BT1191" s="627"/>
    </row>
    <row r="1192" spans="1:72" ht="27.95" customHeight="1" x14ac:dyDescent="0.35">
      <c r="A1192" s="988"/>
      <c r="B1192" s="762"/>
      <c r="C1192" s="1315">
        <f>IF(AND(L1165&lt;2.4,L1165&gt;0),"VOCÊ DEFINIU "&amp;L1165&amp;" DIAS POR REPETIÇÃO, "&amp;" LOGO OBRIGATÓRIO TRABALHAR NO SÁBADO, ENTRE COM HORAS EXTRA NO SÁBADO !",0)</f>
        <v>0</v>
      </c>
      <c r="D1192" s="1316"/>
      <c r="E1192" s="1316"/>
      <c r="F1192" s="1316"/>
      <c r="G1192" s="1316"/>
      <c r="H1192" s="1316"/>
      <c r="I1192" s="1316"/>
      <c r="J1192" s="1316"/>
      <c r="K1192" s="1316"/>
      <c r="L1192" s="1316"/>
      <c r="M1192" s="1316"/>
      <c r="N1192" s="1316"/>
      <c r="O1192" s="1316"/>
      <c r="P1192" s="1316"/>
      <c r="Q1192" s="1317"/>
      <c r="R1192" s="627"/>
      <c r="S1192" s="627"/>
      <c r="T1192" s="627"/>
      <c r="U1192" s="627"/>
      <c r="V1192" s="627"/>
      <c r="W1192" s="627"/>
      <c r="X1192" s="627"/>
      <c r="Y1192" s="627"/>
      <c r="Z1192" s="627"/>
      <c r="AA1192" s="627"/>
      <c r="AB1192" s="627"/>
      <c r="AC1192" s="627"/>
      <c r="AD1192" s="627"/>
      <c r="AE1192" s="627"/>
      <c r="AF1192" s="627"/>
      <c r="AG1192" s="627"/>
      <c r="AH1192" s="627"/>
      <c r="AI1192" s="627"/>
      <c r="AJ1192" s="627"/>
      <c r="AK1192" s="627"/>
      <c r="AL1192" s="627"/>
      <c r="AM1192" s="627"/>
      <c r="AN1192" s="627"/>
      <c r="AO1192" s="627"/>
      <c r="AP1192" s="627"/>
      <c r="AQ1192" s="627"/>
      <c r="AR1192" s="627"/>
      <c r="AS1192" s="627"/>
      <c r="AT1192" s="627"/>
      <c r="AU1192" s="627"/>
      <c r="AV1192" s="627"/>
      <c r="AW1192" s="627"/>
      <c r="AX1192" s="627"/>
      <c r="AY1192" s="627"/>
      <c r="AZ1192" s="627"/>
      <c r="BA1192" s="627"/>
      <c r="BB1192" s="627"/>
      <c r="BC1192" s="627"/>
      <c r="BD1192" s="627"/>
      <c r="BE1192" s="627"/>
      <c r="BF1192" s="627"/>
      <c r="BG1192" s="627"/>
      <c r="BH1192" s="627"/>
      <c r="BI1192" s="627"/>
      <c r="BJ1192" s="627"/>
      <c r="BK1192" s="627"/>
      <c r="BL1192" s="627"/>
      <c r="BM1192" s="627"/>
      <c r="BN1192" s="627"/>
      <c r="BO1192" s="627"/>
      <c r="BP1192" s="627"/>
      <c r="BQ1192" s="627"/>
      <c r="BR1192" s="627"/>
      <c r="BS1192" s="627"/>
      <c r="BT1192" s="627"/>
    </row>
    <row r="1193" spans="1:72" x14ac:dyDescent="0.35">
      <c r="A1193" s="988"/>
      <c r="B1193" s="762"/>
      <c r="C1193" s="762" t="s">
        <v>210</v>
      </c>
      <c r="D1193" s="761"/>
      <c r="E1193" s="761"/>
      <c r="F1193" s="761"/>
      <c r="G1193" s="660"/>
      <c r="H1193" s="761" t="s">
        <v>187</v>
      </c>
      <c r="I1193" s="761" t="s">
        <v>211</v>
      </c>
      <c r="J1193" s="761"/>
      <c r="K1193" s="761"/>
      <c r="L1193" s="761"/>
      <c r="M1193" s="761"/>
      <c r="N1193" s="627"/>
      <c r="O1193" s="660"/>
      <c r="P1193" s="627" t="s">
        <v>130</v>
      </c>
      <c r="Q1193" s="719"/>
      <c r="R1193" s="627"/>
      <c r="S1193" s="627"/>
      <c r="T1193" s="627"/>
      <c r="U1193" s="627"/>
      <c r="V1193" s="627"/>
      <c r="W1193" s="627"/>
      <c r="X1193" s="627"/>
      <c r="Y1193" s="627"/>
      <c r="Z1193" s="627"/>
      <c r="AA1193" s="627"/>
      <c r="AB1193" s="627"/>
      <c r="AC1193" s="627"/>
      <c r="AD1193" s="627"/>
      <c r="AE1193" s="627"/>
      <c r="AF1193" s="627"/>
      <c r="AG1193" s="627"/>
      <c r="AH1193" s="627"/>
      <c r="AI1193" s="627"/>
      <c r="AJ1193" s="627"/>
      <c r="AK1193" s="627"/>
      <c r="AL1193" s="627"/>
      <c r="AM1193" s="627"/>
      <c r="AN1193" s="627"/>
      <c r="AO1193" s="627"/>
      <c r="AP1193" s="627"/>
      <c r="AQ1193" s="627"/>
      <c r="AR1193" s="627"/>
      <c r="AS1193" s="627"/>
      <c r="AT1193" s="627"/>
      <c r="AU1193" s="627"/>
      <c r="AV1193" s="627"/>
      <c r="AW1193" s="627"/>
      <c r="AX1193" s="627"/>
      <c r="AY1193" s="627"/>
      <c r="AZ1193" s="627"/>
      <c r="BA1193" s="627"/>
      <c r="BB1193" s="627"/>
      <c r="BC1193" s="627"/>
      <c r="BD1193" s="627"/>
      <c r="BE1193" s="627"/>
      <c r="BF1193" s="627"/>
      <c r="BG1193" s="627"/>
      <c r="BH1193" s="627"/>
      <c r="BI1193" s="627"/>
      <c r="BJ1193" s="627"/>
      <c r="BK1193" s="627"/>
      <c r="BL1193" s="627"/>
      <c r="BM1193" s="627"/>
      <c r="BN1193" s="627"/>
      <c r="BO1193" s="627"/>
      <c r="BP1193" s="627"/>
      <c r="BQ1193" s="627"/>
      <c r="BR1193" s="627"/>
      <c r="BS1193" s="627"/>
      <c r="BT1193" s="627"/>
    </row>
    <row r="1194" spans="1:72" ht="5.45" customHeight="1" x14ac:dyDescent="0.35">
      <c r="A1194" s="988"/>
      <c r="B1194" s="762"/>
      <c r="C1194" s="762"/>
      <c r="D1194" s="761"/>
      <c r="E1194" s="761"/>
      <c r="F1194" s="761"/>
      <c r="G1194" s="761"/>
      <c r="H1194" s="761"/>
      <c r="I1194" s="761"/>
      <c r="J1194" s="761"/>
      <c r="K1194" s="761"/>
      <c r="L1194" s="761"/>
      <c r="M1194" s="761"/>
      <c r="N1194" s="627"/>
      <c r="O1194" s="627"/>
      <c r="P1194" s="627"/>
      <c r="Q1194" s="719"/>
      <c r="R1194" s="627"/>
      <c r="S1194" s="627"/>
      <c r="T1194" s="627"/>
      <c r="U1194" s="627"/>
      <c r="V1194" s="627"/>
      <c r="W1194" s="627"/>
      <c r="X1194" s="627"/>
      <c r="Y1194" s="627"/>
      <c r="Z1194" s="627"/>
      <c r="AA1194" s="627"/>
      <c r="AB1194" s="627"/>
      <c r="AC1194" s="627"/>
      <c r="AD1194" s="627"/>
      <c r="AE1194" s="627"/>
      <c r="AF1194" s="627"/>
      <c r="AG1194" s="627"/>
      <c r="AH1194" s="627"/>
      <c r="AI1194" s="627"/>
      <c r="AJ1194" s="627"/>
      <c r="AK1194" s="627"/>
      <c r="AL1194" s="627"/>
      <c r="AM1194" s="627"/>
      <c r="AN1194" s="627"/>
      <c r="AO1194" s="627"/>
      <c r="AP1194" s="627"/>
      <c r="AQ1194" s="627"/>
      <c r="AR1194" s="627"/>
      <c r="AS1194" s="627"/>
      <c r="AT1194" s="627"/>
      <c r="AU1194" s="627"/>
      <c r="AV1194" s="627"/>
      <c r="AW1194" s="627"/>
      <c r="AX1194" s="627"/>
      <c r="AY1194" s="627"/>
      <c r="AZ1194" s="627"/>
      <c r="BA1194" s="627"/>
      <c r="BB1194" s="627"/>
      <c r="BC1194" s="627"/>
      <c r="BD1194" s="627"/>
      <c r="BE1194" s="627"/>
      <c r="BF1194" s="627"/>
      <c r="BG1194" s="627"/>
      <c r="BH1194" s="627"/>
      <c r="BI1194" s="627"/>
      <c r="BJ1194" s="627"/>
      <c r="BK1194" s="627"/>
      <c r="BL1194" s="627"/>
      <c r="BM1194" s="627"/>
      <c r="BN1194" s="627"/>
      <c r="BO1194" s="627"/>
      <c r="BP1194" s="627"/>
      <c r="BQ1194" s="627"/>
      <c r="BR1194" s="627"/>
      <c r="BS1194" s="627"/>
      <c r="BT1194" s="627"/>
    </row>
    <row r="1195" spans="1:72" x14ac:dyDescent="0.35">
      <c r="A1195" s="988"/>
      <c r="B1195" s="762"/>
      <c r="C1195" s="762" t="s">
        <v>212</v>
      </c>
      <c r="D1195" s="761"/>
      <c r="E1195" s="761"/>
      <c r="F1195" s="761"/>
      <c r="G1195" s="660"/>
      <c r="H1195" s="761" t="s">
        <v>187</v>
      </c>
      <c r="I1195" s="761" t="s">
        <v>211</v>
      </c>
      <c r="J1195" s="761"/>
      <c r="K1195" s="761"/>
      <c r="L1195" s="761"/>
      <c r="M1195" s="761"/>
      <c r="N1195" s="627"/>
      <c r="O1195" s="660"/>
      <c r="P1195" s="627" t="s">
        <v>130</v>
      </c>
      <c r="Q1195" s="719"/>
      <c r="R1195" s="627"/>
      <c r="S1195" s="627"/>
      <c r="T1195" s="627"/>
      <c r="U1195" s="627"/>
      <c r="V1195" s="627"/>
      <c r="W1195" s="627"/>
      <c r="X1195" s="627"/>
      <c r="Y1195" s="627"/>
      <c r="Z1195" s="627"/>
      <c r="AA1195" s="627"/>
      <c r="AB1195" s="627"/>
      <c r="AC1195" s="627"/>
      <c r="AD1195" s="627"/>
      <c r="AE1195" s="627"/>
      <c r="AF1195" s="627"/>
      <c r="AG1195" s="627"/>
      <c r="AH1195" s="627"/>
      <c r="AI1195" s="627"/>
      <c r="AJ1195" s="627"/>
      <c r="AK1195" s="627"/>
      <c r="AL1195" s="627"/>
      <c r="AM1195" s="627"/>
      <c r="AN1195" s="627"/>
      <c r="AO1195" s="627"/>
      <c r="AP1195" s="627"/>
      <c r="AQ1195" s="627"/>
      <c r="AR1195" s="627"/>
      <c r="AS1195" s="627"/>
      <c r="AT1195" s="627"/>
      <c r="AU1195" s="627"/>
      <c r="AV1195" s="627"/>
      <c r="AW1195" s="627"/>
      <c r="AX1195" s="627"/>
      <c r="AY1195" s="627"/>
      <c r="AZ1195" s="627"/>
      <c r="BA1195" s="627"/>
      <c r="BB1195" s="627"/>
      <c r="BC1195" s="627"/>
      <c r="BD1195" s="627"/>
      <c r="BE1195" s="627"/>
      <c r="BF1195" s="627"/>
      <c r="BG1195" s="627"/>
      <c r="BH1195" s="627"/>
      <c r="BI1195" s="627"/>
      <c r="BJ1195" s="627"/>
      <c r="BK1195" s="627"/>
      <c r="BL1195" s="627"/>
      <c r="BM1195" s="627"/>
      <c r="BN1195" s="627"/>
      <c r="BO1195" s="627"/>
      <c r="BP1195" s="627"/>
      <c r="BQ1195" s="627"/>
      <c r="BR1195" s="627"/>
      <c r="BS1195" s="627"/>
      <c r="BT1195" s="627"/>
    </row>
    <row r="1196" spans="1:72" ht="5.0999999999999996" customHeight="1" x14ac:dyDescent="0.35">
      <c r="A1196" s="988"/>
      <c r="B1196" s="762"/>
      <c r="C1196" s="1054"/>
      <c r="D1196" s="1055"/>
      <c r="E1196" s="1055"/>
      <c r="F1196" s="1055"/>
      <c r="G1196" s="1055"/>
      <c r="H1196" s="1055"/>
      <c r="I1196" s="1055"/>
      <c r="J1196" s="1055"/>
      <c r="K1196" s="1055"/>
      <c r="L1196" s="1055"/>
      <c r="M1196" s="1055"/>
      <c r="N1196" s="749"/>
      <c r="O1196" s="749"/>
      <c r="P1196" s="749"/>
      <c r="Q1196" s="748"/>
      <c r="R1196" s="627"/>
      <c r="S1196" s="627"/>
      <c r="T1196" s="627"/>
      <c r="U1196" s="627"/>
      <c r="V1196" s="627"/>
      <c r="W1196" s="627"/>
      <c r="X1196" s="627"/>
      <c r="Y1196" s="627"/>
      <c r="Z1196" s="627"/>
      <c r="AA1196" s="627"/>
      <c r="AB1196" s="627"/>
      <c r="AC1196" s="627"/>
      <c r="AD1196" s="627"/>
      <c r="AE1196" s="627"/>
      <c r="AF1196" s="627"/>
      <c r="AG1196" s="627"/>
      <c r="AH1196" s="627"/>
      <c r="AI1196" s="627"/>
      <c r="AJ1196" s="627"/>
      <c r="AK1196" s="627"/>
      <c r="AL1196" s="627"/>
      <c r="AM1196" s="627"/>
      <c r="AN1196" s="627"/>
      <c r="AO1196" s="627"/>
      <c r="AP1196" s="627"/>
      <c r="AQ1196" s="627"/>
      <c r="AR1196" s="627"/>
      <c r="AS1196" s="627"/>
      <c r="AT1196" s="627"/>
      <c r="AU1196" s="627"/>
      <c r="AV1196" s="627"/>
      <c r="AW1196" s="627"/>
      <c r="AX1196" s="627"/>
      <c r="AY1196" s="627"/>
      <c r="AZ1196" s="627"/>
      <c r="BA1196" s="627"/>
      <c r="BB1196" s="627"/>
      <c r="BC1196" s="627"/>
      <c r="BD1196" s="627"/>
      <c r="BE1196" s="627"/>
      <c r="BF1196" s="627"/>
      <c r="BG1196" s="627"/>
      <c r="BH1196" s="627"/>
      <c r="BI1196" s="627"/>
      <c r="BJ1196" s="627"/>
      <c r="BK1196" s="627"/>
      <c r="BL1196" s="627"/>
      <c r="BM1196" s="627"/>
      <c r="BN1196" s="627"/>
      <c r="BO1196" s="627"/>
      <c r="BP1196" s="627"/>
      <c r="BQ1196" s="627"/>
      <c r="BR1196" s="627"/>
      <c r="BS1196" s="627"/>
      <c r="BT1196" s="627"/>
    </row>
    <row r="1197" spans="1:72" ht="5.0999999999999996" customHeight="1" x14ac:dyDescent="0.35">
      <c r="A1197" s="988"/>
      <c r="B1197" s="762"/>
      <c r="C1197" s="1056"/>
      <c r="D1197" s="1057"/>
      <c r="E1197" s="1057"/>
      <c r="F1197" s="1057"/>
      <c r="G1197" s="1057"/>
      <c r="H1197" s="1057"/>
      <c r="I1197" s="1057"/>
      <c r="J1197" s="1057"/>
      <c r="K1197" s="1057"/>
      <c r="L1197" s="1057"/>
      <c r="M1197" s="1057"/>
      <c r="N1197" s="652"/>
      <c r="O1197" s="652"/>
      <c r="P1197" s="652"/>
      <c r="Q1197" s="987"/>
      <c r="R1197" s="627"/>
      <c r="S1197" s="627"/>
      <c r="T1197" s="627"/>
      <c r="U1197" s="627"/>
      <c r="V1197" s="627"/>
      <c r="W1197" s="627"/>
      <c r="X1197" s="627"/>
      <c r="Y1197" s="627"/>
      <c r="Z1197" s="627"/>
      <c r="AA1197" s="627"/>
      <c r="AB1197" s="627"/>
      <c r="AC1197" s="627"/>
      <c r="AD1197" s="627"/>
      <c r="AE1197" s="627"/>
      <c r="AF1197" s="627"/>
      <c r="AG1197" s="627"/>
      <c r="AH1197" s="627"/>
      <c r="AI1197" s="627"/>
      <c r="AJ1197" s="627"/>
      <c r="AK1197" s="627"/>
      <c r="AL1197" s="627"/>
      <c r="AM1197" s="627"/>
      <c r="AN1197" s="627"/>
      <c r="AO1197" s="627"/>
      <c r="AP1197" s="627"/>
      <c r="AQ1197" s="627"/>
      <c r="AR1197" s="627"/>
      <c r="AS1197" s="627"/>
      <c r="AT1197" s="627"/>
      <c r="AU1197" s="627"/>
      <c r="AV1197" s="627"/>
      <c r="AW1197" s="627"/>
      <c r="AX1197" s="627"/>
      <c r="AY1197" s="627"/>
      <c r="AZ1197" s="627"/>
      <c r="BA1197" s="627"/>
      <c r="BB1197" s="627"/>
      <c r="BC1197" s="627"/>
      <c r="BD1197" s="627"/>
      <c r="BE1197" s="627"/>
      <c r="BF1197" s="627"/>
      <c r="BG1197" s="627"/>
      <c r="BH1197" s="627"/>
      <c r="BI1197" s="627"/>
      <c r="BJ1197" s="627"/>
      <c r="BK1197" s="627"/>
      <c r="BL1197" s="627"/>
      <c r="BM1197" s="627"/>
      <c r="BN1197" s="627"/>
      <c r="BO1197" s="627"/>
      <c r="BP1197" s="627"/>
      <c r="BQ1197" s="627"/>
      <c r="BR1197" s="627"/>
      <c r="BS1197" s="627"/>
      <c r="BT1197" s="627"/>
    </row>
    <row r="1198" spans="1:72" ht="12.75" customHeight="1" x14ac:dyDescent="0.35">
      <c r="A1198" s="988"/>
      <c r="B1198" s="988"/>
      <c r="C1198" s="988" t="s">
        <v>213</v>
      </c>
      <c r="D1198" s="627"/>
      <c r="E1198" s="627"/>
      <c r="F1198" s="627"/>
      <c r="G1198" s="627"/>
      <c r="H1198" s="627"/>
      <c r="I1198" s="627"/>
      <c r="J1198" s="627"/>
      <c r="K1198" s="627"/>
      <c r="L1198" s="660">
        <f>IF($I$15=0,0,IF(N1198="X",0,IF(N1198&gt;0,N1198,IF(G1193+G1195=0,0,IF(G1193+G1195&gt;0,(((G1193+G1195)+44)/44-1)*100)))))</f>
        <v>0</v>
      </c>
      <c r="M1198" s="627" t="s">
        <v>130</v>
      </c>
      <c r="N1198" s="697"/>
      <c r="O1198" s="988" t="s">
        <v>214</v>
      </c>
      <c r="P1198" s="627"/>
      <c r="Q1198" s="719"/>
      <c r="R1198" s="627"/>
      <c r="S1198" s="627"/>
      <c r="T1198" s="627"/>
      <c r="U1198" s="627"/>
      <c r="V1198" s="627"/>
      <c r="W1198" s="627"/>
      <c r="X1198" s="627"/>
      <c r="Y1198" s="627"/>
      <c r="Z1198" s="627"/>
      <c r="AA1198" s="627"/>
      <c r="AB1198" s="627"/>
      <c r="AC1198" s="627"/>
      <c r="AD1198" s="627"/>
      <c r="AE1198" s="627"/>
      <c r="AF1198" s="627"/>
      <c r="AG1198" s="627"/>
      <c r="AH1198" s="627"/>
      <c r="AI1198" s="627"/>
      <c r="AJ1198" s="627"/>
      <c r="AK1198" s="627"/>
      <c r="AL1198" s="627"/>
      <c r="AM1198" s="627"/>
      <c r="AN1198" s="627"/>
      <c r="AO1198" s="627"/>
      <c r="AP1198" s="627"/>
      <c r="AQ1198" s="627"/>
      <c r="AR1198" s="627"/>
      <c r="AS1198" s="627"/>
      <c r="AT1198" s="627"/>
      <c r="AU1198" s="627"/>
      <c r="AV1198" s="627"/>
      <c r="AW1198" s="627"/>
      <c r="AX1198" s="627"/>
      <c r="AY1198" s="627"/>
      <c r="AZ1198" s="627"/>
      <c r="BA1198" s="627"/>
      <c r="BB1198" s="627"/>
      <c r="BC1198" s="627"/>
      <c r="BD1198" s="627"/>
      <c r="BE1198" s="627"/>
      <c r="BF1198" s="627"/>
      <c r="BG1198" s="627"/>
      <c r="BH1198" s="627"/>
      <c r="BI1198" s="627"/>
      <c r="BJ1198" s="627"/>
      <c r="BK1198" s="627"/>
      <c r="BL1198" s="627"/>
      <c r="BM1198" s="627"/>
      <c r="BN1198" s="627"/>
      <c r="BO1198" s="627"/>
      <c r="BP1198" s="627"/>
      <c r="BQ1198" s="627"/>
      <c r="BR1198" s="627"/>
      <c r="BS1198" s="627"/>
      <c r="BT1198" s="627"/>
    </row>
    <row r="1199" spans="1:72" ht="12.75" customHeight="1" x14ac:dyDescent="0.35">
      <c r="A1199" s="988"/>
      <c r="B1199" s="988"/>
      <c r="C1199" s="988"/>
      <c r="D1199" s="627"/>
      <c r="E1199" s="627"/>
      <c r="F1199" s="627"/>
      <c r="G1199" s="627"/>
      <c r="H1199" s="627"/>
      <c r="I1199" s="627"/>
      <c r="J1199" s="627"/>
      <c r="K1199" s="627"/>
      <c r="L1199" s="627"/>
      <c r="M1199" s="627"/>
      <c r="N1199" s="627"/>
      <c r="O1199" s="988" t="s">
        <v>215</v>
      </c>
      <c r="P1199" s="627"/>
      <c r="Q1199" s="719"/>
      <c r="R1199" s="627"/>
      <c r="S1199" s="627"/>
      <c r="T1199" s="627"/>
      <c r="U1199" s="627"/>
      <c r="V1199" s="627"/>
      <c r="W1199" s="627"/>
      <c r="X1199" s="627"/>
      <c r="Y1199" s="627"/>
      <c r="Z1199" s="627"/>
      <c r="AA1199" s="627"/>
      <c r="AB1199" s="627"/>
      <c r="AC1199" s="627"/>
      <c r="AD1199" s="627"/>
      <c r="AE1199" s="627"/>
      <c r="AF1199" s="627"/>
      <c r="AG1199" s="627"/>
      <c r="AH1199" s="627"/>
      <c r="AI1199" s="627"/>
      <c r="AJ1199" s="627"/>
      <c r="AK1199" s="627"/>
      <c r="AL1199" s="627"/>
      <c r="AM1199" s="627"/>
      <c r="AN1199" s="627"/>
      <c r="AO1199" s="627"/>
      <c r="AP1199" s="627"/>
      <c r="AQ1199" s="627"/>
      <c r="AR1199" s="627"/>
      <c r="AS1199" s="627"/>
      <c r="AT1199" s="627"/>
      <c r="AU1199" s="627"/>
      <c r="AV1199" s="627"/>
      <c r="AW1199" s="627"/>
      <c r="AX1199" s="627"/>
      <c r="AY1199" s="627"/>
      <c r="AZ1199" s="627"/>
      <c r="BA1199" s="627"/>
      <c r="BB1199" s="627"/>
      <c r="BC1199" s="627"/>
      <c r="BD1199" s="627"/>
      <c r="BE1199" s="627"/>
      <c r="BF1199" s="627"/>
      <c r="BG1199" s="627"/>
      <c r="BH1199" s="627"/>
      <c r="BI1199" s="627"/>
      <c r="BJ1199" s="627"/>
      <c r="BK1199" s="627"/>
      <c r="BL1199" s="627"/>
      <c r="BM1199" s="627"/>
      <c r="BN1199" s="627"/>
      <c r="BO1199" s="627"/>
      <c r="BP1199" s="627"/>
      <c r="BQ1199" s="627"/>
      <c r="BR1199" s="627"/>
      <c r="BS1199" s="627"/>
      <c r="BT1199" s="627"/>
    </row>
    <row r="1200" spans="1:72" ht="12.75" customHeight="1" x14ac:dyDescent="0.35">
      <c r="A1200" s="988"/>
      <c r="B1200" s="988"/>
      <c r="C1200" s="988" t="s">
        <v>216</v>
      </c>
      <c r="D1200" s="627"/>
      <c r="E1200" s="627"/>
      <c r="F1200" s="627"/>
      <c r="G1200" s="627"/>
      <c r="H1200" s="627"/>
      <c r="I1200" s="627"/>
      <c r="J1200" s="627"/>
      <c r="K1200" s="627"/>
      <c r="L1200" s="660">
        <f>IF($I$15=0,0,IF(N1200="X",0,IF(N1200&gt;0,N1200,IF(G1193+G1195=0,0,(G1193*(O1193)+G1195*(O1195))/(G1193+G1195)))))</f>
        <v>0</v>
      </c>
      <c r="M1200" s="627" t="s">
        <v>130</v>
      </c>
      <c r="N1200" s="697"/>
      <c r="O1200" s="988" t="s">
        <v>217</v>
      </c>
      <c r="P1200" s="627"/>
      <c r="Q1200" s="719"/>
      <c r="R1200" s="627"/>
      <c r="S1200" s="627"/>
      <c r="T1200" s="627"/>
      <c r="U1200" s="627"/>
      <c r="V1200" s="627"/>
      <c r="W1200" s="627"/>
      <c r="X1200" s="627"/>
      <c r="Y1200" s="627"/>
      <c r="Z1200" s="627"/>
      <c r="AA1200" s="627"/>
      <c r="AB1200" s="627"/>
      <c r="AC1200" s="627"/>
      <c r="AD1200" s="627"/>
      <c r="AE1200" s="627"/>
      <c r="AF1200" s="627"/>
      <c r="AG1200" s="627"/>
      <c r="AH1200" s="627"/>
      <c r="AI1200" s="627"/>
      <c r="AJ1200" s="627"/>
      <c r="AK1200" s="627"/>
      <c r="AL1200" s="627"/>
      <c r="AM1200" s="627"/>
      <c r="AN1200" s="627"/>
      <c r="AO1200" s="627"/>
      <c r="AP1200" s="627"/>
      <c r="AQ1200" s="627"/>
      <c r="AR1200" s="627"/>
      <c r="AS1200" s="627"/>
      <c r="AT1200" s="627"/>
      <c r="AU1200" s="627"/>
      <c r="AV1200" s="627"/>
      <c r="AW1200" s="627"/>
      <c r="AX1200" s="627"/>
      <c r="AY1200" s="627"/>
      <c r="AZ1200" s="627"/>
      <c r="BA1200" s="627"/>
      <c r="BB1200" s="627"/>
      <c r="BC1200" s="627"/>
      <c r="BD1200" s="627"/>
      <c r="BE1200" s="627"/>
      <c r="BF1200" s="627"/>
      <c r="BG1200" s="627"/>
      <c r="BH1200" s="627"/>
      <c r="BI1200" s="627"/>
      <c r="BJ1200" s="627"/>
      <c r="BK1200" s="627"/>
      <c r="BL1200" s="627"/>
      <c r="BM1200" s="627"/>
      <c r="BN1200" s="627"/>
      <c r="BO1200" s="627"/>
      <c r="BP1200" s="627"/>
      <c r="BQ1200" s="627"/>
      <c r="BR1200" s="627"/>
      <c r="BS1200" s="627"/>
      <c r="BT1200" s="627"/>
    </row>
    <row r="1201" spans="1:72" ht="6" customHeight="1" x14ac:dyDescent="0.35">
      <c r="A1201" s="988"/>
      <c r="B1201" s="637"/>
      <c r="C1201" s="637"/>
      <c r="D1201" s="749"/>
      <c r="E1201" s="749"/>
      <c r="F1201" s="749"/>
      <c r="G1201" s="749"/>
      <c r="H1201" s="749"/>
      <c r="I1201" s="749"/>
      <c r="J1201" s="749"/>
      <c r="K1201" s="749"/>
      <c r="L1201" s="749"/>
      <c r="M1201" s="749"/>
      <c r="N1201" s="749"/>
      <c r="O1201" s="749"/>
      <c r="P1201" s="749"/>
      <c r="Q1201" s="748"/>
      <c r="R1201" s="627"/>
      <c r="S1201" s="627"/>
      <c r="T1201" s="627"/>
      <c r="U1201" s="627"/>
      <c r="V1201" s="627"/>
      <c r="W1201" s="627"/>
      <c r="X1201" s="627"/>
      <c r="Y1201" s="627"/>
      <c r="Z1201" s="627"/>
      <c r="AA1201" s="627"/>
      <c r="AB1201" s="627"/>
      <c r="AC1201" s="627"/>
      <c r="AD1201" s="627"/>
      <c r="AE1201" s="627"/>
      <c r="AF1201" s="627"/>
      <c r="AG1201" s="627"/>
      <c r="AH1201" s="627"/>
      <c r="AI1201" s="627"/>
      <c r="AJ1201" s="627"/>
      <c r="AK1201" s="627"/>
      <c r="AL1201" s="627"/>
      <c r="AM1201" s="627"/>
      <c r="AN1201" s="627"/>
      <c r="AO1201" s="627"/>
      <c r="AP1201" s="627"/>
      <c r="AQ1201" s="627"/>
      <c r="AR1201" s="627"/>
      <c r="AS1201" s="627"/>
      <c r="AT1201" s="627"/>
      <c r="AU1201" s="627"/>
      <c r="AV1201" s="627"/>
      <c r="AW1201" s="627"/>
      <c r="AX1201" s="627"/>
      <c r="AY1201" s="627"/>
      <c r="AZ1201" s="627"/>
      <c r="BA1201" s="627"/>
      <c r="BB1201" s="627"/>
      <c r="BC1201" s="627"/>
      <c r="BD1201" s="627"/>
      <c r="BE1201" s="627"/>
      <c r="BF1201" s="627"/>
      <c r="BG1201" s="627"/>
      <c r="BH1201" s="627"/>
      <c r="BI1201" s="627"/>
      <c r="BJ1201" s="627"/>
      <c r="BK1201" s="627"/>
      <c r="BL1201" s="627"/>
      <c r="BM1201" s="627"/>
      <c r="BN1201" s="627"/>
      <c r="BO1201" s="627"/>
      <c r="BP1201" s="627"/>
      <c r="BQ1201" s="627"/>
      <c r="BR1201" s="627"/>
      <c r="BS1201" s="627"/>
      <c r="BT1201" s="627"/>
    </row>
    <row r="1202" spans="1:72" ht="3.75" customHeight="1" x14ac:dyDescent="0.35">
      <c r="A1202" s="988"/>
      <c r="B1202" s="627"/>
      <c r="C1202" s="627"/>
      <c r="D1202" s="627"/>
      <c r="E1202" s="627"/>
      <c r="F1202" s="627"/>
      <c r="G1202" s="627"/>
      <c r="H1202" s="627"/>
      <c r="I1202" s="627"/>
      <c r="J1202" s="627"/>
      <c r="K1202" s="627"/>
      <c r="L1202" s="627"/>
      <c r="M1202" s="627"/>
      <c r="N1202" s="627"/>
      <c r="O1202" s="627"/>
      <c r="P1202" s="627"/>
      <c r="Q1202" s="719"/>
      <c r="R1202" s="627"/>
      <c r="S1202" s="627"/>
      <c r="T1202" s="627"/>
      <c r="U1202" s="627"/>
      <c r="V1202" s="627"/>
      <c r="W1202" s="627"/>
      <c r="X1202" s="627"/>
      <c r="Y1202" s="627"/>
      <c r="Z1202" s="627"/>
      <c r="AA1202" s="627"/>
      <c r="AB1202" s="627"/>
      <c r="AC1202" s="627"/>
      <c r="AD1202" s="627"/>
      <c r="AE1202" s="627"/>
      <c r="AF1202" s="627"/>
      <c r="AG1202" s="627"/>
      <c r="AH1202" s="627"/>
      <c r="AI1202" s="627"/>
      <c r="AJ1202" s="627"/>
      <c r="AK1202" s="627"/>
      <c r="AL1202" s="627"/>
      <c r="AM1202" s="627"/>
      <c r="AN1202" s="627"/>
      <c r="AO1202" s="627"/>
      <c r="AP1202" s="627"/>
      <c r="AQ1202" s="627"/>
      <c r="AR1202" s="627"/>
      <c r="AS1202" s="627"/>
      <c r="AT1202" s="627"/>
      <c r="AU1202" s="627"/>
      <c r="AV1202" s="627"/>
      <c r="AW1202" s="627"/>
      <c r="AX1202" s="627"/>
      <c r="AY1202" s="627"/>
      <c r="AZ1202" s="627"/>
      <c r="BA1202" s="627"/>
      <c r="BB1202" s="627"/>
      <c r="BC1202" s="627"/>
      <c r="BD1202" s="627"/>
      <c r="BE1202" s="627"/>
      <c r="BF1202" s="627"/>
      <c r="BG1202" s="627"/>
      <c r="BH1202" s="627"/>
      <c r="BI1202" s="627"/>
      <c r="BJ1202" s="627"/>
      <c r="BK1202" s="627"/>
      <c r="BL1202" s="627"/>
      <c r="BM1202" s="627"/>
      <c r="BN1202" s="627"/>
      <c r="BO1202" s="627"/>
      <c r="BP1202" s="627"/>
      <c r="BQ1202" s="627"/>
      <c r="BR1202" s="627"/>
      <c r="BS1202" s="627"/>
      <c r="BT1202" s="627"/>
    </row>
    <row r="1203" spans="1:72" ht="3.75" customHeight="1" x14ac:dyDescent="0.35">
      <c r="A1203" s="637"/>
      <c r="B1203" s="749"/>
      <c r="C1203" s="749"/>
      <c r="D1203" s="749"/>
      <c r="E1203" s="749"/>
      <c r="F1203" s="749"/>
      <c r="G1203" s="749"/>
      <c r="H1203" s="749"/>
      <c r="I1203" s="749"/>
      <c r="J1203" s="749"/>
      <c r="K1203" s="749"/>
      <c r="L1203" s="749"/>
      <c r="M1203" s="749"/>
      <c r="N1203" s="749"/>
      <c r="O1203" s="749"/>
      <c r="P1203" s="749"/>
      <c r="Q1203" s="748"/>
      <c r="R1203" s="627"/>
      <c r="S1203" s="627"/>
      <c r="T1203" s="627"/>
      <c r="U1203" s="627"/>
      <c r="V1203" s="627"/>
      <c r="W1203" s="627"/>
      <c r="X1203" s="627"/>
      <c r="Y1203" s="627"/>
      <c r="Z1203" s="627"/>
      <c r="AA1203" s="627"/>
      <c r="AB1203" s="627"/>
      <c r="AC1203" s="627"/>
      <c r="AD1203" s="627"/>
      <c r="AE1203" s="627"/>
      <c r="AF1203" s="627"/>
      <c r="AG1203" s="627"/>
      <c r="AH1203" s="627"/>
      <c r="AI1203" s="627"/>
      <c r="AJ1203" s="627"/>
      <c r="AK1203" s="627"/>
      <c r="AL1203" s="627"/>
      <c r="AM1203" s="627"/>
      <c r="AN1203" s="627"/>
      <c r="AO1203" s="627"/>
      <c r="AP1203" s="627"/>
      <c r="AQ1203" s="627"/>
      <c r="AR1203" s="627"/>
      <c r="AS1203" s="627"/>
      <c r="AT1203" s="627"/>
      <c r="AU1203" s="627"/>
      <c r="AV1203" s="627"/>
      <c r="AW1203" s="627"/>
      <c r="AX1203" s="627"/>
      <c r="AY1203" s="627"/>
      <c r="AZ1203" s="627"/>
      <c r="BA1203" s="627"/>
      <c r="BB1203" s="627"/>
      <c r="BC1203" s="627"/>
      <c r="BD1203" s="627"/>
      <c r="BE1203" s="627"/>
      <c r="BF1203" s="627"/>
      <c r="BG1203" s="627"/>
      <c r="BH1203" s="627"/>
      <c r="BI1203" s="627"/>
      <c r="BJ1203" s="627"/>
      <c r="BK1203" s="627"/>
      <c r="BL1203" s="627"/>
      <c r="BM1203" s="627"/>
      <c r="BN1203" s="627"/>
      <c r="BO1203" s="627"/>
      <c r="BP1203" s="627"/>
      <c r="BQ1203" s="627"/>
      <c r="BR1203" s="627"/>
      <c r="BS1203" s="627"/>
      <c r="BT1203" s="627"/>
    </row>
    <row r="1204" spans="1:72" x14ac:dyDescent="0.35">
      <c r="A1204" s="646"/>
      <c r="B1204" s="646"/>
      <c r="C1204" s="646"/>
      <c r="D1204" s="646"/>
      <c r="E1204" s="646"/>
      <c r="F1204" s="646"/>
      <c r="G1204" s="646"/>
      <c r="H1204" s="646"/>
      <c r="I1204" s="646"/>
      <c r="J1204" s="646"/>
      <c r="K1204" s="646"/>
      <c r="L1204" s="646"/>
      <c r="M1204" s="646"/>
      <c r="N1204" s="646"/>
      <c r="O1204" s="646"/>
      <c r="P1204" s="646"/>
      <c r="Q1204" s="646"/>
      <c r="R1204" s="627"/>
      <c r="S1204" s="627"/>
      <c r="T1204" s="627"/>
      <c r="U1204" s="627"/>
      <c r="V1204" s="627"/>
      <c r="W1204" s="627"/>
      <c r="X1204" s="627"/>
      <c r="Y1204" s="627"/>
      <c r="Z1204" s="627"/>
      <c r="AA1204" s="627"/>
      <c r="AB1204" s="627"/>
      <c r="AC1204" s="627"/>
      <c r="AD1204" s="627"/>
      <c r="AE1204" s="627"/>
      <c r="AF1204" s="627"/>
      <c r="AG1204" s="627"/>
      <c r="AH1204" s="627"/>
      <c r="AI1204" s="627"/>
      <c r="AJ1204" s="627"/>
      <c r="AK1204" s="627"/>
      <c r="AL1204" s="627"/>
      <c r="AM1204" s="627"/>
      <c r="AN1204" s="627"/>
      <c r="AO1204" s="627"/>
      <c r="AP1204" s="627"/>
      <c r="AQ1204" s="627"/>
      <c r="AR1204" s="627"/>
      <c r="AS1204" s="627"/>
      <c r="AT1204" s="627"/>
      <c r="AU1204" s="627"/>
      <c r="AV1204" s="627"/>
      <c r="AW1204" s="627"/>
      <c r="AX1204" s="627"/>
      <c r="AY1204" s="627"/>
      <c r="AZ1204" s="627"/>
      <c r="BA1204" s="627"/>
      <c r="BB1204" s="627"/>
      <c r="BC1204" s="627"/>
      <c r="BD1204" s="627"/>
      <c r="BE1204" s="627"/>
      <c r="BF1204" s="627"/>
      <c r="BG1204" s="627"/>
      <c r="BH1204" s="627"/>
      <c r="BI1204" s="627"/>
      <c r="BJ1204" s="627"/>
      <c r="BK1204" s="627"/>
      <c r="BL1204" s="627"/>
      <c r="BM1204" s="627"/>
      <c r="BN1204" s="627"/>
      <c r="BO1204" s="627"/>
      <c r="BP1204" s="627"/>
      <c r="BQ1204" s="627"/>
      <c r="BR1204" s="627"/>
      <c r="BS1204" s="627"/>
      <c r="BT1204" s="627"/>
    </row>
    <row r="1205" spans="1:72" ht="6.75" customHeight="1" thickBot="1" x14ac:dyDescent="0.4">
      <c r="A1205" s="636"/>
      <c r="B1205" s="652"/>
      <c r="C1205" s="652"/>
      <c r="D1205" s="652"/>
      <c r="E1205" s="652"/>
      <c r="F1205" s="652"/>
      <c r="G1205" s="652"/>
      <c r="H1205" s="652"/>
      <c r="I1205" s="652"/>
      <c r="J1205" s="652"/>
      <c r="K1205" s="652"/>
      <c r="L1205" s="652"/>
      <c r="M1205" s="652"/>
      <c r="N1205" s="652"/>
      <c r="O1205" s="652"/>
      <c r="P1205" s="652"/>
      <c r="Q1205" s="987"/>
      <c r="R1205" s="627"/>
      <c r="S1205" s="627"/>
      <c r="T1205" s="627"/>
      <c r="U1205" s="627"/>
      <c r="V1205" s="627"/>
      <c r="W1205" s="627"/>
      <c r="X1205" s="627"/>
      <c r="Y1205" s="627"/>
      <c r="Z1205" s="627"/>
      <c r="AA1205" s="627"/>
      <c r="AB1205" s="627"/>
      <c r="AC1205" s="627"/>
      <c r="AD1205" s="627"/>
      <c r="AE1205" s="627"/>
      <c r="AF1205" s="627"/>
      <c r="AG1205" s="627"/>
      <c r="AH1205" s="627"/>
      <c r="AI1205" s="627"/>
      <c r="AJ1205" s="627"/>
      <c r="AK1205" s="627"/>
      <c r="AL1205" s="627"/>
      <c r="AM1205" s="627"/>
      <c r="AN1205" s="627"/>
      <c r="AO1205" s="627"/>
      <c r="AP1205" s="627"/>
      <c r="AQ1205" s="627"/>
      <c r="AR1205" s="627"/>
      <c r="AS1205" s="627"/>
      <c r="AT1205" s="627"/>
      <c r="AU1205" s="627"/>
      <c r="AV1205" s="627"/>
      <c r="AW1205" s="627"/>
      <c r="AX1205" s="627"/>
      <c r="AY1205" s="627"/>
      <c r="AZ1205" s="627"/>
      <c r="BA1205" s="627"/>
      <c r="BB1205" s="627"/>
      <c r="BC1205" s="627"/>
      <c r="BD1205" s="627"/>
      <c r="BE1205" s="627"/>
      <c r="BF1205" s="627"/>
      <c r="BG1205" s="627"/>
      <c r="BH1205" s="627"/>
      <c r="BI1205" s="627"/>
      <c r="BJ1205" s="627"/>
      <c r="BK1205" s="627"/>
      <c r="BL1205" s="627"/>
      <c r="BM1205" s="627"/>
      <c r="BN1205" s="627"/>
      <c r="BO1205" s="627"/>
      <c r="BP1205" s="627"/>
      <c r="BQ1205" s="627"/>
      <c r="BR1205" s="627"/>
      <c r="BS1205" s="627"/>
      <c r="BT1205" s="627"/>
    </row>
    <row r="1206" spans="1:72" ht="15.75" thickTop="1" thickBot="1" x14ac:dyDescent="0.4">
      <c r="A1206" s="988"/>
      <c r="B1206" s="989"/>
      <c r="C1206" s="1382" t="s">
        <v>716</v>
      </c>
      <c r="D1206" s="1382"/>
      <c r="E1206" s="1382"/>
      <c r="F1206" s="1382"/>
      <c r="G1206" s="1382"/>
      <c r="H1206" s="1382"/>
      <c r="I1206" s="1382"/>
      <c r="J1206" s="1382"/>
      <c r="K1206" s="1382"/>
      <c r="L1206" s="1382"/>
      <c r="M1206" s="1382"/>
      <c r="N1206" s="1382"/>
      <c r="O1206" s="1382"/>
      <c r="P1206" s="990"/>
      <c r="Q1206" s="719"/>
      <c r="R1206" s="627"/>
      <c r="S1206" s="627"/>
      <c r="T1206" s="627"/>
      <c r="U1206" s="627"/>
      <c r="V1206" s="627"/>
      <c r="W1206" s="627"/>
      <c r="X1206" s="627"/>
      <c r="Y1206" s="627"/>
      <c r="Z1206" s="627"/>
      <c r="AA1206" s="627"/>
      <c r="AB1206" s="627"/>
      <c r="AC1206" s="627"/>
      <c r="AD1206" s="627"/>
      <c r="AE1206" s="627"/>
      <c r="AF1206" s="627"/>
      <c r="AG1206" s="627"/>
      <c r="AH1206" s="627"/>
      <c r="AI1206" s="627"/>
      <c r="AJ1206" s="627"/>
      <c r="AK1206" s="627"/>
      <c r="AL1206" s="627"/>
      <c r="AM1206" s="627"/>
      <c r="AN1206" s="627"/>
      <c r="AO1206" s="627"/>
      <c r="AP1206" s="627"/>
      <c r="AQ1206" s="627"/>
      <c r="AR1206" s="627"/>
      <c r="AS1206" s="627"/>
      <c r="AT1206" s="627"/>
      <c r="AU1206" s="627"/>
      <c r="AV1206" s="627"/>
      <c r="AW1206" s="627"/>
      <c r="AX1206" s="627"/>
      <c r="AY1206" s="627"/>
      <c r="AZ1206" s="627"/>
      <c r="BA1206" s="627"/>
      <c r="BB1206" s="627"/>
      <c r="BC1206" s="627"/>
      <c r="BD1206" s="627"/>
      <c r="BE1206" s="627"/>
      <c r="BF1206" s="627"/>
      <c r="BG1206" s="627"/>
      <c r="BH1206" s="627"/>
      <c r="BI1206" s="627"/>
      <c r="BJ1206" s="627"/>
      <c r="BK1206" s="627"/>
      <c r="BL1206" s="627"/>
      <c r="BM1206" s="627"/>
      <c r="BN1206" s="627"/>
      <c r="BO1206" s="627"/>
      <c r="BP1206" s="627"/>
      <c r="BQ1206" s="627"/>
      <c r="BR1206" s="627"/>
      <c r="BS1206" s="627"/>
      <c r="BT1206" s="627"/>
    </row>
    <row r="1207" spans="1:72" ht="8.25" customHeight="1" thickTop="1" x14ac:dyDescent="0.4">
      <c r="A1207" s="988"/>
      <c r="B1207" s="627"/>
      <c r="C1207" s="12"/>
      <c r="D1207" s="627"/>
      <c r="E1207" s="627"/>
      <c r="F1207" s="627"/>
      <c r="G1207" s="627"/>
      <c r="H1207" s="627"/>
      <c r="I1207" s="627"/>
      <c r="J1207" s="627"/>
      <c r="K1207" s="627"/>
      <c r="L1207" s="627"/>
      <c r="M1207" s="627"/>
      <c r="N1207" s="627"/>
      <c r="O1207" s="627"/>
      <c r="P1207" s="627"/>
      <c r="Q1207" s="719"/>
      <c r="R1207" s="627"/>
      <c r="S1207" s="627"/>
      <c r="T1207" s="627"/>
      <c r="U1207" s="627"/>
      <c r="V1207" s="627"/>
      <c r="W1207" s="627"/>
      <c r="X1207" s="627"/>
      <c r="Y1207" s="627"/>
      <c r="Z1207" s="627"/>
      <c r="AA1207" s="627"/>
      <c r="AB1207" s="627"/>
      <c r="AC1207" s="627"/>
      <c r="AD1207" s="627"/>
      <c r="AE1207" s="627"/>
      <c r="AF1207" s="627"/>
      <c r="AG1207" s="627"/>
      <c r="AH1207" s="627"/>
      <c r="AI1207" s="627"/>
      <c r="AJ1207" s="627"/>
      <c r="AK1207" s="627"/>
      <c r="AL1207" s="627"/>
      <c r="AM1207" s="627"/>
      <c r="AN1207" s="627"/>
      <c r="AO1207" s="627"/>
      <c r="AP1207" s="627"/>
      <c r="AQ1207" s="627"/>
      <c r="AR1207" s="627"/>
      <c r="AS1207" s="627"/>
      <c r="AT1207" s="627"/>
      <c r="AU1207" s="627"/>
      <c r="AV1207" s="627"/>
      <c r="AW1207" s="627"/>
      <c r="AX1207" s="627"/>
      <c r="AY1207" s="627"/>
      <c r="AZ1207" s="627"/>
      <c r="BA1207" s="627"/>
      <c r="BB1207" s="627"/>
      <c r="BC1207" s="627"/>
      <c r="BD1207" s="627"/>
      <c r="BE1207" s="627"/>
      <c r="BF1207" s="627"/>
      <c r="BG1207" s="627"/>
      <c r="BH1207" s="627"/>
      <c r="BI1207" s="627"/>
      <c r="BJ1207" s="627"/>
      <c r="BK1207" s="627"/>
      <c r="BL1207" s="627"/>
      <c r="BM1207" s="627"/>
      <c r="BN1207" s="627"/>
      <c r="BO1207" s="627"/>
      <c r="BP1207" s="627"/>
      <c r="BQ1207" s="627"/>
      <c r="BR1207" s="627"/>
      <c r="BS1207" s="627"/>
      <c r="BT1207" s="627"/>
    </row>
    <row r="1208" spans="1:72" ht="5.25" hidden="1" customHeight="1" x14ac:dyDescent="0.35">
      <c r="A1208" s="988"/>
      <c r="B1208" s="636"/>
      <c r="C1208" s="652"/>
      <c r="D1208" s="652"/>
      <c r="E1208" s="652"/>
      <c r="F1208" s="652"/>
      <c r="G1208" s="652"/>
      <c r="H1208" s="652"/>
      <c r="I1208" s="652"/>
      <c r="J1208" s="652"/>
      <c r="K1208" s="652"/>
      <c r="L1208" s="652"/>
      <c r="M1208" s="652"/>
      <c r="N1208" s="652"/>
      <c r="O1208" s="652"/>
      <c r="P1208" s="987"/>
      <c r="Q1208" s="719"/>
      <c r="R1208" s="627"/>
      <c r="S1208" s="627"/>
      <c r="T1208" s="627"/>
      <c r="U1208" s="627"/>
      <c r="V1208" s="627"/>
      <c r="W1208" s="627"/>
      <c r="X1208" s="627"/>
      <c r="Y1208" s="627"/>
      <c r="Z1208" s="627"/>
      <c r="AA1208" s="627"/>
      <c r="AB1208" s="627"/>
      <c r="AC1208" s="627"/>
      <c r="AD1208" s="627"/>
      <c r="AE1208" s="627"/>
      <c r="AF1208" s="627"/>
      <c r="AG1208" s="627"/>
      <c r="AH1208" s="627"/>
      <c r="AI1208" s="627"/>
      <c r="AJ1208" s="627"/>
      <c r="AK1208" s="627"/>
      <c r="AL1208" s="627"/>
      <c r="AM1208" s="627"/>
      <c r="AN1208" s="627"/>
      <c r="AO1208" s="627"/>
      <c r="AP1208" s="627"/>
      <c r="AQ1208" s="627"/>
      <c r="AR1208" s="627"/>
      <c r="AS1208" s="627"/>
      <c r="AT1208" s="627"/>
      <c r="AU1208" s="627"/>
      <c r="AV1208" s="627"/>
      <c r="AW1208" s="627"/>
      <c r="AX1208" s="627"/>
      <c r="AY1208" s="627"/>
      <c r="AZ1208" s="627"/>
      <c r="BA1208" s="627"/>
      <c r="BB1208" s="627"/>
      <c r="BC1208" s="627"/>
      <c r="BD1208" s="627"/>
      <c r="BE1208" s="627"/>
      <c r="BF1208" s="627"/>
      <c r="BG1208" s="627"/>
      <c r="BH1208" s="627"/>
      <c r="BI1208" s="627"/>
      <c r="BJ1208" s="627"/>
      <c r="BK1208" s="627"/>
      <c r="BL1208" s="627"/>
      <c r="BM1208" s="627"/>
      <c r="BN1208" s="627"/>
      <c r="BO1208" s="627"/>
      <c r="BP1208" s="627"/>
      <c r="BQ1208" s="627"/>
      <c r="BR1208" s="627"/>
      <c r="BS1208" s="627"/>
      <c r="BT1208" s="627"/>
    </row>
    <row r="1209" spans="1:72" hidden="1" x14ac:dyDescent="0.35">
      <c r="A1209" s="988"/>
      <c r="B1209" s="988"/>
      <c r="C1209" s="627" t="s">
        <v>717</v>
      </c>
      <c r="D1209" s="627"/>
      <c r="E1209" s="627"/>
      <c r="F1209" s="627"/>
      <c r="G1209" s="627"/>
      <c r="H1209" s="627"/>
      <c r="I1209" s="627"/>
      <c r="J1209" s="627"/>
      <c r="K1209" s="627"/>
      <c r="L1209" s="627"/>
      <c r="M1209" s="627"/>
      <c r="N1209" s="627"/>
      <c r="O1209" s="627"/>
      <c r="P1209" s="719"/>
      <c r="Q1209" s="719"/>
      <c r="R1209" s="627"/>
      <c r="S1209" s="627"/>
      <c r="T1209" s="627"/>
      <c r="U1209" s="627"/>
      <c r="V1209" s="627"/>
      <c r="W1209" s="627"/>
      <c r="X1209" s="627"/>
      <c r="Y1209" s="627"/>
      <c r="Z1209" s="627"/>
      <c r="AA1209" s="627"/>
      <c r="AB1209" s="627"/>
      <c r="AC1209" s="627"/>
      <c r="AD1209" s="627"/>
      <c r="AE1209" s="627"/>
      <c r="AF1209" s="627"/>
      <c r="AG1209" s="627"/>
      <c r="AH1209" s="627"/>
      <c r="AI1209" s="627"/>
      <c r="AJ1209" s="627"/>
      <c r="AK1209" s="627"/>
      <c r="AL1209" s="627"/>
      <c r="AM1209" s="627"/>
      <c r="AN1209" s="627"/>
      <c r="AO1209" s="627"/>
      <c r="AP1209" s="627"/>
      <c r="AQ1209" s="627"/>
      <c r="AR1209" s="627"/>
      <c r="AS1209" s="627"/>
      <c r="AT1209" s="627"/>
      <c r="AU1209" s="627"/>
      <c r="AV1209" s="627"/>
      <c r="AW1209" s="627"/>
      <c r="AX1209" s="627"/>
      <c r="AY1209" s="627"/>
      <c r="AZ1209" s="627"/>
      <c r="BA1209" s="627"/>
      <c r="BB1209" s="627"/>
      <c r="BC1209" s="627"/>
      <c r="BD1209" s="627"/>
      <c r="BE1209" s="627"/>
      <c r="BF1209" s="627"/>
      <c r="BG1209" s="627"/>
      <c r="BH1209" s="627"/>
      <c r="BI1209" s="627"/>
      <c r="BJ1209" s="627"/>
      <c r="BK1209" s="627"/>
      <c r="BL1209" s="627"/>
      <c r="BM1209" s="627"/>
      <c r="BN1209" s="627"/>
      <c r="BO1209" s="627"/>
      <c r="BP1209" s="627"/>
      <c r="BQ1209" s="627"/>
      <c r="BR1209" s="627"/>
      <c r="BS1209" s="627"/>
      <c r="BT1209" s="627"/>
    </row>
    <row r="1210" spans="1:72" hidden="1" x14ac:dyDescent="0.35">
      <c r="A1210" s="988"/>
      <c r="B1210" s="988"/>
      <c r="C1210" s="627"/>
      <c r="D1210" s="627"/>
      <c r="E1210" s="627"/>
      <c r="F1210" s="627"/>
      <c r="G1210" s="627"/>
      <c r="H1210" s="627"/>
      <c r="I1210" s="627"/>
      <c r="J1210" s="627"/>
      <c r="K1210" s="627"/>
      <c r="L1210" s="627"/>
      <c r="M1210" s="627"/>
      <c r="N1210" s="627"/>
      <c r="O1210" s="627"/>
      <c r="P1210" s="719"/>
      <c r="Q1210" s="719"/>
      <c r="R1210" s="627"/>
      <c r="S1210" s="627"/>
      <c r="T1210" s="627"/>
      <c r="U1210" s="627"/>
      <c r="V1210" s="627"/>
      <c r="W1210" s="627"/>
      <c r="X1210" s="627"/>
      <c r="Y1210" s="627"/>
      <c r="Z1210" s="627"/>
      <c r="AA1210" s="627"/>
      <c r="AB1210" s="627"/>
      <c r="AC1210" s="627"/>
      <c r="AD1210" s="627"/>
      <c r="AE1210" s="627"/>
      <c r="AF1210" s="627"/>
      <c r="AG1210" s="627"/>
      <c r="AH1210" s="627"/>
      <c r="AI1210" s="627"/>
      <c r="AJ1210" s="627"/>
      <c r="AK1210" s="627"/>
      <c r="AL1210" s="627"/>
      <c r="AM1210" s="627"/>
      <c r="AN1210" s="627"/>
      <c r="AO1210" s="627"/>
      <c r="AP1210" s="627"/>
      <c r="AQ1210" s="627"/>
      <c r="AR1210" s="627"/>
      <c r="AS1210" s="627"/>
      <c r="AT1210" s="627"/>
      <c r="AU1210" s="627"/>
      <c r="AV1210" s="627"/>
      <c r="AW1210" s="627"/>
      <c r="AX1210" s="627"/>
      <c r="AY1210" s="627"/>
      <c r="AZ1210" s="627"/>
      <c r="BA1210" s="627"/>
      <c r="BB1210" s="627"/>
      <c r="BC1210" s="627"/>
      <c r="BD1210" s="627"/>
      <c r="BE1210" s="627"/>
      <c r="BF1210" s="627"/>
      <c r="BG1210" s="627"/>
      <c r="BH1210" s="627"/>
      <c r="BI1210" s="627"/>
      <c r="BJ1210" s="627"/>
      <c r="BK1210" s="627"/>
      <c r="BL1210" s="627"/>
      <c r="BM1210" s="627"/>
      <c r="BN1210" s="627"/>
      <c r="BO1210" s="627"/>
      <c r="BP1210" s="627"/>
      <c r="BQ1210" s="627"/>
      <c r="BR1210" s="627"/>
      <c r="BS1210" s="627"/>
      <c r="BT1210" s="627"/>
    </row>
    <row r="1211" spans="1:72" hidden="1" x14ac:dyDescent="0.35">
      <c r="A1211" s="988"/>
      <c r="B1211" s="988"/>
      <c r="C1211" s="627" t="s">
        <v>718</v>
      </c>
      <c r="D1211" s="627"/>
      <c r="E1211" s="627"/>
      <c r="F1211" s="627"/>
      <c r="G1211" s="627"/>
      <c r="H1211" s="627"/>
      <c r="I1211" s="627"/>
      <c r="J1211" s="627"/>
      <c r="K1211" s="627"/>
      <c r="L1211" s="627"/>
      <c r="M1211" s="627"/>
      <c r="N1211" s="627"/>
      <c r="O1211" s="627"/>
      <c r="P1211" s="719"/>
      <c r="Q1211" s="719"/>
      <c r="R1211" s="627"/>
      <c r="S1211" s="627"/>
      <c r="T1211" s="627"/>
      <c r="U1211" s="627"/>
      <c r="V1211" s="627"/>
      <c r="W1211" s="627"/>
      <c r="X1211" s="627"/>
      <c r="Y1211" s="627"/>
      <c r="Z1211" s="627"/>
      <c r="AA1211" s="627"/>
      <c r="AB1211" s="627"/>
      <c r="AC1211" s="627"/>
      <c r="AD1211" s="627"/>
      <c r="AE1211" s="627"/>
      <c r="AF1211" s="627"/>
      <c r="AG1211" s="627"/>
      <c r="AH1211" s="627"/>
      <c r="AI1211" s="627"/>
      <c r="AJ1211" s="627"/>
      <c r="AK1211" s="627"/>
      <c r="AL1211" s="627"/>
      <c r="AM1211" s="627"/>
      <c r="AN1211" s="627"/>
      <c r="AO1211" s="627"/>
      <c r="AP1211" s="627"/>
      <c r="AQ1211" s="627"/>
      <c r="AR1211" s="627"/>
      <c r="AS1211" s="627"/>
      <c r="AT1211" s="627"/>
      <c r="AU1211" s="627"/>
      <c r="AV1211" s="627"/>
      <c r="AW1211" s="627"/>
      <c r="AX1211" s="627"/>
      <c r="AY1211" s="627"/>
      <c r="AZ1211" s="627"/>
      <c r="BA1211" s="627"/>
      <c r="BB1211" s="627"/>
      <c r="BC1211" s="627"/>
      <c r="BD1211" s="627"/>
      <c r="BE1211" s="627"/>
      <c r="BF1211" s="627"/>
      <c r="BG1211" s="627"/>
      <c r="BH1211" s="627"/>
      <c r="BI1211" s="627"/>
      <c r="BJ1211" s="627"/>
      <c r="BK1211" s="627"/>
      <c r="BL1211" s="627"/>
      <c r="BM1211" s="627"/>
      <c r="BN1211" s="627"/>
      <c r="BO1211" s="627"/>
      <c r="BP1211" s="627"/>
      <c r="BQ1211" s="627"/>
      <c r="BR1211" s="627"/>
      <c r="BS1211" s="627"/>
      <c r="BT1211" s="627"/>
    </row>
    <row r="1212" spans="1:72" hidden="1" x14ac:dyDescent="0.35">
      <c r="A1212" s="988"/>
      <c r="B1212" s="988"/>
      <c r="C1212" s="627"/>
      <c r="D1212" s="627" t="s">
        <v>719</v>
      </c>
      <c r="E1212" s="627"/>
      <c r="F1212" s="627"/>
      <c r="G1212" s="627"/>
      <c r="H1212" s="627"/>
      <c r="I1212" s="627"/>
      <c r="J1212" s="627"/>
      <c r="K1212" s="627"/>
      <c r="L1212" s="627"/>
      <c r="M1212" s="627"/>
      <c r="N1212" s="627"/>
      <c r="O1212" s="627"/>
      <c r="P1212" s="719"/>
      <c r="Q1212" s="719"/>
      <c r="R1212" s="627"/>
      <c r="S1212" s="627"/>
      <c r="T1212" s="627"/>
      <c r="U1212" s="627"/>
      <c r="V1212" s="627"/>
      <c r="W1212" s="627"/>
      <c r="X1212" s="627"/>
      <c r="Y1212" s="627"/>
      <c r="Z1212" s="627"/>
      <c r="AA1212" s="627"/>
      <c r="AB1212" s="627"/>
      <c r="AC1212" s="627"/>
      <c r="AD1212" s="627"/>
      <c r="AE1212" s="627"/>
      <c r="AF1212" s="627"/>
      <c r="AG1212" s="627"/>
      <c r="AH1212" s="627"/>
      <c r="AI1212" s="627"/>
      <c r="AJ1212" s="627"/>
      <c r="AK1212" s="627"/>
      <c r="AL1212" s="627"/>
      <c r="AM1212" s="627"/>
      <c r="AN1212" s="627"/>
      <c r="AO1212" s="627"/>
      <c r="AP1212" s="627"/>
      <c r="AQ1212" s="627"/>
      <c r="AR1212" s="627"/>
      <c r="AS1212" s="627"/>
      <c r="AT1212" s="627"/>
      <c r="AU1212" s="627"/>
      <c r="AV1212" s="627"/>
      <c r="AW1212" s="627"/>
      <c r="AX1212" s="627"/>
      <c r="AY1212" s="627"/>
      <c r="AZ1212" s="627"/>
      <c r="BA1212" s="627"/>
      <c r="BB1212" s="627"/>
      <c r="BC1212" s="627"/>
      <c r="BD1212" s="627"/>
      <c r="BE1212" s="627"/>
      <c r="BF1212" s="627"/>
      <c r="BG1212" s="627"/>
      <c r="BH1212" s="627"/>
      <c r="BI1212" s="627"/>
      <c r="BJ1212" s="627"/>
      <c r="BK1212" s="627"/>
      <c r="BL1212" s="627"/>
      <c r="BM1212" s="627"/>
      <c r="BN1212" s="627"/>
      <c r="BO1212" s="627"/>
      <c r="BP1212" s="627"/>
      <c r="BQ1212" s="627"/>
      <c r="BR1212" s="627"/>
      <c r="BS1212" s="627"/>
      <c r="BT1212" s="627"/>
    </row>
    <row r="1213" spans="1:72" hidden="1" x14ac:dyDescent="0.35">
      <c r="A1213" s="988"/>
      <c r="B1213" s="988"/>
      <c r="C1213" s="627"/>
      <c r="D1213" s="627"/>
      <c r="E1213" s="627" t="s">
        <v>720</v>
      </c>
      <c r="F1213" s="627"/>
      <c r="G1213" s="627"/>
      <c r="H1213" s="627"/>
      <c r="I1213" s="627"/>
      <c r="J1213" s="627"/>
      <c r="K1213" s="627"/>
      <c r="L1213" s="627"/>
      <c r="M1213" s="627"/>
      <c r="N1213" s="627"/>
      <c r="O1213" s="627"/>
      <c r="P1213" s="719"/>
      <c r="Q1213" s="719"/>
      <c r="R1213" s="627"/>
      <c r="S1213" s="627"/>
      <c r="T1213" s="627"/>
      <c r="U1213" s="627"/>
      <c r="V1213" s="627"/>
      <c r="W1213" s="627"/>
      <c r="X1213" s="627"/>
      <c r="Y1213" s="627"/>
      <c r="Z1213" s="627"/>
      <c r="AA1213" s="627"/>
      <c r="AB1213" s="627"/>
      <c r="AC1213" s="627"/>
      <c r="AD1213" s="627"/>
      <c r="AE1213" s="627"/>
      <c r="AF1213" s="627"/>
      <c r="AG1213" s="627"/>
      <c r="AH1213" s="627"/>
      <c r="AI1213" s="627"/>
      <c r="AJ1213" s="627"/>
      <c r="AK1213" s="627"/>
      <c r="AL1213" s="627"/>
      <c r="AM1213" s="627"/>
      <c r="AN1213" s="627"/>
      <c r="AO1213" s="627"/>
      <c r="AP1213" s="627"/>
      <c r="AQ1213" s="627"/>
      <c r="AR1213" s="627"/>
      <c r="AS1213" s="627"/>
      <c r="AT1213" s="627"/>
      <c r="AU1213" s="627"/>
      <c r="AV1213" s="627"/>
      <c r="AW1213" s="627"/>
      <c r="AX1213" s="627"/>
      <c r="AY1213" s="627"/>
      <c r="AZ1213" s="627"/>
      <c r="BA1213" s="627"/>
      <c r="BB1213" s="627"/>
      <c r="BC1213" s="627"/>
      <c r="BD1213" s="627"/>
      <c r="BE1213" s="627"/>
      <c r="BF1213" s="627"/>
      <c r="BG1213" s="627"/>
      <c r="BH1213" s="627"/>
      <c r="BI1213" s="627"/>
      <c r="BJ1213" s="627"/>
      <c r="BK1213" s="627"/>
      <c r="BL1213" s="627"/>
      <c r="BM1213" s="627"/>
      <c r="BN1213" s="627"/>
      <c r="BO1213" s="627"/>
      <c r="BP1213" s="627"/>
      <c r="BQ1213" s="627"/>
      <c r="BR1213" s="627"/>
      <c r="BS1213" s="627"/>
      <c r="BT1213" s="627"/>
    </row>
    <row r="1214" spans="1:72" hidden="1" x14ac:dyDescent="0.35">
      <c r="A1214" s="988"/>
      <c r="B1214" s="988"/>
      <c r="C1214" s="627"/>
      <c r="D1214" s="627" t="s">
        <v>721</v>
      </c>
      <c r="E1214" s="627"/>
      <c r="F1214" s="627"/>
      <c r="G1214" s="627"/>
      <c r="H1214" s="627"/>
      <c r="I1214" s="627"/>
      <c r="J1214" s="627"/>
      <c r="K1214" s="627"/>
      <c r="L1214" s="627"/>
      <c r="M1214" s="627"/>
      <c r="N1214" s="627"/>
      <c r="O1214" s="627"/>
      <c r="P1214" s="719"/>
      <c r="Q1214" s="719"/>
      <c r="R1214" s="627"/>
      <c r="S1214" s="627"/>
      <c r="T1214" s="627"/>
      <c r="U1214" s="627"/>
      <c r="V1214" s="627"/>
      <c r="W1214" s="627"/>
      <c r="X1214" s="627"/>
      <c r="Y1214" s="627"/>
      <c r="Z1214" s="627"/>
      <c r="AA1214" s="627"/>
      <c r="AB1214" s="627"/>
      <c r="AC1214" s="627"/>
      <c r="AD1214" s="627"/>
      <c r="AE1214" s="627"/>
      <c r="AF1214" s="627"/>
      <c r="AG1214" s="627"/>
      <c r="AH1214" s="627"/>
      <c r="AI1214" s="627"/>
      <c r="AJ1214" s="627"/>
      <c r="AK1214" s="627"/>
      <c r="AL1214" s="627"/>
      <c r="AM1214" s="627"/>
      <c r="AN1214" s="627"/>
      <c r="AO1214" s="627"/>
      <c r="AP1214" s="627"/>
      <c r="AQ1214" s="627"/>
      <c r="AR1214" s="627"/>
      <c r="AS1214" s="627"/>
      <c r="AT1214" s="627"/>
      <c r="AU1214" s="627"/>
      <c r="AV1214" s="627"/>
      <c r="AW1214" s="627"/>
      <c r="AX1214" s="627"/>
      <c r="AY1214" s="627"/>
      <c r="AZ1214" s="627"/>
      <c r="BA1214" s="627"/>
      <c r="BB1214" s="627"/>
      <c r="BC1214" s="627"/>
      <c r="BD1214" s="627"/>
      <c r="BE1214" s="627"/>
      <c r="BF1214" s="627"/>
      <c r="BG1214" s="627"/>
      <c r="BH1214" s="627"/>
      <c r="BI1214" s="627"/>
      <c r="BJ1214" s="627"/>
      <c r="BK1214" s="627"/>
      <c r="BL1214" s="627"/>
      <c r="BM1214" s="627"/>
      <c r="BN1214" s="627"/>
      <c r="BO1214" s="627"/>
      <c r="BP1214" s="627"/>
      <c r="BQ1214" s="627"/>
      <c r="BR1214" s="627"/>
      <c r="BS1214" s="627"/>
      <c r="BT1214" s="627"/>
    </row>
    <row r="1215" spans="1:72" hidden="1" x14ac:dyDescent="0.35">
      <c r="A1215" s="988"/>
      <c r="B1215" s="988"/>
      <c r="C1215" s="627"/>
      <c r="D1215" s="627"/>
      <c r="E1215" s="627" t="s">
        <v>722</v>
      </c>
      <c r="F1215" s="627"/>
      <c r="G1215" s="627"/>
      <c r="H1215" s="627"/>
      <c r="I1215" s="627"/>
      <c r="J1215" s="627"/>
      <c r="K1215" s="627"/>
      <c r="L1215" s="627"/>
      <c r="M1215" s="627"/>
      <c r="N1215" s="627"/>
      <c r="O1215" s="627"/>
      <c r="P1215" s="719"/>
      <c r="Q1215" s="719"/>
      <c r="R1215" s="627"/>
      <c r="S1215" s="627"/>
      <c r="T1215" s="627"/>
      <c r="U1215" s="627"/>
      <c r="V1215" s="627"/>
      <c r="W1215" s="627"/>
      <c r="X1215" s="627"/>
      <c r="Y1215" s="627"/>
      <c r="Z1215" s="627"/>
      <c r="AA1215" s="627"/>
      <c r="AB1215" s="627"/>
      <c r="AC1215" s="627"/>
      <c r="AD1215" s="627"/>
      <c r="AE1215" s="627"/>
      <c r="AF1215" s="627"/>
      <c r="AG1215" s="627"/>
      <c r="AH1215" s="627"/>
      <c r="AI1215" s="627"/>
      <c r="AJ1215" s="627"/>
      <c r="AK1215" s="627"/>
      <c r="AL1215" s="627"/>
      <c r="AM1215" s="627"/>
      <c r="AN1215" s="627"/>
      <c r="AO1215" s="627"/>
      <c r="AP1215" s="627"/>
      <c r="AQ1215" s="627"/>
      <c r="AR1215" s="627"/>
      <c r="AS1215" s="627"/>
      <c r="AT1215" s="627"/>
      <c r="AU1215" s="627"/>
      <c r="AV1215" s="627"/>
      <c r="AW1215" s="627"/>
      <c r="AX1215" s="627"/>
      <c r="AY1215" s="627"/>
      <c r="AZ1215" s="627"/>
      <c r="BA1215" s="627"/>
      <c r="BB1215" s="627"/>
      <c r="BC1215" s="627"/>
      <c r="BD1215" s="627"/>
      <c r="BE1215" s="627"/>
      <c r="BF1215" s="627"/>
      <c r="BG1215" s="627"/>
      <c r="BH1215" s="627"/>
      <c r="BI1215" s="627"/>
      <c r="BJ1215" s="627"/>
      <c r="BK1215" s="627"/>
      <c r="BL1215" s="627"/>
      <c r="BM1215" s="627"/>
      <c r="BN1215" s="627"/>
      <c r="BO1215" s="627"/>
      <c r="BP1215" s="627"/>
      <c r="BQ1215" s="627"/>
      <c r="BR1215" s="627"/>
      <c r="BS1215" s="627"/>
      <c r="BT1215" s="627"/>
    </row>
    <row r="1216" spans="1:72" hidden="1" x14ac:dyDescent="0.35">
      <c r="A1216" s="988"/>
      <c r="B1216" s="988"/>
      <c r="C1216" s="627"/>
      <c r="D1216" s="627" t="s">
        <v>723</v>
      </c>
      <c r="E1216" s="627"/>
      <c r="F1216" s="627"/>
      <c r="G1216" s="627"/>
      <c r="H1216" s="627"/>
      <c r="I1216" s="627"/>
      <c r="J1216" s="627"/>
      <c r="K1216" s="627"/>
      <c r="L1216" s="627"/>
      <c r="M1216" s="627"/>
      <c r="N1216" s="627"/>
      <c r="O1216" s="627"/>
      <c r="P1216" s="719"/>
      <c r="Q1216" s="719"/>
      <c r="R1216" s="627"/>
      <c r="S1216" s="627"/>
      <c r="T1216" s="627"/>
      <c r="U1216" s="627"/>
      <c r="V1216" s="627"/>
      <c r="W1216" s="627"/>
      <c r="X1216" s="627"/>
      <c r="Y1216" s="627"/>
      <c r="Z1216" s="627"/>
      <c r="AA1216" s="627"/>
      <c r="AB1216" s="627"/>
      <c r="AC1216" s="627"/>
      <c r="AD1216" s="627"/>
      <c r="AE1216" s="627"/>
      <c r="AF1216" s="627"/>
      <c r="AG1216" s="627"/>
      <c r="AH1216" s="627"/>
      <c r="AI1216" s="627"/>
      <c r="AJ1216" s="627"/>
      <c r="AK1216" s="627"/>
      <c r="AL1216" s="627"/>
      <c r="AM1216" s="627"/>
      <c r="AN1216" s="627"/>
      <c r="AO1216" s="627"/>
      <c r="AP1216" s="627"/>
      <c r="AQ1216" s="627"/>
      <c r="AR1216" s="627"/>
      <c r="AS1216" s="627"/>
      <c r="AT1216" s="627"/>
      <c r="AU1216" s="627"/>
      <c r="AV1216" s="627"/>
      <c r="AW1216" s="627"/>
      <c r="AX1216" s="627"/>
      <c r="AY1216" s="627"/>
      <c r="AZ1216" s="627"/>
      <c r="BA1216" s="627"/>
      <c r="BB1216" s="627"/>
      <c r="BC1216" s="627"/>
      <c r="BD1216" s="627"/>
      <c r="BE1216" s="627"/>
      <c r="BF1216" s="627"/>
      <c r="BG1216" s="627"/>
      <c r="BH1216" s="627"/>
      <c r="BI1216" s="627"/>
      <c r="BJ1216" s="627"/>
      <c r="BK1216" s="627"/>
      <c r="BL1216" s="627"/>
      <c r="BM1216" s="627"/>
      <c r="BN1216" s="627"/>
      <c r="BO1216" s="627"/>
      <c r="BP1216" s="627"/>
      <c r="BQ1216" s="627"/>
      <c r="BR1216" s="627"/>
      <c r="BS1216" s="627"/>
      <c r="BT1216" s="627"/>
    </row>
    <row r="1217" spans="1:17" hidden="1" x14ac:dyDescent="0.35">
      <c r="A1217" s="988"/>
      <c r="B1217" s="988"/>
      <c r="C1217" s="627"/>
      <c r="D1217" s="627"/>
      <c r="E1217" s="627" t="s">
        <v>724</v>
      </c>
      <c r="F1217" s="627"/>
      <c r="G1217" s="627"/>
      <c r="H1217" s="627"/>
      <c r="I1217" s="627"/>
      <c r="J1217" s="627"/>
      <c r="K1217" s="627"/>
      <c r="L1217" s="627"/>
      <c r="M1217" s="627"/>
      <c r="N1217" s="627"/>
      <c r="O1217" s="627"/>
      <c r="P1217" s="719"/>
      <c r="Q1217" s="719"/>
    </row>
    <row r="1218" spans="1:17" ht="12.75" hidden="1" customHeight="1" x14ac:dyDescent="0.35">
      <c r="A1218" s="988"/>
      <c r="B1218" s="988"/>
      <c r="C1218" s="627"/>
      <c r="D1218" s="627"/>
      <c r="E1218" s="627"/>
      <c r="F1218" s="627"/>
      <c r="G1218" s="627"/>
      <c r="H1218" s="627"/>
      <c r="I1218" s="627"/>
      <c r="J1218" s="627"/>
      <c r="K1218" s="627"/>
      <c r="L1218" s="627"/>
      <c r="M1218" s="627"/>
      <c r="N1218" s="627"/>
      <c r="O1218" s="627"/>
      <c r="P1218" s="719"/>
      <c r="Q1218" s="719"/>
    </row>
    <row r="1219" spans="1:17" hidden="1" x14ac:dyDescent="0.35">
      <c r="A1219" s="988"/>
      <c r="B1219" s="988"/>
      <c r="C1219" s="627"/>
      <c r="D1219" s="627"/>
      <c r="E1219" s="627" t="s">
        <v>725</v>
      </c>
      <c r="F1219" s="660"/>
      <c r="G1219" s="627" t="s">
        <v>726</v>
      </c>
      <c r="H1219" s="627"/>
      <c r="I1219" s="627"/>
      <c r="J1219" s="627"/>
      <c r="K1219" s="627"/>
      <c r="L1219" s="627"/>
      <c r="M1219" s="627"/>
      <c r="N1219" s="627"/>
      <c r="O1219" s="627"/>
      <c r="P1219" s="719"/>
      <c r="Q1219" s="719"/>
    </row>
    <row r="1220" spans="1:17" ht="13.5" hidden="1" customHeight="1" x14ac:dyDescent="0.35">
      <c r="A1220" s="988"/>
      <c r="B1220" s="637"/>
      <c r="C1220" s="749"/>
      <c r="D1220" s="749"/>
      <c r="E1220" s="749"/>
      <c r="F1220" s="749"/>
      <c r="G1220" s="749"/>
      <c r="H1220" s="749"/>
      <c r="I1220" s="749"/>
      <c r="J1220" s="749"/>
      <c r="K1220" s="749"/>
      <c r="L1220" s="749"/>
      <c r="M1220" s="749"/>
      <c r="N1220" s="749"/>
      <c r="O1220" s="749"/>
      <c r="P1220" s="748"/>
      <c r="Q1220" s="719"/>
    </row>
    <row r="1221" spans="1:17" ht="12.75" hidden="1" customHeight="1" x14ac:dyDescent="0.4">
      <c r="A1221" s="988"/>
      <c r="B1221" s="627"/>
      <c r="C1221" s="12"/>
      <c r="D1221" s="627"/>
      <c r="E1221" s="627"/>
      <c r="F1221" s="627"/>
      <c r="G1221" s="627"/>
      <c r="H1221" s="627"/>
      <c r="I1221" s="627"/>
      <c r="J1221" s="627"/>
      <c r="K1221" s="627"/>
      <c r="L1221" s="627"/>
      <c r="M1221" s="627"/>
      <c r="N1221" s="627"/>
      <c r="O1221" s="627"/>
      <c r="P1221" s="627"/>
      <c r="Q1221" s="719"/>
    </row>
    <row r="1222" spans="1:17" ht="6" customHeight="1" x14ac:dyDescent="0.35">
      <c r="A1222" s="988"/>
      <c r="B1222" s="636"/>
      <c r="C1222" s="652"/>
      <c r="D1222" s="652"/>
      <c r="E1222" s="652"/>
      <c r="F1222" s="652"/>
      <c r="G1222" s="652"/>
      <c r="H1222" s="652"/>
      <c r="I1222" s="652"/>
      <c r="J1222" s="652"/>
      <c r="K1222" s="652"/>
      <c r="L1222" s="652"/>
      <c r="M1222" s="652"/>
      <c r="N1222" s="652"/>
      <c r="O1222" s="652"/>
      <c r="P1222" s="987"/>
      <c r="Q1222" s="719"/>
    </row>
    <row r="1223" spans="1:17" x14ac:dyDescent="0.35">
      <c r="A1223" s="988"/>
      <c r="B1223" s="988"/>
      <c r="C1223" s="627" t="s">
        <v>727</v>
      </c>
      <c r="D1223" s="627"/>
      <c r="E1223" s="627"/>
      <c r="F1223" s="627"/>
      <c r="G1223" s="627"/>
      <c r="H1223" s="627"/>
      <c r="I1223" s="627"/>
      <c r="J1223" s="627"/>
      <c r="K1223" s="627"/>
      <c r="L1223" s="627"/>
      <c r="M1223" s="627"/>
      <c r="N1223" s="627"/>
      <c r="O1223" s="627"/>
      <c r="P1223" s="719"/>
      <c r="Q1223" s="719"/>
    </row>
    <row r="1224" spans="1:17" x14ac:dyDescent="0.35">
      <c r="A1224" s="988"/>
      <c r="B1224" s="988"/>
      <c r="C1224" s="627"/>
      <c r="D1224" s="627"/>
      <c r="E1224" s="627"/>
      <c r="F1224" s="627"/>
      <c r="G1224" s="627"/>
      <c r="H1224" s="627"/>
      <c r="I1224" s="627"/>
      <c r="J1224" s="627"/>
      <c r="K1224" s="627"/>
      <c r="L1224" s="627"/>
      <c r="M1224" s="627"/>
      <c r="N1224" s="627"/>
      <c r="O1224" s="627"/>
      <c r="P1224" s="719"/>
      <c r="Q1224" s="719"/>
    </row>
    <row r="1225" spans="1:17" x14ac:dyDescent="0.35">
      <c r="A1225" s="988"/>
      <c r="B1225" s="988"/>
      <c r="C1225" s="627" t="s">
        <v>728</v>
      </c>
      <c r="D1225" s="627"/>
      <c r="E1225" s="627"/>
      <c r="F1225" s="627"/>
      <c r="G1225" s="627"/>
      <c r="H1225" s="627"/>
      <c r="I1225" s="627"/>
      <c r="J1225" s="627"/>
      <c r="K1225" s="627"/>
      <c r="L1225" s="627"/>
      <c r="M1225" s="627"/>
      <c r="N1225" s="627"/>
      <c r="O1225" s="627"/>
      <c r="P1225" s="719"/>
      <c r="Q1225" s="719"/>
    </row>
    <row r="1226" spans="1:17" ht="5.25" customHeight="1" x14ac:dyDescent="0.35">
      <c r="A1226" s="988"/>
      <c r="B1226" s="988"/>
      <c r="C1226" s="627"/>
      <c r="D1226" s="627"/>
      <c r="E1226" s="627"/>
      <c r="F1226" s="627"/>
      <c r="G1226" s="627"/>
      <c r="H1226" s="627"/>
      <c r="I1226" s="627"/>
      <c r="J1226" s="627"/>
      <c r="K1226" s="627"/>
      <c r="L1226" s="627"/>
      <c r="M1226" s="627"/>
      <c r="N1226" s="627"/>
      <c r="O1226" s="627"/>
      <c r="P1226" s="719"/>
      <c r="Q1226" s="719"/>
    </row>
    <row r="1227" spans="1:17" x14ac:dyDescent="0.35">
      <c r="A1227" s="988"/>
      <c r="B1227" s="988"/>
      <c r="C1227" s="627" t="s">
        <v>725</v>
      </c>
      <c r="D1227" s="660"/>
      <c r="E1227" s="627" t="s">
        <v>729</v>
      </c>
      <c r="F1227" s="627"/>
      <c r="G1227" s="627"/>
      <c r="H1227" s="627"/>
      <c r="I1227" s="627"/>
      <c r="J1227" s="627"/>
      <c r="K1227" s="627"/>
      <c r="L1227" s="627"/>
      <c r="M1227" s="627"/>
      <c r="N1227" s="627"/>
      <c r="O1227" s="627"/>
      <c r="P1227" s="719"/>
      <c r="Q1227" s="719"/>
    </row>
    <row r="1228" spans="1:17" ht="23.25" customHeight="1" x14ac:dyDescent="0.35">
      <c r="A1228" s="988"/>
      <c r="B1228" s="988"/>
      <c r="C1228" s="627"/>
      <c r="D1228" s="627"/>
      <c r="E1228" s="627"/>
      <c r="F1228" s="627"/>
      <c r="G1228" s="627"/>
      <c r="H1228" s="627"/>
      <c r="I1228" s="627"/>
      <c r="J1228" s="627"/>
      <c r="K1228" s="627"/>
      <c r="L1228" s="627"/>
      <c r="M1228" s="627"/>
      <c r="N1228" s="627"/>
      <c r="O1228" s="627"/>
      <c r="P1228" s="719"/>
      <c r="Q1228" s="719"/>
    </row>
    <row r="1229" spans="1:17" x14ac:dyDescent="0.35">
      <c r="A1229" s="988"/>
      <c r="B1229" s="988"/>
      <c r="C1229" s="627" t="s">
        <v>730</v>
      </c>
      <c r="D1229" s="627"/>
      <c r="E1229" s="627"/>
      <c r="F1229" s="627"/>
      <c r="G1229" s="627"/>
      <c r="H1229" s="627"/>
      <c r="I1229" s="627"/>
      <c r="J1229" s="627"/>
      <c r="K1229" s="627"/>
      <c r="L1229" s="627"/>
      <c r="M1229" s="627"/>
      <c r="N1229" s="627"/>
      <c r="O1229" s="627"/>
      <c r="P1229" s="719"/>
      <c r="Q1229" s="719"/>
    </row>
    <row r="1230" spans="1:17" ht="4.5" customHeight="1" x14ac:dyDescent="0.35">
      <c r="A1230" s="988"/>
      <c r="B1230" s="988"/>
      <c r="C1230" s="627"/>
      <c r="D1230" s="627"/>
      <c r="E1230" s="627"/>
      <c r="F1230" s="627"/>
      <c r="G1230" s="627"/>
      <c r="H1230" s="627"/>
      <c r="I1230" s="627"/>
      <c r="J1230" s="627"/>
      <c r="K1230" s="627"/>
      <c r="L1230" s="627"/>
      <c r="M1230" s="627"/>
      <c r="N1230" s="627"/>
      <c r="O1230" s="627"/>
      <c r="P1230" s="719"/>
      <c r="Q1230" s="719"/>
    </row>
    <row r="1231" spans="1:17" x14ac:dyDescent="0.35">
      <c r="A1231" s="988"/>
      <c r="B1231" s="988"/>
      <c r="C1231" s="627" t="s">
        <v>725</v>
      </c>
      <c r="D1231" s="660"/>
      <c r="E1231" s="627" t="s">
        <v>729</v>
      </c>
      <c r="F1231" s="627"/>
      <c r="G1231" s="627"/>
      <c r="H1231" s="627"/>
      <c r="I1231" s="627"/>
      <c r="J1231" s="627"/>
      <c r="K1231" s="627"/>
      <c r="L1231" s="627"/>
      <c r="M1231" s="627"/>
      <c r="N1231" s="627"/>
      <c r="O1231" s="627"/>
      <c r="P1231" s="719"/>
      <c r="Q1231" s="719"/>
    </row>
    <row r="1232" spans="1:17" ht="6.75" customHeight="1" x14ac:dyDescent="0.35">
      <c r="A1232" s="988"/>
      <c r="B1232" s="637"/>
      <c r="C1232" s="749"/>
      <c r="D1232" s="749"/>
      <c r="E1232" s="749"/>
      <c r="F1232" s="749"/>
      <c r="G1232" s="749"/>
      <c r="H1232" s="749"/>
      <c r="I1232" s="749"/>
      <c r="J1232" s="749"/>
      <c r="K1232" s="749"/>
      <c r="L1232" s="749"/>
      <c r="M1232" s="749"/>
      <c r="N1232" s="749"/>
      <c r="O1232" s="749"/>
      <c r="P1232" s="748"/>
      <c r="Q1232" s="719"/>
    </row>
    <row r="1233" spans="1:17" ht="10.5" customHeight="1" x14ac:dyDescent="0.35">
      <c r="A1233" s="988"/>
      <c r="B1233" s="652"/>
      <c r="C1233" s="652"/>
      <c r="D1233" s="652"/>
      <c r="E1233" s="652"/>
      <c r="F1233" s="652"/>
      <c r="G1233" s="652"/>
      <c r="H1233" s="652"/>
      <c r="I1233" s="652"/>
      <c r="J1233" s="652"/>
      <c r="K1233" s="652"/>
      <c r="L1233" s="652"/>
      <c r="M1233" s="652"/>
      <c r="N1233" s="652"/>
      <c r="O1233" s="652"/>
      <c r="P1233" s="652"/>
      <c r="Q1233" s="719"/>
    </row>
    <row r="1234" spans="1:17" ht="5.25" customHeight="1" x14ac:dyDescent="0.35">
      <c r="A1234" s="988"/>
      <c r="B1234" s="636"/>
      <c r="C1234" s="652"/>
      <c r="D1234" s="652"/>
      <c r="E1234" s="652"/>
      <c r="F1234" s="652"/>
      <c r="G1234" s="652"/>
      <c r="H1234" s="652"/>
      <c r="I1234" s="652"/>
      <c r="J1234" s="652"/>
      <c r="K1234" s="652"/>
      <c r="L1234" s="652"/>
      <c r="M1234" s="652"/>
      <c r="N1234" s="652"/>
      <c r="O1234" s="652"/>
      <c r="P1234" s="987"/>
      <c r="Q1234" s="719"/>
    </row>
    <row r="1235" spans="1:17" x14ac:dyDescent="0.35">
      <c r="A1235" s="988"/>
      <c r="B1235" s="988"/>
      <c r="C1235" s="627" t="s">
        <v>731</v>
      </c>
      <c r="D1235" s="627"/>
      <c r="E1235" s="627"/>
      <c r="F1235" s="627"/>
      <c r="G1235" s="627"/>
      <c r="H1235" s="627"/>
      <c r="I1235" s="627"/>
      <c r="J1235" s="627"/>
      <c r="K1235" s="627"/>
      <c r="L1235" s="627"/>
      <c r="M1235" s="627"/>
      <c r="N1235" s="627"/>
      <c r="O1235" s="627"/>
      <c r="P1235" s="719"/>
      <c r="Q1235" s="719"/>
    </row>
    <row r="1236" spans="1:17" ht="5.25" customHeight="1" x14ac:dyDescent="0.35">
      <c r="A1236" s="988"/>
      <c r="B1236" s="988"/>
      <c r="C1236" s="627"/>
      <c r="D1236" s="627"/>
      <c r="E1236" s="627"/>
      <c r="F1236" s="627"/>
      <c r="G1236" s="627"/>
      <c r="H1236" s="627"/>
      <c r="I1236" s="627"/>
      <c r="J1236" s="627"/>
      <c r="K1236" s="627"/>
      <c r="L1236" s="627"/>
      <c r="M1236" s="627"/>
      <c r="N1236" s="627"/>
      <c r="O1236" s="627"/>
      <c r="P1236" s="719"/>
      <c r="Q1236" s="719"/>
    </row>
    <row r="1237" spans="1:17" x14ac:dyDescent="0.35">
      <c r="A1237" s="988"/>
      <c r="B1237" s="988"/>
      <c r="C1237" s="627"/>
      <c r="D1237" s="627" t="s">
        <v>732</v>
      </c>
      <c r="E1237" s="627"/>
      <c r="F1237" s="1064"/>
      <c r="G1237" s="627" t="s">
        <v>78</v>
      </c>
      <c r="H1237" s="627"/>
      <c r="I1237" s="627"/>
      <c r="J1237" s="627"/>
      <c r="K1237" s="627"/>
      <c r="L1237" s="627"/>
      <c r="M1237" s="627"/>
      <c r="N1237" s="627"/>
      <c r="O1237" s="627"/>
      <c r="P1237" s="719"/>
      <c r="Q1237" s="719"/>
    </row>
    <row r="1238" spans="1:17" ht="8.25" customHeight="1" x14ac:dyDescent="0.35">
      <c r="A1238" s="988"/>
      <c r="B1238" s="988"/>
      <c r="C1238" s="627"/>
      <c r="D1238" s="627"/>
      <c r="E1238" s="627"/>
      <c r="F1238" s="627"/>
      <c r="G1238" s="627"/>
      <c r="H1238" s="627"/>
      <c r="I1238" s="627"/>
      <c r="J1238" s="627"/>
      <c r="K1238" s="627"/>
      <c r="L1238" s="627"/>
      <c r="M1238" s="627"/>
      <c r="N1238" s="627"/>
      <c r="O1238" s="627"/>
      <c r="P1238" s="719"/>
      <c r="Q1238" s="719"/>
    </row>
    <row r="1239" spans="1:17" x14ac:dyDescent="0.35">
      <c r="A1239" s="988"/>
      <c r="B1239" s="988"/>
      <c r="C1239" s="627"/>
      <c r="D1239" s="627" t="str">
        <f>IF(N1243&gt;0,"aumento na armação considerado em "&amp;N1243&amp;" %","para a armação utilizar aumento na quantidade de aço proporcional ao volume de concreto aumento?")</f>
        <v>para a armação utilizar aumento na quantidade de aço proporcional ao volume de concreto aumento?</v>
      </c>
      <c r="E1239" s="627"/>
      <c r="F1239" s="627"/>
      <c r="G1239" s="627"/>
      <c r="H1239" s="627"/>
      <c r="I1239" s="627"/>
      <c r="J1239" s="627"/>
      <c r="K1239" s="627"/>
      <c r="L1239" s="627"/>
      <c r="M1239" s="627"/>
      <c r="N1239" s="627"/>
      <c r="O1239" s="627"/>
      <c r="P1239" s="719"/>
      <c r="Q1239" s="719"/>
    </row>
    <row r="1240" spans="1:17" ht="5.25" customHeight="1" x14ac:dyDescent="0.35">
      <c r="A1240" s="988"/>
      <c r="B1240" s="988"/>
      <c r="C1240" s="627"/>
      <c r="D1240" s="627"/>
      <c r="E1240" s="627"/>
      <c r="F1240" s="627"/>
      <c r="G1240" s="627"/>
      <c r="H1240" s="627"/>
      <c r="I1240" s="627"/>
      <c r="J1240" s="627"/>
      <c r="K1240" s="627"/>
      <c r="L1240" s="627"/>
      <c r="M1240" s="627"/>
      <c r="N1240" s="627"/>
      <c r="O1240" s="627"/>
      <c r="P1240" s="719"/>
      <c r="Q1240" s="719"/>
    </row>
    <row r="1241" spans="1:17" x14ac:dyDescent="0.35">
      <c r="A1241" s="988"/>
      <c r="B1241" s="988"/>
      <c r="C1241" s="627"/>
      <c r="D1241" s="627"/>
      <c r="E1241" s="627"/>
      <c r="F1241" s="627"/>
      <c r="G1241" s="626"/>
      <c r="H1241" s="627" t="str">
        <f>IF(N1243&gt;0,0,"SIM")</f>
        <v>SIM</v>
      </c>
      <c r="I1241" s="626"/>
      <c r="J1241" s="627" t="str">
        <f>IF(N1243&gt;0,0,"NÃO")</f>
        <v>NÃO</v>
      </c>
      <c r="K1241" s="627"/>
      <c r="L1241" s="627"/>
      <c r="M1241" s="627"/>
      <c r="N1241" s="627"/>
      <c r="O1241" s="627"/>
      <c r="P1241" s="719"/>
      <c r="Q1241" s="719"/>
    </row>
    <row r="1242" spans="1:17" x14ac:dyDescent="0.35">
      <c r="A1242" s="988"/>
      <c r="B1242" s="988"/>
      <c r="C1242" s="627"/>
      <c r="D1242" s="627"/>
      <c r="E1242" s="627"/>
      <c r="F1242" s="627"/>
      <c r="G1242" s="627"/>
      <c r="H1242" s="627"/>
      <c r="I1242" s="627"/>
      <c r="J1242" s="627"/>
      <c r="K1242" s="627"/>
      <c r="L1242" s="627"/>
      <c r="M1242" s="627"/>
      <c r="N1242" s="627"/>
      <c r="O1242" s="627"/>
      <c r="P1242" s="719"/>
      <c r="Q1242" s="719"/>
    </row>
    <row r="1243" spans="1:17" x14ac:dyDescent="0.35">
      <c r="A1243" s="988"/>
      <c r="B1243" s="988"/>
      <c r="C1243" s="627"/>
      <c r="D1243" s="1498" t="s">
        <v>733</v>
      </c>
      <c r="E1243" s="1498"/>
      <c r="F1243" s="1498"/>
      <c r="G1243" s="761">
        <f>IF(N1243&gt;0,N1243,IF(ENTRADAS!G1241="X",IF(F1237=0,0,(F1237-CÁLCULOS!O587)/CÁLCULOS!O587*100),0))</f>
        <v>0</v>
      </c>
      <c r="H1243" s="627" t="s">
        <v>130</v>
      </c>
      <c r="I1243" s="627" t="s">
        <v>734</v>
      </c>
      <c r="J1243" s="627"/>
      <c r="K1243" s="627"/>
      <c r="L1243" s="627"/>
      <c r="M1243" s="627"/>
      <c r="N1243" s="660"/>
      <c r="O1243" s="627" t="s">
        <v>130</v>
      </c>
      <c r="P1243" s="719"/>
      <c r="Q1243" s="719"/>
    </row>
    <row r="1244" spans="1:17" ht="4.5" customHeight="1" x14ac:dyDescent="0.35">
      <c r="A1244" s="988"/>
      <c r="B1244" s="637"/>
      <c r="C1244" s="749"/>
      <c r="D1244" s="749"/>
      <c r="E1244" s="749"/>
      <c r="F1244" s="749"/>
      <c r="G1244" s="749"/>
      <c r="H1244" s="1055"/>
      <c r="I1244" s="749"/>
      <c r="J1244" s="749"/>
      <c r="K1244" s="749"/>
      <c r="L1244" s="749"/>
      <c r="M1244" s="749"/>
      <c r="N1244" s="749"/>
      <c r="O1244" s="749"/>
      <c r="P1244" s="748"/>
      <c r="Q1244" s="719"/>
    </row>
    <row r="1245" spans="1:17" ht="10.5" customHeight="1" x14ac:dyDescent="0.35">
      <c r="A1245" s="988"/>
      <c r="B1245" s="627"/>
      <c r="C1245" s="627"/>
      <c r="D1245" s="627"/>
      <c r="E1245" s="627"/>
      <c r="F1245" s="627"/>
      <c r="G1245" s="627"/>
      <c r="H1245" s="627"/>
      <c r="I1245" s="627"/>
      <c r="J1245" s="627"/>
      <c r="K1245" s="627"/>
      <c r="L1245" s="627"/>
      <c r="M1245" s="627"/>
      <c r="N1245" s="627"/>
      <c r="O1245" s="627"/>
      <c r="P1245" s="627"/>
      <c r="Q1245" s="719"/>
    </row>
    <row r="1246" spans="1:17" ht="6.75" customHeight="1" x14ac:dyDescent="0.35">
      <c r="A1246" s="988"/>
      <c r="B1246" s="636"/>
      <c r="C1246" s="652"/>
      <c r="D1246" s="652"/>
      <c r="E1246" s="652"/>
      <c r="F1246" s="652"/>
      <c r="G1246" s="652"/>
      <c r="H1246" s="652"/>
      <c r="I1246" s="652"/>
      <c r="J1246" s="652"/>
      <c r="K1246" s="652"/>
      <c r="L1246" s="652"/>
      <c r="M1246" s="652"/>
      <c r="N1246" s="652"/>
      <c r="O1246" s="652"/>
      <c r="P1246" s="987"/>
      <c r="Q1246" s="719"/>
    </row>
    <row r="1247" spans="1:17" x14ac:dyDescent="0.35">
      <c r="A1247" s="988"/>
      <c r="B1247" s="988"/>
      <c r="C1247" s="627" t="s">
        <v>735</v>
      </c>
      <c r="D1247" s="627"/>
      <c r="E1247" s="627"/>
      <c r="F1247" s="627"/>
      <c r="G1247" s="627"/>
      <c r="H1247" s="627"/>
      <c r="I1247" s="627"/>
      <c r="J1247" s="627"/>
      <c r="K1247" s="627"/>
      <c r="L1247" s="627"/>
      <c r="M1247" s="627"/>
      <c r="N1247" s="627"/>
      <c r="O1247" s="627"/>
      <c r="P1247" s="719"/>
      <c r="Q1247" s="719"/>
    </row>
    <row r="1248" spans="1:17" x14ac:dyDescent="0.35">
      <c r="A1248" s="988"/>
      <c r="B1248" s="988"/>
      <c r="C1248" s="627"/>
      <c r="D1248" s="627"/>
      <c r="E1248" s="627"/>
      <c r="F1248" s="627"/>
      <c r="G1248" s="627"/>
      <c r="H1248" s="627"/>
      <c r="I1248" s="627"/>
      <c r="J1248" s="627"/>
      <c r="K1248" s="627"/>
      <c r="L1248" s="627"/>
      <c r="M1248" s="627"/>
      <c r="N1248" s="627"/>
      <c r="O1248" s="627"/>
      <c r="P1248" s="719"/>
      <c r="Q1248" s="719"/>
    </row>
    <row r="1249" spans="1:17" x14ac:dyDescent="0.35">
      <c r="A1249" s="988"/>
      <c r="B1249" s="988"/>
      <c r="C1249" s="627" t="s">
        <v>736</v>
      </c>
      <c r="D1249" s="627"/>
      <c r="E1249" s="627"/>
      <c r="F1249" s="627"/>
      <c r="G1249" s="627"/>
      <c r="H1249" s="627"/>
      <c r="I1249" s="627"/>
      <c r="J1249" s="627"/>
      <c r="K1249" s="627"/>
      <c r="L1249" s="627"/>
      <c r="M1249" s="627"/>
      <c r="N1249" s="627"/>
      <c r="O1249" s="627"/>
      <c r="P1249" s="719"/>
      <c r="Q1249" s="719"/>
    </row>
    <row r="1250" spans="1:17" ht="12.75" customHeight="1" x14ac:dyDescent="0.35">
      <c r="A1250" s="988"/>
      <c r="B1250" s="988"/>
      <c r="C1250" s="1352" t="s">
        <v>737</v>
      </c>
      <c r="D1250" s="1352" t="s">
        <v>738</v>
      </c>
      <c r="E1250" s="1352"/>
      <c r="F1250" s="1352"/>
      <c r="G1250" s="1352"/>
      <c r="H1250" s="1370" t="s">
        <v>739</v>
      </c>
      <c r="I1250" s="1330" t="s">
        <v>740</v>
      </c>
      <c r="J1250" s="1331"/>
      <c r="K1250" s="1331"/>
      <c r="L1250" s="1331"/>
      <c r="M1250" s="1331"/>
      <c r="N1250" s="1332"/>
      <c r="O1250" s="1092" t="s">
        <v>741</v>
      </c>
      <c r="P1250" s="719"/>
      <c r="Q1250" s="719"/>
    </row>
    <row r="1251" spans="1:17" x14ac:dyDescent="0.35">
      <c r="A1251" s="988"/>
      <c r="B1251" s="988"/>
      <c r="C1251" s="1352"/>
      <c r="D1251" s="1352"/>
      <c r="E1251" s="1352"/>
      <c r="F1251" s="1352"/>
      <c r="G1251" s="1352"/>
      <c r="H1251" s="1371"/>
      <c r="I1251" s="1333"/>
      <c r="J1251" s="1334"/>
      <c r="K1251" s="1334"/>
      <c r="L1251" s="1334"/>
      <c r="M1251" s="1334"/>
      <c r="N1251" s="1335"/>
      <c r="O1251" s="1145" t="s">
        <v>742</v>
      </c>
      <c r="P1251" s="719"/>
      <c r="Q1251" s="719"/>
    </row>
    <row r="1252" spans="1:17" ht="18" customHeight="1" x14ac:dyDescent="0.35">
      <c r="A1252" s="988"/>
      <c r="B1252" s="988"/>
      <c r="C1252" s="1352"/>
      <c r="D1252" s="1352"/>
      <c r="E1252" s="1352"/>
      <c r="F1252" s="1352"/>
      <c r="G1252" s="1352"/>
      <c r="H1252" s="1372"/>
      <c r="I1252" s="729">
        <f>IF(F22&gt;=1,1,0)</f>
        <v>1</v>
      </c>
      <c r="J1252" s="1373">
        <f>IF(F22&gt;=2,2,0)</f>
        <v>2</v>
      </c>
      <c r="K1252" s="1374"/>
      <c r="L1252" s="729">
        <f>IF(F22&gt;=3,3,0)</f>
        <v>3</v>
      </c>
      <c r="M1252" s="1373">
        <f>IF(F22&gt;=4,4,0)</f>
        <v>4</v>
      </c>
      <c r="N1252" s="1374"/>
      <c r="O1252" s="729" t="s">
        <v>743</v>
      </c>
      <c r="P1252" s="719"/>
      <c r="Q1252" s="719"/>
    </row>
    <row r="1253" spans="1:17" ht="24" customHeight="1" x14ac:dyDescent="0.35">
      <c r="A1253" s="988"/>
      <c r="B1253" s="988"/>
      <c r="C1253" s="729" t="s">
        <v>744</v>
      </c>
      <c r="D1253" s="1336"/>
      <c r="E1253" s="1336"/>
      <c r="F1253" s="1336"/>
      <c r="G1253" s="1336"/>
      <c r="H1253" s="695"/>
      <c r="I1253" s="729"/>
      <c r="J1253" s="1373"/>
      <c r="K1253" s="1374"/>
      <c r="L1253" s="729"/>
      <c r="M1253" s="1373"/>
      <c r="N1253" s="1374"/>
      <c r="O1253" s="627"/>
      <c r="P1253" s="719"/>
      <c r="Q1253" s="719"/>
    </row>
    <row r="1254" spans="1:17" ht="24" customHeight="1" x14ac:dyDescent="0.35">
      <c r="A1254" s="988"/>
      <c r="B1254" s="988"/>
      <c r="C1254" s="729" t="s">
        <v>745</v>
      </c>
      <c r="D1254" s="1336"/>
      <c r="E1254" s="1336"/>
      <c r="F1254" s="1336"/>
      <c r="G1254" s="1336"/>
      <c r="H1254" s="695"/>
      <c r="I1254" s="729"/>
      <c r="J1254" s="1373"/>
      <c r="K1254" s="1374"/>
      <c r="L1254" s="729"/>
      <c r="M1254" s="1373"/>
      <c r="N1254" s="1374"/>
      <c r="O1254" s="627"/>
      <c r="P1254" s="719"/>
      <c r="Q1254" s="719"/>
    </row>
    <row r="1255" spans="1:17" ht="24" customHeight="1" x14ac:dyDescent="0.35">
      <c r="A1255" s="988"/>
      <c r="B1255" s="988"/>
      <c r="C1255" s="729" t="s">
        <v>746</v>
      </c>
      <c r="D1255" s="1336"/>
      <c r="E1255" s="1336"/>
      <c r="F1255" s="1336"/>
      <c r="G1255" s="1336"/>
      <c r="H1255" s="695"/>
      <c r="I1255" s="729"/>
      <c r="J1255" s="1373"/>
      <c r="K1255" s="1374"/>
      <c r="L1255" s="729"/>
      <c r="M1255" s="1373"/>
      <c r="N1255" s="1374"/>
      <c r="O1255" s="627"/>
      <c r="P1255" s="719"/>
      <c r="Q1255" s="719"/>
    </row>
    <row r="1256" spans="1:17" ht="7.5" customHeight="1" x14ac:dyDescent="0.35">
      <c r="A1256" s="988"/>
      <c r="B1256" s="637"/>
      <c r="C1256" s="749"/>
      <c r="D1256" s="749"/>
      <c r="E1256" s="749"/>
      <c r="F1256" s="749"/>
      <c r="G1256" s="749"/>
      <c r="H1256" s="749"/>
      <c r="I1256" s="749"/>
      <c r="J1256" s="749"/>
      <c r="K1256" s="749"/>
      <c r="L1256" s="749"/>
      <c r="M1256" s="749"/>
      <c r="N1256" s="749"/>
      <c r="O1256" s="749"/>
      <c r="P1256" s="748"/>
      <c r="Q1256" s="719"/>
    </row>
    <row r="1257" spans="1:17" ht="10.5" customHeight="1" x14ac:dyDescent="0.35">
      <c r="A1257" s="988"/>
      <c r="B1257" s="749"/>
      <c r="C1257" s="749"/>
      <c r="D1257" s="749"/>
      <c r="E1257" s="749"/>
      <c r="F1257" s="749"/>
      <c r="G1257" s="749"/>
      <c r="H1257" s="749"/>
      <c r="I1257" s="749"/>
      <c r="J1257" s="749"/>
      <c r="K1257" s="749"/>
      <c r="L1257" s="749"/>
      <c r="M1257" s="749"/>
      <c r="N1257" s="749"/>
      <c r="O1257" s="749"/>
      <c r="P1257" s="749"/>
      <c r="Q1257" s="719"/>
    </row>
    <row r="1258" spans="1:17" ht="5.25" customHeight="1" x14ac:dyDescent="0.35">
      <c r="A1258" s="988"/>
      <c r="B1258" s="636"/>
      <c r="C1258" s="652"/>
      <c r="D1258" s="652"/>
      <c r="E1258" s="652"/>
      <c r="F1258" s="652"/>
      <c r="G1258" s="652"/>
      <c r="H1258" s="652"/>
      <c r="I1258" s="652"/>
      <c r="J1258" s="652"/>
      <c r="K1258" s="652"/>
      <c r="L1258" s="652"/>
      <c r="M1258" s="652"/>
      <c r="N1258" s="652"/>
      <c r="O1258" s="652"/>
      <c r="P1258" s="987"/>
      <c r="Q1258" s="719"/>
    </row>
    <row r="1259" spans="1:17" x14ac:dyDescent="0.35">
      <c r="A1259" s="988"/>
      <c r="B1259" s="988"/>
      <c r="C1259" s="627" t="s">
        <v>747</v>
      </c>
      <c r="D1259" s="627"/>
      <c r="E1259" s="627"/>
      <c r="F1259" s="627"/>
      <c r="G1259" s="627"/>
      <c r="H1259" s="627"/>
      <c r="I1259" s="627"/>
      <c r="J1259" s="627"/>
      <c r="K1259" s="627"/>
      <c r="L1259" s="627"/>
      <c r="M1259" s="627"/>
      <c r="N1259" s="627"/>
      <c r="O1259" s="627"/>
      <c r="P1259" s="719"/>
      <c r="Q1259" s="719"/>
    </row>
    <row r="1260" spans="1:17" ht="5.25" customHeight="1" x14ac:dyDescent="0.35">
      <c r="A1260" s="988"/>
      <c r="B1260" s="988"/>
      <c r="C1260" s="627"/>
      <c r="D1260" s="627"/>
      <c r="E1260" s="627"/>
      <c r="F1260" s="627"/>
      <c r="G1260" s="627"/>
      <c r="H1260" s="627"/>
      <c r="I1260" s="627"/>
      <c r="J1260" s="627"/>
      <c r="K1260" s="627"/>
      <c r="L1260" s="627"/>
      <c r="M1260" s="627"/>
      <c r="N1260" s="627"/>
      <c r="O1260" s="627"/>
      <c r="P1260" s="719"/>
      <c r="Q1260" s="719"/>
    </row>
    <row r="1261" spans="1:17" x14ac:dyDescent="0.35">
      <c r="A1261" s="988"/>
      <c r="B1261" s="988"/>
      <c r="C1261" s="627"/>
      <c r="D1261" s="627"/>
      <c r="E1261" s="19" t="s">
        <v>748</v>
      </c>
      <c r="F1261" s="729"/>
      <c r="G1261" s="627">
        <f>IF(F1261="x", "CUIDADO: Isto é perigoso! Tenha embasamento estrutural!",0)</f>
        <v>0</v>
      </c>
      <c r="H1261" s="627"/>
      <c r="I1261" s="627"/>
      <c r="J1261" s="627"/>
      <c r="K1261" s="627"/>
      <c r="L1261" s="627"/>
      <c r="M1261" s="627"/>
      <c r="N1261" s="627"/>
      <c r="O1261" s="627"/>
      <c r="P1261" s="719"/>
      <c r="Q1261" s="719"/>
    </row>
    <row r="1262" spans="1:17" ht="7.5" customHeight="1" x14ac:dyDescent="0.35">
      <c r="A1262" s="988"/>
      <c r="B1262" s="637"/>
      <c r="C1262" s="749"/>
      <c r="D1262" s="749"/>
      <c r="E1262" s="749"/>
      <c r="F1262" s="749"/>
      <c r="G1262" s="749"/>
      <c r="H1262" s="749"/>
      <c r="I1262" s="749"/>
      <c r="J1262" s="749"/>
      <c r="K1262" s="749"/>
      <c r="L1262" s="749"/>
      <c r="M1262" s="749"/>
      <c r="N1262" s="749"/>
      <c r="O1262" s="749"/>
      <c r="P1262" s="748"/>
      <c r="Q1262" s="719"/>
    </row>
    <row r="1264" spans="1:17" ht="6.6" customHeight="1" x14ac:dyDescent="0.35">
      <c r="A1264" s="627"/>
      <c r="B1264" s="636"/>
      <c r="C1264" s="652"/>
      <c r="D1264" s="652"/>
      <c r="E1264" s="652"/>
      <c r="F1264" s="652"/>
      <c r="G1264" s="652"/>
      <c r="H1264" s="652"/>
      <c r="I1264" s="652"/>
      <c r="J1264" s="652"/>
      <c r="K1264" s="652"/>
      <c r="L1264" s="652"/>
      <c r="M1264" s="652"/>
      <c r="N1264" s="652"/>
      <c r="O1264" s="652"/>
      <c r="P1264" s="987"/>
      <c r="Q1264" s="627"/>
    </row>
    <row r="1265" spans="1:17" x14ac:dyDescent="0.35">
      <c r="A1265" s="627"/>
      <c r="B1265" s="988"/>
      <c r="C1265" s="627" t="s">
        <v>749</v>
      </c>
      <c r="D1265" s="627"/>
      <c r="E1265" s="627"/>
      <c r="F1265" s="627"/>
      <c r="G1265" s="627"/>
      <c r="H1265" s="627"/>
      <c r="I1265" s="627"/>
      <c r="J1265" s="627"/>
      <c r="K1265" s="627"/>
      <c r="L1265" s="627"/>
      <c r="M1265" s="627"/>
      <c r="N1265" s="627"/>
      <c r="O1265" s="627"/>
      <c r="P1265" s="719"/>
      <c r="Q1265" s="627"/>
    </row>
    <row r="1266" spans="1:17" ht="6.95" customHeight="1" x14ac:dyDescent="0.35">
      <c r="A1266" s="627"/>
      <c r="B1266" s="988"/>
      <c r="C1266" s="627"/>
      <c r="D1266" s="627"/>
      <c r="E1266" s="627"/>
      <c r="F1266" s="627"/>
      <c r="G1266" s="627"/>
      <c r="H1266" s="627"/>
      <c r="I1266" s="627"/>
      <c r="J1266" s="627"/>
      <c r="K1266" s="627"/>
      <c r="L1266" s="627"/>
      <c r="M1266" s="627"/>
      <c r="N1266" s="627"/>
      <c r="O1266" s="627"/>
      <c r="P1266" s="719"/>
      <c r="Q1266" s="627"/>
    </row>
    <row r="1267" spans="1:17" x14ac:dyDescent="0.35">
      <c r="A1267" s="627"/>
      <c r="B1267" s="988"/>
      <c r="C1267" s="627"/>
      <c r="D1267" s="627"/>
      <c r="E1267" s="19"/>
      <c r="F1267" s="915"/>
      <c r="G1267" s="627" t="s">
        <v>750</v>
      </c>
      <c r="H1267" s="627"/>
      <c r="I1267" s="627"/>
      <c r="J1267" s="627"/>
      <c r="K1267" s="627"/>
      <c r="L1267" s="627"/>
      <c r="M1267" s="627"/>
      <c r="N1267" s="627"/>
      <c r="O1267" s="627"/>
      <c r="P1267" s="719"/>
      <c r="Q1267" s="627"/>
    </row>
    <row r="1268" spans="1:17" ht="5.45" customHeight="1" x14ac:dyDescent="0.35">
      <c r="A1268" s="627"/>
      <c r="B1268" s="637"/>
      <c r="C1268" s="749"/>
      <c r="D1268" s="749"/>
      <c r="E1268" s="749"/>
      <c r="F1268" s="749"/>
      <c r="G1268" s="749"/>
      <c r="H1268" s="749"/>
      <c r="I1268" s="749"/>
      <c r="J1268" s="749"/>
      <c r="K1268" s="749"/>
      <c r="L1268" s="749"/>
      <c r="M1268" s="749"/>
      <c r="N1268" s="749"/>
      <c r="O1268" s="749"/>
      <c r="P1268" s="748"/>
      <c r="Q1268" s="627"/>
    </row>
    <row r="1292" spans="61:62" x14ac:dyDescent="0.35">
      <c r="BI1292" s="630" t="s">
        <v>751</v>
      </c>
      <c r="BJ1292" s="630" t="s">
        <v>752</v>
      </c>
    </row>
    <row r="1293" spans="61:62" ht="13.5" x14ac:dyDescent="0.35">
      <c r="BI1293" s="32" t="s">
        <v>753</v>
      </c>
      <c r="BJ1293" s="578" t="s">
        <v>754</v>
      </c>
    </row>
    <row r="1294" spans="61:62" ht="13.5" x14ac:dyDescent="0.35">
      <c r="BI1294" s="32" t="s">
        <v>755</v>
      </c>
      <c r="BJ1294" s="579" t="s">
        <v>756</v>
      </c>
    </row>
    <row r="1295" spans="61:62" ht="13.5" x14ac:dyDescent="0.35">
      <c r="BI1295" s="32" t="s">
        <v>757</v>
      </c>
      <c r="BJ1295" s="578" t="s">
        <v>758</v>
      </c>
    </row>
    <row r="1296" spans="61:62" ht="13.5" x14ac:dyDescent="0.35">
      <c r="BI1296" s="32" t="s">
        <v>759</v>
      </c>
      <c r="BJ1296" s="579" t="s">
        <v>760</v>
      </c>
    </row>
    <row r="1297" spans="61:62" ht="13.5" x14ac:dyDescent="0.35">
      <c r="BI1297" s="32" t="s">
        <v>761</v>
      </c>
      <c r="BJ1297" s="578" t="s">
        <v>762</v>
      </c>
    </row>
    <row r="1298" spans="61:62" ht="13.5" x14ac:dyDescent="0.35">
      <c r="BI1298" s="32" t="s">
        <v>763</v>
      </c>
      <c r="BJ1298" s="579" t="s">
        <v>764</v>
      </c>
    </row>
    <row r="1299" spans="61:62" ht="13.5" x14ac:dyDescent="0.35">
      <c r="BI1299" s="32" t="s">
        <v>765</v>
      </c>
      <c r="BJ1299" s="578" t="s">
        <v>766</v>
      </c>
    </row>
    <row r="1300" spans="61:62" ht="13.5" x14ac:dyDescent="0.35">
      <c r="BI1300" s="32" t="s">
        <v>767</v>
      </c>
      <c r="BJ1300" s="579" t="s">
        <v>768</v>
      </c>
    </row>
    <row r="1301" spans="61:62" ht="13.5" x14ac:dyDescent="0.35">
      <c r="BI1301" s="32" t="s">
        <v>769</v>
      </c>
      <c r="BJ1301" s="578" t="s">
        <v>770</v>
      </c>
    </row>
    <row r="1302" spans="61:62" ht="13.5" x14ac:dyDescent="0.35">
      <c r="BI1302" s="32" t="s">
        <v>771</v>
      </c>
      <c r="BJ1302" s="579" t="s">
        <v>772</v>
      </c>
    </row>
    <row r="1303" spans="61:62" ht="13.5" x14ac:dyDescent="0.35">
      <c r="BI1303" s="32" t="s">
        <v>773</v>
      </c>
      <c r="BJ1303" s="578" t="s">
        <v>774</v>
      </c>
    </row>
    <row r="1304" spans="61:62" ht="13.5" x14ac:dyDescent="0.35">
      <c r="BI1304" s="32" t="s">
        <v>775</v>
      </c>
      <c r="BJ1304" s="579" t="s">
        <v>776</v>
      </c>
    </row>
    <row r="1305" spans="61:62" ht="13.5" x14ac:dyDescent="0.35">
      <c r="BI1305" s="32" t="s">
        <v>777</v>
      </c>
      <c r="BJ1305" s="578" t="s">
        <v>778</v>
      </c>
    </row>
    <row r="1306" spans="61:62" ht="13.5" x14ac:dyDescent="0.35">
      <c r="BI1306" s="32" t="s">
        <v>779</v>
      </c>
      <c r="BJ1306" s="579" t="s">
        <v>780</v>
      </c>
    </row>
    <row r="1307" spans="61:62" ht="13.5" x14ac:dyDescent="0.35">
      <c r="BI1307" s="32" t="s">
        <v>781</v>
      </c>
      <c r="BJ1307" s="578" t="s">
        <v>782</v>
      </c>
    </row>
    <row r="1308" spans="61:62" ht="13.5" x14ac:dyDescent="0.35">
      <c r="BI1308" s="32" t="s">
        <v>783</v>
      </c>
      <c r="BJ1308" s="579" t="s">
        <v>784</v>
      </c>
    </row>
    <row r="1309" spans="61:62" ht="13.5" x14ac:dyDescent="0.35">
      <c r="BI1309" s="32" t="s">
        <v>785</v>
      </c>
      <c r="BJ1309" s="578" t="s">
        <v>786</v>
      </c>
    </row>
    <row r="1310" spans="61:62" ht="13.5" x14ac:dyDescent="0.35">
      <c r="BI1310" s="32" t="s">
        <v>787</v>
      </c>
      <c r="BJ1310" s="579" t="s">
        <v>788</v>
      </c>
    </row>
    <row r="1311" spans="61:62" ht="13.5" x14ac:dyDescent="0.35">
      <c r="BI1311" s="32" t="s">
        <v>789</v>
      </c>
      <c r="BJ1311" s="578" t="s">
        <v>790</v>
      </c>
    </row>
    <row r="1312" spans="61:62" ht="13.5" x14ac:dyDescent="0.35">
      <c r="BI1312" s="32" t="s">
        <v>791</v>
      </c>
      <c r="BJ1312" s="579" t="s">
        <v>792</v>
      </c>
    </row>
    <row r="1313" spans="61:62" ht="13.5" x14ac:dyDescent="0.35">
      <c r="BI1313" s="32" t="s">
        <v>793</v>
      </c>
      <c r="BJ1313" s="578" t="s">
        <v>794</v>
      </c>
    </row>
    <row r="1314" spans="61:62" ht="13.5" x14ac:dyDescent="0.35">
      <c r="BI1314" s="32" t="s">
        <v>795</v>
      </c>
      <c r="BJ1314" s="579" t="s">
        <v>796</v>
      </c>
    </row>
    <row r="1315" spans="61:62" ht="13.5" x14ac:dyDescent="0.35">
      <c r="BI1315" s="32" t="s">
        <v>797</v>
      </c>
      <c r="BJ1315" s="578" t="s">
        <v>798</v>
      </c>
    </row>
    <row r="1316" spans="61:62" ht="13.5" x14ac:dyDescent="0.35">
      <c r="BI1316" s="32" t="s">
        <v>15</v>
      </c>
      <c r="BJ1316" s="579" t="s">
        <v>799</v>
      </c>
    </row>
    <row r="1317" spans="61:62" ht="13.5" x14ac:dyDescent="0.35">
      <c r="BI1317" s="32" t="s">
        <v>800</v>
      </c>
      <c r="BJ1317" s="578" t="s">
        <v>801</v>
      </c>
    </row>
    <row r="1318" spans="61:62" ht="13.5" x14ac:dyDescent="0.35">
      <c r="BI1318" s="32" t="s">
        <v>802</v>
      </c>
      <c r="BJ1318" s="579" t="s">
        <v>803</v>
      </c>
    </row>
    <row r="1359" ht="14.25" customHeight="1" x14ac:dyDescent="0.35"/>
    <row r="1360" ht="15" customHeight="1" x14ac:dyDescent="0.35"/>
    <row r="1381" ht="3" customHeight="1" x14ac:dyDescent="0.35"/>
    <row r="1408" ht="12.75" customHeight="1" x14ac:dyDescent="0.35"/>
    <row r="1409" ht="12.75" customHeight="1" x14ac:dyDescent="0.35"/>
    <row r="1421" ht="10.5" customHeight="1" x14ac:dyDescent="0.35"/>
    <row r="1438" ht="11.25" customHeight="1" x14ac:dyDescent="0.35"/>
    <row r="1446" ht="12.75" customHeight="1" x14ac:dyDescent="0.35"/>
  </sheetData>
  <sheetProtection algorithmName="SHA-512" hashValue="E0zm4KUhXl0h2TnZU8N8KCYmyPsISxJKml6gQut92BPml6tPQLlZ/LJ+wg1KoOADUK014f2UVVEEHmbOO2dWjw==" saltValue="JEJTigOEEx/qGqy4DMLL3g==" spinCount="100000" sheet="1" objects="1" scenarios="1"/>
  <protectedRanges>
    <protectedRange sqref="G263 G265 O263 O265 G792 G794 O792 O794 G1024 G1026 O1024 O1026 G1193 G1195 O1193 O1195" name="Intervalo42"/>
    <protectedRange sqref="G747" name="Intervalo40"/>
    <protectedRange sqref="L731" name="Intervalo38"/>
    <protectedRange sqref="G1052" name="Intervalo36"/>
    <protectedRange sqref="F259:F260 F1018:F1019" name="Intervalo34"/>
    <protectedRange sqref="D1253:N1255" name="Intervalo31"/>
    <protectedRange sqref="G1075" name="Intervalo29"/>
    <protectedRange sqref="E1075" name="Intervalo28"/>
    <protectedRange sqref="M11:N11" name="Intervalo26"/>
    <protectedRange sqref="H11:L11" name="Intervalo24"/>
    <protectedRange sqref="L284" name="Intervalo22"/>
    <protectedRange sqref="E15:E16" name="Intervalo2_1"/>
    <protectedRange sqref="F4:L4" name="Intervalo1_1"/>
    <protectedRange sqref="M924:N924" name="Intervalo18"/>
    <protectedRange sqref="C810:C811" name="Intervalo16"/>
    <protectedRange sqref="F21:F22" name="Intervalo12"/>
    <protectedRange sqref="C808 F1011:F1016 E1038 G1038 F1040 G1044 G1046 G1048 G1050 L1060 L1058 E1075 G1075 G1052 G1054" name="Intervalo10"/>
    <protectedRange sqref="C808 C810 C812:C813 C817 C819 C821 C823 C825 D912 F912 H922 M924 D998 F998 F921 H918:H919" name="Intervalo8"/>
    <protectedRange sqref="H416:I420 G453 I465 F461:G464 C395 C397 G448 I448 E465:H468 G478 I478" name="Intervalo5"/>
    <protectedRange sqref="I219 F252:F257 C313:L313 F304:H307 L284 M11 N229 D401:D403 D405:D410 F259:F260 F1018:F1019 G263 O263 G265 O265 G792 O792 G794 O794 G1024 O1024 G1026 O1026 G1193 O1193 G1195 O1195" name="Intervalo4"/>
    <protectedRange sqref="G60 I60 G91 C91 C93 E104 G105:J105 C110 E110 H111:J111 G65 C104" name="Intervalo3"/>
    <protectedRange sqref="G25 D37 D41 D45 J18 E17" name="Intervalo2"/>
    <protectedRange sqref="O1:Q2 F3:L3" name="Intervalo1"/>
    <protectedRange sqref="C488 C491 C494 C497 C500 C503 C506 C509 J543 D647 F647 J833 D841 D837 G833 J828 G828 D839 L731 N731 N844 J844" name="Intervalo6"/>
    <protectedRange sqref="F744 F758 H758 C734 L761 L764 G766:G767 I766:I767 I769 G770 G772 I772 H780 G784 G786 C784 C786 G849 I849 G1068 I1068 N268 N270 N1029 N1031 N1198 N1200 N797 N799 H853:J853 M288 I749:J756 F737:F742" name="Intervalo7"/>
    <protectedRange sqref="C808 H930:H932 H934:H936 H942 H945 H948 H952:H954 H957 H960 H963 H978 H981 H984 H938 H969 H972" name="Intervalo9"/>
    <protectedRange sqref="C1081 C1084 C1087 C1090 C1093 C1096 C1099 C1102 C1132 C1135 C1138 C1141 C1144 C1147 C1150 C1153 F1190 F1219 D1227 D1231 F1237 G1241 I1241 N1243 F1261 F1183:F1188 E480 F1267" name="Intervalo11"/>
    <protectedRange sqref="L1058" name="Intervalo13"/>
    <protectedRange sqref="C808:C809" name="Intervalo15"/>
    <protectedRange sqref="C817:C834" name="Intervalo17"/>
    <protectedRange sqref="G65" name="Intervalo19"/>
    <protectedRange sqref="E11:G11" name="Intervalo23"/>
    <protectedRange sqref="G453" name="Intervalo25"/>
    <protectedRange sqref="I465" name="Intervalo27"/>
    <protectedRange sqref="O1252" name="Intervalo30"/>
    <protectedRange sqref="L244 L240 L235:L236" name="Intervalo4_1"/>
    <protectedRange sqref="C395 C397" name="Intervalo32"/>
    <protectedRange sqref="L54:P67" name="Intervalo33"/>
    <protectedRange sqref="F1018:F1019" name="Intervalo35"/>
    <protectedRange sqref="G1054" name="Intervalo37"/>
    <protectedRange sqref="N731" name="Intervalo39"/>
    <protectedRange sqref="O749" name="Intervalo41"/>
  </protectedRanges>
  <dataConsolidate/>
  <mergeCells count="312">
    <mergeCell ref="C17:D17"/>
    <mergeCell ref="F3:L3"/>
    <mergeCell ref="F4:L4"/>
    <mergeCell ref="C1192:Q1192"/>
    <mergeCell ref="BP395:BP400"/>
    <mergeCell ref="BQ395:BQ400"/>
    <mergeCell ref="BR395:BR400"/>
    <mergeCell ref="D1243:F1243"/>
    <mergeCell ref="C1206:O1206"/>
    <mergeCell ref="M283:N283"/>
    <mergeCell ref="I749:J749"/>
    <mergeCell ref="I750:J750"/>
    <mergeCell ref="I751:J751"/>
    <mergeCell ref="J313:K313"/>
    <mergeCell ref="G316:H316"/>
    <mergeCell ref="C359:I360"/>
    <mergeCell ref="G993:H993"/>
    <mergeCell ref="F753:G753"/>
    <mergeCell ref="F754:G754"/>
    <mergeCell ref="G309:H309"/>
    <mergeCell ref="C856:L856"/>
    <mergeCell ref="L857:L858"/>
    <mergeCell ref="L859:L860"/>
    <mergeCell ref="C366:I367"/>
    <mergeCell ref="M661:O661"/>
    <mergeCell ref="M662:N662"/>
    <mergeCell ref="L52:P53"/>
    <mergeCell ref="L54:P67"/>
    <mergeCell ref="G991:H991"/>
    <mergeCell ref="G989:H989"/>
    <mergeCell ref="C908:O908"/>
    <mergeCell ref="N825:N826"/>
    <mergeCell ref="M859:O860"/>
    <mergeCell ref="O821:O822"/>
    <mergeCell ref="N817:N818"/>
    <mergeCell ref="O817:O818"/>
    <mergeCell ref="M686:M691"/>
    <mergeCell ref="C708:L708"/>
    <mergeCell ref="N709:N710"/>
    <mergeCell ref="C852:G853"/>
    <mergeCell ref="L852:O853"/>
    <mergeCell ref="D441:E441"/>
    <mergeCell ref="F441:G441"/>
    <mergeCell ref="D438:E438"/>
    <mergeCell ref="F438:G438"/>
    <mergeCell ref="N808:N809"/>
    <mergeCell ref="N810:N811"/>
    <mergeCell ref="C721:J721"/>
    <mergeCell ref="BM460:BM461"/>
    <mergeCell ref="BG459:BP459"/>
    <mergeCell ref="BG460:BG461"/>
    <mergeCell ref="BH460:BK461"/>
    <mergeCell ref="BL460:BL461"/>
    <mergeCell ref="D436:E436"/>
    <mergeCell ref="D437:E437"/>
    <mergeCell ref="F437:G437"/>
    <mergeCell ref="AZ463:BC464"/>
    <mergeCell ref="J463:O463"/>
    <mergeCell ref="J464:O464"/>
    <mergeCell ref="N559:N587"/>
    <mergeCell ref="BD463:BD464"/>
    <mergeCell ref="BE463:BE464"/>
    <mergeCell ref="F445:G445"/>
    <mergeCell ref="H445:I445"/>
    <mergeCell ref="D459:D460"/>
    <mergeCell ref="E459:G460"/>
    <mergeCell ref="J460:O460"/>
    <mergeCell ref="J461:O461"/>
    <mergeCell ref="D445:E445"/>
    <mergeCell ref="C650:J650"/>
    <mergeCell ref="H430:I430"/>
    <mergeCell ref="H436:I436"/>
    <mergeCell ref="F443:G443"/>
    <mergeCell ref="H443:I443"/>
    <mergeCell ref="D439:E439"/>
    <mergeCell ref="F439:G439"/>
    <mergeCell ref="H439:I439"/>
    <mergeCell ref="C435:I435"/>
    <mergeCell ref="D431:E431"/>
    <mergeCell ref="F431:G431"/>
    <mergeCell ref="H431:I431"/>
    <mergeCell ref="D432:E432"/>
    <mergeCell ref="F432:G432"/>
    <mergeCell ref="H432:I432"/>
    <mergeCell ref="D440:E440"/>
    <mergeCell ref="H441:I441"/>
    <mergeCell ref="H437:I437"/>
    <mergeCell ref="H438:I438"/>
    <mergeCell ref="C547:L547"/>
    <mergeCell ref="F429:G429"/>
    <mergeCell ref="D430:E430"/>
    <mergeCell ref="F430:G430"/>
    <mergeCell ref="F436:G436"/>
    <mergeCell ref="H429:I429"/>
    <mergeCell ref="D429:E429"/>
    <mergeCell ref="F440:G440"/>
    <mergeCell ref="H440:I440"/>
    <mergeCell ref="AI230:AK230"/>
    <mergeCell ref="H417:I417"/>
    <mergeCell ref="D427:E427"/>
    <mergeCell ref="F427:G427"/>
    <mergeCell ref="H427:I427"/>
    <mergeCell ref="D428:E428"/>
    <mergeCell ref="F428:G428"/>
    <mergeCell ref="D303:E307"/>
    <mergeCell ref="C298:F298"/>
    <mergeCell ref="D419:E419"/>
    <mergeCell ref="C382:K382"/>
    <mergeCell ref="C374:I375"/>
    <mergeCell ref="F419:G419"/>
    <mergeCell ref="H419:I419"/>
    <mergeCell ref="H428:I428"/>
    <mergeCell ref="H422:I422"/>
    <mergeCell ref="AL230:AN230"/>
    <mergeCell ref="AF231:AG231"/>
    <mergeCell ref="AF232:AG232"/>
    <mergeCell ref="AF248:AG248"/>
    <mergeCell ref="AF249:AG249"/>
    <mergeCell ref="C273:F274"/>
    <mergeCell ref="M273:N273"/>
    <mergeCell ref="C294:F295"/>
    <mergeCell ref="L294:O294"/>
    <mergeCell ref="M274:N274"/>
    <mergeCell ref="C275:F275"/>
    <mergeCell ref="M275:N275"/>
    <mergeCell ref="C280:F280"/>
    <mergeCell ref="M280:N280"/>
    <mergeCell ref="C281:F281"/>
    <mergeCell ref="M281:N281"/>
    <mergeCell ref="M282:N282"/>
    <mergeCell ref="C278:F278"/>
    <mergeCell ref="D288:L288"/>
    <mergeCell ref="AF219:AG219"/>
    <mergeCell ref="Z225:AD225"/>
    <mergeCell ref="Z226:Z230"/>
    <mergeCell ref="AA226:AA230"/>
    <mergeCell ref="AB226:AB230"/>
    <mergeCell ref="AC226:AC230"/>
    <mergeCell ref="AD226:AD230"/>
    <mergeCell ref="AF230:AH230"/>
    <mergeCell ref="M276:N276"/>
    <mergeCell ref="C239:O239"/>
    <mergeCell ref="C243:O243"/>
    <mergeCell ref="C240:J240"/>
    <mergeCell ref="C244:J244"/>
    <mergeCell ref="C262:Q262"/>
    <mergeCell ref="AF214:AH214"/>
    <mergeCell ref="AI214:AK214"/>
    <mergeCell ref="AL214:AN214"/>
    <mergeCell ref="AF215:AG215"/>
    <mergeCell ref="AF217:AG217"/>
    <mergeCell ref="AF218:AG218"/>
    <mergeCell ref="Z212:AD212"/>
    <mergeCell ref="Z213:Z214"/>
    <mergeCell ref="AA213:AA214"/>
    <mergeCell ref="AB213:AB214"/>
    <mergeCell ref="AC213:AC214"/>
    <mergeCell ref="AD213:AD214"/>
    <mergeCell ref="Z204:AA204"/>
    <mergeCell ref="Z205:AB205"/>
    <mergeCell ref="AC205:AE205"/>
    <mergeCell ref="AF205:AI205"/>
    <mergeCell ref="Z206:AA206"/>
    <mergeCell ref="Z207:AA207"/>
    <mergeCell ref="AC199:AD199"/>
    <mergeCell ref="C202:L202"/>
    <mergeCell ref="Z202:AB202"/>
    <mergeCell ref="AC202:AE202"/>
    <mergeCell ref="AF202:AI202"/>
    <mergeCell ref="Z203:AA203"/>
    <mergeCell ref="B817:B818"/>
    <mergeCell ref="C817:C818"/>
    <mergeCell ref="H774:I774"/>
    <mergeCell ref="F775:G775"/>
    <mergeCell ref="H775:I775"/>
    <mergeCell ref="I753:J753"/>
    <mergeCell ref="I754:J754"/>
    <mergeCell ref="F776:G776"/>
    <mergeCell ref="H776:I776"/>
    <mergeCell ref="C774:E774"/>
    <mergeCell ref="F778:G778"/>
    <mergeCell ref="B808:B809"/>
    <mergeCell ref="C808:C809"/>
    <mergeCell ref="B810:B811"/>
    <mergeCell ref="C810:C811"/>
    <mergeCell ref="F777:G777"/>
    <mergeCell ref="H777:I777"/>
    <mergeCell ref="H778:I778"/>
    <mergeCell ref="I755:J755"/>
    <mergeCell ref="F756:G756"/>
    <mergeCell ref="I756:J756"/>
    <mergeCell ref="F774:G774"/>
    <mergeCell ref="F755:G755"/>
    <mergeCell ref="B823:B824"/>
    <mergeCell ref="C823:C824"/>
    <mergeCell ref="N823:N824"/>
    <mergeCell ref="O823:O824"/>
    <mergeCell ref="B825:B826"/>
    <mergeCell ref="N821:N822"/>
    <mergeCell ref="O825:O826"/>
    <mergeCell ref="N819:N820"/>
    <mergeCell ref="O819:O820"/>
    <mergeCell ref="B819:B820"/>
    <mergeCell ref="C819:C820"/>
    <mergeCell ref="B821:B822"/>
    <mergeCell ref="C821:C822"/>
    <mergeCell ref="C825:C826"/>
    <mergeCell ref="D414:E414"/>
    <mergeCell ref="F414:G414"/>
    <mergeCell ref="H414:I414"/>
    <mergeCell ref="D415:E415"/>
    <mergeCell ref="F415:G415"/>
    <mergeCell ref="C162:L162"/>
    <mergeCell ref="C138:I138"/>
    <mergeCell ref="C276:F276"/>
    <mergeCell ref="F132:G132"/>
    <mergeCell ref="F131:G131"/>
    <mergeCell ref="C413:G413"/>
    <mergeCell ref="H413:I413"/>
    <mergeCell ref="L296:O296"/>
    <mergeCell ref="C277:F277"/>
    <mergeCell ref="C279:F279"/>
    <mergeCell ref="M277:N277"/>
    <mergeCell ref="M278:N278"/>
    <mergeCell ref="M279:N279"/>
    <mergeCell ref="C282:F282"/>
    <mergeCell ref="O1:Q1"/>
    <mergeCell ref="M2:N2"/>
    <mergeCell ref="O2:Q2"/>
    <mergeCell ref="M3:Q3"/>
    <mergeCell ref="F130:G130"/>
    <mergeCell ref="F128:G128"/>
    <mergeCell ref="C50:O50"/>
    <mergeCell ref="C8:O8"/>
    <mergeCell ref="A1:D4"/>
    <mergeCell ref="E1:L2"/>
    <mergeCell ref="M1:N1"/>
    <mergeCell ref="D33:F33"/>
    <mergeCell ref="F126:G126"/>
    <mergeCell ref="F127:G127"/>
    <mergeCell ref="M4:O4"/>
    <mergeCell ref="P4:Q4"/>
    <mergeCell ref="C32:G32"/>
    <mergeCell ref="M10:P10"/>
    <mergeCell ref="M11:N11"/>
    <mergeCell ref="B10:D11"/>
    <mergeCell ref="E10:G10"/>
    <mergeCell ref="E11:G11"/>
    <mergeCell ref="D55:J55"/>
    <mergeCell ref="D54:J54"/>
    <mergeCell ref="D1255:G1255"/>
    <mergeCell ref="C1250:C1252"/>
    <mergeCell ref="D1250:G1252"/>
    <mergeCell ref="H1250:H1252"/>
    <mergeCell ref="M1252:N1252"/>
    <mergeCell ref="J1252:K1252"/>
    <mergeCell ref="D1253:G1253"/>
    <mergeCell ref="I1250:N1251"/>
    <mergeCell ref="M1253:N1253"/>
    <mergeCell ref="M1255:N1255"/>
    <mergeCell ref="J1255:K1255"/>
    <mergeCell ref="M1254:N1254"/>
    <mergeCell ref="J1254:K1254"/>
    <mergeCell ref="J1253:K1253"/>
    <mergeCell ref="M924:N924"/>
    <mergeCell ref="C601:J601"/>
    <mergeCell ref="D444:E444"/>
    <mergeCell ref="F444:G444"/>
    <mergeCell ref="H444:I444"/>
    <mergeCell ref="D442:E442"/>
    <mergeCell ref="F442:G442"/>
    <mergeCell ref="H442:I442"/>
    <mergeCell ref="D443:E443"/>
    <mergeCell ref="L597:L598"/>
    <mergeCell ref="M597:M598"/>
    <mergeCell ref="N717:N719"/>
    <mergeCell ref="F749:G749"/>
    <mergeCell ref="F750:G750"/>
    <mergeCell ref="F751:G751"/>
    <mergeCell ref="F752:G752"/>
    <mergeCell ref="E747:F747"/>
    <mergeCell ref="I752:J752"/>
    <mergeCell ref="C673:J673"/>
    <mergeCell ref="C680:J680"/>
    <mergeCell ref="C693:J693"/>
    <mergeCell ref="M649:O649"/>
    <mergeCell ref="M637:N637"/>
    <mergeCell ref="M666:M671"/>
    <mergeCell ref="C1023:Q1023"/>
    <mergeCell ref="H10:L10"/>
    <mergeCell ref="H11:L11"/>
    <mergeCell ref="F129:G129"/>
    <mergeCell ref="C101:J101"/>
    <mergeCell ref="C145:I146"/>
    <mergeCell ref="C154:K155"/>
    <mergeCell ref="C399:E400"/>
    <mergeCell ref="D1254:G1254"/>
    <mergeCell ref="D416:E416"/>
    <mergeCell ref="F416:G416"/>
    <mergeCell ref="H416:I416"/>
    <mergeCell ref="D417:E417"/>
    <mergeCell ref="F417:G417"/>
    <mergeCell ref="C425:I425"/>
    <mergeCell ref="D426:E426"/>
    <mergeCell ref="F426:G426"/>
    <mergeCell ref="H426:I426"/>
    <mergeCell ref="D420:E420"/>
    <mergeCell ref="F420:G420"/>
    <mergeCell ref="H420:I420"/>
    <mergeCell ref="D418:E418"/>
    <mergeCell ref="F418:G418"/>
    <mergeCell ref="H418:I418"/>
  </mergeCells>
  <conditionalFormatting sqref="B87">
    <cfRule type="expression" dxfId="551" priority="8">
      <formula>IF($C$87&lt;&gt;0,1,0)</formula>
    </cfRule>
  </conditionalFormatting>
  <conditionalFormatting sqref="C32">
    <cfRule type="cellIs" dxfId="550" priority="705" stopIfTrue="1" operator="notEqual">
      <formula>0</formula>
    </cfRule>
  </conditionalFormatting>
  <conditionalFormatting sqref="C54">
    <cfRule type="cellIs" dxfId="549" priority="525" stopIfTrue="1" operator="notEqual">
      <formula>0</formula>
    </cfRule>
  </conditionalFormatting>
  <conditionalFormatting sqref="C55:C57">
    <cfRule type="expression" dxfId="548" priority="524" stopIfTrue="1">
      <formula>IF($C$54="x",1,0)</formula>
    </cfRule>
  </conditionalFormatting>
  <conditionalFormatting sqref="C91">
    <cfRule type="cellIs" dxfId="547" priority="720" stopIfTrue="1" operator="equal">
      <formula>0</formula>
    </cfRule>
  </conditionalFormatting>
  <conditionalFormatting sqref="C93">
    <cfRule type="cellIs" dxfId="546" priority="719" stopIfTrue="1" operator="equal">
      <formula>0</formula>
    </cfRule>
  </conditionalFormatting>
  <conditionalFormatting sqref="C104">
    <cfRule type="cellIs" dxfId="545" priority="130" stopIfTrue="1" operator="equal">
      <formula>0</formula>
    </cfRule>
  </conditionalFormatting>
  <conditionalFormatting sqref="C110">
    <cfRule type="cellIs" dxfId="544" priority="716" stopIfTrue="1" operator="equal">
      <formula>0</formula>
    </cfRule>
  </conditionalFormatting>
  <conditionalFormatting sqref="C122">
    <cfRule type="cellIs" dxfId="543" priority="714" stopIfTrue="1" operator="equal">
      <formula>0</formula>
    </cfRule>
  </conditionalFormatting>
  <conditionalFormatting sqref="C249">
    <cfRule type="cellIs" dxfId="542" priority="622" stopIfTrue="1" operator="equal">
      <formula>0</formula>
    </cfRule>
  </conditionalFormatting>
  <conditionalFormatting sqref="C395">
    <cfRule type="cellIs" dxfId="541" priority="202" stopIfTrue="1" operator="equal">
      <formula>0</formula>
    </cfRule>
  </conditionalFormatting>
  <conditionalFormatting sqref="C397">
    <cfRule type="cellIs" dxfId="540" priority="201" stopIfTrue="1" operator="equal">
      <formula>0</formula>
    </cfRule>
  </conditionalFormatting>
  <conditionalFormatting sqref="C416:C421 D421:G421">
    <cfRule type="cellIs" dxfId="539" priority="693" stopIfTrue="1" operator="notEqual">
      <formula>0</formula>
    </cfRule>
  </conditionalFormatting>
  <conditionalFormatting sqref="C428:C432">
    <cfRule type="cellIs" dxfId="538" priority="682" stopIfTrue="1" operator="notEqual">
      <formula>0</formula>
    </cfRule>
  </conditionalFormatting>
  <conditionalFormatting sqref="C438:C445">
    <cfRule type="cellIs" dxfId="537" priority="668" stopIfTrue="1" operator="notEqual">
      <formula>0</formula>
    </cfRule>
  </conditionalFormatting>
  <conditionalFormatting sqref="C488">
    <cfRule type="cellIs" dxfId="536" priority="664" stopIfTrue="1" operator="equal">
      <formula>0</formula>
    </cfRule>
  </conditionalFormatting>
  <conditionalFormatting sqref="C491">
    <cfRule type="cellIs" dxfId="535" priority="663" stopIfTrue="1" operator="equal">
      <formula>0</formula>
    </cfRule>
  </conditionalFormatting>
  <conditionalFormatting sqref="C494">
    <cfRule type="cellIs" dxfId="534" priority="662" stopIfTrue="1" operator="equal">
      <formula>0</formula>
    </cfRule>
  </conditionalFormatting>
  <conditionalFormatting sqref="C497">
    <cfRule type="cellIs" dxfId="533" priority="580" stopIfTrue="1" operator="equal">
      <formula>0</formula>
    </cfRule>
  </conditionalFormatting>
  <conditionalFormatting sqref="C500">
    <cfRule type="cellIs" dxfId="532" priority="610" stopIfTrue="1" operator="equal">
      <formula>0</formula>
    </cfRule>
  </conditionalFormatting>
  <conditionalFormatting sqref="C503">
    <cfRule type="cellIs" dxfId="531" priority="609" stopIfTrue="1" operator="equal">
      <formula>0</formula>
    </cfRule>
  </conditionalFormatting>
  <conditionalFormatting sqref="C506">
    <cfRule type="cellIs" dxfId="530" priority="608" stopIfTrue="1" operator="equal">
      <formula>0</formula>
    </cfRule>
  </conditionalFormatting>
  <conditionalFormatting sqref="C509">
    <cfRule type="cellIs" dxfId="529" priority="607" stopIfTrue="1" operator="equal">
      <formula>0</formula>
    </cfRule>
  </conditionalFormatting>
  <conditionalFormatting sqref="C512">
    <cfRule type="cellIs" dxfId="528" priority="606" stopIfTrue="1" operator="equal">
      <formula>0</formula>
    </cfRule>
  </conditionalFormatting>
  <conditionalFormatting sqref="C515">
    <cfRule type="cellIs" dxfId="527" priority="605" stopIfTrue="1" operator="equal">
      <formula>0</formula>
    </cfRule>
  </conditionalFormatting>
  <conditionalFormatting sqref="C518">
    <cfRule type="cellIs" dxfId="526" priority="604" stopIfTrue="1" operator="equal">
      <formula>0</formula>
    </cfRule>
  </conditionalFormatting>
  <conditionalFormatting sqref="C521">
    <cfRule type="cellIs" dxfId="525" priority="603" stopIfTrue="1" operator="equal">
      <formula>0</formula>
    </cfRule>
  </conditionalFormatting>
  <conditionalFormatting sqref="C524">
    <cfRule type="cellIs" dxfId="524" priority="602" stopIfTrue="1" operator="equal">
      <formula>0</formula>
    </cfRule>
  </conditionalFormatting>
  <conditionalFormatting sqref="C527">
    <cfRule type="cellIs" dxfId="523" priority="601" stopIfTrue="1" operator="equal">
      <formula>0</formula>
    </cfRule>
  </conditionalFormatting>
  <conditionalFormatting sqref="C530">
    <cfRule type="cellIs" dxfId="522" priority="600" stopIfTrue="1" operator="equal">
      <formula>0</formula>
    </cfRule>
  </conditionalFormatting>
  <conditionalFormatting sqref="C613">
    <cfRule type="cellIs" dxfId="521" priority="564" stopIfTrue="1" operator="equal">
      <formula>0</formula>
    </cfRule>
  </conditionalFormatting>
  <conditionalFormatting sqref="C734">
    <cfRule type="cellIs" dxfId="520" priority="710" stopIfTrue="1" operator="equal">
      <formula>0</formula>
    </cfRule>
  </conditionalFormatting>
  <conditionalFormatting sqref="C749:C756">
    <cfRule type="expression" dxfId="519" priority="111">
      <formula>IF($G$747="X",1,0)</formula>
    </cfRule>
  </conditionalFormatting>
  <conditionalFormatting sqref="C784">
    <cfRule type="cellIs" dxfId="518" priority="552" stopIfTrue="1" operator="equal">
      <formula>0</formula>
    </cfRule>
  </conditionalFormatting>
  <conditionalFormatting sqref="C786">
    <cfRule type="cellIs" dxfId="517" priority="550" stopIfTrue="1" operator="equal">
      <formula>0</formula>
    </cfRule>
  </conditionalFormatting>
  <conditionalFormatting sqref="C808">
    <cfRule type="cellIs" dxfId="516" priority="633" stopIfTrue="1" operator="equal">
      <formula>0</formula>
    </cfRule>
  </conditionalFormatting>
  <conditionalFormatting sqref="C810">
    <cfRule type="cellIs" dxfId="515" priority="629" stopIfTrue="1" operator="equal">
      <formula>0</formula>
    </cfRule>
  </conditionalFormatting>
  <conditionalFormatting sqref="C812:C813">
    <cfRule type="cellIs" dxfId="514" priority="627" stopIfTrue="1" operator="equal">
      <formula>0</formula>
    </cfRule>
  </conditionalFormatting>
  <conditionalFormatting sqref="C817">
    <cfRule type="cellIs" dxfId="513" priority="626" stopIfTrue="1" operator="equal">
      <formula>0</formula>
    </cfRule>
  </conditionalFormatting>
  <conditionalFormatting sqref="C819">
    <cfRule type="cellIs" dxfId="512" priority="597" stopIfTrue="1" operator="equal">
      <formula>0</formula>
    </cfRule>
  </conditionalFormatting>
  <conditionalFormatting sqref="C821">
    <cfRule type="cellIs" dxfId="511" priority="625" stopIfTrue="1" operator="equal">
      <formula>0</formula>
    </cfRule>
  </conditionalFormatting>
  <conditionalFormatting sqref="C823">
    <cfRule type="cellIs" dxfId="510" priority="596" stopIfTrue="1" operator="equal">
      <formula>0</formula>
    </cfRule>
  </conditionalFormatting>
  <conditionalFormatting sqref="C825">
    <cfRule type="cellIs" dxfId="509" priority="624" stopIfTrue="1" operator="equal">
      <formula>0</formula>
    </cfRule>
  </conditionalFormatting>
  <conditionalFormatting sqref="C1008">
    <cfRule type="cellIs" dxfId="508" priority="498" stopIfTrue="1" operator="equal">
      <formula>0</formula>
    </cfRule>
  </conditionalFormatting>
  <conditionalFormatting sqref="C1081">
    <cfRule type="cellIs" dxfId="507" priority="424" stopIfTrue="1" operator="equal">
      <formula>0</formula>
    </cfRule>
  </conditionalFormatting>
  <conditionalFormatting sqref="C1084">
    <cfRule type="cellIs" dxfId="506" priority="423" stopIfTrue="1" operator="equal">
      <formula>0</formula>
    </cfRule>
  </conditionalFormatting>
  <conditionalFormatting sqref="C1087">
    <cfRule type="cellIs" dxfId="505" priority="422" stopIfTrue="1" operator="equal">
      <formula>0</formula>
    </cfRule>
  </conditionalFormatting>
  <conditionalFormatting sqref="C1090">
    <cfRule type="cellIs" dxfId="504" priority="410" stopIfTrue="1" operator="equal">
      <formula>0</formula>
    </cfRule>
  </conditionalFormatting>
  <conditionalFormatting sqref="C1093">
    <cfRule type="cellIs" dxfId="503" priority="421" stopIfTrue="1" operator="equal">
      <formula>0</formula>
    </cfRule>
  </conditionalFormatting>
  <conditionalFormatting sqref="C1096">
    <cfRule type="cellIs" dxfId="502" priority="420" stopIfTrue="1" operator="equal">
      <formula>0</formula>
    </cfRule>
  </conditionalFormatting>
  <conditionalFormatting sqref="C1099">
    <cfRule type="cellIs" dxfId="501" priority="419" stopIfTrue="1" operator="equal">
      <formula>0</formula>
    </cfRule>
  </conditionalFormatting>
  <conditionalFormatting sqref="C1102">
    <cfRule type="cellIs" dxfId="500" priority="418" stopIfTrue="1" operator="equal">
      <formula>0</formula>
    </cfRule>
  </conditionalFormatting>
  <conditionalFormatting sqref="C1105">
    <cfRule type="cellIs" dxfId="499" priority="417" stopIfTrue="1" operator="equal">
      <formula>0</formula>
    </cfRule>
  </conditionalFormatting>
  <conditionalFormatting sqref="C1108">
    <cfRule type="cellIs" dxfId="498" priority="416" stopIfTrue="1" operator="equal">
      <formula>0</formula>
    </cfRule>
  </conditionalFormatting>
  <conditionalFormatting sqref="C1111">
    <cfRule type="cellIs" dxfId="497" priority="415" stopIfTrue="1" operator="equal">
      <formula>0</formula>
    </cfRule>
  </conditionalFormatting>
  <conditionalFormatting sqref="C1114">
    <cfRule type="cellIs" dxfId="496" priority="414" stopIfTrue="1" operator="equal">
      <formula>0</formula>
    </cfRule>
  </conditionalFormatting>
  <conditionalFormatting sqref="C1117">
    <cfRule type="cellIs" dxfId="495" priority="413" stopIfTrue="1" operator="equal">
      <formula>0</formula>
    </cfRule>
  </conditionalFormatting>
  <conditionalFormatting sqref="C1120">
    <cfRule type="cellIs" dxfId="494" priority="412" stopIfTrue="1" operator="equal">
      <formula>0</formula>
    </cfRule>
  </conditionalFormatting>
  <conditionalFormatting sqref="C1123">
    <cfRule type="cellIs" dxfId="493" priority="411" stopIfTrue="1" operator="equal">
      <formula>0</formula>
    </cfRule>
  </conditionalFormatting>
  <conditionalFormatting sqref="C1132">
    <cfRule type="cellIs" dxfId="492" priority="403" stopIfTrue="1" operator="equal">
      <formula>0</formula>
    </cfRule>
  </conditionalFormatting>
  <conditionalFormatting sqref="C1135">
    <cfRule type="cellIs" dxfId="491" priority="402" stopIfTrue="1" operator="equal">
      <formula>0</formula>
    </cfRule>
  </conditionalFormatting>
  <conditionalFormatting sqref="C1138">
    <cfRule type="cellIs" dxfId="490" priority="401" stopIfTrue="1" operator="equal">
      <formula>0</formula>
    </cfRule>
  </conditionalFormatting>
  <conditionalFormatting sqref="C1141">
    <cfRule type="cellIs" dxfId="489" priority="389" stopIfTrue="1" operator="equal">
      <formula>0</formula>
    </cfRule>
  </conditionalFormatting>
  <conditionalFormatting sqref="C1144">
    <cfRule type="cellIs" dxfId="488" priority="400" stopIfTrue="1" operator="equal">
      <formula>0</formula>
    </cfRule>
  </conditionalFormatting>
  <conditionalFormatting sqref="C1147">
    <cfRule type="cellIs" dxfId="487" priority="399" stopIfTrue="1" operator="equal">
      <formula>0</formula>
    </cfRule>
  </conditionalFormatting>
  <conditionalFormatting sqref="C1150">
    <cfRule type="cellIs" dxfId="486" priority="398" stopIfTrue="1" operator="equal">
      <formula>0</formula>
    </cfRule>
  </conditionalFormatting>
  <conditionalFormatting sqref="C1153">
    <cfRule type="cellIs" dxfId="485" priority="397" stopIfTrue="1" operator="equal">
      <formula>0</formula>
    </cfRule>
  </conditionalFormatting>
  <conditionalFormatting sqref="C1156">
    <cfRule type="cellIs" dxfId="484" priority="396" stopIfTrue="1" operator="equal">
      <formula>0</formula>
    </cfRule>
  </conditionalFormatting>
  <conditionalFormatting sqref="C1159">
    <cfRule type="cellIs" dxfId="483" priority="395" stopIfTrue="1" operator="equal">
      <formula>0</formula>
    </cfRule>
  </conditionalFormatting>
  <conditionalFormatting sqref="C1162">
    <cfRule type="cellIs" dxfId="482" priority="394" stopIfTrue="1" operator="equal">
      <formula>0</formula>
    </cfRule>
  </conditionalFormatting>
  <conditionalFormatting sqref="C1165">
    <cfRule type="cellIs" dxfId="481" priority="393" stopIfTrue="1" operator="equal">
      <formula>0</formula>
    </cfRule>
  </conditionalFormatting>
  <conditionalFormatting sqref="C1168">
    <cfRule type="cellIs" dxfId="480" priority="392" stopIfTrue="1" operator="equal">
      <formula>0</formula>
    </cfRule>
  </conditionalFormatting>
  <conditionalFormatting sqref="C1171">
    <cfRule type="cellIs" dxfId="479" priority="391" stopIfTrue="1" operator="equal">
      <formula>0</formula>
    </cfRule>
  </conditionalFormatting>
  <conditionalFormatting sqref="C1174">
    <cfRule type="cellIs" dxfId="478" priority="390" stopIfTrue="1" operator="equal">
      <formula>0</formula>
    </cfRule>
  </conditionalFormatting>
  <conditionalFormatting sqref="C1180">
    <cfRule type="cellIs" dxfId="477" priority="504" stopIfTrue="1" operator="equal">
      <formula>0</formula>
    </cfRule>
  </conditionalFormatting>
  <conditionalFormatting sqref="C17:D17">
    <cfRule type="expression" dxfId="476" priority="3">
      <formula>IF($E$17&lt;&gt;0,1,0)</formula>
    </cfRule>
  </conditionalFormatting>
  <conditionalFormatting sqref="C313:J313 L313">
    <cfRule type="cellIs" dxfId="475" priority="565" stopIfTrue="1" operator="equal">
      <formula>0</formula>
    </cfRule>
  </conditionalFormatting>
  <conditionalFormatting sqref="D37">
    <cfRule type="cellIs" dxfId="474" priority="723" stopIfTrue="1" operator="equal">
      <formula>0</formula>
    </cfRule>
  </conditionalFormatting>
  <conditionalFormatting sqref="D41">
    <cfRule type="cellIs" dxfId="473" priority="722" stopIfTrue="1" operator="equal">
      <formula>0</formula>
    </cfRule>
  </conditionalFormatting>
  <conditionalFormatting sqref="D45">
    <cfRule type="cellIs" dxfId="472" priority="721" stopIfTrue="1" operator="equal">
      <formula>0</formula>
    </cfRule>
  </conditionalFormatting>
  <conditionalFormatting sqref="D56:D57">
    <cfRule type="expression" dxfId="471" priority="173">
      <formula>IF($C$54="x",1,0)</formula>
    </cfRule>
  </conditionalFormatting>
  <conditionalFormatting sqref="D401:D403">
    <cfRule type="cellIs" dxfId="470" priority="196" stopIfTrue="1" operator="equal">
      <formula>0</formula>
    </cfRule>
  </conditionalFormatting>
  <conditionalFormatting sqref="D405:D410">
    <cfRule type="cellIs" dxfId="469" priority="195" stopIfTrue="1" operator="equal">
      <formula>0</formula>
    </cfRule>
  </conditionalFormatting>
  <conditionalFormatting sqref="D647">
    <cfRule type="cellIs" dxfId="468" priority="661" stopIfTrue="1" operator="equal">
      <formula>0</formula>
    </cfRule>
  </conditionalFormatting>
  <conditionalFormatting sqref="D775:D776">
    <cfRule type="cellIs" dxfId="467" priority="631" stopIfTrue="1" operator="equal">
      <formula>0</formula>
    </cfRule>
  </conditionalFormatting>
  <conditionalFormatting sqref="D837">
    <cfRule type="cellIs" dxfId="466" priority="152" stopIfTrue="1" operator="equal">
      <formula>0</formula>
    </cfRule>
  </conditionalFormatting>
  <conditionalFormatting sqref="D839">
    <cfRule type="cellIs" dxfId="465" priority="147" stopIfTrue="1" operator="equal">
      <formula>0</formula>
    </cfRule>
  </conditionalFormatting>
  <conditionalFormatting sqref="D841">
    <cfRule type="cellIs" dxfId="464" priority="153" stopIfTrue="1" operator="equal">
      <formula>0</formula>
    </cfRule>
  </conditionalFormatting>
  <conditionalFormatting sqref="D912">
    <cfRule type="cellIs" dxfId="463" priority="507" stopIfTrue="1" operator="equal">
      <formula>0</formula>
    </cfRule>
  </conditionalFormatting>
  <conditionalFormatting sqref="D998">
    <cfRule type="cellIs" dxfId="462" priority="379" stopIfTrue="1" operator="equal">
      <formula>0</formula>
    </cfRule>
  </conditionalFormatting>
  <conditionalFormatting sqref="D1227">
    <cfRule type="cellIs" dxfId="461" priority="460" stopIfTrue="1" operator="equal">
      <formula>0</formula>
    </cfRule>
  </conditionalFormatting>
  <conditionalFormatting sqref="D1231">
    <cfRule type="cellIs" dxfId="460" priority="458" stopIfTrue="1" operator="equal">
      <formula>0</formula>
    </cfRule>
  </conditionalFormatting>
  <conditionalFormatting sqref="D33:F34">
    <cfRule type="cellIs" dxfId="459" priority="704" stopIfTrue="1" operator="notEqual">
      <formula>0</formula>
    </cfRule>
  </conditionalFormatting>
  <conditionalFormatting sqref="D416:G416">
    <cfRule type="expression" dxfId="458" priority="698" stopIfTrue="1">
      <formula>IF($C$416="x",1,0)</formula>
    </cfRule>
  </conditionalFormatting>
  <conditionalFormatting sqref="D417:G417">
    <cfRule type="expression" dxfId="457" priority="697" stopIfTrue="1">
      <formula>IF($C$417="x",1,0)</formula>
    </cfRule>
  </conditionalFormatting>
  <conditionalFormatting sqref="D418:G418">
    <cfRule type="expression" dxfId="456" priority="696" stopIfTrue="1">
      <formula>IF($C$418="x",1,0)</formula>
    </cfRule>
  </conditionalFormatting>
  <conditionalFormatting sqref="D419:G419">
    <cfRule type="expression" dxfId="455" priority="695" stopIfTrue="1">
      <formula>IF($C$419="x",1,0)</formula>
    </cfRule>
  </conditionalFormatting>
  <conditionalFormatting sqref="D420:G420">
    <cfRule type="expression" dxfId="454" priority="694" stopIfTrue="1">
      <formula>IF($C$420="x",1,0)</formula>
    </cfRule>
  </conditionalFormatting>
  <conditionalFormatting sqref="D412:H412">
    <cfRule type="expression" dxfId="453" priority="701" stopIfTrue="1">
      <formula>IF($I$15&gt;18,1,0)</formula>
    </cfRule>
  </conditionalFormatting>
  <conditionalFormatting sqref="D424:H424">
    <cfRule type="expression" dxfId="452" priority="689" stopIfTrue="1">
      <formula>IF($I$15&gt;18,1,0)</formula>
    </cfRule>
  </conditionalFormatting>
  <conditionalFormatting sqref="D434:H434">
    <cfRule type="expression" dxfId="451" priority="670" stopIfTrue="1">
      <formula>IF($I$15&gt;18,1,0)</formula>
    </cfRule>
  </conditionalFormatting>
  <conditionalFormatting sqref="D428:I428">
    <cfRule type="expression" dxfId="450" priority="681" stopIfTrue="1">
      <formula>IF($C$428="x",1,0)</formula>
    </cfRule>
  </conditionalFormatting>
  <conditionalFormatting sqref="D429:I429">
    <cfRule type="expression" dxfId="449" priority="679" stopIfTrue="1">
      <formula>IF($C$429="x",1,0)</formula>
    </cfRule>
  </conditionalFormatting>
  <conditionalFormatting sqref="D430:I430">
    <cfRule type="expression" dxfId="448" priority="677" stopIfTrue="1">
      <formula>IF($C$430="x",1,0)</formula>
    </cfRule>
  </conditionalFormatting>
  <conditionalFormatting sqref="D431:I431">
    <cfRule type="expression" dxfId="447" priority="675" stopIfTrue="1">
      <formula>IF($C$431="x",1,0)</formula>
    </cfRule>
  </conditionalFormatting>
  <conditionalFormatting sqref="D432:I432">
    <cfRule type="expression" dxfId="446" priority="673" stopIfTrue="1">
      <formula>IF($C$432="x",1,0)</formula>
    </cfRule>
  </conditionalFormatting>
  <conditionalFormatting sqref="D438:I438">
    <cfRule type="expression" dxfId="445" priority="644" stopIfTrue="1">
      <formula>IF($C$438="x",1,0)</formula>
    </cfRule>
  </conditionalFormatting>
  <conditionalFormatting sqref="D439:I439">
    <cfRule type="expression" dxfId="444" priority="643" stopIfTrue="1">
      <formula>IF($C$439="x",1,0)</formula>
    </cfRule>
  </conditionalFormatting>
  <conditionalFormatting sqref="D440:I440">
    <cfRule type="expression" dxfId="443" priority="642" stopIfTrue="1">
      <formula>IF($C$440="x",1,0)</formula>
    </cfRule>
  </conditionalFormatting>
  <conditionalFormatting sqref="D441:I441">
    <cfRule type="expression" dxfId="442" priority="641" stopIfTrue="1">
      <formula>IF($C$441="x",1,0)</formula>
    </cfRule>
  </conditionalFormatting>
  <conditionalFormatting sqref="D442:I442">
    <cfRule type="expression" dxfId="441" priority="640" stopIfTrue="1">
      <formula>IF($C$442="x",1,0)</formula>
    </cfRule>
  </conditionalFormatting>
  <conditionalFormatting sqref="D443:I443">
    <cfRule type="expression" dxfId="440" priority="639" stopIfTrue="1">
      <formula>IF($C$443="x",1,0)</formula>
    </cfRule>
  </conditionalFormatting>
  <conditionalFormatting sqref="D444:I444">
    <cfRule type="expression" dxfId="439" priority="638" stopIfTrue="1">
      <formula>IF($C$444="x",1,0)</formula>
    </cfRule>
  </conditionalFormatting>
  <conditionalFormatting sqref="D445:I445">
    <cfRule type="expression" dxfId="438" priority="637" stopIfTrue="1">
      <formula>IF($C$445="x",1,0)</formula>
    </cfRule>
  </conditionalFormatting>
  <conditionalFormatting sqref="D54:J55">
    <cfRule type="expression" dxfId="437" priority="172" stopIfTrue="1">
      <formula>IF($C$54="x",1,0)</formula>
    </cfRule>
  </conditionalFormatting>
  <conditionalFormatting sqref="D1253:N1255">
    <cfRule type="cellIs" dxfId="436" priority="251" stopIfTrue="1" operator="equal">
      <formula>0</formula>
    </cfRule>
  </conditionalFormatting>
  <conditionalFormatting sqref="E15:E17">
    <cfRule type="cellIs" dxfId="435" priority="4" stopIfTrue="1" operator="equal">
      <formula>0</formula>
    </cfRule>
  </conditionalFormatting>
  <conditionalFormatting sqref="E104">
    <cfRule type="cellIs" dxfId="434" priority="717" stopIfTrue="1" operator="equal">
      <formula>0</formula>
    </cfRule>
  </conditionalFormatting>
  <conditionalFormatting sqref="E110">
    <cfRule type="cellIs" dxfId="433" priority="715" stopIfTrue="1" operator="equal">
      <formula>0</formula>
    </cfRule>
  </conditionalFormatting>
  <conditionalFormatting sqref="E122">
    <cfRule type="cellIs" dxfId="432" priority="713" stopIfTrue="1" operator="equal">
      <formula>0</formula>
    </cfRule>
  </conditionalFormatting>
  <conditionalFormatting sqref="E466:E475">
    <cfRule type="cellIs" dxfId="431" priority="615" stopIfTrue="1" operator="equal">
      <formula>0</formula>
    </cfRule>
  </conditionalFormatting>
  <conditionalFormatting sqref="E480">
    <cfRule type="cellIs" dxfId="430" priority="85" stopIfTrue="1" operator="equal">
      <formula>0</formula>
    </cfRule>
  </conditionalFormatting>
  <conditionalFormatting sqref="E747">
    <cfRule type="cellIs" dxfId="429" priority="461" stopIfTrue="1" operator="equal">
      <formula>0</formula>
    </cfRule>
  </conditionalFormatting>
  <conditionalFormatting sqref="E1038">
    <cfRule type="cellIs" dxfId="428" priority="489" stopIfTrue="1" operator="equal">
      <formula>0</formula>
    </cfRule>
  </conditionalFormatting>
  <conditionalFormatting sqref="E1075">
    <cfRule type="cellIs" dxfId="427" priority="357" stopIfTrue="1" operator="equal">
      <formula>0</formula>
    </cfRule>
  </conditionalFormatting>
  <conditionalFormatting sqref="E11:M11">
    <cfRule type="cellIs" dxfId="426" priority="20" stopIfTrue="1" operator="equal">
      <formula>0</formula>
    </cfRule>
  </conditionalFormatting>
  <conditionalFormatting sqref="F17">
    <cfRule type="expression" dxfId="425" priority="2">
      <formula>IF($E$17&lt;&gt;0,1,0)</formula>
    </cfRule>
  </conditionalFormatting>
  <conditionalFormatting sqref="F21:F22">
    <cfRule type="cellIs" dxfId="424" priority="377" stopIfTrue="1" operator="equal">
      <formula>0</formula>
    </cfRule>
  </conditionalFormatting>
  <conditionalFormatting sqref="F252:F257">
    <cfRule type="cellIs" dxfId="423" priority="593" stopIfTrue="1" operator="equal">
      <formula>0</formula>
    </cfRule>
  </conditionalFormatting>
  <conditionalFormatting sqref="F259:F260">
    <cfRule type="cellIs" dxfId="422" priority="139" stopIfTrue="1" operator="equal">
      <formula>0</formula>
    </cfRule>
  </conditionalFormatting>
  <conditionalFormatting sqref="F310">
    <cfRule type="cellIs" dxfId="421" priority="619" stopIfTrue="1" operator="equal">
      <formula>0</formula>
    </cfRule>
  </conditionalFormatting>
  <conditionalFormatting sqref="F647">
    <cfRule type="cellIs" dxfId="420" priority="591" stopIfTrue="1" operator="equal">
      <formula>0</formula>
    </cfRule>
  </conditionalFormatting>
  <conditionalFormatting sqref="F737:F742">
    <cfRule type="cellIs" dxfId="419" priority="116" stopIfTrue="1" operator="equal">
      <formula>0</formula>
    </cfRule>
  </conditionalFormatting>
  <conditionalFormatting sqref="F744">
    <cfRule type="cellIs" dxfId="418" priority="595" stopIfTrue="1" operator="equal">
      <formula>0</formula>
    </cfRule>
  </conditionalFormatting>
  <conditionalFormatting sqref="F749:F756">
    <cfRule type="cellIs" dxfId="417" priority="12" stopIfTrue="1" operator="equal">
      <formula>0</formula>
    </cfRule>
  </conditionalFormatting>
  <conditionalFormatting sqref="F758">
    <cfRule type="cellIs" dxfId="416" priority="586" stopIfTrue="1" operator="equal">
      <formula>0</formula>
    </cfRule>
  </conditionalFormatting>
  <conditionalFormatting sqref="F912">
    <cfRule type="cellIs" dxfId="415" priority="506" stopIfTrue="1" operator="equal">
      <formula>0</formula>
    </cfRule>
  </conditionalFormatting>
  <conditionalFormatting sqref="F921">
    <cfRule type="cellIs" dxfId="414" priority="486" stopIfTrue="1" operator="equal">
      <formula>0</formula>
    </cfRule>
  </conditionalFormatting>
  <conditionalFormatting sqref="F998">
    <cfRule type="cellIs" dxfId="413" priority="378" stopIfTrue="1" operator="equal">
      <formula>0</formula>
    </cfRule>
  </conditionalFormatting>
  <conditionalFormatting sqref="F1011:F1016">
    <cfRule type="cellIs" dxfId="412" priority="496" stopIfTrue="1" operator="equal">
      <formula>0</formula>
    </cfRule>
  </conditionalFormatting>
  <conditionalFormatting sqref="F1018:F1019">
    <cfRule type="cellIs" dxfId="411" priority="133" stopIfTrue="1" operator="equal">
      <formula>0</formula>
    </cfRule>
  </conditionalFormatting>
  <conditionalFormatting sqref="F1021">
    <cfRule type="cellIs" dxfId="410" priority="497" stopIfTrue="1" operator="equal">
      <formula>0</formula>
    </cfRule>
  </conditionalFormatting>
  <conditionalFormatting sqref="F1040">
    <cfRule type="cellIs" dxfId="409" priority="480" stopIfTrue="1" operator="equal">
      <formula>0</formula>
    </cfRule>
  </conditionalFormatting>
  <conditionalFormatting sqref="F1183:F1188">
    <cfRule type="cellIs" dxfId="408" priority="502" stopIfTrue="1" operator="equal">
      <formula>0</formula>
    </cfRule>
  </conditionalFormatting>
  <conditionalFormatting sqref="F1190">
    <cfRule type="cellIs" dxfId="407" priority="503" stopIfTrue="1" operator="equal">
      <formula>0</formula>
    </cfRule>
  </conditionalFormatting>
  <conditionalFormatting sqref="F1219">
    <cfRule type="cellIs" dxfId="406" priority="455" stopIfTrue="1" operator="equal">
      <formula>0</formula>
    </cfRule>
  </conditionalFormatting>
  <conditionalFormatting sqref="F1237">
    <cfRule type="cellIs" dxfId="405" priority="454" stopIfTrue="1" operator="equal">
      <formula>0</formula>
    </cfRule>
  </conditionalFormatting>
  <conditionalFormatting sqref="F1261">
    <cfRule type="cellIs" dxfId="404" priority="127" stopIfTrue="1" operator="equal">
      <formula>0</formula>
    </cfRule>
  </conditionalFormatting>
  <conditionalFormatting sqref="F1267">
    <cfRule type="cellIs" dxfId="403" priority="1" stopIfTrue="1" operator="equal">
      <formula>0</formula>
    </cfRule>
  </conditionalFormatting>
  <conditionalFormatting sqref="F749:G756">
    <cfRule type="expression" dxfId="402" priority="11" stopIfTrue="1">
      <formula>IF($G$747="X",1,0)</formula>
    </cfRule>
  </conditionalFormatting>
  <conditionalFormatting sqref="F304:H307">
    <cfRule type="cellIs" dxfId="401" priority="294" stopIfTrue="1" operator="equal">
      <formula>0</formula>
    </cfRule>
  </conditionalFormatting>
  <conditionalFormatting sqref="F749:H756">
    <cfRule type="expression" dxfId="400" priority="10">
      <formula>IF($O$749="X",1,0)</formula>
    </cfRule>
  </conditionalFormatting>
  <conditionalFormatting sqref="F3:L4">
    <cfRule type="cellIs" dxfId="399" priority="6" stopIfTrue="1" operator="equal">
      <formula>0</formula>
    </cfRule>
  </conditionalFormatting>
  <conditionalFormatting sqref="G25">
    <cfRule type="cellIs" dxfId="398" priority="142" stopIfTrue="1" operator="equal">
      <formula>0</formula>
    </cfRule>
  </conditionalFormatting>
  <conditionalFormatting sqref="G60">
    <cfRule type="cellIs" dxfId="397" priority="532" stopIfTrue="1" operator="equal">
      <formula>0</formula>
    </cfRule>
  </conditionalFormatting>
  <conditionalFormatting sqref="G65">
    <cfRule type="cellIs" dxfId="396" priority="372" stopIfTrue="1" operator="equal">
      <formula>0</formula>
    </cfRule>
  </conditionalFormatting>
  <conditionalFormatting sqref="G91">
    <cfRule type="cellIs" dxfId="395" priority="724" stopIfTrue="1" operator="equal">
      <formula>0</formula>
    </cfRule>
  </conditionalFormatting>
  <conditionalFormatting sqref="G231">
    <cfRule type="cellIs" dxfId="394" priority="583" stopIfTrue="1" operator="equal">
      <formula>0</formula>
    </cfRule>
  </conditionalFormatting>
  <conditionalFormatting sqref="G263">
    <cfRule type="cellIs" dxfId="393" priority="61" stopIfTrue="1" operator="equal">
      <formula>0</formula>
    </cfRule>
  </conditionalFormatting>
  <conditionalFormatting sqref="G265">
    <cfRule type="cellIs" dxfId="392" priority="58" stopIfTrue="1" operator="equal">
      <formula>0</formula>
    </cfRule>
  </conditionalFormatting>
  <conditionalFormatting sqref="G448">
    <cfRule type="cellIs" dxfId="391" priority="516" stopIfTrue="1" operator="equal">
      <formula>0</formula>
    </cfRule>
  </conditionalFormatting>
  <conditionalFormatting sqref="G453">
    <cfRule type="cellIs" dxfId="390" priority="363" stopIfTrue="1" operator="equal">
      <formula>0</formula>
    </cfRule>
  </conditionalFormatting>
  <conditionalFormatting sqref="G478">
    <cfRule type="cellIs" dxfId="389" priority="87" stopIfTrue="1" operator="equal">
      <formula>0</formula>
    </cfRule>
  </conditionalFormatting>
  <conditionalFormatting sqref="G766:G767">
    <cfRule type="cellIs" dxfId="388" priority="527" stopIfTrue="1" operator="equal">
      <formula>0</formula>
    </cfRule>
  </conditionalFormatting>
  <conditionalFormatting sqref="G770">
    <cfRule type="cellIs" dxfId="387" priority="634" stopIfTrue="1" operator="equal">
      <formula>0</formula>
    </cfRule>
  </conditionalFormatting>
  <conditionalFormatting sqref="G772">
    <cfRule type="cellIs" dxfId="386" priority="544" stopIfTrue="1" operator="equal">
      <formula>0</formula>
    </cfRule>
  </conditionalFormatting>
  <conditionalFormatting sqref="G784">
    <cfRule type="cellIs" dxfId="385" priority="548" stopIfTrue="1" operator="equal">
      <formula>0</formula>
    </cfRule>
  </conditionalFormatting>
  <conditionalFormatting sqref="G786">
    <cfRule type="cellIs" dxfId="384" priority="549" stopIfTrue="1" operator="equal">
      <formula>0</formula>
    </cfRule>
  </conditionalFormatting>
  <conditionalFormatting sqref="G792">
    <cfRule type="cellIs" dxfId="383" priority="56" stopIfTrue="1" operator="equal">
      <formula>0</formula>
    </cfRule>
  </conditionalFormatting>
  <conditionalFormatting sqref="G794">
    <cfRule type="cellIs" dxfId="382" priority="54" stopIfTrue="1" operator="equal">
      <formula>0</formula>
    </cfRule>
  </conditionalFormatting>
  <conditionalFormatting sqref="G828">
    <cfRule type="cellIs" dxfId="381" priority="149" stopIfTrue="1" operator="equal">
      <formula>0</formula>
    </cfRule>
  </conditionalFormatting>
  <conditionalFormatting sqref="G833">
    <cfRule type="cellIs" dxfId="380" priority="151" stopIfTrue="1" operator="equal">
      <formula>0</formula>
    </cfRule>
  </conditionalFormatting>
  <conditionalFormatting sqref="G849">
    <cfRule type="cellIs" dxfId="379" priority="331" stopIfTrue="1" operator="equal">
      <formula>0</formula>
    </cfRule>
  </conditionalFormatting>
  <conditionalFormatting sqref="G1024">
    <cfRule type="cellIs" dxfId="378" priority="50" stopIfTrue="1" operator="equal">
      <formula>0</formula>
    </cfRule>
  </conditionalFormatting>
  <conditionalFormatting sqref="G1026">
    <cfRule type="cellIs" dxfId="377" priority="48" stopIfTrue="1" operator="equal">
      <formula>0</formula>
    </cfRule>
  </conditionalFormatting>
  <conditionalFormatting sqref="G1038">
    <cfRule type="cellIs" dxfId="376" priority="488" stopIfTrue="1" operator="equal">
      <formula>0</formula>
    </cfRule>
  </conditionalFormatting>
  <conditionalFormatting sqref="G1044">
    <cfRule type="cellIs" dxfId="375" priority="493" stopIfTrue="1" operator="equal">
      <formula>0</formula>
    </cfRule>
  </conditionalFormatting>
  <conditionalFormatting sqref="G1046">
    <cfRule type="cellIs" dxfId="374" priority="492" stopIfTrue="1" operator="equal">
      <formula>0</formula>
    </cfRule>
  </conditionalFormatting>
  <conditionalFormatting sqref="G1048">
    <cfRule type="cellIs" dxfId="373" priority="491" stopIfTrue="1" operator="equal">
      <formula>0</formula>
    </cfRule>
  </conditionalFormatting>
  <conditionalFormatting sqref="G1050">
    <cfRule type="cellIs" dxfId="372" priority="490" stopIfTrue="1" operator="equal">
      <formula>0</formula>
    </cfRule>
  </conditionalFormatting>
  <conditionalFormatting sqref="G1052">
    <cfRule type="cellIs" dxfId="371" priority="132" stopIfTrue="1" operator="equal">
      <formula>0</formula>
    </cfRule>
  </conditionalFormatting>
  <conditionalFormatting sqref="G1054">
    <cfRule type="cellIs" dxfId="370" priority="131" stopIfTrue="1" operator="equal">
      <formula>0</formula>
    </cfRule>
  </conditionalFormatting>
  <conditionalFormatting sqref="G1068">
    <cfRule type="cellIs" dxfId="369" priority="329" stopIfTrue="1" operator="equal">
      <formula>0</formula>
    </cfRule>
  </conditionalFormatting>
  <conditionalFormatting sqref="G1075">
    <cfRule type="cellIs" dxfId="368" priority="356" stopIfTrue="1" operator="equal">
      <formula>0</formula>
    </cfRule>
  </conditionalFormatting>
  <conditionalFormatting sqref="G1193">
    <cfRule type="cellIs" dxfId="367" priority="44" stopIfTrue="1" operator="equal">
      <formula>0</formula>
    </cfRule>
  </conditionalFormatting>
  <conditionalFormatting sqref="G1195">
    <cfRule type="cellIs" dxfId="366" priority="42" stopIfTrue="1" operator="equal">
      <formula>0</formula>
    </cfRule>
  </conditionalFormatting>
  <conditionalFormatting sqref="G1241">
    <cfRule type="cellIs" dxfId="365" priority="453" stopIfTrue="1" operator="equal">
      <formula>0</formula>
    </cfRule>
  </conditionalFormatting>
  <conditionalFormatting sqref="G26:H26">
    <cfRule type="cellIs" dxfId="364" priority="520" stopIfTrue="1" operator="notEqual">
      <formula>0</formula>
    </cfRule>
  </conditionalFormatting>
  <conditionalFormatting sqref="G105:J105">
    <cfRule type="cellIs" dxfId="363" priority="67" stopIfTrue="1" operator="equal">
      <formula>0</formula>
    </cfRule>
  </conditionalFormatting>
  <conditionalFormatting sqref="H465:H475">
    <cfRule type="cellIs" dxfId="362" priority="613" stopIfTrue="1" operator="equal">
      <formula>0</formula>
    </cfRule>
  </conditionalFormatting>
  <conditionalFormatting sqref="H613">
    <cfRule type="cellIs" dxfId="361" priority="563" stopIfTrue="1" operator="equal">
      <formula>0</formula>
    </cfRule>
  </conditionalFormatting>
  <conditionalFormatting sqref="H749:H756">
    <cfRule type="expression" dxfId="360" priority="104">
      <formula>IF($G$747="X",1,0)</formula>
    </cfRule>
  </conditionalFormatting>
  <conditionalFormatting sqref="H758">
    <cfRule type="cellIs" dxfId="359" priority="585" stopIfTrue="1" operator="equal">
      <formula>0</formula>
    </cfRule>
  </conditionalFormatting>
  <conditionalFormatting sqref="H780">
    <cfRule type="cellIs" dxfId="358" priority="636" stopIfTrue="1" operator="equal">
      <formula>0</formula>
    </cfRule>
  </conditionalFormatting>
  <conditionalFormatting sqref="H790">
    <cfRule type="cellIs" dxfId="357" priority="630" stopIfTrue="1" operator="equal">
      <formula>0</formula>
    </cfRule>
  </conditionalFormatting>
  <conditionalFormatting sqref="H918:H919">
    <cfRule type="cellIs" dxfId="356" priority="336" stopIfTrue="1" operator="equal">
      <formula>0</formula>
    </cfRule>
  </conditionalFormatting>
  <conditionalFormatting sqref="H922">
    <cfRule type="cellIs" dxfId="355" priority="426" stopIfTrue="1" operator="equal">
      <formula>0</formula>
    </cfRule>
  </conditionalFormatting>
  <conditionalFormatting sqref="H930:H932">
    <cfRule type="cellIs" dxfId="354" priority="485" stopIfTrue="1" operator="equal">
      <formula>0</formula>
    </cfRule>
  </conditionalFormatting>
  <conditionalFormatting sqref="H934:H936">
    <cfRule type="cellIs" dxfId="353" priority="483" stopIfTrue="1" operator="equal">
      <formula>0</formula>
    </cfRule>
  </conditionalFormatting>
  <conditionalFormatting sqref="H938">
    <cfRule type="cellIs" dxfId="352" priority="335" stopIfTrue="1" operator="equal">
      <formula>0</formula>
    </cfRule>
  </conditionalFormatting>
  <conditionalFormatting sqref="H942">
    <cfRule type="cellIs" dxfId="351" priority="474" stopIfTrue="1" operator="equal">
      <formula>0</formula>
    </cfRule>
  </conditionalFormatting>
  <conditionalFormatting sqref="H945">
    <cfRule type="cellIs" dxfId="350" priority="429" stopIfTrue="1" operator="equal">
      <formula>0</formula>
    </cfRule>
  </conditionalFormatting>
  <conditionalFormatting sqref="H948">
    <cfRule type="cellIs" dxfId="349" priority="444" stopIfTrue="1" operator="equal">
      <formula>0</formula>
    </cfRule>
  </conditionalFormatting>
  <conditionalFormatting sqref="H952:H954">
    <cfRule type="cellIs" dxfId="348" priority="481" stopIfTrue="1" operator="equal">
      <formula>0</formula>
    </cfRule>
  </conditionalFormatting>
  <conditionalFormatting sqref="H957">
    <cfRule type="cellIs" dxfId="347" priority="473" stopIfTrue="1" operator="equal">
      <formula>0</formula>
    </cfRule>
  </conditionalFormatting>
  <conditionalFormatting sqref="H960">
    <cfRule type="cellIs" dxfId="346" priority="428" stopIfTrue="1" operator="equal">
      <formula>0</formula>
    </cfRule>
  </conditionalFormatting>
  <conditionalFormatting sqref="H963">
    <cfRule type="cellIs" dxfId="345" priority="443" stopIfTrue="1" operator="equal">
      <formula>0</formula>
    </cfRule>
  </conditionalFormatting>
  <conditionalFormatting sqref="H969">
    <cfRule type="cellIs" dxfId="344" priority="334" stopIfTrue="1" operator="equal">
      <formula>0</formula>
    </cfRule>
  </conditionalFormatting>
  <conditionalFormatting sqref="H972">
    <cfRule type="cellIs" dxfId="343" priority="333" stopIfTrue="1" operator="equal">
      <formula>0</formula>
    </cfRule>
  </conditionalFormatting>
  <conditionalFormatting sqref="H978">
    <cfRule type="cellIs" dxfId="342" priority="472" stopIfTrue="1" operator="equal">
      <formula>0</formula>
    </cfRule>
  </conditionalFormatting>
  <conditionalFormatting sqref="H981">
    <cfRule type="cellIs" dxfId="341" priority="427" stopIfTrue="1" operator="equal">
      <formula>0</formula>
    </cfRule>
  </conditionalFormatting>
  <conditionalFormatting sqref="H984">
    <cfRule type="cellIs" dxfId="340" priority="442" stopIfTrue="1" operator="equal">
      <formula>0</formula>
    </cfRule>
  </conditionalFormatting>
  <conditionalFormatting sqref="H416:I420">
    <cfRule type="cellIs" dxfId="339" priority="700" stopIfTrue="1" operator="equal">
      <formula>0</formula>
    </cfRule>
  </conditionalFormatting>
  <conditionalFormatting sqref="H422:I422">
    <cfRule type="expression" dxfId="338" priority="623" stopIfTrue="1">
      <formula>IF($C$428="x",1,0)</formula>
    </cfRule>
  </conditionalFormatting>
  <conditionalFormatting sqref="H111:J111">
    <cfRule type="cellIs" dxfId="337" priority="122" stopIfTrue="1" operator="equal">
      <formula>0</formula>
    </cfRule>
  </conditionalFormatting>
  <conditionalFormatting sqref="H853:J853">
    <cfRule type="cellIs" dxfId="336" priority="176" stopIfTrue="1" operator="equal">
      <formula>0</formula>
    </cfRule>
  </conditionalFormatting>
  <conditionalFormatting sqref="I60">
    <cfRule type="cellIs" dxfId="335" priority="533" stopIfTrue="1" operator="equal">
      <formula>0</formula>
    </cfRule>
  </conditionalFormatting>
  <conditionalFormatting sqref="I219">
    <cfRule type="cellIs" dxfId="334" priority="599" stopIfTrue="1" operator="equal">
      <formula>0</formula>
    </cfRule>
  </conditionalFormatting>
  <conditionalFormatting sqref="I231">
    <cfRule type="cellIs" dxfId="333" priority="582" stopIfTrue="1" operator="equal">
      <formula>0</formula>
    </cfRule>
  </conditionalFormatting>
  <conditionalFormatting sqref="I448">
    <cfRule type="cellIs" dxfId="332" priority="515" stopIfTrue="1" operator="equal">
      <formula>0</formula>
    </cfRule>
  </conditionalFormatting>
  <conditionalFormatting sqref="I465">
    <cfRule type="cellIs" dxfId="331" priority="361" stopIfTrue="1" operator="equal">
      <formula>0</formula>
    </cfRule>
  </conditionalFormatting>
  <conditionalFormatting sqref="I478">
    <cfRule type="cellIs" dxfId="330" priority="86" stopIfTrue="1" operator="equal">
      <formula>0</formula>
    </cfRule>
  </conditionalFormatting>
  <conditionalFormatting sqref="I749:I756">
    <cfRule type="cellIs" dxfId="329" priority="98" stopIfTrue="1" operator="equal">
      <formula>0</formula>
    </cfRule>
  </conditionalFormatting>
  <conditionalFormatting sqref="I766:I767">
    <cfRule type="cellIs" dxfId="328" priority="526" stopIfTrue="1" operator="equal">
      <formula>0</formula>
    </cfRule>
  </conditionalFormatting>
  <conditionalFormatting sqref="I769">
    <cfRule type="cellIs" dxfId="327" priority="380" stopIfTrue="1" operator="equal">
      <formula>0</formula>
    </cfRule>
  </conditionalFormatting>
  <conditionalFormatting sqref="I772">
    <cfRule type="cellIs" dxfId="326" priority="551" stopIfTrue="1" operator="equal">
      <formula>0</formula>
    </cfRule>
  </conditionalFormatting>
  <conditionalFormatting sqref="I849">
    <cfRule type="cellIs" dxfId="325" priority="330" stopIfTrue="1" operator="equal">
      <formula>0</formula>
    </cfRule>
  </conditionalFormatting>
  <conditionalFormatting sqref="I1068">
    <cfRule type="cellIs" dxfId="324" priority="328" stopIfTrue="1" operator="equal">
      <formula>0</formula>
    </cfRule>
  </conditionalFormatting>
  <conditionalFormatting sqref="I1241">
    <cfRule type="cellIs" dxfId="323" priority="452" stopIfTrue="1" operator="equal">
      <formula>0</formula>
    </cfRule>
  </conditionalFormatting>
  <conditionalFormatting sqref="I749:J756">
    <cfRule type="expression" dxfId="322" priority="97" stopIfTrue="1">
      <formula>IF($G$747="X",1,0)</formula>
    </cfRule>
  </conditionalFormatting>
  <conditionalFormatting sqref="J18">
    <cfRule type="cellIs" dxfId="321" priority="355" stopIfTrue="1" operator="equal">
      <formula>0</formula>
    </cfRule>
  </conditionalFormatting>
  <conditionalFormatting sqref="J192">
    <cfRule type="cellIs" dxfId="320" priority="617" stopIfTrue="1" operator="equal">
      <formula>0</formula>
    </cfRule>
  </conditionalFormatting>
  <conditionalFormatting sqref="J543">
    <cfRule type="cellIs" dxfId="319" priority="692" stopIfTrue="1" operator="equal">
      <formula>0</formula>
    </cfRule>
  </conditionalFormatting>
  <conditionalFormatting sqref="J828">
    <cfRule type="cellIs" dxfId="318" priority="148" stopIfTrue="1" operator="equal">
      <formula>0</formula>
    </cfRule>
  </conditionalFormatting>
  <conditionalFormatting sqref="J833">
    <cfRule type="cellIs" dxfId="317" priority="150" stopIfTrue="1" operator="equal">
      <formula>0</formula>
    </cfRule>
  </conditionalFormatting>
  <conditionalFormatting sqref="J844">
    <cfRule type="cellIs" dxfId="316" priority="89" stopIfTrue="1" operator="equal">
      <formula>0</formula>
    </cfRule>
  </conditionalFormatting>
  <conditionalFormatting sqref="L224:L226">
    <cfRule type="cellIs" dxfId="315" priority="581" stopIfTrue="1" operator="equal">
      <formula>0</formula>
    </cfRule>
  </conditionalFormatting>
  <conditionalFormatting sqref="L235:L236">
    <cfRule type="cellIs" dxfId="314" priority="231" stopIfTrue="1" operator="equal">
      <formula>0</formula>
    </cfRule>
  </conditionalFormatting>
  <conditionalFormatting sqref="L240">
    <cfRule type="cellIs" dxfId="313" priority="65" stopIfTrue="1" operator="equal">
      <formula>0</formula>
    </cfRule>
  </conditionalFormatting>
  <conditionalFormatting sqref="L244">
    <cfRule type="cellIs" dxfId="312" priority="66" stopIfTrue="1" operator="equal">
      <formula>0</formula>
    </cfRule>
  </conditionalFormatting>
  <conditionalFormatting sqref="L284">
    <cfRule type="cellIs" dxfId="311" priority="366" stopIfTrue="1" operator="equal">
      <formula>0</formula>
    </cfRule>
  </conditionalFormatting>
  <conditionalFormatting sqref="L635">
    <cfRule type="cellIs" dxfId="310" priority="555" stopIfTrue="1" operator="equal">
      <formula>0</formula>
    </cfRule>
  </conditionalFormatting>
  <conditionalFormatting sqref="L731">
    <cfRule type="cellIs" dxfId="309" priority="129" stopIfTrue="1" operator="equal">
      <formula>0</formula>
    </cfRule>
  </conditionalFormatting>
  <conditionalFormatting sqref="L749:L756">
    <cfRule type="expression" dxfId="308" priority="103">
      <formula>IF($G$747="X",1,0)</formula>
    </cfRule>
  </conditionalFormatting>
  <conditionalFormatting sqref="L761">
    <cfRule type="cellIs" dxfId="307" priority="616" stopIfTrue="1" operator="equal">
      <formula>0</formula>
    </cfRule>
  </conditionalFormatting>
  <conditionalFormatting sqref="L764">
    <cfRule type="cellIs" dxfId="306" priority="598" stopIfTrue="1" operator="equal">
      <formula>0</formula>
    </cfRule>
  </conditionalFormatting>
  <conditionalFormatting sqref="L1058">
    <cfRule type="cellIs" dxfId="305" priority="376" stopIfTrue="1" operator="equal">
      <formula>0</formula>
    </cfRule>
  </conditionalFormatting>
  <conditionalFormatting sqref="L1060">
    <cfRule type="cellIs" dxfId="304" priority="463" stopIfTrue="1" operator="equal">
      <formula>0</formula>
    </cfRule>
  </conditionalFormatting>
  <conditionalFormatting sqref="L54:P67">
    <cfRule type="cellIs" dxfId="303" priority="175" operator="equal">
      <formula>0</formula>
    </cfRule>
  </conditionalFormatting>
  <conditionalFormatting sqref="M288">
    <cfRule type="cellIs" dxfId="302" priority="171" stopIfTrue="1" operator="equal">
      <formula>0</formula>
    </cfRule>
  </conditionalFormatting>
  <conditionalFormatting sqref="M637">
    <cfRule type="cellIs" dxfId="301" priority="572" stopIfTrue="1" operator="equal">
      <formula>0</formula>
    </cfRule>
  </conditionalFormatting>
  <conditionalFormatting sqref="M694">
    <cfRule type="cellIs" dxfId="300" priority="547" stopIfTrue="1" operator="equal">
      <formula>0</formula>
    </cfRule>
  </conditionalFormatting>
  <conditionalFormatting sqref="M924:N924">
    <cfRule type="cellIs" dxfId="299" priority="425" stopIfTrue="1" operator="equal">
      <formula>0</formula>
    </cfRule>
  </conditionalFormatting>
  <conditionalFormatting sqref="N229">
    <cfRule type="cellIs" dxfId="298" priority="255" stopIfTrue="1" operator="equal">
      <formula>0</formula>
    </cfRule>
  </conditionalFormatting>
  <conditionalFormatting sqref="N268">
    <cfRule type="cellIs" dxfId="297" priority="278" stopIfTrue="1" operator="equal">
      <formula>0</formula>
    </cfRule>
  </conditionalFormatting>
  <conditionalFormatting sqref="N270">
    <cfRule type="cellIs" dxfId="296" priority="277" stopIfTrue="1" operator="equal">
      <formula>0</formula>
    </cfRule>
  </conditionalFormatting>
  <conditionalFormatting sqref="N731">
    <cfRule type="cellIs" dxfId="295" priority="128" stopIfTrue="1" operator="equal">
      <formula>0</formula>
    </cfRule>
  </conditionalFormatting>
  <conditionalFormatting sqref="N797">
    <cfRule type="cellIs" dxfId="294" priority="259" stopIfTrue="1" operator="equal">
      <formula>0</formula>
    </cfRule>
  </conditionalFormatting>
  <conditionalFormatting sqref="N799">
    <cfRule type="cellIs" dxfId="293" priority="258" stopIfTrue="1" operator="equal">
      <formula>0</formula>
    </cfRule>
  </conditionalFormatting>
  <conditionalFormatting sqref="N844">
    <cfRule type="cellIs" dxfId="292" priority="90" stopIfTrue="1" operator="equal">
      <formula>0</formula>
    </cfRule>
  </conditionalFormatting>
  <conditionalFormatting sqref="N1029">
    <cfRule type="cellIs" dxfId="291" priority="52" stopIfTrue="1" operator="equal">
      <formula>0</formula>
    </cfRule>
  </conditionalFormatting>
  <conditionalFormatting sqref="N1031">
    <cfRule type="cellIs" dxfId="290" priority="51" stopIfTrue="1" operator="equal">
      <formula>0</formula>
    </cfRule>
  </conditionalFormatting>
  <conditionalFormatting sqref="N1198">
    <cfRule type="cellIs" dxfId="289" priority="46" stopIfTrue="1" operator="equal">
      <formula>0</formula>
    </cfRule>
  </conditionalFormatting>
  <conditionalFormatting sqref="N1200">
    <cfRule type="cellIs" dxfId="288" priority="45" stopIfTrue="1" operator="equal">
      <formula>0</formula>
    </cfRule>
  </conditionalFormatting>
  <conditionalFormatting sqref="N1243">
    <cfRule type="cellIs" dxfId="287" priority="451" stopIfTrue="1" operator="equal">
      <formula>0</formula>
    </cfRule>
  </conditionalFormatting>
  <conditionalFormatting sqref="O1:O2">
    <cfRule type="cellIs" dxfId="286" priority="39" stopIfTrue="1" operator="equal">
      <formula>0</formula>
    </cfRule>
  </conditionalFormatting>
  <conditionalFormatting sqref="O263">
    <cfRule type="cellIs" dxfId="285" priority="59" stopIfTrue="1" operator="equal">
      <formula>0</formula>
    </cfRule>
  </conditionalFormatting>
  <conditionalFormatting sqref="O265">
    <cfRule type="cellIs" dxfId="284" priority="57" stopIfTrue="1" operator="equal">
      <formula>0</formula>
    </cfRule>
  </conditionalFormatting>
  <conditionalFormatting sqref="O537">
    <cfRule type="cellIs" dxfId="283" priority="569" stopIfTrue="1" operator="equal">
      <formula>0</formula>
    </cfRule>
  </conditionalFormatting>
  <conditionalFormatting sqref="O539">
    <cfRule type="cellIs" dxfId="282" priority="568" stopIfTrue="1" operator="equal">
      <formula>0</formula>
    </cfRule>
  </conditionalFormatting>
  <conditionalFormatting sqref="O615">
    <cfRule type="cellIs" dxfId="281" priority="577" stopIfTrue="1" operator="equal">
      <formula>0</formula>
    </cfRule>
  </conditionalFormatting>
  <conditionalFormatting sqref="O617">
    <cfRule type="cellIs" dxfId="280" priority="576" stopIfTrue="1" operator="equal">
      <formula>0</formula>
    </cfRule>
  </conditionalFormatting>
  <conditionalFormatting sqref="O619">
    <cfRule type="cellIs" dxfId="279" priority="575" stopIfTrue="1" operator="equal">
      <formula>0</formula>
    </cfRule>
  </conditionalFormatting>
  <conditionalFormatting sqref="O621">
    <cfRule type="cellIs" dxfId="278" priority="574" stopIfTrue="1" operator="equal">
      <formula>0</formula>
    </cfRule>
  </conditionalFormatting>
  <conditionalFormatting sqref="O623">
    <cfRule type="cellIs" dxfId="277" priority="573" stopIfTrue="1" operator="equal">
      <formula>0</formula>
    </cfRule>
  </conditionalFormatting>
  <conditionalFormatting sqref="O637">
    <cfRule type="cellIs" dxfId="276" priority="571" stopIfTrue="1" operator="equal">
      <formula>0</formula>
    </cfRule>
  </conditionalFormatting>
  <conditionalFormatting sqref="O639">
    <cfRule type="cellIs" dxfId="275" priority="570" stopIfTrue="1" operator="equal">
      <formula>0</formula>
    </cfRule>
  </conditionalFormatting>
  <conditionalFormatting sqref="O644">
    <cfRule type="cellIs" dxfId="274" priority="546" stopIfTrue="1" operator="equal">
      <formula>0</formula>
    </cfRule>
  </conditionalFormatting>
  <conditionalFormatting sqref="O700">
    <cfRule type="cellIs" dxfId="273" priority="567" stopIfTrue="1" operator="equal">
      <formula>0</formula>
    </cfRule>
  </conditionalFormatting>
  <conditionalFormatting sqref="O703">
    <cfRule type="cellIs" dxfId="272" priority="545" stopIfTrue="1" operator="equal">
      <formula>0</formula>
    </cfRule>
  </conditionalFormatting>
  <conditionalFormatting sqref="O706">
    <cfRule type="cellIs" dxfId="271" priority="566" stopIfTrue="1" operator="equal">
      <formula>0</formula>
    </cfRule>
  </conditionalFormatting>
  <conditionalFormatting sqref="O792">
    <cfRule type="cellIs" dxfId="270" priority="55" stopIfTrue="1" operator="equal">
      <formula>0</formula>
    </cfRule>
  </conditionalFormatting>
  <conditionalFormatting sqref="O794">
    <cfRule type="cellIs" dxfId="269" priority="53" stopIfTrue="1" operator="equal">
      <formula>0</formula>
    </cfRule>
  </conditionalFormatting>
  <conditionalFormatting sqref="O1024">
    <cfRule type="cellIs" dxfId="268" priority="49" stopIfTrue="1" operator="equal">
      <formula>0</formula>
    </cfRule>
  </conditionalFormatting>
  <conditionalFormatting sqref="O1026">
    <cfRule type="cellIs" dxfId="267" priority="47" stopIfTrue="1" operator="equal">
      <formula>0</formula>
    </cfRule>
  </conditionalFormatting>
  <conditionalFormatting sqref="O1193">
    <cfRule type="cellIs" dxfId="266" priority="43" stopIfTrue="1" operator="equal">
      <formula>0</formula>
    </cfRule>
  </conditionalFormatting>
  <conditionalFormatting sqref="O1195">
    <cfRule type="cellIs" dxfId="265" priority="41" stopIfTrue="1" operator="equal">
      <formula>0</formula>
    </cfRule>
  </conditionalFormatting>
  <conditionalFormatting sqref="O1252">
    <cfRule type="cellIs" dxfId="264" priority="254" stopIfTrue="1" operator="equal">
      <formula>0</formula>
    </cfRule>
  </conditionalFormatting>
  <conditionalFormatting sqref="AA196:AA199">
    <cfRule type="cellIs" dxfId="263" priority="559" stopIfTrue="1" operator="equal">
      <formula>0</formula>
    </cfRule>
  </conditionalFormatting>
  <conditionalFormatting sqref="AC202:AE207">
    <cfRule type="expression" dxfId="262" priority="2133" stopIfTrue="1">
      <formula>IF(C60="x",1,0)</formula>
    </cfRule>
  </conditionalFormatting>
  <conditionalFormatting sqref="AF202:AI207">
    <cfRule type="expression" dxfId="261" priority="2134" stopIfTrue="1">
      <formula>IF(E60="x",1,0)</formula>
    </cfRule>
  </conditionalFormatting>
  <conditionalFormatting sqref="AI215:AK219">
    <cfRule type="expression" dxfId="260" priority="912" stopIfTrue="1">
      <formula>IF(I43="x",1,0)</formula>
    </cfRule>
  </conditionalFormatting>
  <conditionalFormatting sqref="AI231:AK233">
    <cfRule type="expression" dxfId="259" priority="539" stopIfTrue="1">
      <formula>IF(I96="x",1,0)</formula>
    </cfRule>
  </conditionalFormatting>
  <conditionalFormatting sqref="AI234:AK234">
    <cfRule type="expression" dxfId="258" priority="2144" stopIfTrue="1">
      <formula>IF(I98="x",1,0)</formula>
    </cfRule>
  </conditionalFormatting>
  <conditionalFormatting sqref="AI235:AK235">
    <cfRule type="expression" dxfId="257" priority="2140" stopIfTrue="1">
      <formula>IF(I98="x",1,0)</formula>
    </cfRule>
  </conditionalFormatting>
  <conditionalFormatting sqref="AI236:AK238">
    <cfRule type="expression" dxfId="256" priority="2136" stopIfTrue="1">
      <formula>IF(I98="x",1,0)</formula>
    </cfRule>
  </conditionalFormatting>
  <conditionalFormatting sqref="AI239:AK240">
    <cfRule type="expression" dxfId="255" priority="2168" stopIfTrue="1">
      <formula>IF(I100="x",1,0)</formula>
    </cfRule>
  </conditionalFormatting>
  <conditionalFormatting sqref="AI241:AK241">
    <cfRule type="expression" dxfId="254" priority="2156" stopIfTrue="1">
      <formula>IF(I100="x",1,0)</formula>
    </cfRule>
  </conditionalFormatting>
  <conditionalFormatting sqref="AI242:AK243">
    <cfRule type="expression" dxfId="253" priority="2152" stopIfTrue="1">
      <formula>IF(I100="x",1,0)</formula>
    </cfRule>
  </conditionalFormatting>
  <conditionalFormatting sqref="AI244:AK244">
    <cfRule type="expression" dxfId="252" priority="2165" stopIfTrue="1">
      <formula>IF(I101="x",1,0)</formula>
    </cfRule>
  </conditionalFormatting>
  <conditionalFormatting sqref="AI245:AK245">
    <cfRule type="expression" dxfId="251" priority="2163" stopIfTrue="1">
      <formula>IF(I101="x",1,0)</formula>
    </cfRule>
  </conditionalFormatting>
  <conditionalFormatting sqref="AI246:AK246">
    <cfRule type="expression" dxfId="250" priority="2161" stopIfTrue="1">
      <formula>IF(I101="x",1,0)</formula>
    </cfRule>
  </conditionalFormatting>
  <conditionalFormatting sqref="AI247:AK247">
    <cfRule type="expression" dxfId="249" priority="2159" stopIfTrue="1">
      <formula>IF(I101="x",1,0)</formula>
    </cfRule>
  </conditionalFormatting>
  <conditionalFormatting sqref="AI248:AK249">
    <cfRule type="expression" dxfId="248" priority="537" stopIfTrue="1">
      <formula>IF(I98="x",1,0)</formula>
    </cfRule>
  </conditionalFormatting>
  <conditionalFormatting sqref="AL214 AL215:AN219">
    <cfRule type="expression" dxfId="247" priority="909" stopIfTrue="1">
      <formula>IF(K42="x",1,0)</formula>
    </cfRule>
  </conditionalFormatting>
  <conditionalFormatting sqref="AL230">
    <cfRule type="expression" dxfId="246" priority="535" stopIfTrue="1">
      <formula>IF(K95="x",1,0)</formula>
    </cfRule>
  </conditionalFormatting>
  <conditionalFormatting sqref="AL231:AN233">
    <cfRule type="expression" dxfId="245" priority="538" stopIfTrue="1">
      <formula>IF(K96="x",1,0)</formula>
    </cfRule>
  </conditionalFormatting>
  <conditionalFormatting sqref="AL234:AN234">
    <cfRule type="expression" dxfId="244" priority="2146" stopIfTrue="1">
      <formula>IF(K98="x",1,0)</formula>
    </cfRule>
  </conditionalFormatting>
  <conditionalFormatting sqref="AL235:AN235">
    <cfRule type="expression" dxfId="243" priority="2142" stopIfTrue="1">
      <formula>IF(K98="x",1,0)</formula>
    </cfRule>
  </conditionalFormatting>
  <conditionalFormatting sqref="AL236:AN238">
    <cfRule type="expression" dxfId="242" priority="2138" stopIfTrue="1">
      <formula>IF(K98="x",1,0)</formula>
    </cfRule>
  </conditionalFormatting>
  <conditionalFormatting sqref="AL239:AN240">
    <cfRule type="expression" dxfId="241" priority="2170" stopIfTrue="1">
      <formula>IF(K100="x",1,0)</formula>
    </cfRule>
  </conditionalFormatting>
  <conditionalFormatting sqref="AL241:AN241">
    <cfRule type="expression" dxfId="240" priority="2158" stopIfTrue="1">
      <formula>IF(K100="x",1,0)</formula>
    </cfRule>
  </conditionalFormatting>
  <conditionalFormatting sqref="AL242:AN243">
    <cfRule type="expression" dxfId="239" priority="2154" stopIfTrue="1">
      <formula>IF(K100="x",1,0)</formula>
    </cfRule>
  </conditionalFormatting>
  <conditionalFormatting sqref="AL244:AN244">
    <cfRule type="expression" dxfId="238" priority="2166" stopIfTrue="1">
      <formula>IF(K101="x",1,0)</formula>
    </cfRule>
  </conditionalFormatting>
  <conditionalFormatting sqref="AL245:AN245">
    <cfRule type="expression" dxfId="237" priority="2164" stopIfTrue="1">
      <formula>IF(K101="x",1,0)</formula>
    </cfRule>
  </conditionalFormatting>
  <conditionalFormatting sqref="AL246:AN246">
    <cfRule type="expression" dxfId="236" priority="2162" stopIfTrue="1">
      <formula>IF(K101="x",1,0)</formula>
    </cfRule>
  </conditionalFormatting>
  <conditionalFormatting sqref="AL247:AN247">
    <cfRule type="expression" dxfId="235" priority="2160" stopIfTrue="1">
      <formula>IF(K101="x",1,0)</formula>
    </cfRule>
  </conditionalFormatting>
  <conditionalFormatting sqref="AL248:AN249">
    <cfRule type="expression" dxfId="234" priority="536" stopIfTrue="1">
      <formula>IF(K98="x",1,0)</formula>
    </cfRule>
  </conditionalFormatting>
  <dataValidations disablePrompts="1" count="7">
    <dataValidation type="list" allowBlank="1" showInputMessage="1" showErrorMessage="1" error="valor não é válido !" sqref="D775" xr:uid="{00000000-0002-0000-0000-000000000000}">
      <formula1>$BJ$16:$BJ$20</formula1>
    </dataValidation>
    <dataValidation type="list" allowBlank="1" showInputMessage="1" showErrorMessage="1" error="valor não é válido !" sqref="D776" xr:uid="{00000000-0002-0000-0000-000001000000}">
      <formula1>$BJ$58:$BJ$68</formula1>
    </dataValidation>
    <dataValidation type="list" allowBlank="1" showInputMessage="1" showErrorMessage="1" error="TEM QUE SER &quot;X&quot; " sqref="E122 H775:H778 F775:F778 C825 C821 C817 C812:C813 C808 E110 C494 C491 C488 C1141 C93 C91 C122 D37 D45 D41 G1052 E104 C110 C530 D647 C500 C503 C506 C509 C512 C515 C518 C521 C524 C527 L635 F647 H758 F758 I231 G231 C497 C313:J313 L313 C613 H613 C784 I772 C786 G786 G784 G772 I766:I767 G766:G767 I448 D998 I1068 G1068 F912 D912 G1044 G1046 G1048 G1054 G1038 E1038 G1241 I1241 C1087 C1084 C1081 C1123 C1093 C1096 C1099 C1102 C1105 C1108 C1111 C1114 C1117 C1120 C1090 C1138 C1135 C1132 C1174 C1144 C1147 C1150 C1153 C1156 C1159 C1162 C1165 C1168 C1171 F998 G448 G1075 E1075 I849 C397 C395 G849 H853:J853 D841 D837 G833 J833 G828 J828 D839 G1050 C104 L731 N731 N844 J844 I478 G478" xr:uid="{00000000-0002-0000-0000-000002000000}">
      <formula1>$BJ$8</formula1>
    </dataValidation>
    <dataValidation type="custom" allowBlank="1" showInputMessage="1" showErrorMessage="1" sqref="G91 O615 O621 O617 O619 O623 M637 O637 O639" xr:uid="{00000000-0002-0000-0000-000003000000}">
      <formula1>IF(C91="x",1)</formula1>
    </dataValidation>
    <dataValidation type="list" allowBlank="1" showInputMessage="1" showErrorMessage="1" sqref="G60 I60 G65" xr:uid="{00000000-0002-0000-0000-000004000000}">
      <formula1>$BJ$8</formula1>
    </dataValidation>
    <dataValidation type="list" allowBlank="1" showInputMessage="1" showErrorMessage="1" sqref="E11:G11" xr:uid="{00000000-0002-0000-0000-000006000000}">
      <formula1>$BI$1292:$BI$1318</formula1>
    </dataValidation>
    <dataValidation type="list" allowBlank="1" showInputMessage="1" showErrorMessage="1" sqref="O1252" xr:uid="{00000000-0002-0000-0000-000007000000}">
      <formula1>$BJ$1:$BJ$2</formula1>
    </dataValidation>
  </dataValidations>
  <printOptions horizontalCentered="1"/>
  <pageMargins left="0.51181102362204722" right="0.51181102362204722" top="0.78740157480314965" bottom="0.78740157480314965" header="0.31496062992125984" footer="0.31496062992125984"/>
  <pageSetup paperSize="9" scale="64" orientation="portrait" r:id="rId1"/>
  <headerFooter>
    <oddFooter>Página &amp;P de &amp;N</oddFooter>
  </headerFooter>
  <rowBreaks count="6" manualBreakCount="6">
    <brk id="135" max="16" man="1"/>
    <brk id="388" max="16" man="1"/>
    <brk id="727" max="16" man="1"/>
    <brk id="888" max="16" man="1"/>
    <brk id="1003" max="16" man="1"/>
    <brk id="1126" max="16" man="1"/>
  </rowBreaks>
  <colBreaks count="1" manualBreakCount="1">
    <brk id="22"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3"/>
  <dimension ref="A1:AC148"/>
  <sheetViews>
    <sheetView workbookViewId="0">
      <selection activeCell="A2" sqref="A2"/>
    </sheetView>
  </sheetViews>
  <sheetFormatPr defaultRowHeight="12.75" x14ac:dyDescent="0.35"/>
  <cols>
    <col min="1" max="1" width="11.3984375" customWidth="1"/>
    <col min="2" max="2" width="10.86328125" customWidth="1"/>
    <col min="3" max="3" width="11" customWidth="1"/>
    <col min="4" max="8" width="9.59765625" customWidth="1"/>
    <col min="9" max="10" width="9" customWidth="1"/>
    <col min="11" max="11" width="10.59765625" customWidth="1"/>
    <col min="13" max="13" width="9.59765625" bestFit="1" customWidth="1"/>
    <col min="14" max="22" width="9.59765625" customWidth="1"/>
    <col min="26" max="27" width="12.59765625" customWidth="1"/>
  </cols>
  <sheetData>
    <row r="1" spans="1:29" ht="51" x14ac:dyDescent="0.35">
      <c r="A1" t="s">
        <v>804</v>
      </c>
      <c r="B1" s="8" t="s">
        <v>805</v>
      </c>
      <c r="C1" s="8" t="s">
        <v>806</v>
      </c>
      <c r="D1" s="8" t="s">
        <v>807</v>
      </c>
      <c r="E1" s="8"/>
      <c r="F1" s="8"/>
      <c r="G1" s="8"/>
      <c r="H1" s="8"/>
      <c r="I1" s="8" t="s">
        <v>808</v>
      </c>
      <c r="J1" s="8" t="s">
        <v>809</v>
      </c>
      <c r="K1" s="8" t="s">
        <v>810</v>
      </c>
      <c r="L1" s="8" t="s">
        <v>811</v>
      </c>
      <c r="M1" s="1510" t="s">
        <v>812</v>
      </c>
      <c r="N1" s="1510"/>
      <c r="O1" s="8" t="s">
        <v>813</v>
      </c>
      <c r="P1" s="8"/>
      <c r="Q1" s="8"/>
      <c r="R1" s="8"/>
      <c r="S1" s="8"/>
      <c r="T1" s="294">
        <v>3.9390000000000001E-2</v>
      </c>
      <c r="U1" s="974"/>
      <c r="V1" s="793" t="s">
        <v>814</v>
      </c>
    </row>
    <row r="2" spans="1:29" x14ac:dyDescent="0.35">
      <c r="A2" t="str">
        <f>IF(AND(ENTRADAS!Q35=110,ENTRADAS!Q36&lt;&gt;0),IF(ENTRADAS!G66="X","SC6",IF(CÁLCULOS!C19="X","SC10",IF(CÁLCULOS!E19="X","SC14",0))),IF(ENTRADAS!Q35=110,"SC14",IF(ENTRADAS!G66="X","SC6",IF(CÁLCULOS!C19="X","SC10",IF(CÁLCULOS!E19="X","SC14",0)))))</f>
        <v>SC10</v>
      </c>
      <c r="B2" s="4">
        <f>CÁLCULOS!G23</f>
        <v>47</v>
      </c>
      <c r="C2" s="4">
        <f>IF(B2=0,0,IF(A2="SC6",PI()*(B2+0.09)/2.1,IF(A2="SC10",PI()*(B2+0.24)/2.4,IF(A2="SC14",PI()*(B2+0.3)/2.4,0))))</f>
        <v>61.837015398159096</v>
      </c>
      <c r="D2">
        <f>ROUNDDOWN(IF(B2=0,0,IF(A2="SC6",PI()*(B2+0.09)/2.1,IF(A2="SC10",PI()*(B2+0.24)/2.4,IF(A2="SC14",PI()*(B2+0.3)/2.4,0)))),0)</f>
        <v>61</v>
      </c>
      <c r="I2">
        <f>ROUNDUP(IF(B2=0,0,IF(A2="SC6",PI()*(B2+0.09)/2.1,IF(A2="SC10",PI()*(B2+0.24)/2.4,IF(A2="SC14",PI()*(B2+0.3)/2.4,0)))),0)</f>
        <v>62</v>
      </c>
      <c r="J2">
        <f>IF(L2=0,0,IF(L2&lt;B2,I2+1,0))</f>
        <v>0</v>
      </c>
      <c r="K2" s="4">
        <f>IF(D2&lt;A5,0,IF(D2&gt;A125,0,IF(B2=0,0,IF(A2="SC6",VLOOKUP(D2,A5:D125,4,0),IF(A2="SC10",VLOOKUP(D2,A5:B125,2,0),IF(A2="SC14",VLOOKUP(D2,A5:C125,3,0),0))))))</f>
        <v>46.273356163324316</v>
      </c>
      <c r="L2" s="4">
        <f>IF(I2&gt;A125,0,IF(B2=0,0,IF(A2="SC6",VLOOKUP(I2,A5:D125,4,0),IF(A2="SC10",VLOOKUP(I2,A5:B125,2,0),IF(A2="SC14",VLOOKUP(I2,A5:C125,3,0),0)))))</f>
        <v>47.041150642112115</v>
      </c>
      <c r="M2" s="4">
        <f>IF(J2=0,0,IF(J2&gt;A125,0,IF(L2&lt;B2,N2,0)))</f>
        <v>0</v>
      </c>
      <c r="N2" s="4">
        <f>IF(A2="SC6",VLOOKUP(I2+1,A5:D125,4,0),IF(A2="SC10",VLOOKUP(I2+1,A5:D125,2,0),IF(A2="SC14",VLOOKUP(I2+1,A5:D125,3,0),0)))</f>
        <v>47.808923914847696</v>
      </c>
      <c r="O2">
        <f>LARGE(B5:D189,1)</f>
        <v>101.52889157805005</v>
      </c>
      <c r="P2" s="4"/>
      <c r="Q2" s="4"/>
      <c r="R2" s="4"/>
      <c r="S2" s="4"/>
      <c r="T2" s="4"/>
      <c r="U2" s="4"/>
      <c r="V2" s="4"/>
    </row>
    <row r="3" spans="1:29" ht="63.75" x14ac:dyDescent="0.35">
      <c r="B3" s="11" t="s">
        <v>815</v>
      </c>
      <c r="C3" s="11" t="s">
        <v>815</v>
      </c>
      <c r="D3" s="11" t="s">
        <v>815</v>
      </c>
      <c r="E3" s="11"/>
      <c r="F3" s="11"/>
      <c r="G3" s="11"/>
      <c r="H3" s="11"/>
      <c r="I3" s="8" t="s">
        <v>816</v>
      </c>
      <c r="J3" t="s">
        <v>817</v>
      </c>
      <c r="K3" s="8" t="s">
        <v>818</v>
      </c>
      <c r="L3" s="8" t="s">
        <v>653</v>
      </c>
      <c r="M3" s="8" t="s">
        <v>819</v>
      </c>
      <c r="N3" s="8" t="s">
        <v>656</v>
      </c>
      <c r="O3" s="8" t="s">
        <v>820</v>
      </c>
      <c r="P3" s="8" t="s">
        <v>821</v>
      </c>
      <c r="Q3" s="8" t="s">
        <v>822</v>
      </c>
      <c r="R3" s="8" t="s">
        <v>823</v>
      </c>
      <c r="S3" s="793" t="s">
        <v>824</v>
      </c>
      <c r="T3" s="793" t="s">
        <v>825</v>
      </c>
      <c r="U3" s="793" t="s">
        <v>826</v>
      </c>
    </row>
    <row r="4" spans="1:29" ht="13.5" x14ac:dyDescent="0.35">
      <c r="A4" t="s">
        <v>827</v>
      </c>
      <c r="B4" s="1" t="s">
        <v>67</v>
      </c>
      <c r="C4" s="1" t="s">
        <v>68</v>
      </c>
      <c r="D4" s="1" t="s">
        <v>828</v>
      </c>
      <c r="E4" s="1" t="s">
        <v>829</v>
      </c>
      <c r="F4" s="1" t="s">
        <v>830</v>
      </c>
      <c r="G4" s="1" t="s">
        <v>831</v>
      </c>
      <c r="H4" s="1"/>
      <c r="AB4" s="30" t="s">
        <v>832</v>
      </c>
    </row>
    <row r="5" spans="1:29" ht="13.5" x14ac:dyDescent="0.35">
      <c r="A5">
        <v>12</v>
      </c>
      <c r="B5" s="4">
        <f t="shared" ref="B5:B69" si="0">(1.205/TAN(PI()/A5)-0.24)*2</f>
        <v>8.5142424462409956</v>
      </c>
      <c r="C5" s="37">
        <f t="shared" ref="C5:C69" si="1">(1.205/TAN(PI()/A5)-0.295)*2</f>
        <v>8.4042424462409961</v>
      </c>
      <c r="D5" s="37">
        <f>((2.1+0.006-0.005)/2/TAN(PI()/A5)-0.07)*2</f>
        <v>7.7010387467022117</v>
      </c>
      <c r="E5" s="4">
        <f>IF(AND(ENTRADAS!$E$15&gt;13,ENTRADAS!$E$15&lt;=14),14,0)</f>
        <v>0</v>
      </c>
      <c r="F5" s="4">
        <f>IF(E5&gt;0,$C$5,0)</f>
        <v>0</v>
      </c>
      <c r="G5" s="4">
        <f>IF(E5&gt;0,$C$63,0)</f>
        <v>0</v>
      </c>
      <c r="H5" s="4">
        <f>IF(E5=0,0,IF(AND(ENTRADAS!$G$25&gt;=F5,ENTRADAS!$G$25&lt;=G5),1,0))</f>
        <v>0</v>
      </c>
      <c r="I5" s="4">
        <f>180/A5</f>
        <v>15</v>
      </c>
      <c r="J5">
        <v>0.47899999999999998</v>
      </c>
      <c r="K5">
        <v>0.24328</v>
      </c>
      <c r="L5">
        <f>K5*TAN(PI()*I5/180)</f>
        <v>6.5186679534643535E-2</v>
      </c>
      <c r="M5">
        <f>L5*SIN(PI()*(I5/2)/180)</f>
        <v>8.5085690631257847E-3</v>
      </c>
      <c r="N5">
        <f>M5*COS(PI()*(I5)/180)</f>
        <v>8.2186466028373768E-3</v>
      </c>
      <c r="O5">
        <f ca="1">CÁLCULOS!$F$79</f>
        <v>2.3856883989574178</v>
      </c>
      <c r="P5">
        <f>L5*K5</f>
        <v>1.5858615397188081E-2</v>
      </c>
      <c r="Q5">
        <f ca="1">(O5-(2*L5))*N5</f>
        <v>1.8535637290904627E-2</v>
      </c>
      <c r="R5">
        <f ca="1">P5+Q5</f>
        <v>3.4394252688092708E-2</v>
      </c>
      <c r="S5">
        <f>$T$1</f>
        <v>3.9390000000000001E-2</v>
      </c>
      <c r="T5" s="37">
        <f ca="1">IF($U$1="X",J5-R5-S5,J5-R5)</f>
        <v>0.44460574731190727</v>
      </c>
      <c r="U5">
        <f ca="1">(J5-T5)/J5*100</f>
        <v>7.1804285361362643</v>
      </c>
      <c r="W5" s="32" t="s">
        <v>833</v>
      </c>
      <c r="X5" s="32" t="s">
        <v>834</v>
      </c>
      <c r="Y5" s="32" t="s">
        <v>835</v>
      </c>
      <c r="Z5" s="32" t="s">
        <v>836</v>
      </c>
      <c r="AB5" s="29" t="s">
        <v>837</v>
      </c>
    </row>
    <row r="6" spans="1:29" ht="13.5" x14ac:dyDescent="0.35">
      <c r="A6">
        <v>13</v>
      </c>
      <c r="B6" s="4">
        <f t="shared" si="0"/>
        <v>9.2977543603878612</v>
      </c>
      <c r="C6" s="37">
        <f t="shared" si="1"/>
        <v>9.1877543603878618</v>
      </c>
      <c r="D6" s="37">
        <f>((2.1+0.006-0.005)/2/TAN(PI()/A6)-0.07)*2</f>
        <v>8.3840920793256828</v>
      </c>
      <c r="E6" s="4">
        <f>IF(AND(ENTRADAS!$E$15&gt;13,ENTRADAS!$E$15&lt;=14),14,0)</f>
        <v>0</v>
      </c>
      <c r="F6" s="4">
        <f t="shared" ref="F6:F69" si="2">IF(E6&gt;0,$C$5,0)</f>
        <v>0</v>
      </c>
      <c r="G6" s="4">
        <f t="shared" ref="G6:G69" si="3">IF(E6&gt;0,$C$63,0)</f>
        <v>0</v>
      </c>
      <c r="H6" s="4">
        <f>IF(E6=0,0,IF(AND(ENTRADAS!$G$25&gt;=F6,ENTRADAS!$G$25&lt;=G6),1,0))</f>
        <v>0</v>
      </c>
      <c r="I6" s="4">
        <f>180/A6</f>
        <v>13.846153846153847</v>
      </c>
      <c r="J6">
        <v>0.47899999999999998</v>
      </c>
      <c r="K6">
        <v>0.24328</v>
      </c>
      <c r="L6">
        <f>K6*TAN(PI()*I6/180)</f>
        <v>5.9963134518419489E-2</v>
      </c>
      <c r="M6">
        <f>L6*SIN(PI()*(I6/2)/180)</f>
        <v>7.227757172553655E-3</v>
      </c>
      <c r="N6">
        <f>M6*COS(PI()*(I6)/180)</f>
        <v>7.0177316850334286E-3</v>
      </c>
      <c r="O6">
        <f ca="1">CÁLCULOS!$F$79</f>
        <v>2.3856883989574178</v>
      </c>
      <c r="P6">
        <f>L6*K6</f>
        <v>1.4587831365641093E-2</v>
      </c>
      <c r="Q6">
        <f ca="1">(O6-(2*L6))*N6</f>
        <v>1.5900510689892473E-2</v>
      </c>
      <c r="R6">
        <f ca="1">P6+Q6</f>
        <v>3.0488342055533565E-2</v>
      </c>
      <c r="S6">
        <f>$T$1</f>
        <v>3.9390000000000001E-2</v>
      </c>
      <c r="T6" s="37">
        <f ca="1">IF($U$1="X",J6-R6-S6,J6-R6)</f>
        <v>0.4485116579444664</v>
      </c>
      <c r="U6">
        <f t="shared" ref="U6:U69" ca="1" si="4">(J6-T6)/J6*100</f>
        <v>6.3649983414475111</v>
      </c>
      <c r="W6" s="32">
        <f>IF(ENTRADAS!D37="X",'TABELA SC-10 e 14'!D2,IF(ENTRADAS!D41="X",'TABELA SC-10 e 14'!I2,IF(ENTRADAS!D45="X",'TABELA SC-10 e 14'!J2,0)))</f>
        <v>62</v>
      </c>
      <c r="X6" s="32">
        <f>IF(W6=0,0,VLOOKUP(W6,$A$5:$B$126,2,0))</f>
        <v>47.041150642112115</v>
      </c>
      <c r="Y6" s="32">
        <f>IF(AND(ENTRADAS!E15&lt;=6,X6&lt;=B75),100,IF(AND(ENTRADAS!E15&gt;6,ENTRADAS!E15&lt;7,X6&gt;=B68,X6&lt;=B76),1000,IF(AND(ENTRADAS!E15&gt;=6,ENTRADAS!E15&lt;7,X6&gt;=B68),1000,100)))</f>
        <v>100</v>
      </c>
      <c r="Z6" s="32" t="str">
        <f>IF(ENTRADAS!E15&gt;10,"SC14",IF(ENTRADAS!Q35=110,"SC14",IF(AND(Y11&gt;=100,Y11&lt;=500),"SC10",IF(AND(Y11&gt;=1000,Y11&lt;=5000),"SC14",0))))</f>
        <v>SC10</v>
      </c>
      <c r="AB6" s="29" t="s">
        <v>838</v>
      </c>
    </row>
    <row r="7" spans="1:29" ht="13.5" x14ac:dyDescent="0.35">
      <c r="A7">
        <v>14</v>
      </c>
      <c r="B7" s="4">
        <f t="shared" si="0"/>
        <v>10.078899904758924</v>
      </c>
      <c r="C7" s="37">
        <f t="shared" si="1"/>
        <v>9.9688999047589242</v>
      </c>
      <c r="D7" s="37">
        <f t="shared" ref="D7:D33" si="5">((2.1+0.006-0.005)/2/TAN(PI()/A7)-0.07)*2</f>
        <v>9.0650824480906618</v>
      </c>
      <c r="E7" s="4">
        <f>IF(AND(ENTRADAS!$E$15&gt;13,ENTRADAS!$E$15&lt;=14),14,0)</f>
        <v>0</v>
      </c>
      <c r="F7" s="4">
        <f t="shared" si="2"/>
        <v>0</v>
      </c>
      <c r="G7" s="4">
        <f t="shared" si="3"/>
        <v>0</v>
      </c>
      <c r="H7" s="4">
        <f>IF(E7=0,0,IF(AND(ENTRADAS!$G$25&gt;=F7,ENTRADAS!$G$25&lt;=G7),1,0))</f>
        <v>0</v>
      </c>
      <c r="I7" s="4">
        <f t="shared" ref="I7:I70" si="6">180/A7</f>
        <v>12.857142857142858</v>
      </c>
      <c r="J7">
        <v>0.47899999999999998</v>
      </c>
      <c r="K7">
        <v>0.24328</v>
      </c>
      <c r="L7">
        <f t="shared" ref="L7:L70" si="7">K7*TAN(PI()*I7/180)</f>
        <v>5.552707244963568E-2</v>
      </c>
      <c r="M7">
        <f t="shared" ref="M7:M70" si="8">L7*SIN(PI()*(I7/2)/180)</f>
        <v>6.2170595763738779E-3</v>
      </c>
      <c r="N7">
        <f t="shared" ref="N7:N70" si="9">M7*COS(PI()*(I7)/180)</f>
        <v>6.0611849127041977E-3</v>
      </c>
      <c r="O7">
        <f ca="1">CÁLCULOS!$F$79</f>
        <v>2.3856883989574178</v>
      </c>
      <c r="P7">
        <f t="shared" ref="P7:P70" si="10">L7*K7</f>
        <v>1.3508626185547368E-2</v>
      </c>
      <c r="Q7">
        <f t="shared" ref="Q7:Q70" ca="1" si="11">(O7-(2*L7))*N7</f>
        <v>1.3786978822617403E-2</v>
      </c>
      <c r="R7">
        <f t="shared" ref="R7:R70" ca="1" si="12">P7+Q7</f>
        <v>2.7295605008164772E-2</v>
      </c>
      <c r="S7">
        <f t="shared" ref="S7:S70" si="13">$T$1</f>
        <v>3.9390000000000001E-2</v>
      </c>
      <c r="T7" s="37">
        <f t="shared" ref="T7:T70" ca="1" si="14">IF($U$1="X",J7-R7-S7,J7-R7)</f>
        <v>0.45170439499183523</v>
      </c>
      <c r="U7">
        <f t="shared" ca="1" si="4"/>
        <v>5.6984561603684236</v>
      </c>
      <c r="Y7" s="32">
        <f>IF(AND(ENTRADAS!E15&lt;=7,X6&lt;=B67),100,IF(AND(ENTRADAS!E15&gt;7,ENTRADAS!E15&lt;8,X6&gt;=B61,X6&lt;=B68),1000,IF(AND(ENTRADAS!E15&gt;=7,ENTRADAS!E15&lt;8,X6&gt;=B61),1000,100)))</f>
        <v>100</v>
      </c>
      <c r="AB7" s="29" t="s">
        <v>839</v>
      </c>
    </row>
    <row r="8" spans="1:29" x14ac:dyDescent="0.35">
      <c r="A8">
        <v>15</v>
      </c>
      <c r="B8" s="4">
        <f t="shared" si="0"/>
        <v>10.858158563843077</v>
      </c>
      <c r="C8" s="37">
        <f t="shared" si="1"/>
        <v>10.748158563843077</v>
      </c>
      <c r="D8" s="37">
        <f t="shared" si="5"/>
        <v>9.7444278600142322</v>
      </c>
      <c r="E8" s="4">
        <f>IF(AND(ENTRADAS!$E$15&gt;13,ENTRADAS!$E$15&lt;=14),14,0)</f>
        <v>0</v>
      </c>
      <c r="F8" s="4">
        <f t="shared" si="2"/>
        <v>0</v>
      </c>
      <c r="G8" s="4">
        <f t="shared" si="3"/>
        <v>0</v>
      </c>
      <c r="H8" s="4">
        <f>IF(E8=0,0,IF(AND(ENTRADAS!$G$25&gt;=F8,ENTRADAS!$G$25&lt;=G8),1,0))</f>
        <v>0</v>
      </c>
      <c r="I8" s="4">
        <f t="shared" si="6"/>
        <v>12</v>
      </c>
      <c r="J8">
        <v>0.47899999999999998</v>
      </c>
      <c r="K8">
        <v>0.24328</v>
      </c>
      <c r="L8">
        <f t="shared" si="7"/>
        <v>5.1710760323082978E-2</v>
      </c>
      <c r="M8">
        <f t="shared" si="8"/>
        <v>5.4052463109738108E-3</v>
      </c>
      <c r="N8">
        <f t="shared" si="9"/>
        <v>5.2871287104542869E-3</v>
      </c>
      <c r="O8">
        <f ca="1">CÁLCULOS!$F$79</f>
        <v>2.3856883989574178</v>
      </c>
      <c r="P8">
        <f t="shared" si="10"/>
        <v>1.2580193771399626E-2</v>
      </c>
      <c r="Q8">
        <f t="shared" ca="1" si="11"/>
        <v>1.2066638737238299E-2</v>
      </c>
      <c r="R8">
        <f t="shared" ca="1" si="12"/>
        <v>2.4646832508637924E-2</v>
      </c>
      <c r="S8">
        <f t="shared" si="13"/>
        <v>3.9390000000000001E-2</v>
      </c>
      <c r="T8" s="37">
        <f t="shared" ca="1" si="14"/>
        <v>0.45435316749136206</v>
      </c>
      <c r="U8">
        <f t="shared" ca="1" si="4"/>
        <v>5.14547651537326</v>
      </c>
      <c r="Y8" s="32">
        <f>IF(AND(ENTRADAS!E15&lt;=8,X6&lt;=B60),100,IF(AND(ENTRADAS!E15&gt;8,ENTRADAS!E15&lt;9,X6&gt;=B55,X6&lt;=B61),1000,IF(AND(ENTRADAS!E15&gt;=8,ENTRADAS!E15&lt;9,X6&gt;=B55),1000,100)))</f>
        <v>100</v>
      </c>
    </row>
    <row r="9" spans="1:29" x14ac:dyDescent="0.35">
      <c r="A9">
        <v>16</v>
      </c>
      <c r="B9" s="4">
        <f t="shared" si="0"/>
        <v>11.635888176023295</v>
      </c>
      <c r="C9" s="37">
        <f t="shared" si="1"/>
        <v>11.525888176023296</v>
      </c>
      <c r="D9" s="37">
        <f t="shared" si="5"/>
        <v>10.422440272956406</v>
      </c>
      <c r="E9" s="4">
        <f>IF(AND(ENTRADAS!$E$15&gt;13,ENTRADAS!$E$15&lt;=14),14,0)</f>
        <v>0</v>
      </c>
      <c r="F9" s="4">
        <f t="shared" si="2"/>
        <v>0</v>
      </c>
      <c r="G9" s="4">
        <f t="shared" si="3"/>
        <v>0</v>
      </c>
      <c r="H9" s="4">
        <f>IF(E9=0,0,IF(AND(ENTRADAS!$G$25&gt;=F9,ENTRADAS!$G$25&lt;=G9),1,0))</f>
        <v>0</v>
      </c>
      <c r="I9" s="4">
        <f t="shared" si="6"/>
        <v>11.25</v>
      </c>
      <c r="J9">
        <v>0.47899999999999998</v>
      </c>
      <c r="K9">
        <v>0.24328</v>
      </c>
      <c r="L9">
        <f t="shared" si="7"/>
        <v>4.8391400736123198E-2</v>
      </c>
      <c r="M9">
        <f t="shared" si="8"/>
        <v>4.74318671669659E-3</v>
      </c>
      <c r="N9">
        <f t="shared" si="9"/>
        <v>4.6520477139401425E-3</v>
      </c>
      <c r="O9">
        <f ca="1">CÁLCULOS!$F$79</f>
        <v>2.3856883989574178</v>
      </c>
      <c r="P9">
        <f t="shared" si="10"/>
        <v>1.1772659971084051E-2</v>
      </c>
      <c r="Q9">
        <f t="shared" ca="1" si="11"/>
        <v>1.0648098052205688E-2</v>
      </c>
      <c r="R9">
        <f t="shared" ca="1" si="12"/>
        <v>2.2420758023289737E-2</v>
      </c>
      <c r="S9">
        <f t="shared" si="13"/>
        <v>3.9390000000000001E-2</v>
      </c>
      <c r="T9" s="37">
        <f t="shared" ca="1" si="14"/>
        <v>0.45657924197671024</v>
      </c>
      <c r="U9">
        <f t="shared" ca="1" si="4"/>
        <v>4.6807428023569404</v>
      </c>
      <c r="Y9" s="32">
        <f>IF(AND(ENTRADAS!E15&lt;=9,X6&lt;=B54),100,IF(AND(ENTRADAS!E15&gt;9,ENTRADAS!E15&lt;10,X6&gt;=B50,X6&lt;=B55),1000,IF(AND(ENTRADAS!E15&gt;=9,ENTRADAS!E15&lt;10,X6&gt;=B50),1000,100)))</f>
        <v>100</v>
      </c>
      <c r="AA9" s="32">
        <f>IF(AND(Z6="SC10",Z14="xiii"),500,0)</f>
        <v>500</v>
      </c>
      <c r="AB9" s="32">
        <f>IF(AND(A2="SC6",Z6="SC10"),500,0)</f>
        <v>0</v>
      </c>
      <c r="AC9" s="32">
        <f>AA9+AB9</f>
        <v>500</v>
      </c>
    </row>
    <row r="10" spans="1:29" x14ac:dyDescent="0.35">
      <c r="A10">
        <v>17</v>
      </c>
      <c r="B10" s="4">
        <f t="shared" si="0"/>
        <v>12.412361288278563</v>
      </c>
      <c r="C10" s="37">
        <f t="shared" si="1"/>
        <v>12.302361288278563</v>
      </c>
      <c r="D10" s="37">
        <f t="shared" si="5"/>
        <v>11.099357289076039</v>
      </c>
      <c r="E10" s="4">
        <f>IF(AND(ENTRADAS!$E$15&gt;13,ENTRADAS!$E$15&lt;=14),14,0)</f>
        <v>0</v>
      </c>
      <c r="F10" s="4">
        <f t="shared" si="2"/>
        <v>0</v>
      </c>
      <c r="G10" s="4">
        <f t="shared" si="3"/>
        <v>0</v>
      </c>
      <c r="H10" s="4">
        <f>IF(E10=0,0,IF(AND(ENTRADAS!$G$25&gt;=F10,ENTRADAS!$G$25&lt;=G10),1,0))</f>
        <v>0</v>
      </c>
      <c r="I10" s="4">
        <f t="shared" si="6"/>
        <v>10.588235294117647</v>
      </c>
      <c r="J10">
        <v>0.47899999999999998</v>
      </c>
      <c r="K10">
        <v>0.24328</v>
      </c>
      <c r="L10">
        <f t="shared" si="7"/>
        <v>4.5476913568428673E-2</v>
      </c>
      <c r="M10">
        <f t="shared" si="8"/>
        <v>4.1960802084132914E-3</v>
      </c>
      <c r="N10">
        <f t="shared" si="9"/>
        <v>4.1246339689862861E-3</v>
      </c>
      <c r="O10">
        <f ca="1">CÁLCULOS!$F$79</f>
        <v>2.3856883989574178</v>
      </c>
      <c r="P10">
        <f t="shared" si="10"/>
        <v>1.1063623532927327E-2</v>
      </c>
      <c r="Q10">
        <f t="shared" ca="1" si="11"/>
        <v>9.4649401647382836E-3</v>
      </c>
      <c r="R10">
        <f t="shared" ca="1" si="12"/>
        <v>2.0528563697665612E-2</v>
      </c>
      <c r="S10">
        <f t="shared" si="13"/>
        <v>3.9390000000000001E-2</v>
      </c>
      <c r="T10" s="37">
        <f t="shared" ca="1" si="14"/>
        <v>0.45847143630233439</v>
      </c>
      <c r="U10">
        <f t="shared" ca="1" si="4"/>
        <v>4.2857126717464702</v>
      </c>
      <c r="Y10" s="32">
        <f>IF(ENTRADAS!E15&gt;10,1000,IF(AND(ENTRADAS!E15=10,X6&gt;B49),1000,100))</f>
        <v>100</v>
      </c>
      <c r="AA10" s="32">
        <f>IF(AND(Z6="SC14",Z14="xiii"),1000,0)</f>
        <v>0</v>
      </c>
      <c r="AB10" s="32">
        <f>IF(AND(A2="SC6",Z6="SC14"),1000,0)</f>
        <v>0</v>
      </c>
      <c r="AC10" s="32">
        <f>AA10+AB10</f>
        <v>0</v>
      </c>
    </row>
    <row r="11" spans="1:29" x14ac:dyDescent="0.35">
      <c r="A11">
        <v>18</v>
      </c>
      <c r="B11" s="4">
        <f t="shared" si="0"/>
        <v>13.18778918527868</v>
      </c>
      <c r="C11" s="37">
        <f t="shared" si="1"/>
        <v>13.077789185278681</v>
      </c>
      <c r="D11" s="37">
        <f t="shared" si="5"/>
        <v>11.775363103016806</v>
      </c>
      <c r="E11" s="4">
        <f>IF(AND(ENTRADAS!$E$15&gt;13,ENTRADAS!$E$15&lt;=14),14,0)</f>
        <v>0</v>
      </c>
      <c r="F11" s="4">
        <f t="shared" si="2"/>
        <v>0</v>
      </c>
      <c r="G11" s="4">
        <f t="shared" si="3"/>
        <v>0</v>
      </c>
      <c r="H11" s="4">
        <f>IF(E11=0,0,IF(AND(ENTRADAS!$G$25&gt;=F11,ENTRADAS!$G$25&lt;=G11),1,0))</f>
        <v>0</v>
      </c>
      <c r="I11" s="4">
        <f t="shared" si="6"/>
        <v>10</v>
      </c>
      <c r="J11">
        <v>0.47899999999999998</v>
      </c>
      <c r="K11">
        <v>0.24328</v>
      </c>
      <c r="L11">
        <f t="shared" si="7"/>
        <v>4.289682786675536E-2</v>
      </c>
      <c r="M11">
        <f t="shared" si="8"/>
        <v>3.7387048942455043E-3</v>
      </c>
      <c r="N11">
        <f t="shared" si="9"/>
        <v>3.6819055660776601E-3</v>
      </c>
      <c r="O11">
        <f ca="1">CÁLCULOS!$F$79</f>
        <v>2.3856883989574178</v>
      </c>
      <c r="P11">
        <f t="shared" si="10"/>
        <v>1.0435940283424244E-2</v>
      </c>
      <c r="Q11">
        <f t="shared" ca="1" si="11"/>
        <v>8.4679952564688538E-3</v>
      </c>
      <c r="R11">
        <f t="shared" ca="1" si="12"/>
        <v>1.8903935539893099E-2</v>
      </c>
      <c r="S11">
        <f t="shared" si="13"/>
        <v>3.9390000000000001E-2</v>
      </c>
      <c r="T11" s="37">
        <f t="shared" ca="1" si="14"/>
        <v>0.46009606446010687</v>
      </c>
      <c r="U11">
        <f t="shared" ca="1" si="4"/>
        <v>3.9465418663659948</v>
      </c>
      <c r="X11" s="633" t="s">
        <v>840</v>
      </c>
      <c r="Y11" s="6">
        <f>SUM(Y6:Y10)</f>
        <v>500</v>
      </c>
    </row>
    <row r="12" spans="1:29" x14ac:dyDescent="0.35">
      <c r="A12">
        <v>19</v>
      </c>
      <c r="B12" s="4">
        <f t="shared" si="0"/>
        <v>13.962338215041621</v>
      </c>
      <c r="C12" s="37">
        <f t="shared" si="1"/>
        <v>13.852338215041621</v>
      </c>
      <c r="D12" s="37">
        <f t="shared" si="5"/>
        <v>12.45060273435786</v>
      </c>
      <c r="E12" s="4">
        <f>IF(AND(ENTRADAS!$E$15&gt;13,ENTRADAS!$E$15&lt;=14),14,0)</f>
        <v>0</v>
      </c>
      <c r="F12" s="4">
        <f t="shared" si="2"/>
        <v>0</v>
      </c>
      <c r="G12" s="4">
        <f t="shared" si="3"/>
        <v>0</v>
      </c>
      <c r="H12" s="4">
        <f>IF(E12=0,0,IF(AND(ENTRADAS!$G$25&gt;=F12,ENTRADAS!$G$25&lt;=G12),1,0))</f>
        <v>0</v>
      </c>
      <c r="I12" s="4">
        <f t="shared" si="6"/>
        <v>9.473684210526315</v>
      </c>
      <c r="J12">
        <v>0.47899999999999998</v>
      </c>
      <c r="K12">
        <v>0.24328</v>
      </c>
      <c r="L12">
        <f t="shared" si="7"/>
        <v>4.0596251885956156E-2</v>
      </c>
      <c r="M12">
        <f t="shared" si="8"/>
        <v>3.3524119093721961E-3</v>
      </c>
      <c r="N12">
        <f t="shared" si="9"/>
        <v>3.3066893804711683E-3</v>
      </c>
      <c r="O12">
        <f ca="1">CÁLCULOS!$F$79</f>
        <v>2.3856883989574178</v>
      </c>
      <c r="P12">
        <f t="shared" si="10"/>
        <v>9.8762561588154139E-3</v>
      </c>
      <c r="Q12">
        <f t="shared" ca="1" si="11"/>
        <v>7.6202521039493093E-3</v>
      </c>
      <c r="R12">
        <f t="shared" ca="1" si="12"/>
        <v>1.7496508262764724E-2</v>
      </c>
      <c r="S12">
        <f t="shared" si="13"/>
        <v>3.9390000000000001E-2</v>
      </c>
      <c r="T12" s="37">
        <f t="shared" ca="1" si="14"/>
        <v>0.46150349173723526</v>
      </c>
      <c r="U12">
        <f t="shared" ca="1" si="4"/>
        <v>3.6527157124769776</v>
      </c>
      <c r="AB12" s="433">
        <f>IF(AC9=1000,"SC10",0)</f>
        <v>0</v>
      </c>
    </row>
    <row r="13" spans="1:29" x14ac:dyDescent="0.35">
      <c r="A13">
        <v>20</v>
      </c>
      <c r="B13" s="4">
        <f t="shared" si="0"/>
        <v>14.736141150366857</v>
      </c>
      <c r="C13" s="37">
        <f t="shared" si="1"/>
        <v>14.626141150366857</v>
      </c>
      <c r="D13" s="37">
        <f t="shared" si="5"/>
        <v>13.125191932332266</v>
      </c>
      <c r="E13" s="4">
        <f>IF(AND(ENTRADAS!$E$15&gt;13,ENTRADAS!$E$15&lt;=14),14,0)</f>
        <v>0</v>
      </c>
      <c r="F13" s="4">
        <f t="shared" si="2"/>
        <v>0</v>
      </c>
      <c r="G13" s="4">
        <f t="shared" si="3"/>
        <v>0</v>
      </c>
      <c r="H13" s="4">
        <f>IF(E13=0,0,IF(AND(ENTRADAS!$G$25&gt;=F13,ENTRADAS!$G$25&lt;=G13),1,0))</f>
        <v>0</v>
      </c>
      <c r="I13" s="4">
        <f t="shared" si="6"/>
        <v>9</v>
      </c>
      <c r="J13">
        <v>0.47899999999999998</v>
      </c>
      <c r="K13">
        <v>0.24328</v>
      </c>
      <c r="L13">
        <f t="shared" si="7"/>
        <v>3.8531766642153187E-2</v>
      </c>
      <c r="M13">
        <f t="shared" si="8"/>
        <v>3.0231675675396795E-3</v>
      </c>
      <c r="N13">
        <f t="shared" si="9"/>
        <v>2.985947358124305E-3</v>
      </c>
      <c r="O13">
        <f ca="1">CÁLCULOS!$F$79</f>
        <v>2.3856883989574178</v>
      </c>
      <c r="P13">
        <f t="shared" si="10"/>
        <v>9.3740081887030268E-3</v>
      </c>
      <c r="Q13">
        <f t="shared" ca="1" si="11"/>
        <v>6.8934323185567059E-3</v>
      </c>
      <c r="R13">
        <f t="shared" ca="1" si="12"/>
        <v>1.6267440507259732E-2</v>
      </c>
      <c r="S13">
        <f t="shared" si="13"/>
        <v>3.9390000000000001E-2</v>
      </c>
      <c r="T13" s="37">
        <f t="shared" ca="1" si="14"/>
        <v>0.46273255949274023</v>
      </c>
      <c r="U13">
        <f t="shared" ca="1" si="4"/>
        <v>3.3961253668600748</v>
      </c>
      <c r="W13" s="32" t="s">
        <v>833</v>
      </c>
      <c r="X13" s="32" t="s">
        <v>834</v>
      </c>
      <c r="Y13" s="32" t="s">
        <v>835</v>
      </c>
      <c r="Z13" s="32" t="s">
        <v>836</v>
      </c>
      <c r="AB13" s="386">
        <f>IF(ENTRADAS!E15&gt;10,0,IF(ENTRADAS!Q35=110,"SC14",IF(AC10=2000,"SC14",0)))</f>
        <v>0</v>
      </c>
      <c r="AC13" s="32">
        <f>IF(AND(Z6="SC14",A2="SC10"),"SC14",0)</f>
        <v>0</v>
      </c>
    </row>
    <row r="14" spans="1:29" x14ac:dyDescent="0.35">
      <c r="A14">
        <v>21</v>
      </c>
      <c r="B14" s="4">
        <f t="shared" si="0"/>
        <v>15.509305264492241</v>
      </c>
      <c r="C14" s="37">
        <f t="shared" si="1"/>
        <v>15.399305264492241</v>
      </c>
      <c r="D14" s="37">
        <f t="shared" si="5"/>
        <v>13.799224216057342</v>
      </c>
      <c r="E14" s="4">
        <f>IF(AND(ENTRADAS!$E$15&gt;13,ENTRADAS!$E$15&lt;=14),14,0)</f>
        <v>0</v>
      </c>
      <c r="F14" s="4">
        <f t="shared" si="2"/>
        <v>0</v>
      </c>
      <c r="G14" s="4">
        <f t="shared" si="3"/>
        <v>0</v>
      </c>
      <c r="H14" s="4">
        <f>IF(E14=0,0,IF(AND(ENTRADAS!$G$25&gt;=F14,ENTRADAS!$G$25&lt;=G14),1,0))</f>
        <v>0</v>
      </c>
      <c r="I14" s="4">
        <f t="shared" si="6"/>
        <v>8.5714285714285712</v>
      </c>
      <c r="J14">
        <v>0.47899999999999998</v>
      </c>
      <c r="K14">
        <v>0.24328</v>
      </c>
      <c r="L14">
        <f t="shared" si="7"/>
        <v>3.666856003443867E-2</v>
      </c>
      <c r="M14">
        <f t="shared" si="8"/>
        <v>2.7402449230530179E-3</v>
      </c>
      <c r="N14">
        <f t="shared" si="9"/>
        <v>2.7096386513217295E-3</v>
      </c>
      <c r="O14">
        <f ca="1">CÁLCULOS!$F$79</f>
        <v>2.3856883989574178</v>
      </c>
      <c r="P14">
        <f t="shared" si="10"/>
        <v>8.9207272851782402E-3</v>
      </c>
      <c r="Q14">
        <f t="shared" ca="1" si="11"/>
        <v>6.2656364007096206E-3</v>
      </c>
      <c r="R14">
        <f t="shared" ca="1" si="12"/>
        <v>1.5186363685887862E-2</v>
      </c>
      <c r="S14">
        <f t="shared" si="13"/>
        <v>3.9390000000000001E-2</v>
      </c>
      <c r="T14" s="37">
        <f t="shared" ca="1" si="14"/>
        <v>0.4638136363141121</v>
      </c>
      <c r="U14">
        <f t="shared" ca="1" si="4"/>
        <v>3.1704308321269066</v>
      </c>
      <c r="W14" s="32">
        <f>IF(ENTRADAS!D37="X",'TABELA SC-10 e 14'!D2,IF(ENTRADAS!D41="X",'TABELA SC-10 e 14'!I2,IF(ENTRADAS!D45="X",'TABELA SC-10 e 14'!J2,0)))</f>
        <v>62</v>
      </c>
      <c r="X14" s="32">
        <f>IF(W14=0,0,VLOOKUP(W14,$A$5:$D$126,4,0))</f>
        <v>0</v>
      </c>
      <c r="Y14" s="32">
        <f>IF(X14=0,0,IF(AND(ENTRADAS!E15&lt;=6,X14&lt;=D33),1000,100))</f>
        <v>0</v>
      </c>
      <c r="Z14" s="32" t="str">
        <f>IF(A2="SC6","SC6",IF(Y14=1000,"SC6","xiii"))</f>
        <v>xiii</v>
      </c>
    </row>
    <row r="15" spans="1:29" x14ac:dyDescent="0.35">
      <c r="A15">
        <v>22</v>
      </c>
      <c r="B15" s="4">
        <f t="shared" si="0"/>
        <v>16.28191817997407</v>
      </c>
      <c r="C15" s="37">
        <f t="shared" si="1"/>
        <v>16.171918179974071</v>
      </c>
      <c r="D15" s="37">
        <f t="shared" si="5"/>
        <v>14.472775973496066</v>
      </c>
      <c r="E15" s="4">
        <f>IF(AND(ENTRADAS!$E$15&gt;13,ENTRADAS!$E$15&lt;=14),14,0)</f>
        <v>0</v>
      </c>
      <c r="F15" s="4">
        <f t="shared" si="2"/>
        <v>0</v>
      </c>
      <c r="G15" s="4">
        <f t="shared" si="3"/>
        <v>0</v>
      </c>
      <c r="H15" s="4">
        <f>IF(E15=0,0,IF(AND(ENTRADAS!$G$25&gt;=F15,ENTRADAS!$G$25&lt;=G15),1,0))</f>
        <v>0</v>
      </c>
      <c r="I15" s="4">
        <f t="shared" si="6"/>
        <v>8.1818181818181817</v>
      </c>
      <c r="J15">
        <v>0.47899999999999998</v>
      </c>
      <c r="K15">
        <v>0.24328</v>
      </c>
      <c r="L15">
        <f t="shared" si="7"/>
        <v>3.497838336309711E-2</v>
      </c>
      <c r="M15">
        <f t="shared" si="8"/>
        <v>2.4953292987529652E-3</v>
      </c>
      <c r="N15">
        <f t="shared" si="9"/>
        <v>2.4699304444593968E-3</v>
      </c>
      <c r="O15">
        <f ca="1">CÁLCULOS!$F$79</f>
        <v>2.3856883989574178</v>
      </c>
      <c r="P15">
        <f t="shared" si="10"/>
        <v>8.5095411045742649E-3</v>
      </c>
      <c r="Q15">
        <f t="shared" ca="1" si="11"/>
        <v>5.7196960596455496E-3</v>
      </c>
      <c r="R15">
        <f t="shared" ca="1" si="12"/>
        <v>1.4229237164219814E-2</v>
      </c>
      <c r="S15">
        <f t="shared" si="13"/>
        <v>3.9390000000000001E-2</v>
      </c>
      <c r="T15" s="37">
        <f t="shared" ca="1" si="14"/>
        <v>0.46477076283578017</v>
      </c>
      <c r="U15">
        <f t="shared" ca="1" si="4"/>
        <v>2.9706131866847207</v>
      </c>
      <c r="Y15" s="647" t="s">
        <v>841</v>
      </c>
      <c r="Z15" t="str">
        <f>IF(Y14=1000,"SC6","xiii")</f>
        <v>xiii</v>
      </c>
    </row>
    <row r="16" spans="1:29" x14ac:dyDescent="0.35">
      <c r="A16">
        <v>23</v>
      </c>
      <c r="B16" s="4">
        <f t="shared" si="0"/>
        <v>17.054052176461834</v>
      </c>
      <c r="C16" s="37">
        <f t="shared" si="1"/>
        <v>16.944052176461835</v>
      </c>
      <c r="D16" s="37">
        <f t="shared" si="5"/>
        <v>15.145910216907183</v>
      </c>
      <c r="E16" s="4">
        <f>IF(AND(ENTRADAS!$E$15&gt;13,ENTRADAS!$E$15&lt;=14),14,0)</f>
        <v>0</v>
      </c>
      <c r="F16" s="4">
        <f t="shared" si="2"/>
        <v>0</v>
      </c>
      <c r="G16" s="4">
        <f t="shared" si="3"/>
        <v>0</v>
      </c>
      <c r="H16" s="4">
        <f>IF(E16=0,0,IF(AND(ENTRADAS!$G$25&gt;=F16,ENTRADAS!$G$25&lt;=G16),1,0))</f>
        <v>0</v>
      </c>
      <c r="I16" s="4">
        <f t="shared" si="6"/>
        <v>7.8260869565217392</v>
      </c>
      <c r="J16">
        <v>0.47899999999999998</v>
      </c>
      <c r="K16">
        <v>0.24328</v>
      </c>
      <c r="L16">
        <f t="shared" si="7"/>
        <v>3.3438066346527177E-2</v>
      </c>
      <c r="M16">
        <f t="shared" si="8"/>
        <v>2.281894345735001E-3</v>
      </c>
      <c r="N16">
        <f t="shared" si="9"/>
        <v>2.2606406586594334E-3</v>
      </c>
      <c r="O16">
        <f ca="1">CÁLCULOS!$F$79</f>
        <v>2.3856883989574178</v>
      </c>
      <c r="P16">
        <f t="shared" si="10"/>
        <v>8.1348127807831308E-3</v>
      </c>
      <c r="Q16">
        <f t="shared" ca="1" si="11"/>
        <v>5.2420012889154441E-3</v>
      </c>
      <c r="R16">
        <f t="shared" ca="1" si="12"/>
        <v>1.3376814069698574E-2</v>
      </c>
      <c r="S16">
        <f t="shared" si="13"/>
        <v>3.9390000000000001E-2</v>
      </c>
      <c r="T16" s="37">
        <f t="shared" ca="1" si="14"/>
        <v>0.46562318593030139</v>
      </c>
      <c r="U16">
        <f t="shared" ca="1" si="4"/>
        <v>2.7926542943003332</v>
      </c>
    </row>
    <row r="17" spans="1:21" x14ac:dyDescent="0.35">
      <c r="A17">
        <v>24</v>
      </c>
      <c r="B17" s="4">
        <f t="shared" si="0"/>
        <v>17.825767411667616</v>
      </c>
      <c r="C17" s="37">
        <f t="shared" si="1"/>
        <v>17.715767411667617</v>
      </c>
      <c r="D17" s="37">
        <f t="shared" si="5"/>
        <v>15.818679390835543</v>
      </c>
      <c r="E17" s="4">
        <f>IF(AND(ENTRADAS!$E$15&gt;13,ENTRADAS!$E$15&lt;=14),14,0)</f>
        <v>0</v>
      </c>
      <c r="F17" s="4">
        <f t="shared" si="2"/>
        <v>0</v>
      </c>
      <c r="G17" s="4">
        <f t="shared" si="3"/>
        <v>0</v>
      </c>
      <c r="H17" s="4">
        <f>IF(E17=0,0,IF(AND(ENTRADAS!$G$25&gt;=F17,ENTRADAS!$G$25&lt;=G17),1,0))</f>
        <v>0</v>
      </c>
      <c r="I17" s="4">
        <f t="shared" si="6"/>
        <v>7.5</v>
      </c>
      <c r="J17">
        <v>0.47899999999999998</v>
      </c>
      <c r="K17">
        <v>0.24328</v>
      </c>
      <c r="L17">
        <f t="shared" si="7"/>
        <v>3.2028419613061659E-2</v>
      </c>
      <c r="M17">
        <f t="shared" si="8"/>
        <v>2.0947588669903202E-3</v>
      </c>
      <c r="N17">
        <f t="shared" si="9"/>
        <v>2.0768379144947783E-3</v>
      </c>
      <c r="O17">
        <f ca="1">CÁLCULOS!$F$79</f>
        <v>2.3856883989574178</v>
      </c>
      <c r="P17">
        <f t="shared" si="10"/>
        <v>7.7918739234656403E-3</v>
      </c>
      <c r="Q17">
        <f t="shared" ca="1" si="11"/>
        <v>4.821652446737601E-3</v>
      </c>
      <c r="R17">
        <f t="shared" ca="1" si="12"/>
        <v>1.2613526370203241E-2</v>
      </c>
      <c r="S17">
        <f t="shared" si="13"/>
        <v>3.9390000000000001E-2</v>
      </c>
      <c r="T17" s="37">
        <f t="shared" ca="1" si="14"/>
        <v>0.46638647362979674</v>
      </c>
      <c r="U17">
        <f t="shared" ca="1" si="4"/>
        <v>2.6333040438837672</v>
      </c>
    </row>
    <row r="18" spans="1:21" x14ac:dyDescent="0.35">
      <c r="A18">
        <v>25</v>
      </c>
      <c r="B18" s="4">
        <f t="shared" si="0"/>
        <v>18.597114362817045</v>
      </c>
      <c r="C18" s="37">
        <f t="shared" si="1"/>
        <v>18.487114362817046</v>
      </c>
      <c r="D18" s="37">
        <f t="shared" si="5"/>
        <v>16.491127500530542</v>
      </c>
      <c r="E18" s="4">
        <f>IF(AND(ENTRADAS!$E$15&gt;13,ENTRADAS!$E$15&lt;=14),14,0)</f>
        <v>0</v>
      </c>
      <c r="F18" s="4">
        <f t="shared" si="2"/>
        <v>0</v>
      </c>
      <c r="G18" s="4">
        <f t="shared" si="3"/>
        <v>0</v>
      </c>
      <c r="H18" s="4">
        <f>IF(E18=0,0,IF(AND(ENTRADAS!$G$25&gt;=F18,ENTRADAS!$G$25&lt;=G18),1,0))</f>
        <v>0</v>
      </c>
      <c r="I18" s="4">
        <f t="shared" si="6"/>
        <v>7.2</v>
      </c>
      <c r="J18">
        <v>0.47899999999999998</v>
      </c>
      <c r="K18">
        <v>0.24328</v>
      </c>
      <c r="L18">
        <f t="shared" si="7"/>
        <v>3.0733411188369194E-2</v>
      </c>
      <c r="M18">
        <f t="shared" si="8"/>
        <v>1.9297668554257141E-3</v>
      </c>
      <c r="N18">
        <f t="shared" si="9"/>
        <v>1.9145500673772614E-3</v>
      </c>
      <c r="O18">
        <f ca="1">CÁLCULOS!$F$79</f>
        <v>2.3856883989574178</v>
      </c>
      <c r="P18">
        <f t="shared" si="10"/>
        <v>7.4768242739064574E-3</v>
      </c>
      <c r="Q18">
        <f t="shared" ca="1" si="11"/>
        <v>4.4498385760422246E-3</v>
      </c>
      <c r="R18">
        <f t="shared" ca="1" si="12"/>
        <v>1.1926662849948682E-2</v>
      </c>
      <c r="S18">
        <f t="shared" si="13"/>
        <v>3.9390000000000001E-2</v>
      </c>
      <c r="T18" s="37">
        <f t="shared" ca="1" si="14"/>
        <v>0.46707333715005128</v>
      </c>
      <c r="U18">
        <f t="shared" ca="1" si="4"/>
        <v>2.4899087369412731</v>
      </c>
    </row>
    <row r="19" spans="1:21" x14ac:dyDescent="0.35">
      <c r="A19">
        <v>26</v>
      </c>
      <c r="B19" s="4">
        <f t="shared" si="0"/>
        <v>19.368135700341369</v>
      </c>
      <c r="C19" s="37">
        <f t="shared" si="1"/>
        <v>19.25813570034137</v>
      </c>
      <c r="D19" s="37">
        <f t="shared" si="5"/>
        <v>17.163291745401335</v>
      </c>
      <c r="E19" s="4">
        <f>IF(AND(ENTRADAS!$E$15&gt;13,ENTRADAS!$E$15&lt;=14),14,0)</f>
        <v>0</v>
      </c>
      <c r="F19" s="4">
        <f t="shared" si="2"/>
        <v>0</v>
      </c>
      <c r="G19" s="4">
        <f t="shared" si="3"/>
        <v>0</v>
      </c>
      <c r="H19" s="4">
        <f>IF(E19=0,0,IF(AND(ENTRADAS!$G$25&gt;=F19,ENTRADAS!$G$25&lt;=G19),1,0))</f>
        <v>0</v>
      </c>
      <c r="I19" s="4">
        <f t="shared" si="6"/>
        <v>6.9230769230769234</v>
      </c>
      <c r="J19">
        <v>0.47899999999999998</v>
      </c>
      <c r="K19">
        <v>0.24328</v>
      </c>
      <c r="L19">
        <f t="shared" si="7"/>
        <v>2.9539540078311544E-2</v>
      </c>
      <c r="M19">
        <f t="shared" si="8"/>
        <v>1.7835530444738493E-3</v>
      </c>
      <c r="N19">
        <f t="shared" si="9"/>
        <v>1.7705489346737913E-3</v>
      </c>
      <c r="O19">
        <f ca="1">CÁLCULOS!$F$79</f>
        <v>2.3856883989574178</v>
      </c>
      <c r="P19">
        <f t="shared" si="10"/>
        <v>7.1863793102516322E-3</v>
      </c>
      <c r="Q19">
        <f t="shared" ca="1" si="11"/>
        <v>4.119375650804862E-3</v>
      </c>
      <c r="R19">
        <f t="shared" ca="1" si="12"/>
        <v>1.1305754961056494E-2</v>
      </c>
      <c r="S19">
        <f t="shared" si="13"/>
        <v>3.9390000000000001E-2</v>
      </c>
      <c r="T19" s="37">
        <f t="shared" ca="1" si="14"/>
        <v>0.46769424503894347</v>
      </c>
      <c r="U19">
        <f t="shared" ca="1" si="4"/>
        <v>2.3602828728719238</v>
      </c>
    </row>
    <row r="20" spans="1:21" x14ac:dyDescent="0.35">
      <c r="A20">
        <v>27</v>
      </c>
      <c r="B20" s="4">
        <f t="shared" si="0"/>
        <v>20.138867742229099</v>
      </c>
      <c r="C20" s="37">
        <f t="shared" si="1"/>
        <v>20.028867742229099</v>
      </c>
      <c r="D20" s="37">
        <f t="shared" si="5"/>
        <v>17.835203786897651</v>
      </c>
      <c r="E20" s="4">
        <f>IF(AND(ENTRADAS!$E$15&gt;13,ENTRADAS!$E$15&lt;=14),14,0)</f>
        <v>0</v>
      </c>
      <c r="F20" s="4">
        <f t="shared" si="2"/>
        <v>0</v>
      </c>
      <c r="G20" s="4">
        <f t="shared" si="3"/>
        <v>0</v>
      </c>
      <c r="H20" s="4">
        <f>IF(E20=0,0,IF(AND(ENTRADAS!$G$25&gt;=F20,ENTRADAS!$G$25&lt;=G20),1,0))</f>
        <v>0</v>
      </c>
      <c r="I20" s="4">
        <f t="shared" si="6"/>
        <v>6.666666666666667</v>
      </c>
      <c r="J20">
        <v>0.47899999999999998</v>
      </c>
      <c r="K20">
        <v>0.24328</v>
      </c>
      <c r="L20">
        <f t="shared" si="7"/>
        <v>2.8435353838523372E-2</v>
      </c>
      <c r="M20">
        <f t="shared" si="8"/>
        <v>1.6533687839497837E-3</v>
      </c>
      <c r="N20">
        <f t="shared" si="9"/>
        <v>1.6421892957120766E-3</v>
      </c>
      <c r="O20">
        <f ca="1">CÁLCULOS!$F$79</f>
        <v>2.3856883989574178</v>
      </c>
      <c r="P20">
        <f t="shared" si="10"/>
        <v>6.9177528818359663E-3</v>
      </c>
      <c r="Q20">
        <f t="shared" ca="1" si="11"/>
        <v>3.8243594842855369E-3</v>
      </c>
      <c r="R20">
        <f t="shared" ca="1" si="12"/>
        <v>1.0742112366121503E-2</v>
      </c>
      <c r="S20">
        <f t="shared" si="13"/>
        <v>3.9390000000000001E-2</v>
      </c>
      <c r="T20" s="37">
        <f t="shared" ca="1" si="14"/>
        <v>0.46825788763387849</v>
      </c>
      <c r="U20">
        <f t="shared" ca="1" si="4"/>
        <v>2.2426121849940488</v>
      </c>
    </row>
    <row r="21" spans="1:21" x14ac:dyDescent="0.35">
      <c r="A21">
        <v>28</v>
      </c>
      <c r="B21" s="4">
        <f t="shared" si="0"/>
        <v>20.909341594677116</v>
      </c>
      <c r="C21" s="37">
        <f t="shared" si="1"/>
        <v>20.799341594677117</v>
      </c>
      <c r="D21" s="37">
        <f t="shared" si="5"/>
        <v>18.506890742911459</v>
      </c>
      <c r="E21" s="4">
        <f>IF(AND(ENTRADAS!$E$15&gt;13,ENTRADAS!$E$15&lt;=14),14,0)</f>
        <v>0</v>
      </c>
      <c r="F21" s="4">
        <f t="shared" si="2"/>
        <v>0</v>
      </c>
      <c r="G21" s="4">
        <f t="shared" si="3"/>
        <v>0</v>
      </c>
      <c r="H21" s="4">
        <f>IF(E21=0,0,IF(AND(ENTRADAS!$G$25&gt;=F21,ENTRADAS!$G$25&lt;=G21),1,0))</f>
        <v>0</v>
      </c>
      <c r="I21" s="4">
        <f t="shared" si="6"/>
        <v>6.4285714285714288</v>
      </c>
      <c r="J21">
        <v>0.47899999999999998</v>
      </c>
      <c r="K21">
        <v>0.24328</v>
      </c>
      <c r="L21">
        <f t="shared" si="7"/>
        <v>2.7411072818899013E-2</v>
      </c>
      <c r="M21">
        <f t="shared" si="8"/>
        <v>1.5369511122068991E-3</v>
      </c>
      <c r="N21">
        <f t="shared" si="9"/>
        <v>1.5272870862089948E-3</v>
      </c>
      <c r="O21">
        <f ca="1">CÁLCULOS!$F$79</f>
        <v>2.3856883989574178</v>
      </c>
      <c r="P21">
        <f t="shared" si="10"/>
        <v>6.6685657953817513E-3</v>
      </c>
      <c r="Q21">
        <f t="shared" ca="1" si="11"/>
        <v>3.559901928375399E-3</v>
      </c>
      <c r="R21">
        <f t="shared" ca="1" si="12"/>
        <v>1.0228467723757149E-2</v>
      </c>
      <c r="S21">
        <f t="shared" si="13"/>
        <v>3.9390000000000001E-2</v>
      </c>
      <c r="T21" s="37">
        <f t="shared" ca="1" si="14"/>
        <v>0.46877153227624285</v>
      </c>
      <c r="U21">
        <f t="shared" ca="1" si="4"/>
        <v>2.1353794830390664</v>
      </c>
    </row>
    <row r="22" spans="1:21" x14ac:dyDescent="0.35">
      <c r="A22">
        <v>29</v>
      </c>
      <c r="B22" s="4">
        <f t="shared" si="0"/>
        <v>21.679584055301294</v>
      </c>
      <c r="C22" s="37">
        <f t="shared" si="1"/>
        <v>21.569584055301295</v>
      </c>
      <c r="D22" s="37">
        <f t="shared" si="5"/>
        <v>19.178375975181748</v>
      </c>
      <c r="E22" s="4">
        <f>IF(AND(ENTRADAS!$E$15&gt;13,ENTRADAS!$E$15&lt;=14),14,0)</f>
        <v>0</v>
      </c>
      <c r="F22" s="4">
        <f t="shared" si="2"/>
        <v>0</v>
      </c>
      <c r="G22" s="4">
        <f t="shared" si="3"/>
        <v>0</v>
      </c>
      <c r="H22" s="4">
        <f>IF(E22=0,0,IF(AND(ENTRADAS!$G$25&gt;=F22,ENTRADAS!$G$25&lt;=G22),1,0))</f>
        <v>0</v>
      </c>
      <c r="I22" s="4">
        <f t="shared" si="6"/>
        <v>6.2068965517241379</v>
      </c>
      <c r="J22">
        <v>0.47899999999999998</v>
      </c>
      <c r="K22">
        <v>0.24328</v>
      </c>
      <c r="L22">
        <f t="shared" si="7"/>
        <v>2.6458294457911397E-2</v>
      </c>
      <c r="M22">
        <f t="shared" si="8"/>
        <v>1.4324231849829241E-3</v>
      </c>
      <c r="N22">
        <f t="shared" si="9"/>
        <v>1.4240262588994656E-3</v>
      </c>
      <c r="O22">
        <f ca="1">CÁLCULOS!$F$79</f>
        <v>2.3856883989574178</v>
      </c>
      <c r="P22">
        <f t="shared" si="10"/>
        <v>6.4367738757206841E-3</v>
      </c>
      <c r="Q22">
        <f t="shared" ca="1" si="11"/>
        <v>3.3219283135196669E-3</v>
      </c>
      <c r="R22">
        <f t="shared" ca="1" si="12"/>
        <v>9.7587021892403501E-3</v>
      </c>
      <c r="S22">
        <f t="shared" si="13"/>
        <v>3.9390000000000001E-2</v>
      </c>
      <c r="T22" s="37">
        <f t="shared" ca="1" si="14"/>
        <v>0.46924129781075963</v>
      </c>
      <c r="U22">
        <f t="shared" ca="1" si="4"/>
        <v>2.0373073463967337</v>
      </c>
    </row>
    <row r="23" spans="1:21" x14ac:dyDescent="0.35">
      <c r="A23">
        <v>30</v>
      </c>
      <c r="B23" s="4">
        <f t="shared" si="0"/>
        <v>22.449618334676433</v>
      </c>
      <c r="C23" s="37">
        <f t="shared" si="1"/>
        <v>22.339618334676434</v>
      </c>
      <c r="D23" s="37">
        <f t="shared" si="5"/>
        <v>19.849679718321653</v>
      </c>
      <c r="E23" s="4">
        <f>IF(AND(ENTRADAS!$E$15&gt;13,ENTRADAS!$E$15&lt;=14),14,0)</f>
        <v>0</v>
      </c>
      <c r="F23" s="4">
        <f t="shared" si="2"/>
        <v>0</v>
      </c>
      <c r="G23" s="4">
        <f t="shared" si="3"/>
        <v>0</v>
      </c>
      <c r="H23" s="4">
        <f>IF(E23=0,0,IF(AND(ENTRADAS!$G$25&gt;=F23,ENTRADAS!$G$25&lt;=G23),1,0))</f>
        <v>0</v>
      </c>
      <c r="I23" s="4">
        <f t="shared" si="6"/>
        <v>6</v>
      </c>
      <c r="J23">
        <v>0.47899999999999998</v>
      </c>
      <c r="K23">
        <v>0.24328</v>
      </c>
      <c r="L23">
        <f t="shared" si="7"/>
        <v>2.5569758355433767E-2</v>
      </c>
      <c r="M23">
        <f t="shared" si="8"/>
        <v>1.3382177544326291E-3</v>
      </c>
      <c r="N23">
        <f t="shared" si="9"/>
        <v>1.3308868575538128E-3</v>
      </c>
      <c r="O23">
        <f ca="1">CÁLCULOS!$F$79</f>
        <v>2.3856883989574178</v>
      </c>
      <c r="P23">
        <f t="shared" si="10"/>
        <v>6.2206108127099268E-3</v>
      </c>
      <c r="Q23">
        <f t="shared" ca="1" si="11"/>
        <v>3.1070204256988775E-3</v>
      </c>
      <c r="R23">
        <f t="shared" ca="1" si="12"/>
        <v>9.3276312384088043E-3</v>
      </c>
      <c r="S23">
        <f t="shared" si="13"/>
        <v>3.9390000000000001E-2</v>
      </c>
      <c r="T23" s="37">
        <f t="shared" ca="1" si="14"/>
        <v>0.46967236876159119</v>
      </c>
      <c r="U23">
        <f t="shared" ca="1" si="4"/>
        <v>1.9473134109412937</v>
      </c>
    </row>
    <row r="24" spans="1:21" x14ac:dyDescent="0.35">
      <c r="A24">
        <v>31</v>
      </c>
      <c r="B24" s="4">
        <f t="shared" si="0"/>
        <v>23.219464637481266</v>
      </c>
      <c r="C24" s="37">
        <f t="shared" si="1"/>
        <v>23.109464637481267</v>
      </c>
      <c r="D24" s="37">
        <f t="shared" si="5"/>
        <v>20.520819586451509</v>
      </c>
      <c r="E24" s="4">
        <f>IF(AND(ENTRADAS!$E$15&gt;13,ENTRADAS!$E$15&lt;=14),14,0)</f>
        <v>0</v>
      </c>
      <c r="F24" s="4">
        <f t="shared" si="2"/>
        <v>0</v>
      </c>
      <c r="G24" s="4">
        <f t="shared" si="3"/>
        <v>0</v>
      </c>
      <c r="H24" s="4">
        <f>IF(E24=0,0,IF(AND(ENTRADAS!$G$25&gt;=F24,ENTRADAS!$G$25&lt;=G24),1,0))</f>
        <v>0</v>
      </c>
      <c r="I24" s="4">
        <f t="shared" si="6"/>
        <v>5.806451612903226</v>
      </c>
      <c r="J24">
        <v>0.47899999999999998</v>
      </c>
      <c r="K24">
        <v>0.24328</v>
      </c>
      <c r="L24">
        <f t="shared" si="7"/>
        <v>2.4739157992317896E-2</v>
      </c>
      <c r="M24">
        <f t="shared" si="8"/>
        <v>1.2530177900804981E-3</v>
      </c>
      <c r="N24">
        <f t="shared" si="9"/>
        <v>1.246588961015393E-3</v>
      </c>
      <c r="O24">
        <f ca="1">CÁLCULOS!$F$79</f>
        <v>2.3856883989574178</v>
      </c>
      <c r="P24">
        <f t="shared" si="10"/>
        <v>6.0185423563710976E-3</v>
      </c>
      <c r="Q24">
        <f t="shared" ca="1" si="11"/>
        <v>2.9122937000467253E-3</v>
      </c>
      <c r="R24">
        <f t="shared" ca="1" si="12"/>
        <v>8.9308360564178228E-3</v>
      </c>
      <c r="S24">
        <f t="shared" si="13"/>
        <v>3.9390000000000001E-2</v>
      </c>
      <c r="T24" s="37">
        <f t="shared" ca="1" si="14"/>
        <v>0.47006916394358217</v>
      </c>
      <c r="U24">
        <f t="shared" ca="1" si="4"/>
        <v>1.8644751683544494</v>
      </c>
    </row>
    <row r="25" spans="1:21" x14ac:dyDescent="0.35">
      <c r="A25">
        <v>32</v>
      </c>
      <c r="B25" s="4">
        <f t="shared" si="0"/>
        <v>23.989140634137357</v>
      </c>
      <c r="C25" s="37">
        <f t="shared" si="1"/>
        <v>23.879140634137357</v>
      </c>
      <c r="D25" s="37">
        <f t="shared" si="5"/>
        <v>21.191810984366217</v>
      </c>
      <c r="E25" s="4">
        <f>IF(AND(ENTRADAS!$E$15&gt;13,ENTRADAS!$E$15&lt;=14),14,0)</f>
        <v>0</v>
      </c>
      <c r="F25" s="4">
        <f t="shared" si="2"/>
        <v>0</v>
      </c>
      <c r="G25" s="4">
        <f t="shared" si="3"/>
        <v>0</v>
      </c>
      <c r="H25" s="4">
        <f>IF(E25=0,0,IF(AND(ENTRADAS!$G$25&gt;=F25,ENTRADAS!$G$25&lt;=G25),1,0))</f>
        <v>0</v>
      </c>
      <c r="I25" s="4">
        <f t="shared" si="6"/>
        <v>5.625</v>
      </c>
      <c r="J25">
        <v>0.47899999999999998</v>
      </c>
      <c r="K25">
        <v>0.24328</v>
      </c>
      <c r="L25">
        <f t="shared" si="7"/>
        <v>2.3960988608730919E-2</v>
      </c>
      <c r="M25">
        <f t="shared" si="8"/>
        <v>1.1757099856161816E-3</v>
      </c>
      <c r="N25">
        <f t="shared" si="9"/>
        <v>1.1700486206812123E-3</v>
      </c>
      <c r="O25">
        <f ca="1">CÁLCULOS!$F$79</f>
        <v>2.3856883989574178</v>
      </c>
      <c r="P25">
        <f t="shared" si="10"/>
        <v>5.8292293087320582E-3</v>
      </c>
      <c r="Q25">
        <f t="shared" ca="1" si="11"/>
        <v>2.735300377231689E-3</v>
      </c>
      <c r="R25">
        <f t="shared" ca="1" si="12"/>
        <v>8.5645296859637472E-3</v>
      </c>
      <c r="S25">
        <f t="shared" si="13"/>
        <v>3.9390000000000001E-2</v>
      </c>
      <c r="T25" s="37">
        <f t="shared" ca="1" si="14"/>
        <v>0.47043547031403621</v>
      </c>
      <c r="U25">
        <f t="shared" ca="1" si="4"/>
        <v>1.7880020221218733</v>
      </c>
    </row>
    <row r="26" spans="1:21" x14ac:dyDescent="0.35">
      <c r="A26">
        <v>33</v>
      </c>
      <c r="B26" s="4">
        <f t="shared" si="0"/>
        <v>24.758661846295986</v>
      </c>
      <c r="C26" s="37">
        <f t="shared" si="1"/>
        <v>24.648661846295987</v>
      </c>
      <c r="D26" s="37">
        <f t="shared" si="5"/>
        <v>21.862667443596624</v>
      </c>
      <c r="E26" s="4">
        <f>IF(AND(ENTRADAS!$E$15&gt;13,ENTRADAS!$E$15&lt;=14),14,0)</f>
        <v>0</v>
      </c>
      <c r="F26" s="4">
        <f t="shared" si="2"/>
        <v>0</v>
      </c>
      <c r="G26" s="4">
        <f t="shared" si="3"/>
        <v>0</v>
      </c>
      <c r="H26" s="4">
        <f>IF(E26=0,0,IF(AND(ENTRADAS!$G$25&gt;=F26,ENTRADAS!$G$25&lt;=G26),1,0))</f>
        <v>0</v>
      </c>
      <c r="I26" s="4">
        <f t="shared" si="6"/>
        <v>5.4545454545454541</v>
      </c>
      <c r="J26">
        <v>0.47899999999999998</v>
      </c>
      <c r="K26">
        <v>0.24328</v>
      </c>
      <c r="L26">
        <f t="shared" si="7"/>
        <v>2.3230423370724219E-2</v>
      </c>
      <c r="M26">
        <f t="shared" si="8"/>
        <v>1.1053480493756953E-3</v>
      </c>
      <c r="N26">
        <f t="shared" si="9"/>
        <v>1.1003429478244323E-3</v>
      </c>
      <c r="O26">
        <f ca="1">CÁLCULOS!$F$79</f>
        <v>2.3856883989574178</v>
      </c>
      <c r="P26">
        <f t="shared" si="10"/>
        <v>5.6514973976297877E-3</v>
      </c>
      <c r="Q26">
        <f t="shared" ca="1" si="11"/>
        <v>2.5739525404374509E-3</v>
      </c>
      <c r="R26">
        <f t="shared" ca="1" si="12"/>
        <v>8.2254499380672377E-3</v>
      </c>
      <c r="S26">
        <f t="shared" si="13"/>
        <v>3.9390000000000001E-2</v>
      </c>
      <c r="T26" s="37">
        <f t="shared" ca="1" si="14"/>
        <v>0.47077455006193275</v>
      </c>
      <c r="U26">
        <f t="shared" ca="1" si="4"/>
        <v>1.7172129307029709</v>
      </c>
    </row>
    <row r="27" spans="1:21" x14ac:dyDescent="0.35">
      <c r="A27">
        <v>34</v>
      </c>
      <c r="B27" s="4">
        <f t="shared" si="0"/>
        <v>25.528041964000419</v>
      </c>
      <c r="C27" s="37">
        <f t="shared" si="1"/>
        <v>25.41804196400042</v>
      </c>
      <c r="D27" s="37">
        <f t="shared" si="5"/>
        <v>22.533400898906589</v>
      </c>
      <c r="E27" s="4">
        <f>IF(AND(ENTRADAS!$E$15&gt;13,ENTRADAS!$E$15&lt;=14),14,0)</f>
        <v>0</v>
      </c>
      <c r="F27" s="4">
        <f t="shared" si="2"/>
        <v>0</v>
      </c>
      <c r="G27" s="4">
        <f t="shared" si="3"/>
        <v>0</v>
      </c>
      <c r="H27" s="4">
        <f>IF(E27=0,0,IF(AND(ENTRADAS!$G$25&gt;=F27,ENTRADAS!$G$25&lt;=G27),1,0))</f>
        <v>0</v>
      </c>
      <c r="I27" s="4">
        <f t="shared" si="6"/>
        <v>5.2941176470588234</v>
      </c>
      <c r="J27">
        <v>0.47899999999999998</v>
      </c>
      <c r="K27">
        <v>0.24328</v>
      </c>
      <c r="L27">
        <f t="shared" si="7"/>
        <v>2.2543211857760998E-2</v>
      </c>
      <c r="M27">
        <f t="shared" si="8"/>
        <v>1.0411234925750512E-3</v>
      </c>
      <c r="N27">
        <f t="shared" si="9"/>
        <v>1.0366822433006281E-3</v>
      </c>
      <c r="O27">
        <f ca="1">CÁLCULOS!$F$79</f>
        <v>2.3856883989574178</v>
      </c>
      <c r="P27">
        <f t="shared" si="10"/>
        <v>5.4843125807560959E-3</v>
      </c>
      <c r="Q27">
        <f t="shared" ca="1" si="11"/>
        <v>2.4264605063676493E-3</v>
      </c>
      <c r="R27">
        <f t="shared" ca="1" si="12"/>
        <v>7.9107730871237451E-3</v>
      </c>
      <c r="S27">
        <f t="shared" si="13"/>
        <v>3.9390000000000001E-2</v>
      </c>
      <c r="T27" s="37">
        <f t="shared" ca="1" si="14"/>
        <v>0.47108922691287625</v>
      </c>
      <c r="U27">
        <f t="shared" ca="1" si="4"/>
        <v>1.6515183897961867</v>
      </c>
    </row>
    <row r="28" spans="1:21" x14ac:dyDescent="0.35">
      <c r="A28">
        <v>35</v>
      </c>
      <c r="B28" s="4">
        <f t="shared" si="0"/>
        <v>26.297293108253609</v>
      </c>
      <c r="C28" s="37">
        <f t="shared" si="1"/>
        <v>26.187293108253609</v>
      </c>
      <c r="D28" s="37">
        <f t="shared" si="5"/>
        <v>23.204021917195362</v>
      </c>
      <c r="E28" s="4">
        <f>IF(AND(ENTRADAS!$E$15&gt;13,ENTRADAS!$E$15&lt;=14),14,0)</f>
        <v>0</v>
      </c>
      <c r="F28" s="4">
        <f t="shared" si="2"/>
        <v>0</v>
      </c>
      <c r="G28" s="4">
        <f t="shared" si="3"/>
        <v>0</v>
      </c>
      <c r="H28" s="4">
        <f>IF(E28=0,0,IF(AND(ENTRADAS!$G$25&gt;=F28,ENTRADAS!$G$25&lt;=G28),1,0))</f>
        <v>0</v>
      </c>
      <c r="I28" s="4">
        <f t="shared" si="6"/>
        <v>5.1428571428571432</v>
      </c>
      <c r="J28">
        <v>0.47899999999999998</v>
      </c>
      <c r="K28">
        <v>0.24328</v>
      </c>
      <c r="L28">
        <f t="shared" si="7"/>
        <v>2.1895596303544301E-2</v>
      </c>
      <c r="M28">
        <f t="shared" si="8"/>
        <v>9.8234221358187677E-4</v>
      </c>
      <c r="N28">
        <f t="shared" si="9"/>
        <v>9.7838759263393004E-4</v>
      </c>
      <c r="O28">
        <f ca="1">CÁLCULOS!$F$79</f>
        <v>2.3856883989574178</v>
      </c>
      <c r="P28">
        <f t="shared" si="10"/>
        <v>5.3267606687262574E-3</v>
      </c>
      <c r="Q28">
        <f t="shared" ca="1" si="11"/>
        <v>2.2912831699172247E-3</v>
      </c>
      <c r="R28">
        <f t="shared" ca="1" si="12"/>
        <v>7.6180438386434825E-3</v>
      </c>
      <c r="S28">
        <f t="shared" si="13"/>
        <v>3.9390000000000001E-2</v>
      </c>
      <c r="T28" s="37">
        <f t="shared" ca="1" si="14"/>
        <v>0.47138195616135647</v>
      </c>
      <c r="U28">
        <f t="shared" ca="1" si="4"/>
        <v>1.590405811825367</v>
      </c>
    </row>
    <row r="29" spans="1:21" x14ac:dyDescent="0.35">
      <c r="A29">
        <v>36</v>
      </c>
      <c r="B29" s="4">
        <f t="shared" si="0"/>
        <v>27.066426049654837</v>
      </c>
      <c r="C29" s="37">
        <f t="shared" si="1"/>
        <v>26.956426049654837</v>
      </c>
      <c r="D29" s="37">
        <f t="shared" si="5"/>
        <v>23.87453988810158</v>
      </c>
      <c r="E29" s="4">
        <f>IF(AND(ENTRADAS!$E$15&gt;13,ENTRADAS!$E$15&lt;=14),14,0)</f>
        <v>0</v>
      </c>
      <c r="F29" s="4">
        <f t="shared" si="2"/>
        <v>0</v>
      </c>
      <c r="G29" s="4">
        <f t="shared" si="3"/>
        <v>0</v>
      </c>
      <c r="H29" s="4">
        <f>IF(E29=0,0,IF(AND(ENTRADAS!$G$25&gt;=F29,ENTRADAS!$G$25&lt;=G29),1,0))</f>
        <v>0</v>
      </c>
      <c r="I29" s="4">
        <f t="shared" si="6"/>
        <v>5</v>
      </c>
      <c r="J29">
        <v>0.47899999999999998</v>
      </c>
      <c r="K29">
        <v>0.24328</v>
      </c>
      <c r="L29">
        <f t="shared" si="7"/>
        <v>2.1284242062586792E-2</v>
      </c>
      <c r="M29">
        <f t="shared" si="8"/>
        <v>9.2840559930555135E-4</v>
      </c>
      <c r="N29">
        <f t="shared" si="9"/>
        <v>9.2487273570687983E-4</v>
      </c>
      <c r="O29">
        <f ca="1">CÁLCULOS!$F$79</f>
        <v>2.3856883989574178</v>
      </c>
      <c r="P29">
        <f t="shared" si="10"/>
        <v>5.1780304089861142E-3</v>
      </c>
      <c r="Q29">
        <f t="shared" ca="1" si="11"/>
        <v>2.1670877257201691E-3</v>
      </c>
      <c r="R29">
        <f t="shared" ca="1" si="12"/>
        <v>7.3451181347062838E-3</v>
      </c>
      <c r="S29">
        <f t="shared" si="13"/>
        <v>3.9390000000000001E-2</v>
      </c>
      <c r="T29" s="37">
        <f t="shared" ca="1" si="14"/>
        <v>0.4716548818652937</v>
      </c>
      <c r="U29">
        <f t="shared" ca="1" si="4"/>
        <v>1.5334275855336714</v>
      </c>
    </row>
    <row r="30" spans="1:21" x14ac:dyDescent="0.35">
      <c r="A30">
        <v>37</v>
      </c>
      <c r="B30" s="4">
        <f t="shared" si="0"/>
        <v>27.835450391451804</v>
      </c>
      <c r="C30" s="37">
        <f t="shared" si="1"/>
        <v>27.725450391451805</v>
      </c>
      <c r="D30" s="37">
        <f t="shared" si="5"/>
        <v>24.54496318358516</v>
      </c>
      <c r="E30" s="4">
        <f>IF(AND(ENTRADAS!$E$15&gt;13,ENTRADAS!$E$15&lt;=14),14,0)</f>
        <v>0</v>
      </c>
      <c r="F30" s="4">
        <f t="shared" si="2"/>
        <v>0</v>
      </c>
      <c r="G30" s="4">
        <f t="shared" si="3"/>
        <v>0</v>
      </c>
      <c r="H30" s="4">
        <f>IF(E30=0,0,IF(AND(ENTRADAS!$G$25&gt;=F30,ENTRADAS!$G$25&lt;=G30),1,0))</f>
        <v>0</v>
      </c>
      <c r="I30" s="4">
        <f t="shared" si="6"/>
        <v>4.8648648648648649</v>
      </c>
      <c r="J30">
        <v>0.47899999999999998</v>
      </c>
      <c r="K30">
        <v>0.24328</v>
      </c>
      <c r="L30">
        <f t="shared" si="7"/>
        <v>2.0706179555491037E-2</v>
      </c>
      <c r="M30">
        <f t="shared" si="8"/>
        <v>8.7879517393052681E-4</v>
      </c>
      <c r="N30">
        <f t="shared" si="9"/>
        <v>8.7562930424766965E-4</v>
      </c>
      <c r="O30">
        <f ca="1">CÁLCULOS!$F$79</f>
        <v>2.3856883989574178</v>
      </c>
      <c r="P30">
        <f t="shared" si="10"/>
        <v>5.037399362259859E-3</v>
      </c>
      <c r="Q30">
        <f t="shared" ca="1" si="11"/>
        <v>2.0527167977352169E-3</v>
      </c>
      <c r="R30">
        <f t="shared" ca="1" si="12"/>
        <v>7.0901161599950758E-3</v>
      </c>
      <c r="S30">
        <f t="shared" si="13"/>
        <v>3.9390000000000001E-2</v>
      </c>
      <c r="T30" s="37">
        <f t="shared" ca="1" si="14"/>
        <v>0.47190988384000493</v>
      </c>
      <c r="U30">
        <f t="shared" ca="1" si="4"/>
        <v>1.4801912651346665</v>
      </c>
    </row>
    <row r="31" spans="1:21" x14ac:dyDescent="0.35">
      <c r="A31">
        <v>38</v>
      </c>
      <c r="B31" s="4">
        <f t="shared" si="0"/>
        <v>28.60437472358959</v>
      </c>
      <c r="C31" s="37">
        <f t="shared" si="1"/>
        <v>28.494374723589591</v>
      </c>
      <c r="D31" s="37">
        <f t="shared" si="5"/>
        <v>25.215299292224781</v>
      </c>
      <c r="E31" s="4">
        <f>IF(AND(ENTRADAS!$E$15&gt;13,ENTRADAS!$E$15&lt;=14),14,0)</f>
        <v>0</v>
      </c>
      <c r="F31" s="4">
        <f t="shared" si="2"/>
        <v>0</v>
      </c>
      <c r="G31" s="4">
        <f t="shared" si="3"/>
        <v>0</v>
      </c>
      <c r="H31" s="4">
        <f>IF(E31=0,0,IF(AND(ENTRADAS!$G$25&gt;=F31,ENTRADAS!$G$25&lt;=G31),1,0))</f>
        <v>0</v>
      </c>
      <c r="I31" s="4">
        <f t="shared" si="6"/>
        <v>4.7368421052631575</v>
      </c>
      <c r="J31">
        <v>0.47899999999999998</v>
      </c>
      <c r="K31">
        <v>0.24328</v>
      </c>
      <c r="L31">
        <f t="shared" si="7"/>
        <v>2.0158755537022538E-2</v>
      </c>
      <c r="M31">
        <f t="shared" si="8"/>
        <v>8.3306005345557704E-4</v>
      </c>
      <c r="N31">
        <f t="shared" si="9"/>
        <v>8.3021473101713551E-4</v>
      </c>
      <c r="O31">
        <f ca="1">CÁLCULOS!$F$79</f>
        <v>2.3856883989574178</v>
      </c>
      <c r="P31">
        <f t="shared" si="10"/>
        <v>4.9042220470468427E-3</v>
      </c>
      <c r="Q31">
        <f t="shared" ca="1" si="11"/>
        <v>1.9471614608195145E-3</v>
      </c>
      <c r="R31">
        <f t="shared" ca="1" si="12"/>
        <v>6.8513835078663574E-3</v>
      </c>
      <c r="S31">
        <f t="shared" si="13"/>
        <v>3.9390000000000001E-2</v>
      </c>
      <c r="T31" s="37">
        <f t="shared" ca="1" si="14"/>
        <v>0.47214861649213363</v>
      </c>
      <c r="U31">
        <f t="shared" ca="1" si="4"/>
        <v>1.4303514630201146</v>
      </c>
    </row>
    <row r="32" spans="1:21" x14ac:dyDescent="0.35">
      <c r="A32">
        <v>39</v>
      </c>
      <c r="B32" s="4">
        <f t="shared" si="0"/>
        <v>29.373206752981936</v>
      </c>
      <c r="C32" s="37">
        <f t="shared" si="1"/>
        <v>29.263206752981937</v>
      </c>
      <c r="D32" s="37">
        <f t="shared" si="5"/>
        <v>25.885554932786327</v>
      </c>
      <c r="E32" s="4">
        <f>IF(AND(ENTRADAS!$E$15&gt;13,ENTRADAS!$E$15&lt;=14),14,0)</f>
        <v>0</v>
      </c>
      <c r="F32" s="4">
        <f t="shared" si="2"/>
        <v>0</v>
      </c>
      <c r="G32" s="4">
        <f t="shared" si="3"/>
        <v>0</v>
      </c>
      <c r="H32" s="4">
        <f>IF(E32=0,0,IF(AND(ENTRADAS!$G$25&gt;=F32,ENTRADAS!$G$25&lt;=G32),1,0))</f>
        <v>0</v>
      </c>
      <c r="I32" s="4">
        <f t="shared" si="6"/>
        <v>4.615384615384615</v>
      </c>
      <c r="J32">
        <v>0.47899999999999998</v>
      </c>
      <c r="K32">
        <v>0.24328</v>
      </c>
      <c r="L32">
        <f t="shared" si="7"/>
        <v>1.9639591982574402E-2</v>
      </c>
      <c r="M32">
        <f t="shared" si="8"/>
        <v>7.908066345436905E-4</v>
      </c>
      <c r="N32">
        <f t="shared" si="9"/>
        <v>7.8824229230244297E-4</v>
      </c>
      <c r="O32">
        <f ca="1">CÁLCULOS!$F$79</f>
        <v>2.3856883989574178</v>
      </c>
      <c r="P32">
        <f t="shared" si="10"/>
        <v>4.7779199375207002E-3</v>
      </c>
      <c r="Q32">
        <f t="shared" ca="1" si="11"/>
        <v>1.8495389783050817E-3</v>
      </c>
      <c r="R32">
        <f t="shared" ca="1" si="12"/>
        <v>6.6274589158257817E-3</v>
      </c>
      <c r="S32">
        <f t="shared" si="13"/>
        <v>3.9390000000000001E-2</v>
      </c>
      <c r="T32" s="37">
        <f t="shared" ca="1" si="14"/>
        <v>0.4723725410841742</v>
      </c>
      <c r="U32">
        <f t="shared" ca="1" si="4"/>
        <v>1.383603113951102</v>
      </c>
    </row>
    <row r="33" spans="1:25" x14ac:dyDescent="0.35">
      <c r="A33">
        <v>40</v>
      </c>
      <c r="B33" s="4">
        <f t="shared" si="0"/>
        <v>30.141953414181042</v>
      </c>
      <c r="C33" s="37">
        <f t="shared" si="1"/>
        <v>30.031953414181043</v>
      </c>
      <c r="D33" s="37">
        <f t="shared" si="5"/>
        <v>26.555736150703055</v>
      </c>
      <c r="E33" s="4">
        <f>IF(AND(ENTRADAS!$E$15&gt;13,ENTRADAS!$E$15&lt;=14),14,0)</f>
        <v>0</v>
      </c>
      <c r="F33" s="4">
        <f t="shared" si="2"/>
        <v>0</v>
      </c>
      <c r="G33" s="4">
        <f t="shared" si="3"/>
        <v>0</v>
      </c>
      <c r="H33" s="4">
        <f>IF(E33=0,0,IF(AND(ENTRADAS!$G$25&gt;=F33,ENTRADAS!$G$25&lt;=G33),1,0))</f>
        <v>0</v>
      </c>
      <c r="I33" s="4">
        <f t="shared" si="6"/>
        <v>4.5</v>
      </c>
      <c r="J33">
        <v>0.47899999999999998</v>
      </c>
      <c r="K33">
        <v>0.24328</v>
      </c>
      <c r="L33">
        <f t="shared" si="7"/>
        <v>1.9146551236293174E-2</v>
      </c>
      <c r="M33">
        <f t="shared" si="8"/>
        <v>7.5169007395843731E-4</v>
      </c>
      <c r="N33">
        <f t="shared" si="9"/>
        <v>7.493728643243031E-4</v>
      </c>
      <c r="O33">
        <f ca="1">CÁLCULOS!$F$79</f>
        <v>2.3856883989574178</v>
      </c>
      <c r="P33">
        <f t="shared" si="10"/>
        <v>4.6579729847654036E-3</v>
      </c>
      <c r="Q33">
        <f t="shared" ca="1" si="11"/>
        <v>1.7590743370282348E-3</v>
      </c>
      <c r="R33">
        <f t="shared" ca="1" si="12"/>
        <v>6.4170473217936381E-3</v>
      </c>
      <c r="S33">
        <f t="shared" si="13"/>
        <v>3.9390000000000001E-2</v>
      </c>
      <c r="T33" s="37">
        <f t="shared" ca="1" si="14"/>
        <v>0.47258295267820633</v>
      </c>
      <c r="U33">
        <f t="shared" ca="1" si="4"/>
        <v>1.3396758500613062</v>
      </c>
    </row>
    <row r="34" spans="1:25" x14ac:dyDescent="0.35">
      <c r="A34">
        <v>41</v>
      </c>
      <c r="B34" s="4">
        <f t="shared" si="0"/>
        <v>30.910620963803758</v>
      </c>
      <c r="C34" s="37">
        <f t="shared" si="1"/>
        <v>30.800620963803759</v>
      </c>
      <c r="D34" s="37"/>
      <c r="E34" s="4">
        <f>IF(AND(ENTRADAS!$E$15&gt;13,ENTRADAS!$E$15&lt;=14),14,0)</f>
        <v>0</v>
      </c>
      <c r="F34" s="4">
        <f t="shared" si="2"/>
        <v>0</v>
      </c>
      <c r="G34" s="4">
        <f t="shared" si="3"/>
        <v>0</v>
      </c>
      <c r="H34" s="4">
        <f>IF(E34=0,0,IF(AND(ENTRADAS!$G$25&gt;=F34,ENTRADAS!$G$25&lt;=G34),1,0))</f>
        <v>0</v>
      </c>
      <c r="I34" s="4">
        <f t="shared" si="6"/>
        <v>4.3902439024390247</v>
      </c>
      <c r="J34">
        <v>0.47899999999999998</v>
      </c>
      <c r="K34">
        <v>0.24328</v>
      </c>
      <c r="L34">
        <f t="shared" si="7"/>
        <v>1.8677706333877969E-2</v>
      </c>
      <c r="M34">
        <f t="shared" si="8"/>
        <v>7.1540721164721445E-4</v>
      </c>
      <c r="N34">
        <f t="shared" si="9"/>
        <v>7.1330806465365565E-4</v>
      </c>
      <c r="O34">
        <f ca="1">CÁLCULOS!$F$79</f>
        <v>2.3856883989574178</v>
      </c>
      <c r="P34">
        <f t="shared" si="10"/>
        <v>4.5439123969058326E-3</v>
      </c>
      <c r="Q34">
        <f t="shared" ca="1" si="11"/>
        <v>1.6750848576126186E-3</v>
      </c>
      <c r="R34">
        <f t="shared" ca="1" si="12"/>
        <v>6.218997254518451E-3</v>
      </c>
      <c r="S34">
        <f t="shared" si="13"/>
        <v>3.9390000000000001E-2</v>
      </c>
      <c r="T34" s="37">
        <f t="shared" ca="1" si="14"/>
        <v>0.47278100274548152</v>
      </c>
      <c r="U34">
        <f t="shared" ca="1" si="4"/>
        <v>1.2983292806927904</v>
      </c>
    </row>
    <row r="35" spans="1:25" x14ac:dyDescent="0.35">
      <c r="A35">
        <v>42</v>
      </c>
      <c r="B35" s="4">
        <f t="shared" si="0"/>
        <v>31.679215061430479</v>
      </c>
      <c r="C35" s="37">
        <f t="shared" si="1"/>
        <v>31.56921506143048</v>
      </c>
      <c r="E35" s="4">
        <f>IF(AND(ENTRADAS!$E$15&gt;13,ENTRADAS!$E$15&lt;=14),14,0)</f>
        <v>0</v>
      </c>
      <c r="F35" s="4">
        <f t="shared" si="2"/>
        <v>0</v>
      </c>
      <c r="G35" s="4">
        <f t="shared" si="3"/>
        <v>0</v>
      </c>
      <c r="H35" s="4">
        <f>IF(E35=0,0,IF(AND(ENTRADAS!$G$25&gt;=F35,ENTRADAS!$G$25&lt;=G35),1,0))</f>
        <v>0</v>
      </c>
      <c r="I35" s="4">
        <f t="shared" si="6"/>
        <v>4.2857142857142856</v>
      </c>
      <c r="J35">
        <v>0.47899999999999998</v>
      </c>
      <c r="K35">
        <v>0.24328</v>
      </c>
      <c r="L35">
        <f t="shared" si="7"/>
        <v>1.8231315623843478E-2</v>
      </c>
      <c r="M35">
        <f t="shared" si="8"/>
        <v>6.8169066440414215E-4</v>
      </c>
      <c r="N35">
        <f t="shared" si="9"/>
        <v>6.7978451904677215E-4</v>
      </c>
      <c r="O35">
        <f ca="1">CÁLCULOS!$F$79</f>
        <v>2.3856883989574178</v>
      </c>
      <c r="P35">
        <f t="shared" si="10"/>
        <v>4.4353144649686409E-3</v>
      </c>
      <c r="Q35">
        <f t="shared" ca="1" si="11"/>
        <v>1.5969673086348435E-3</v>
      </c>
      <c r="R35">
        <f t="shared" ca="1" si="12"/>
        <v>6.0322817736034847E-3</v>
      </c>
      <c r="S35">
        <f t="shared" si="13"/>
        <v>3.9390000000000001E-2</v>
      </c>
      <c r="T35" s="37">
        <f t="shared" ca="1" si="14"/>
        <v>0.47296771822639649</v>
      </c>
      <c r="U35">
        <f t="shared" ca="1" si="4"/>
        <v>1.25934901327839</v>
      </c>
    </row>
    <row r="36" spans="1:25" x14ac:dyDescent="0.35">
      <c r="A36">
        <v>43</v>
      </c>
      <c r="B36" s="4">
        <f t="shared" si="0"/>
        <v>32.447740839185492</v>
      </c>
      <c r="C36" s="37">
        <f t="shared" si="1"/>
        <v>32.337740839185486</v>
      </c>
      <c r="E36" s="4">
        <f>IF(AND(ENTRADAS!$E$15&gt;13,ENTRADAS!$E$15&lt;=14),14,0)</f>
        <v>0</v>
      </c>
      <c r="F36" s="4">
        <f t="shared" si="2"/>
        <v>0</v>
      </c>
      <c r="G36" s="4">
        <f t="shared" si="3"/>
        <v>0</v>
      </c>
      <c r="H36" s="4">
        <f>IF(E36=0,0,IF(AND(ENTRADAS!$G$25&gt;=F36,ENTRADAS!$G$25&lt;=G36),1,0))</f>
        <v>0</v>
      </c>
      <c r="I36" s="4">
        <f t="shared" si="6"/>
        <v>4.1860465116279073</v>
      </c>
      <c r="J36">
        <v>0.47899999999999998</v>
      </c>
      <c r="K36">
        <v>0.24328</v>
      </c>
      <c r="L36">
        <f t="shared" si="7"/>
        <v>1.7805800976855087E-2</v>
      </c>
      <c r="M36">
        <f t="shared" si="8"/>
        <v>6.5030387383678567E-4</v>
      </c>
      <c r="N36">
        <f t="shared" si="9"/>
        <v>6.4856904756889564E-4</v>
      </c>
      <c r="O36">
        <f ca="1">CÁLCULOS!$F$79</f>
        <v>2.3856883989574178</v>
      </c>
      <c r="P36">
        <f t="shared" si="10"/>
        <v>4.3317952616493058E-3</v>
      </c>
      <c r="Q36">
        <f t="shared" ca="1" si="11"/>
        <v>1.5241870699464555E-3</v>
      </c>
      <c r="R36">
        <f t="shared" ca="1" si="12"/>
        <v>5.8559823315957613E-3</v>
      </c>
      <c r="S36">
        <f t="shared" si="13"/>
        <v>3.9390000000000001E-2</v>
      </c>
      <c r="T36" s="37">
        <f t="shared" ca="1" si="14"/>
        <v>0.47314401766840419</v>
      </c>
      <c r="U36">
        <f t="shared" ca="1" si="4"/>
        <v>1.2225432842579935</v>
      </c>
    </row>
    <row r="37" spans="1:25" x14ac:dyDescent="0.35">
      <c r="A37">
        <v>44</v>
      </c>
      <c r="B37" s="4">
        <f t="shared" si="0"/>
        <v>33.216202961804846</v>
      </c>
      <c r="C37" s="37">
        <f t="shared" si="1"/>
        <v>33.10620296180484</v>
      </c>
      <c r="E37" s="4">
        <f>IF(AND(ENTRADAS!$E$15&gt;13,ENTRADAS!$E$15&lt;=14),14,0)</f>
        <v>0</v>
      </c>
      <c r="F37" s="4">
        <f t="shared" si="2"/>
        <v>0</v>
      </c>
      <c r="G37" s="4">
        <f t="shared" si="3"/>
        <v>0</v>
      </c>
      <c r="H37" s="4">
        <f>IF(E37=0,0,IF(AND(ENTRADAS!$G$25&gt;=F37,ENTRADAS!$G$25&lt;=G37),1,0))</f>
        <v>0</v>
      </c>
      <c r="I37" s="4">
        <f t="shared" si="6"/>
        <v>4.0909090909090908</v>
      </c>
      <c r="J37">
        <v>0.47899999999999998</v>
      </c>
      <c r="K37">
        <v>0.24328</v>
      </c>
      <c r="L37">
        <f t="shared" si="7"/>
        <v>1.7399729004024145E-2</v>
      </c>
      <c r="M37">
        <f t="shared" si="8"/>
        <v>6.210369363194207E-4</v>
      </c>
      <c r="N37">
        <f t="shared" si="9"/>
        <v>6.1945460538287954E-4</v>
      </c>
      <c r="O37">
        <f ca="1">CÁLCULOS!$F$79</f>
        <v>2.3856883989574178</v>
      </c>
      <c r="P37">
        <f t="shared" si="10"/>
        <v>4.2330060720989935E-3</v>
      </c>
      <c r="Q37">
        <f t="shared" ca="1" si="11"/>
        <v>1.4562689812147671E-3</v>
      </c>
      <c r="R37">
        <f t="shared" ca="1" si="12"/>
        <v>5.6892750533137602E-3</v>
      </c>
      <c r="S37">
        <f t="shared" si="13"/>
        <v>3.9390000000000001E-2</v>
      </c>
      <c r="T37" s="37">
        <f t="shared" ca="1" si="14"/>
        <v>0.47331072494668625</v>
      </c>
      <c r="U37">
        <f t="shared" ca="1" si="4"/>
        <v>1.1877400946375232</v>
      </c>
    </row>
    <row r="38" spans="1:25" x14ac:dyDescent="0.35">
      <c r="A38">
        <v>45</v>
      </c>
      <c r="B38" s="4">
        <f t="shared" si="0"/>
        <v>33.984605678675749</v>
      </c>
      <c r="C38" s="37">
        <f t="shared" si="1"/>
        <v>33.874605678675742</v>
      </c>
      <c r="E38" s="4">
        <f>IF(AND(ENTRADAS!$E$15&gt;13,ENTRADAS!$E$15&lt;=14),14,0)</f>
        <v>0</v>
      </c>
      <c r="F38" s="4">
        <f t="shared" si="2"/>
        <v>0</v>
      </c>
      <c r="G38" s="4">
        <f t="shared" si="3"/>
        <v>0</v>
      </c>
      <c r="H38" s="4">
        <f>IF(E38=0,0,IF(AND(ENTRADAS!$G$25&gt;=F38,ENTRADAS!$G$25&lt;=G38),1,0))</f>
        <v>0</v>
      </c>
      <c r="I38" s="4">
        <f t="shared" si="6"/>
        <v>4</v>
      </c>
      <c r="J38">
        <v>0.47899999999999998</v>
      </c>
      <c r="K38">
        <v>0.24328</v>
      </c>
      <c r="L38">
        <f t="shared" si="7"/>
        <v>1.7011794809617214E-2</v>
      </c>
      <c r="M38">
        <f t="shared" si="8"/>
        <v>5.93703076861859E-4</v>
      </c>
      <c r="N38">
        <f t="shared" si="9"/>
        <v>5.9225684600603583E-4</v>
      </c>
      <c r="O38">
        <f ca="1">CÁLCULOS!$F$79</f>
        <v>2.3856883989574178</v>
      </c>
      <c r="P38">
        <f t="shared" si="10"/>
        <v>4.1386294412836758E-3</v>
      </c>
      <c r="Q38">
        <f t="shared" ca="1" si="11"/>
        <v>1.3927895828420181E-3</v>
      </c>
      <c r="R38">
        <f t="shared" ca="1" si="12"/>
        <v>5.5314190241256937E-3</v>
      </c>
      <c r="S38">
        <f t="shared" si="13"/>
        <v>3.9390000000000001E-2</v>
      </c>
      <c r="T38" s="37">
        <f t="shared" ca="1" si="14"/>
        <v>0.4734685809758743</v>
      </c>
      <c r="U38">
        <f t="shared" ca="1" si="4"/>
        <v>1.15478476495317</v>
      </c>
    </row>
    <row r="39" spans="1:25" x14ac:dyDescent="0.35">
      <c r="A39">
        <v>46</v>
      </c>
      <c r="B39" s="4">
        <f t="shared" si="0"/>
        <v>34.752952869072267</v>
      </c>
      <c r="C39" s="37">
        <f t="shared" si="1"/>
        <v>34.642952869072261</v>
      </c>
      <c r="E39" s="4">
        <f>IF(AND(ENTRADAS!$E$15&gt;13,ENTRADAS!$E$15&lt;=14),14,0)</f>
        <v>0</v>
      </c>
      <c r="F39" s="4">
        <f t="shared" si="2"/>
        <v>0</v>
      </c>
      <c r="G39" s="4">
        <f t="shared" si="3"/>
        <v>0</v>
      </c>
      <c r="H39" s="4">
        <f>IF(E39=0,0,IF(AND(ENTRADAS!$G$25&gt;=F39,ENTRADAS!$G$25&lt;=G39),1,0))</f>
        <v>0</v>
      </c>
      <c r="I39" s="4">
        <f t="shared" si="6"/>
        <v>3.9130434782608696</v>
      </c>
      <c r="J39">
        <v>0.47899999999999998</v>
      </c>
      <c r="K39">
        <v>0.24328</v>
      </c>
      <c r="L39">
        <f t="shared" si="7"/>
        <v>1.6640807887398575E-2</v>
      </c>
      <c r="M39">
        <f t="shared" si="8"/>
        <v>5.6813565566719837E-4</v>
      </c>
      <c r="N39">
        <f t="shared" si="9"/>
        <v>5.6681120032275379E-4</v>
      </c>
      <c r="O39">
        <f ca="1">CÁLCULOS!$F$79</f>
        <v>2.3856883989574178</v>
      </c>
      <c r="P39">
        <f t="shared" si="10"/>
        <v>4.0483757428463251E-3</v>
      </c>
      <c r="Q39">
        <f t="shared" ca="1" si="11"/>
        <v>1.3333705124231293E-3</v>
      </c>
      <c r="R39">
        <f t="shared" ca="1" si="12"/>
        <v>5.3817462552694546E-3</v>
      </c>
      <c r="S39">
        <f t="shared" si="13"/>
        <v>3.9390000000000001E-2</v>
      </c>
      <c r="T39" s="37">
        <f t="shared" ca="1" si="14"/>
        <v>0.47361825374473054</v>
      </c>
      <c r="U39">
        <f t="shared" ca="1" si="4"/>
        <v>1.1235378403485257</v>
      </c>
    </row>
    <row r="40" spans="1:25" x14ac:dyDescent="0.35">
      <c r="A40">
        <v>47</v>
      </c>
      <c r="B40" s="4">
        <f t="shared" si="0"/>
        <v>35.521248081603453</v>
      </c>
      <c r="C40" s="37">
        <f t="shared" si="1"/>
        <v>35.411248081603446</v>
      </c>
      <c r="E40" s="4">
        <f>IF(AND(ENTRADAS!$E$15&gt;13,ENTRADAS!$E$15&lt;=14),14,0)</f>
        <v>0</v>
      </c>
      <c r="F40" s="4">
        <f t="shared" si="2"/>
        <v>0</v>
      </c>
      <c r="G40" s="4">
        <f t="shared" si="3"/>
        <v>0</v>
      </c>
      <c r="H40" s="4">
        <f>IF(E40=0,0,IF(AND(ENTRADAS!$G$25&gt;=F40,ENTRADAS!$G$25&lt;=G40),1,0))</f>
        <v>0</v>
      </c>
      <c r="I40" s="4">
        <f t="shared" si="6"/>
        <v>3.8297872340425534</v>
      </c>
      <c r="J40">
        <v>0.47899999999999998</v>
      </c>
      <c r="K40">
        <v>0.24328</v>
      </c>
      <c r="L40">
        <f t="shared" si="7"/>
        <v>1.6285679837294318E-2</v>
      </c>
      <c r="M40">
        <f t="shared" si="8"/>
        <v>5.4418561731753897E-4</v>
      </c>
      <c r="N40">
        <f t="shared" si="9"/>
        <v>5.4297038478253454E-4</v>
      </c>
      <c r="O40">
        <f ca="1">CÁLCULOS!$F$79</f>
        <v>2.3856883989574178</v>
      </c>
      <c r="P40">
        <f t="shared" si="10"/>
        <v>3.9619801908169616E-3</v>
      </c>
      <c r="Q40">
        <f t="shared" ca="1" si="11"/>
        <v>1.2776728642577362E-3</v>
      </c>
      <c r="R40">
        <f t="shared" ca="1" si="12"/>
        <v>5.2396530550746978E-3</v>
      </c>
      <c r="S40">
        <f t="shared" si="13"/>
        <v>3.9390000000000001E-2</v>
      </c>
      <c r="T40" s="37">
        <f t="shared" ca="1" si="14"/>
        <v>0.4737603469449253</v>
      </c>
      <c r="U40">
        <f t="shared" ca="1" si="4"/>
        <v>1.0938732891596405</v>
      </c>
    </row>
    <row r="41" spans="1:25" x14ac:dyDescent="0.35">
      <c r="A41">
        <v>48</v>
      </c>
      <c r="B41" s="4">
        <f t="shared" si="0"/>
        <v>36.289494568719959</v>
      </c>
      <c r="C41" s="37">
        <f t="shared" si="1"/>
        <v>36.179494568719953</v>
      </c>
      <c r="E41" s="4">
        <f>IF(AND(ENTRADAS!$E$15&gt;13,ENTRADAS!$E$15&lt;=14),14,0)</f>
        <v>0</v>
      </c>
      <c r="F41" s="4">
        <f t="shared" si="2"/>
        <v>0</v>
      </c>
      <c r="G41" s="4">
        <f t="shared" si="3"/>
        <v>0</v>
      </c>
      <c r="H41" s="4">
        <f>IF(E41=0,0,IF(AND(ENTRADAS!$G$25&gt;=F41,ENTRADAS!$G$25&lt;=G41),1,0))</f>
        <v>0</v>
      </c>
      <c r="I41" s="4">
        <f t="shared" si="6"/>
        <v>3.75</v>
      </c>
      <c r="J41">
        <v>0.47899999999999998</v>
      </c>
      <c r="K41">
        <v>0.24328</v>
      </c>
      <c r="L41">
        <f t="shared" si="7"/>
        <v>1.5945413633691154E-2</v>
      </c>
      <c r="M41">
        <f t="shared" si="8"/>
        <v>5.2171930930821925E-4</v>
      </c>
      <c r="N41">
        <f t="shared" si="9"/>
        <v>5.2060226821908757E-4</v>
      </c>
      <c r="O41">
        <f ca="1">CÁLCULOS!$F$79</f>
        <v>2.3856883989574178</v>
      </c>
      <c r="P41">
        <f t="shared" si="10"/>
        <v>3.8792002288043836E-3</v>
      </c>
      <c r="Q41">
        <f t="shared" ca="1" si="11"/>
        <v>1.2253923547504129E-3</v>
      </c>
      <c r="R41">
        <f t="shared" ca="1" si="12"/>
        <v>5.1045925835547963E-3</v>
      </c>
      <c r="S41">
        <f t="shared" si="13"/>
        <v>3.9390000000000001E-2</v>
      </c>
      <c r="T41" s="37">
        <f t="shared" ca="1" si="14"/>
        <v>0.4738954074164452</v>
      </c>
      <c r="U41">
        <f t="shared" ca="1" si="4"/>
        <v>1.0656769485500583</v>
      </c>
    </row>
    <row r="42" spans="1:25" x14ac:dyDescent="0.35">
      <c r="A42">
        <v>49</v>
      </c>
      <c r="B42" s="4">
        <f t="shared" si="0"/>
        <v>37.057695316986639</v>
      </c>
      <c r="C42" s="37">
        <f t="shared" si="1"/>
        <v>36.947695316986632</v>
      </c>
      <c r="E42" s="4">
        <f>IF(AND(ENTRADAS!$E$15&gt;13,ENTRADAS!$E$15&lt;=14),14,0)</f>
        <v>0</v>
      </c>
      <c r="F42" s="4">
        <f t="shared" si="2"/>
        <v>0</v>
      </c>
      <c r="G42" s="4">
        <f t="shared" si="3"/>
        <v>0</v>
      </c>
      <c r="H42" s="4">
        <f>IF(E42=0,0,IF(AND(ENTRADAS!$G$25&gt;=F42,ENTRADAS!$G$25&lt;=G42),1,0))</f>
        <v>0</v>
      </c>
      <c r="I42" s="4">
        <f t="shared" si="6"/>
        <v>3.6734693877551021</v>
      </c>
      <c r="J42">
        <v>0.47899999999999998</v>
      </c>
      <c r="K42">
        <v>0.24328</v>
      </c>
      <c r="L42">
        <f t="shared" si="7"/>
        <v>1.5619094221127748E-2</v>
      </c>
      <c r="M42">
        <f t="shared" si="8"/>
        <v>5.0061661002746708E-4</v>
      </c>
      <c r="N42">
        <f t="shared" si="9"/>
        <v>4.9958803951120261E-4</v>
      </c>
      <c r="O42">
        <f ca="1">CÁLCULOS!$F$79</f>
        <v>2.3856883989574178</v>
      </c>
      <c r="P42">
        <f t="shared" si="10"/>
        <v>3.7998132421159583E-3</v>
      </c>
      <c r="Q42">
        <f t="shared" ca="1" si="11"/>
        <v>1.1762551647980081E-3</v>
      </c>
      <c r="R42">
        <f t="shared" ca="1" si="12"/>
        <v>4.9760684069139662E-3</v>
      </c>
      <c r="S42">
        <f t="shared" si="13"/>
        <v>3.9390000000000001E-2</v>
      </c>
      <c r="T42" s="37">
        <f t="shared" ca="1" si="14"/>
        <v>0.47402393159308603</v>
      </c>
      <c r="U42">
        <f t="shared" ca="1" si="4"/>
        <v>1.0388451788964399</v>
      </c>
    </row>
    <row r="43" spans="1:25" x14ac:dyDescent="0.35">
      <c r="A43">
        <v>50</v>
      </c>
      <c r="B43" s="4">
        <f t="shared" si="0"/>
        <v>37.825853073715386</v>
      </c>
      <c r="C43" s="37">
        <f t="shared" si="1"/>
        <v>37.71585307371538</v>
      </c>
      <c r="E43" s="4">
        <f>IF(AND(ENTRADAS!$E$15&gt;13,ENTRADAS!$E$15&lt;=14),14,0)</f>
        <v>0</v>
      </c>
      <c r="F43" s="4">
        <f t="shared" si="2"/>
        <v>0</v>
      </c>
      <c r="G43" s="4">
        <f t="shared" si="3"/>
        <v>0</v>
      </c>
      <c r="H43" s="4">
        <f>IF(E43=0,0,IF(AND(ENTRADAS!$G$25&gt;=F43,ENTRADAS!$G$25&lt;=G43),1,0))</f>
        <v>0</v>
      </c>
      <c r="I43" s="4">
        <f t="shared" si="6"/>
        <v>3.6</v>
      </c>
      <c r="J43">
        <v>0.47899999999999998</v>
      </c>
      <c r="K43">
        <v>0.24328</v>
      </c>
      <c r="L43">
        <f t="shared" si="7"/>
        <v>1.5305880249467914E-2</v>
      </c>
      <c r="M43">
        <f t="shared" si="8"/>
        <v>4.8076931699471881E-4</v>
      </c>
      <c r="N43">
        <f t="shared" si="9"/>
        <v>4.7982062856893382E-4</v>
      </c>
      <c r="O43">
        <f ca="1">CÁLCULOS!$F$79</f>
        <v>2.3856883989574178</v>
      </c>
      <c r="P43">
        <f t="shared" si="10"/>
        <v>3.7236145470905539E-3</v>
      </c>
      <c r="Q43">
        <f t="shared" ca="1" si="11"/>
        <v>1.1300143529931605E-3</v>
      </c>
      <c r="R43">
        <f t="shared" ca="1" si="12"/>
        <v>4.8536289000837146E-3</v>
      </c>
      <c r="S43">
        <f t="shared" si="13"/>
        <v>3.9390000000000001E-2</v>
      </c>
      <c r="T43" s="37">
        <f t="shared" ca="1" si="14"/>
        <v>0.47414637109991625</v>
      </c>
      <c r="U43">
        <f t="shared" ca="1" si="4"/>
        <v>1.0132836952158097</v>
      </c>
    </row>
    <row r="44" spans="1:25" x14ac:dyDescent="0.35">
      <c r="A44">
        <v>51</v>
      </c>
      <c r="B44" s="4">
        <f t="shared" si="0"/>
        <v>38.593970370458784</v>
      </c>
      <c r="C44" s="37">
        <f t="shared" si="1"/>
        <v>38.483970370458778</v>
      </c>
      <c r="E44" s="4">
        <f>IF(AND(ENTRADAS!$E$15&gt;13,ENTRADAS!$E$15&lt;=14),14,0)</f>
        <v>0</v>
      </c>
      <c r="F44" s="4">
        <f t="shared" si="2"/>
        <v>0</v>
      </c>
      <c r="G44" s="4">
        <f t="shared" si="3"/>
        <v>0</v>
      </c>
      <c r="H44" s="4">
        <f>IF(E44=0,0,IF(AND(ENTRADAS!$G$25&gt;=F44,ENTRADAS!$G$25&lt;=G44),1,0))</f>
        <v>0</v>
      </c>
      <c r="I44" s="4">
        <f t="shared" si="6"/>
        <v>3.5294117647058822</v>
      </c>
      <c r="J44">
        <v>0.47899999999999998</v>
      </c>
      <c r="K44">
        <v>0.24328</v>
      </c>
      <c r="L44">
        <f t="shared" si="7"/>
        <v>1.5004996790478857E-2</v>
      </c>
      <c r="M44">
        <f t="shared" si="8"/>
        <v>4.6207975479794458E-4</v>
      </c>
      <c r="N44">
        <f t="shared" si="9"/>
        <v>4.6120334140582563E-4</v>
      </c>
      <c r="O44">
        <f ca="1">CÁLCULOS!$F$79</f>
        <v>2.3856883989574178</v>
      </c>
      <c r="P44">
        <f t="shared" si="10"/>
        <v>3.6504156191876965E-3</v>
      </c>
      <c r="Q44">
        <f t="shared" ca="1" si="11"/>
        <v>1.0864467518371705E-3</v>
      </c>
      <c r="R44">
        <f t="shared" ca="1" si="12"/>
        <v>4.7368623710248667E-3</v>
      </c>
      <c r="S44">
        <f t="shared" si="13"/>
        <v>3.9390000000000001E-2</v>
      </c>
      <c r="T44" s="37">
        <f t="shared" ca="1" si="14"/>
        <v>0.4742631376289751</v>
      </c>
      <c r="U44">
        <f t="shared" ca="1" si="4"/>
        <v>0.98890654927450639</v>
      </c>
      <c r="X44">
        <v>87</v>
      </c>
      <c r="Y44">
        <v>8</v>
      </c>
    </row>
    <row r="45" spans="1:25" x14ac:dyDescent="0.35">
      <c r="A45">
        <v>52</v>
      </c>
      <c r="B45" s="4">
        <f t="shared" si="0"/>
        <v>39.362049543787975</v>
      </c>
      <c r="C45" s="37">
        <f t="shared" si="1"/>
        <v>39.252049543787969</v>
      </c>
      <c r="E45" s="4">
        <f>IF(AND(ENTRADAS!$E$15&gt;13,ENTRADAS!$E$15&lt;=14),14,0)</f>
        <v>0</v>
      </c>
      <c r="F45" s="4">
        <f t="shared" si="2"/>
        <v>0</v>
      </c>
      <c r="G45" s="4">
        <f t="shared" si="3"/>
        <v>0</v>
      </c>
      <c r="H45" s="4">
        <f>IF(E45=0,0,IF(AND(ENTRADAS!$G$25&gt;=F45,ENTRADAS!$G$25&lt;=G45),1,0))</f>
        <v>0</v>
      </c>
      <c r="I45" s="4">
        <f t="shared" si="6"/>
        <v>3.4615384615384617</v>
      </c>
      <c r="J45">
        <v>0.47899999999999998</v>
      </c>
      <c r="K45">
        <v>0.24328</v>
      </c>
      <c r="L45">
        <f t="shared" si="7"/>
        <v>1.4715728902340432E-2</v>
      </c>
      <c r="M45">
        <f t="shared" si="8"/>
        <v>4.4445956914773162E-4</v>
      </c>
      <c r="N45">
        <f t="shared" si="9"/>
        <v>4.4364867676389394E-4</v>
      </c>
      <c r="O45">
        <f ca="1">CÁLCULOS!$F$79</f>
        <v>2.3856883989574178</v>
      </c>
      <c r="P45">
        <f t="shared" si="10"/>
        <v>3.5800425273613801E-3</v>
      </c>
      <c r="Q45">
        <f t="shared" ca="1" si="11"/>
        <v>1.0453502740581521E-3</v>
      </c>
      <c r="R45">
        <f t="shared" ca="1" si="12"/>
        <v>4.6253928014195322E-3</v>
      </c>
      <c r="S45">
        <f t="shared" si="13"/>
        <v>3.9390000000000001E-2</v>
      </c>
      <c r="T45" s="37">
        <f t="shared" ca="1" si="14"/>
        <v>0.47437460719858043</v>
      </c>
      <c r="U45">
        <f t="shared" ca="1" si="4"/>
        <v>0.96563524037986381</v>
      </c>
      <c r="X45">
        <v>88</v>
      </c>
      <c r="Y45">
        <v>8</v>
      </c>
    </row>
    <row r="46" spans="1:25" x14ac:dyDescent="0.35">
      <c r="A46">
        <v>53</v>
      </c>
      <c r="B46" s="4">
        <f t="shared" si="0"/>
        <v>40.130092753714351</v>
      </c>
      <c r="C46" s="37">
        <f t="shared" si="1"/>
        <v>40.020092753714344</v>
      </c>
      <c r="E46" s="4">
        <f>IF(AND(ENTRADAS!$E$15&gt;13,ENTRADAS!$E$15&lt;=14),14,0)</f>
        <v>0</v>
      </c>
      <c r="F46" s="4">
        <f t="shared" si="2"/>
        <v>0</v>
      </c>
      <c r="G46" s="4">
        <f t="shared" si="3"/>
        <v>0</v>
      </c>
      <c r="H46" s="4">
        <f>IF(E46=0,0,IF(AND(ENTRADAS!$G$25&gt;=F46,ENTRADAS!$G$25&lt;=G46),1,0))</f>
        <v>0</v>
      </c>
      <c r="I46" s="4">
        <f t="shared" si="6"/>
        <v>3.3962264150943398</v>
      </c>
      <c r="J46">
        <v>0.47899999999999998</v>
      </c>
      <c r="K46">
        <v>0.24328</v>
      </c>
      <c r="L46">
        <f t="shared" si="7"/>
        <v>1.4437415928984166E-2</v>
      </c>
      <c r="M46">
        <f t="shared" si="8"/>
        <v>4.278286791342336E-4</v>
      </c>
      <c r="N46">
        <f t="shared" si="9"/>
        <v>4.2707729721475784E-4</v>
      </c>
      <c r="O46">
        <f ca="1">CÁLCULOS!$F$79</f>
        <v>2.3856883989574178</v>
      </c>
      <c r="P46">
        <f t="shared" si="10"/>
        <v>3.5123345472032677E-3</v>
      </c>
      <c r="Q46">
        <f t="shared" ca="1" si="11"/>
        <v>1.0065415682759052E-3</v>
      </c>
      <c r="R46">
        <f t="shared" ca="1" si="12"/>
        <v>4.5188761154791729E-3</v>
      </c>
      <c r="S46">
        <f t="shared" si="13"/>
        <v>3.9390000000000001E-2</v>
      </c>
      <c r="T46" s="37">
        <f t="shared" ca="1" si="14"/>
        <v>0.47448112388452079</v>
      </c>
      <c r="U46">
        <f t="shared" ca="1" si="4"/>
        <v>0.94339793642571745</v>
      </c>
      <c r="X46">
        <v>89</v>
      </c>
      <c r="Y46">
        <v>8</v>
      </c>
    </row>
    <row r="47" spans="1:25" x14ac:dyDescent="0.35">
      <c r="A47">
        <v>54</v>
      </c>
      <c r="B47" s="4">
        <f t="shared" si="0"/>
        <v>40.898102000060867</v>
      </c>
      <c r="C47" s="37">
        <f t="shared" si="1"/>
        <v>40.78810200006086</v>
      </c>
      <c r="E47" s="4">
        <f>IF(AND(ENTRADAS!$E$15&gt;13,ENTRADAS!$E$15&lt;=14),14,0)</f>
        <v>0</v>
      </c>
      <c r="F47" s="4">
        <f t="shared" si="2"/>
        <v>0</v>
      </c>
      <c r="G47" s="4">
        <f t="shared" si="3"/>
        <v>0</v>
      </c>
      <c r="H47" s="4">
        <f>IF(E47=0,0,IF(AND(ENTRADAS!$G$25&gt;=F47,ENTRADAS!$G$25&lt;=G47),1,0))</f>
        <v>0</v>
      </c>
      <c r="I47" s="4">
        <f t="shared" si="6"/>
        <v>3.3333333333333335</v>
      </c>
      <c r="J47">
        <v>0.47899999999999998</v>
      </c>
      <c r="K47">
        <v>0.24328</v>
      </c>
      <c r="L47">
        <f t="shared" si="7"/>
        <v>1.4169446438097562E-2</v>
      </c>
      <c r="M47">
        <f t="shared" si="8"/>
        <v>4.1211436439764931E-4</v>
      </c>
      <c r="N47">
        <f t="shared" si="9"/>
        <v>4.114171321189516E-4</v>
      </c>
      <c r="O47">
        <f ca="1">CÁLCULOS!$F$79</f>
        <v>2.3856883989574178</v>
      </c>
      <c r="P47">
        <f t="shared" si="10"/>
        <v>3.4471429294603748E-3</v>
      </c>
      <c r="Q47">
        <f t="shared" ca="1" si="11"/>
        <v>9.698539731939638E-4</v>
      </c>
      <c r="R47">
        <f t="shared" ca="1" si="12"/>
        <v>4.4169969026543387E-3</v>
      </c>
      <c r="S47">
        <f t="shared" si="13"/>
        <v>3.9390000000000001E-2</v>
      </c>
      <c r="T47" s="37">
        <f t="shared" ca="1" si="14"/>
        <v>0.47458300309734563</v>
      </c>
      <c r="U47">
        <f t="shared" ca="1" si="4"/>
        <v>0.92212878969819345</v>
      </c>
      <c r="X47">
        <v>90</v>
      </c>
      <c r="Y47">
        <v>8</v>
      </c>
    </row>
    <row r="48" spans="1:25" x14ac:dyDescent="0.35">
      <c r="A48">
        <v>55</v>
      </c>
      <c r="B48" s="4">
        <f t="shared" si="0"/>
        <v>41.666079137044541</v>
      </c>
      <c r="C48" s="37">
        <f t="shared" si="1"/>
        <v>41.556079137044534</v>
      </c>
      <c r="E48" s="4">
        <f>IF(AND(ENTRADAS!$E$15&gt;13,ENTRADAS!$E$15&lt;=14),14,0)</f>
        <v>0</v>
      </c>
      <c r="F48" s="4">
        <f t="shared" si="2"/>
        <v>0</v>
      </c>
      <c r="G48" s="4">
        <f t="shared" si="3"/>
        <v>0</v>
      </c>
      <c r="H48" s="4">
        <f>IF(E48=0,0,IF(AND(ENTRADAS!$G$25&gt;=F48,ENTRADAS!$G$25&lt;=G48),1,0))</f>
        <v>0</v>
      </c>
      <c r="I48" s="4">
        <f t="shared" si="6"/>
        <v>3.2727272727272729</v>
      </c>
      <c r="J48">
        <v>0.47899999999999998</v>
      </c>
      <c r="K48">
        <v>0.24328</v>
      </c>
      <c r="L48">
        <f t="shared" si="7"/>
        <v>1.3911253715761761E-2</v>
      </c>
      <c r="M48">
        <f t="shared" si="8"/>
        <v>3.9725046771128857E-4</v>
      </c>
      <c r="N48">
        <f t="shared" si="9"/>
        <v>3.9660259348315744E-4</v>
      </c>
      <c r="O48">
        <f ca="1">CÁLCULOS!$F$79</f>
        <v>2.3856883989574178</v>
      </c>
      <c r="P48">
        <f t="shared" si="10"/>
        <v>3.384329803970521E-3</v>
      </c>
      <c r="Q48">
        <f t="shared" ca="1" si="11"/>
        <v>9.3513572766464688E-4</v>
      </c>
      <c r="R48">
        <f t="shared" ca="1" si="12"/>
        <v>4.3194655316351679E-3</v>
      </c>
      <c r="S48">
        <f t="shared" si="13"/>
        <v>3.9390000000000001E-2</v>
      </c>
      <c r="T48" s="37">
        <f t="shared" ca="1" si="14"/>
        <v>0.47468053446836483</v>
      </c>
      <c r="U48">
        <f t="shared" ca="1" si="4"/>
        <v>0.90176733437059442</v>
      </c>
    </row>
    <row r="49" spans="1:21" x14ac:dyDescent="0.35">
      <c r="A49">
        <v>56</v>
      </c>
      <c r="B49" s="4">
        <f t="shared" si="0"/>
        <v>42.434025886294144</v>
      </c>
      <c r="C49" s="37">
        <f t="shared" si="1"/>
        <v>42.324025886294137</v>
      </c>
      <c r="E49" s="4">
        <f>IF(AND(ENTRADAS!$E$15&gt;13,ENTRADAS!$E$15&lt;=14),14,0)</f>
        <v>0</v>
      </c>
      <c r="F49" s="4">
        <f t="shared" si="2"/>
        <v>0</v>
      </c>
      <c r="G49" s="4">
        <f t="shared" si="3"/>
        <v>0</v>
      </c>
      <c r="H49" s="4">
        <f>IF(E49=0,0,IF(AND(ENTRADAS!$G$25&gt;=F49,ENTRADAS!$G$25&lt;=G49),1,0))</f>
        <v>0</v>
      </c>
      <c r="I49" s="4">
        <f t="shared" si="6"/>
        <v>3.2142857142857144</v>
      </c>
      <c r="J49">
        <v>0.47899999999999998</v>
      </c>
      <c r="K49">
        <v>0.24328</v>
      </c>
      <c r="L49">
        <f t="shared" si="7"/>
        <v>1.3662311747527136E-2</v>
      </c>
      <c r="M49">
        <f t="shared" si="8"/>
        <v>3.8317669659196113E-4</v>
      </c>
      <c r="N49">
        <f t="shared" si="9"/>
        <v>3.8257388876736004E-4</v>
      </c>
      <c r="O49">
        <f ca="1">CÁLCULOS!$F$79</f>
        <v>2.3856883989574178</v>
      </c>
      <c r="P49">
        <f t="shared" si="10"/>
        <v>3.3237672019384014E-3</v>
      </c>
      <c r="Q49">
        <f t="shared" ca="1" si="11"/>
        <v>9.0224840070670948E-4</v>
      </c>
      <c r="R49">
        <f t="shared" ca="1" si="12"/>
        <v>4.2260156026451105E-3</v>
      </c>
      <c r="S49">
        <f t="shared" si="13"/>
        <v>3.9390000000000001E-2</v>
      </c>
      <c r="T49" s="37">
        <f t="shared" ca="1" si="14"/>
        <v>0.47477398439735485</v>
      </c>
      <c r="U49">
        <f t="shared" ca="1" si="4"/>
        <v>0.88225795462319989</v>
      </c>
    </row>
    <row r="50" spans="1:21" x14ac:dyDescent="0.35">
      <c r="A50">
        <v>57</v>
      </c>
      <c r="B50" s="4">
        <f t="shared" si="0"/>
        <v>43.201943848495532</v>
      </c>
      <c r="C50" s="37">
        <f t="shared" si="1"/>
        <v>43.091943848495525</v>
      </c>
      <c r="E50" s="4">
        <f>IF(AND(ENTRADAS!$E$15&gt;13,ENTRADAS!$E$15&lt;=14),14,0)</f>
        <v>0</v>
      </c>
      <c r="F50" s="4">
        <f t="shared" si="2"/>
        <v>0</v>
      </c>
      <c r="G50" s="4">
        <f t="shared" si="3"/>
        <v>0</v>
      </c>
      <c r="H50" s="4">
        <f>IF(E50=0,0,IF(AND(ENTRADAS!$G$25&gt;=F50,ENTRADAS!$G$25&lt;=G50),1,0))</f>
        <v>0</v>
      </c>
      <c r="I50" s="4">
        <f t="shared" si="6"/>
        <v>3.1578947368421053</v>
      </c>
      <c r="J50">
        <v>0.47899999999999998</v>
      </c>
      <c r="K50">
        <v>0.24328</v>
      </c>
      <c r="L50">
        <f t="shared" si="7"/>
        <v>1.3422131625678404E-2</v>
      </c>
      <c r="M50">
        <f t="shared" si="8"/>
        <v>3.6983801012447747E-4</v>
      </c>
      <c r="N50">
        <f t="shared" si="9"/>
        <v>3.6927641718376841E-4</v>
      </c>
      <c r="O50">
        <f ca="1">CÁLCULOS!$F$79</f>
        <v>2.3856883989574178</v>
      </c>
      <c r="P50">
        <f t="shared" si="10"/>
        <v>3.2653361818950418E-3</v>
      </c>
      <c r="Q50">
        <f t="shared" ca="1" si="11"/>
        <v>8.7106551112847697E-4</v>
      </c>
      <c r="R50">
        <f t="shared" ca="1" si="12"/>
        <v>4.1364016930235184E-3</v>
      </c>
      <c r="S50">
        <f t="shared" si="13"/>
        <v>3.9390000000000001E-2</v>
      </c>
      <c r="T50" s="37">
        <f t="shared" ca="1" si="14"/>
        <v>0.47486359830697644</v>
      </c>
      <c r="U50">
        <f t="shared" ca="1" si="4"/>
        <v>0.86354941399238816</v>
      </c>
    </row>
    <row r="51" spans="1:21" x14ac:dyDescent="0.35">
      <c r="A51">
        <v>58</v>
      </c>
      <c r="B51" s="4">
        <f t="shared" si="0"/>
        <v>43.969834513830548</v>
      </c>
      <c r="C51" s="37">
        <f t="shared" si="1"/>
        <v>43.859834513830542</v>
      </c>
      <c r="E51" s="4">
        <f>IF(AND(ENTRADAS!$E$15&gt;13,ENTRADAS!$E$15&lt;=14),14,0)</f>
        <v>0</v>
      </c>
      <c r="F51" s="4">
        <f t="shared" si="2"/>
        <v>0</v>
      </c>
      <c r="G51" s="4">
        <f t="shared" si="3"/>
        <v>0</v>
      </c>
      <c r="H51" s="4">
        <f>IF(E51=0,0,IF(AND(ENTRADAS!$G$25&gt;=F51,ENTRADAS!$G$25&lt;=G51),1,0))</f>
        <v>0</v>
      </c>
      <c r="I51" s="4">
        <f t="shared" si="6"/>
        <v>3.103448275862069</v>
      </c>
      <c r="J51">
        <v>0.47899999999999998</v>
      </c>
      <c r="K51">
        <v>0.24328</v>
      </c>
      <c r="L51">
        <f t="shared" si="7"/>
        <v>1.3190258330828465E-2</v>
      </c>
      <c r="M51">
        <f t="shared" si="8"/>
        <v>3.5718407931809162E-4</v>
      </c>
      <c r="N51">
        <f t="shared" si="9"/>
        <v>3.5666023809476462E-4</v>
      </c>
      <c r="O51">
        <f ca="1">CÁLCULOS!$F$79</f>
        <v>2.3856883989574178</v>
      </c>
      <c r="P51">
        <f t="shared" si="10"/>
        <v>3.2089260467239489E-3</v>
      </c>
      <c r="Q51">
        <f t="shared" ca="1" si="11"/>
        <v>8.4147131103846093E-4</v>
      </c>
      <c r="R51">
        <f t="shared" ca="1" si="12"/>
        <v>4.0503973577624098E-3</v>
      </c>
      <c r="S51">
        <f t="shared" si="13"/>
        <v>3.9390000000000001E-2</v>
      </c>
      <c r="T51" s="37">
        <f t="shared" ca="1" si="14"/>
        <v>0.47494960264223757</v>
      </c>
      <c r="U51">
        <f t="shared" ca="1" si="4"/>
        <v>0.84559443794622424</v>
      </c>
    </row>
    <row r="52" spans="1:21" x14ac:dyDescent="0.35">
      <c r="A52">
        <v>59</v>
      </c>
      <c r="B52" s="4">
        <f t="shared" si="0"/>
        <v>44.737699271352874</v>
      </c>
      <c r="C52" s="37">
        <f t="shared" si="1"/>
        <v>44.627699271352867</v>
      </c>
      <c r="E52" s="4">
        <f>IF(AND(ENTRADAS!$E$15&gt;13,ENTRADAS!$E$15&lt;=14),14,0)</f>
        <v>0</v>
      </c>
      <c r="F52" s="4">
        <f t="shared" si="2"/>
        <v>0</v>
      </c>
      <c r="G52" s="4">
        <f t="shared" si="3"/>
        <v>0</v>
      </c>
      <c r="H52" s="4">
        <f>IF(E52=0,0,IF(AND(ENTRADAS!$G$25&gt;=F52,ENTRADAS!$G$25&lt;=G52),1,0))</f>
        <v>0</v>
      </c>
      <c r="I52" s="4">
        <f t="shared" si="6"/>
        <v>3.0508474576271185</v>
      </c>
      <c r="J52">
        <v>0.47899999999999998</v>
      </c>
      <c r="K52">
        <v>0.24328</v>
      </c>
      <c r="L52">
        <f t="shared" si="7"/>
        <v>1.2966267843075476E-2</v>
      </c>
      <c r="M52">
        <f t="shared" si="8"/>
        <v>3.4516881108452027E-4</v>
      </c>
      <c r="N52">
        <f t="shared" si="9"/>
        <v>3.4467960183632326E-4</v>
      </c>
      <c r="O52">
        <f ca="1">CÁLCULOS!$F$79</f>
        <v>2.3856883989574178</v>
      </c>
      <c r="P52">
        <f t="shared" si="10"/>
        <v>3.1544336408634017E-3</v>
      </c>
      <c r="Q52">
        <f t="shared" ca="1" si="11"/>
        <v>8.133597113832695E-4</v>
      </c>
      <c r="R52">
        <f t="shared" ca="1" si="12"/>
        <v>3.9677933522466709E-3</v>
      </c>
      <c r="S52">
        <f t="shared" si="13"/>
        <v>3.9390000000000001E-2</v>
      </c>
      <c r="T52" s="37">
        <f t="shared" ca="1" si="14"/>
        <v>0.47503220664775331</v>
      </c>
      <c r="U52">
        <f t="shared" ca="1" si="4"/>
        <v>0.82834934284899231</v>
      </c>
    </row>
    <row r="53" spans="1:21" x14ac:dyDescent="0.35">
      <c r="A53">
        <v>60</v>
      </c>
      <c r="B53" s="4">
        <f t="shared" si="0"/>
        <v>45.505539417424998</v>
      </c>
      <c r="C53" s="37">
        <f t="shared" si="1"/>
        <v>45.395539417424992</v>
      </c>
      <c r="E53" s="4">
        <f>IF(AND(ENTRADAS!$E$15&gt;13,ENTRADAS!$E$15&lt;=14),14,0)</f>
        <v>0</v>
      </c>
      <c r="F53" s="4">
        <f t="shared" si="2"/>
        <v>0</v>
      </c>
      <c r="G53" s="4">
        <f t="shared" si="3"/>
        <v>0</v>
      </c>
      <c r="H53" s="4">
        <f>IF(E53=0,0,IF(AND(ENTRADAS!$G$25&gt;=F53,ENTRADAS!$G$25&lt;=G53),1,0))</f>
        <v>0</v>
      </c>
      <c r="I53" s="4">
        <f t="shared" si="6"/>
        <v>3</v>
      </c>
      <c r="J53">
        <v>0.47899999999999998</v>
      </c>
      <c r="K53">
        <v>0.24328</v>
      </c>
      <c r="L53">
        <f t="shared" si="7"/>
        <v>1.2749764543978262E-2</v>
      </c>
      <c r="M53">
        <f t="shared" si="8"/>
        <v>3.3374992740527285E-4</v>
      </c>
      <c r="N53">
        <f t="shared" si="9"/>
        <v>3.3329253472910042E-4</v>
      </c>
      <c r="O53">
        <f ca="1">CÁLCULOS!$F$79</f>
        <v>2.3856883989574178</v>
      </c>
      <c r="P53">
        <f t="shared" si="10"/>
        <v>3.1017627182590313E-3</v>
      </c>
      <c r="Q53">
        <f t="shared" ca="1" si="11"/>
        <v>7.8663333087820365E-4</v>
      </c>
      <c r="R53">
        <f t="shared" ca="1" si="12"/>
        <v>3.8883960491372348E-3</v>
      </c>
      <c r="S53">
        <f t="shared" si="13"/>
        <v>3.9390000000000001E-2</v>
      </c>
      <c r="T53" s="37">
        <f t="shared" ca="1" si="14"/>
        <v>0.47511160395086277</v>
      </c>
      <c r="U53">
        <f t="shared" ca="1" si="4"/>
        <v>0.8117737054566202</v>
      </c>
    </row>
    <row r="54" spans="1:21" x14ac:dyDescent="0.35">
      <c r="A54">
        <v>61</v>
      </c>
      <c r="B54" s="4">
        <f t="shared" si="0"/>
        <v>46.273356163324316</v>
      </c>
      <c r="C54" s="37">
        <f t="shared" si="1"/>
        <v>46.163356163324309</v>
      </c>
      <c r="E54" s="4">
        <f>IF(AND(ENTRADAS!$E$15&gt;13,ENTRADAS!$E$15&lt;=14),14,0)</f>
        <v>0</v>
      </c>
      <c r="F54" s="4">
        <f t="shared" si="2"/>
        <v>0</v>
      </c>
      <c r="G54" s="4">
        <f t="shared" si="3"/>
        <v>0</v>
      </c>
      <c r="H54" s="4">
        <f>IF(E54=0,0,IF(AND(ENTRADAS!$G$25&gt;=F54,ENTRADAS!$G$25&lt;=G54),1,0))</f>
        <v>0</v>
      </c>
      <c r="I54" s="4">
        <f t="shared" si="6"/>
        <v>2.9508196721311477</v>
      </c>
      <c r="J54">
        <v>0.47899999999999998</v>
      </c>
      <c r="K54">
        <v>0.24328</v>
      </c>
      <c r="L54">
        <f t="shared" si="7"/>
        <v>1.2540378875729292E-2</v>
      </c>
      <c r="M54">
        <f t="shared" si="8"/>
        <v>3.2288859249312028E-4</v>
      </c>
      <c r="N54">
        <f t="shared" si="9"/>
        <v>3.2246047124226082E-4</v>
      </c>
      <c r="O54">
        <f ca="1">CÁLCULOS!$F$79</f>
        <v>2.3856883989574178</v>
      </c>
      <c r="P54">
        <f t="shared" si="10"/>
        <v>3.0508233728874221E-3</v>
      </c>
      <c r="Q54">
        <f t="shared" ca="1" si="11"/>
        <v>7.6120265240135537E-4</v>
      </c>
      <c r="R54">
        <f t="shared" ca="1" si="12"/>
        <v>3.8120260252887776E-3</v>
      </c>
      <c r="S54">
        <f t="shared" si="13"/>
        <v>3.9390000000000001E-2</v>
      </c>
      <c r="T54" s="37">
        <f t="shared" ca="1" si="14"/>
        <v>0.47518797397471119</v>
      </c>
      <c r="U54">
        <f t="shared" ca="1" si="4"/>
        <v>0.79583006790997812</v>
      </c>
    </row>
    <row r="55" spans="1:21" x14ac:dyDescent="0.35">
      <c r="A55">
        <v>62</v>
      </c>
      <c r="B55" s="4">
        <f t="shared" si="0"/>
        <v>47.041150642112115</v>
      </c>
      <c r="C55" s="37">
        <f t="shared" si="1"/>
        <v>46.931150642112108</v>
      </c>
      <c r="E55" s="4">
        <f>IF(AND(ENTRADAS!$E$15&gt;13,ENTRADAS!$E$15&lt;=14),14,0)</f>
        <v>0</v>
      </c>
      <c r="F55" s="4">
        <f t="shared" si="2"/>
        <v>0</v>
      </c>
      <c r="G55" s="4">
        <f t="shared" si="3"/>
        <v>0</v>
      </c>
      <c r="H55" s="4">
        <f>IF(E55=0,0,IF(AND(ENTRADAS!$G$25&gt;=F55,ENTRADAS!$G$25&lt;=G55),1,0))</f>
        <v>0</v>
      </c>
      <c r="I55" s="4">
        <f t="shared" si="6"/>
        <v>2.903225806451613</v>
      </c>
      <c r="J55">
        <v>0.47899999999999998</v>
      </c>
      <c r="K55">
        <v>0.24328</v>
      </c>
      <c r="L55">
        <f t="shared" si="7"/>
        <v>1.2337765228277757E-2</v>
      </c>
      <c r="M55">
        <f t="shared" si="8"/>
        <v>3.1254908179114424E-4</v>
      </c>
      <c r="N55">
        <f t="shared" si="9"/>
        <v>3.1214792728597124E-4</v>
      </c>
      <c r="O55">
        <f ca="1">CÁLCULOS!$F$79</f>
        <v>2.3856883989574178</v>
      </c>
      <c r="P55">
        <f t="shared" si="10"/>
        <v>3.0015315247354127E-3</v>
      </c>
      <c r="Q55">
        <f t="shared" ca="1" si="11"/>
        <v>7.3698527319804958E-4</v>
      </c>
      <c r="R55">
        <f t="shared" ca="1" si="12"/>
        <v>3.7385167979334622E-3</v>
      </c>
      <c r="S55">
        <f t="shared" si="13"/>
        <v>3.9390000000000001E-2</v>
      </c>
      <c r="T55" s="37">
        <f t="shared" ca="1" si="14"/>
        <v>0.47526148320206651</v>
      </c>
      <c r="U55">
        <f t="shared" ca="1" si="4"/>
        <v>0.78048367389007656</v>
      </c>
    </row>
    <row r="56" spans="1:21" x14ac:dyDescent="0.35">
      <c r="A56">
        <v>63</v>
      </c>
      <c r="B56" s="4">
        <f t="shared" si="0"/>
        <v>47.808923914847696</v>
      </c>
      <c r="C56" s="37">
        <f t="shared" si="1"/>
        <v>47.69892391484769</v>
      </c>
      <c r="E56" s="4">
        <f>IF(AND(ENTRADAS!$E$15&gt;13,ENTRADAS!$E$15&lt;=14),14,0)</f>
        <v>0</v>
      </c>
      <c r="F56" s="4">
        <f t="shared" si="2"/>
        <v>0</v>
      </c>
      <c r="G56" s="4">
        <f t="shared" si="3"/>
        <v>0</v>
      </c>
      <c r="H56" s="4">
        <f>IF(E56=0,0,IF(AND(ENTRADAS!$G$25&gt;=F56,ENTRADAS!$G$25&lt;=G56),1,0))</f>
        <v>0</v>
      </c>
      <c r="I56" s="4">
        <f t="shared" si="6"/>
        <v>2.8571428571428572</v>
      </c>
      <c r="J56">
        <v>0.47899999999999998</v>
      </c>
      <c r="K56">
        <v>0.24328</v>
      </c>
      <c r="L56">
        <f t="shared" si="7"/>
        <v>1.2141600028898662E-2</v>
      </c>
      <c r="M56">
        <f t="shared" si="8"/>
        <v>3.0269848752744925E-4</v>
      </c>
      <c r="N56">
        <f t="shared" si="9"/>
        <v>3.0232220946053957E-4</v>
      </c>
      <c r="O56">
        <f ca="1">CÁLCULOS!$F$79</f>
        <v>2.3856883989574178</v>
      </c>
      <c r="P56">
        <f t="shared" si="10"/>
        <v>2.9538084550304665E-3</v>
      </c>
      <c r="Q56">
        <f t="shared" ca="1" si="11"/>
        <v>7.1390523716293808E-4</v>
      </c>
      <c r="R56">
        <f t="shared" ca="1" si="12"/>
        <v>3.6677136921934046E-3</v>
      </c>
      <c r="S56">
        <f t="shared" si="13"/>
        <v>3.9390000000000001E-2</v>
      </c>
      <c r="T56" s="37">
        <f t="shared" ca="1" si="14"/>
        <v>0.47533228630780655</v>
      </c>
      <c r="U56">
        <f t="shared" ca="1" si="4"/>
        <v>0.76570223219069533</v>
      </c>
    </row>
    <row r="57" spans="1:21" x14ac:dyDescent="0.35">
      <c r="A57">
        <v>64</v>
      </c>
      <c r="B57" s="4">
        <f t="shared" si="0"/>
        <v>48.576676976219133</v>
      </c>
      <c r="C57" s="37">
        <f t="shared" si="1"/>
        <v>48.466676976219127</v>
      </c>
      <c r="E57" s="4">
        <f>IF(AND(ENTRADAS!$E$15&gt;13,ENTRADAS!$E$15&lt;=14),14,0)</f>
        <v>0</v>
      </c>
      <c r="F57" s="4">
        <f t="shared" si="2"/>
        <v>0</v>
      </c>
      <c r="G57" s="4">
        <f t="shared" si="3"/>
        <v>0</v>
      </c>
      <c r="H57" s="4">
        <f>IF(E57=0,0,IF(AND(ENTRADAS!$G$25&gt;=F57,ENTRADAS!$G$25&lt;=G57),1,0))</f>
        <v>0</v>
      </c>
      <c r="I57" s="4">
        <f t="shared" si="6"/>
        <v>2.8125</v>
      </c>
      <c r="J57">
        <v>0.47899999999999998</v>
      </c>
      <c r="K57">
        <v>0.24328</v>
      </c>
      <c r="L57">
        <f t="shared" si="7"/>
        <v>1.1951580011915994E-2</v>
      </c>
      <c r="M57">
        <f t="shared" si="8"/>
        <v>2.9330645628230118E-4</v>
      </c>
      <c r="N57">
        <f t="shared" si="9"/>
        <v>2.9295315581040346E-4</v>
      </c>
      <c r="O57">
        <f ca="1">CÁLCULOS!$F$79</f>
        <v>2.3856883989574178</v>
      </c>
      <c r="P57">
        <f t="shared" si="10"/>
        <v>2.9075803852989229E-3</v>
      </c>
      <c r="Q57">
        <f t="shared" ca="1" si="11"/>
        <v>6.9189243909202169E-4</v>
      </c>
      <c r="R57">
        <f t="shared" ca="1" si="12"/>
        <v>3.5994728243909447E-3</v>
      </c>
      <c r="S57">
        <f t="shared" si="13"/>
        <v>3.9390000000000001E-2</v>
      </c>
      <c r="T57" s="37">
        <f t="shared" ca="1" si="14"/>
        <v>0.47540052717560904</v>
      </c>
      <c r="U57">
        <f t="shared" ca="1" si="4"/>
        <v>0.75145570446574883</v>
      </c>
    </row>
    <row r="58" spans="1:21" x14ac:dyDescent="0.35">
      <c r="A58">
        <v>65</v>
      </c>
      <c r="B58" s="4">
        <f t="shared" si="0"/>
        <v>49.344410759653705</v>
      </c>
      <c r="C58" s="37">
        <f t="shared" si="1"/>
        <v>49.234410759653699</v>
      </c>
      <c r="E58" s="4">
        <f>IF(AND(ENTRADAS!$E$15&gt;13,ENTRADAS!$E$15&lt;=14),14,0)</f>
        <v>0</v>
      </c>
      <c r="F58" s="4">
        <f t="shared" si="2"/>
        <v>0</v>
      </c>
      <c r="G58" s="4">
        <f t="shared" si="3"/>
        <v>0</v>
      </c>
      <c r="H58" s="4">
        <f>IF(E58=0,0,IF(AND(ENTRADAS!$G$25&gt;=F58,ENTRADAS!$G$25&lt;=G58),1,0))</f>
        <v>0</v>
      </c>
      <c r="I58" s="4">
        <f t="shared" si="6"/>
        <v>2.7692307692307692</v>
      </c>
      <c r="J58">
        <v>0.47899999999999998</v>
      </c>
      <c r="K58">
        <v>0.24328</v>
      </c>
      <c r="L58">
        <f t="shared" si="7"/>
        <v>1.1767420649052047E-2</v>
      </c>
      <c r="M58">
        <f t="shared" si="8"/>
        <v>2.8434495465009613E-4</v>
      </c>
      <c r="N58">
        <f t="shared" si="9"/>
        <v>2.8401290424169247E-4</v>
      </c>
      <c r="O58">
        <f ca="1">CÁLCULOS!$F$79</f>
        <v>2.3856883989574178</v>
      </c>
      <c r="P58">
        <f t="shared" si="10"/>
        <v>2.8627780955013818E-3</v>
      </c>
      <c r="Q58">
        <f t="shared" ca="1" si="11"/>
        <v>6.7088209217566785E-4</v>
      </c>
      <c r="R58">
        <f t="shared" ca="1" si="12"/>
        <v>3.5336601876770498E-3</v>
      </c>
      <c r="S58">
        <f t="shared" si="13"/>
        <v>3.9390000000000001E-2</v>
      </c>
      <c r="T58" s="37">
        <f t="shared" ca="1" si="14"/>
        <v>0.47546633981232295</v>
      </c>
      <c r="U58">
        <f t="shared" ca="1" si="4"/>
        <v>0.73771611433758555</v>
      </c>
    </row>
    <row r="59" spans="1:21" x14ac:dyDescent="0.35">
      <c r="A59">
        <v>66</v>
      </c>
      <c r="B59" s="4">
        <f t="shared" si="0"/>
        <v>50.112126141963294</v>
      </c>
      <c r="C59" s="37">
        <f t="shared" si="1"/>
        <v>50.002126141963288</v>
      </c>
      <c r="E59" s="4">
        <f>IF(AND(ENTRADAS!$E$15&gt;13,ENTRADAS!$E$15&lt;=14),14,0)</f>
        <v>0</v>
      </c>
      <c r="F59" s="4">
        <f t="shared" si="2"/>
        <v>0</v>
      </c>
      <c r="G59" s="4">
        <f t="shared" si="3"/>
        <v>0</v>
      </c>
      <c r="H59" s="4">
        <f>IF(E59=0,0,IF(AND(ENTRADAS!$G$25&gt;=F59,ENTRADAS!$G$25&lt;=G59),1,0))</f>
        <v>0</v>
      </c>
      <c r="I59" s="4">
        <f t="shared" si="6"/>
        <v>2.7272727272727271</v>
      </c>
      <c r="J59">
        <v>0.47899999999999998</v>
      </c>
      <c r="K59">
        <v>0.24328</v>
      </c>
      <c r="L59">
        <f t="shared" si="7"/>
        <v>1.1588854723258872E-2</v>
      </c>
      <c r="M59">
        <f t="shared" si="8"/>
        <v>2.7578805960989407E-4</v>
      </c>
      <c r="N59">
        <f t="shared" si="9"/>
        <v>2.7547568528097965E-4</v>
      </c>
      <c r="O59">
        <f ca="1">CÁLCULOS!$F$79</f>
        <v>2.3856883989574178</v>
      </c>
      <c r="P59">
        <f t="shared" si="10"/>
        <v>2.8193365770744182E-3</v>
      </c>
      <c r="Q59">
        <f t="shared" ca="1" si="11"/>
        <v>6.5081425117665499E-4</v>
      </c>
      <c r="R59">
        <f t="shared" ca="1" si="12"/>
        <v>3.4701508282510732E-3</v>
      </c>
      <c r="S59">
        <f t="shared" si="13"/>
        <v>3.9390000000000001E-2</v>
      </c>
      <c r="T59" s="37">
        <f t="shared" ca="1" si="14"/>
        <v>0.4755298491717489</v>
      </c>
      <c r="U59">
        <f t="shared" ca="1" si="4"/>
        <v>0.72445737541776289</v>
      </c>
    </row>
    <row r="60" spans="1:21" x14ac:dyDescent="0.35">
      <c r="A60">
        <v>67</v>
      </c>
      <c r="B60" s="4">
        <f t="shared" si="0"/>
        <v>50.879823947573215</v>
      </c>
      <c r="C60" s="37">
        <f t="shared" si="1"/>
        <v>50.769823947573208</v>
      </c>
      <c r="E60" s="4">
        <f>IF(AND(ENTRADAS!$E$15&gt;13,ENTRADAS!$E$15&lt;=14),14,0)</f>
        <v>0</v>
      </c>
      <c r="F60" s="4">
        <f t="shared" si="2"/>
        <v>0</v>
      </c>
      <c r="G60" s="4">
        <f t="shared" si="3"/>
        <v>0</v>
      </c>
      <c r="H60" s="4">
        <f>IF(E60=0,0,IF(AND(ENTRADAS!$G$25&gt;=F60,ENTRADAS!$G$25&lt;=G60),1,0))</f>
        <v>0</v>
      </c>
      <c r="I60" s="4">
        <f t="shared" si="6"/>
        <v>2.6865671641791047</v>
      </c>
      <c r="J60">
        <v>0.47899999999999998</v>
      </c>
      <c r="K60">
        <v>0.24328</v>
      </c>
      <c r="L60">
        <f t="shared" si="7"/>
        <v>1.1415631030949112E-2</v>
      </c>
      <c r="M60">
        <f t="shared" si="8"/>
        <v>2.6761177067068846E-4</v>
      </c>
      <c r="N60">
        <f t="shared" si="9"/>
        <v>2.6731763629502046E-4</v>
      </c>
      <c r="O60">
        <f ca="1">CÁLCULOS!$F$79</f>
        <v>2.3856883989574178</v>
      </c>
      <c r="P60">
        <f t="shared" si="10"/>
        <v>2.7771947172093E-3</v>
      </c>
      <c r="Q60">
        <f t="shared" ca="1" si="11"/>
        <v>6.3163338473772989E-4</v>
      </c>
      <c r="R60">
        <f t="shared" ca="1" si="12"/>
        <v>3.4088281019470298E-3</v>
      </c>
      <c r="S60">
        <f t="shared" si="13"/>
        <v>3.9390000000000001E-2</v>
      </c>
      <c r="T60" s="37">
        <f t="shared" ca="1" si="14"/>
        <v>0.47559117189805294</v>
      </c>
      <c r="U60">
        <f t="shared" ca="1" si="4"/>
        <v>0.71165513610585329</v>
      </c>
    </row>
    <row r="61" spans="1:21" x14ac:dyDescent="0.35">
      <c r="A61">
        <v>68</v>
      </c>
      <c r="B61" s="4">
        <f t="shared" si="0"/>
        <v>51.647504952377631</v>
      </c>
      <c r="C61" s="37">
        <f t="shared" si="1"/>
        <v>51.537504952377624</v>
      </c>
      <c r="E61" s="4">
        <f>IF(AND(ENTRADAS!$E$15&gt;13,ENTRADAS!$E$15&lt;=14),14,0)</f>
        <v>0</v>
      </c>
      <c r="F61" s="4">
        <f t="shared" si="2"/>
        <v>0</v>
      </c>
      <c r="G61" s="4">
        <f t="shared" si="3"/>
        <v>0</v>
      </c>
      <c r="H61" s="4">
        <f>IF(E61=0,0,IF(AND(ENTRADAS!$G$25&gt;=F61,ENTRADAS!$G$25&lt;=G61),1,0))</f>
        <v>0</v>
      </c>
      <c r="I61" s="4">
        <f t="shared" si="6"/>
        <v>2.6470588235294117</v>
      </c>
      <c r="J61">
        <v>0.47899999999999998</v>
      </c>
      <c r="K61">
        <v>0.24328</v>
      </c>
      <c r="L61">
        <f t="shared" si="7"/>
        <v>1.1247513199329859E-2</v>
      </c>
      <c r="M61">
        <f t="shared" si="8"/>
        <v>2.5979384124382078E-4</v>
      </c>
      <c r="N61">
        <f t="shared" si="9"/>
        <v>2.5951663466902518E-4</v>
      </c>
      <c r="O61">
        <f ca="1">CÁLCULOS!$F$79</f>
        <v>2.3856883989574178</v>
      </c>
      <c r="P61">
        <f t="shared" si="10"/>
        <v>2.7362950111329679E-3</v>
      </c>
      <c r="Q61">
        <f t="shared" ca="1" si="11"/>
        <v>6.132879911185927E-4</v>
      </c>
      <c r="R61">
        <f t="shared" ca="1" si="12"/>
        <v>3.3495830022515606E-3</v>
      </c>
      <c r="S61">
        <f t="shared" si="13"/>
        <v>3.9390000000000001E-2</v>
      </c>
      <c r="T61" s="37">
        <f t="shared" ca="1" si="14"/>
        <v>0.4756504169977484</v>
      </c>
      <c r="U61">
        <f t="shared" ca="1" si="4"/>
        <v>0.69928663930095558</v>
      </c>
    </row>
    <row r="62" spans="1:21" x14ac:dyDescent="0.35">
      <c r="A62">
        <v>69</v>
      </c>
      <c r="B62" s="4">
        <f t="shared" si="0"/>
        <v>52.415169887259289</v>
      </c>
      <c r="C62" s="37">
        <f t="shared" si="1"/>
        <v>52.305169887259282</v>
      </c>
      <c r="E62" s="4">
        <f>IF(AND(ENTRADAS!$E$15&gt;13,ENTRADAS!$E$15&lt;=14),14,0)</f>
        <v>0</v>
      </c>
      <c r="F62" s="4">
        <f t="shared" si="2"/>
        <v>0</v>
      </c>
      <c r="G62" s="4">
        <f t="shared" si="3"/>
        <v>0</v>
      </c>
      <c r="H62" s="4">
        <f>IF(E62=0,0,IF(AND(ENTRADAS!$G$25&gt;=F62,ENTRADAS!$G$25&lt;=G62),1,0))</f>
        <v>0</v>
      </c>
      <c r="I62" s="4">
        <f t="shared" si="6"/>
        <v>2.6086956521739131</v>
      </c>
      <c r="J62">
        <v>0.47899999999999998</v>
      </c>
      <c r="K62">
        <v>0.24328</v>
      </c>
      <c r="L62">
        <f t="shared" si="7"/>
        <v>1.1084278607094929E-2</v>
      </c>
      <c r="M62">
        <f t="shared" si="8"/>
        <v>2.5231362702550139E-4</v>
      </c>
      <c r="N62">
        <f t="shared" si="9"/>
        <v>2.5205214776452512E-4</v>
      </c>
      <c r="O62">
        <f ca="1">CÁLCULOS!$F$79</f>
        <v>2.3856883989574178</v>
      </c>
      <c r="P62">
        <f t="shared" si="10"/>
        <v>2.6965832995340545E-3</v>
      </c>
      <c r="Q62">
        <f t="shared" ca="1" si="11"/>
        <v>5.9573025239545115E-4</v>
      </c>
      <c r="R62">
        <f t="shared" ca="1" si="12"/>
        <v>3.2923135519295054E-3</v>
      </c>
      <c r="S62">
        <f t="shared" si="13"/>
        <v>3.9390000000000001E-2</v>
      </c>
      <c r="T62" s="37">
        <f t="shared" ca="1" si="14"/>
        <v>0.47570768644807049</v>
      </c>
      <c r="U62">
        <f t="shared" ca="1" si="4"/>
        <v>0.68733059539237862</v>
      </c>
    </row>
    <row r="63" spans="1:21" x14ac:dyDescent="0.35">
      <c r="A63">
        <v>70</v>
      </c>
      <c r="B63" s="4">
        <f t="shared" si="0"/>
        <v>53.182819441307359</v>
      </c>
      <c r="C63" s="37">
        <f t="shared" si="1"/>
        <v>53.072819441307352</v>
      </c>
      <c r="E63" s="4">
        <f>IF(AND(ENTRADAS!$E$15&gt;13,ENTRADAS!$E$15&lt;=14),14,0)</f>
        <v>0</v>
      </c>
      <c r="F63" s="4">
        <f t="shared" si="2"/>
        <v>0</v>
      </c>
      <c r="G63" s="4">
        <f t="shared" si="3"/>
        <v>0</v>
      </c>
      <c r="H63" s="4">
        <f>IF(E63=0,0,IF(AND(ENTRADAS!$G$25&gt;=F63,ENTRADAS!$G$25&lt;=G63),1,0))</f>
        <v>0</v>
      </c>
      <c r="I63" s="4">
        <f t="shared" si="6"/>
        <v>2.5714285714285716</v>
      </c>
      <c r="J63">
        <v>0.47899999999999998</v>
      </c>
      <c r="K63">
        <v>0.24328</v>
      </c>
      <c r="L63">
        <f t="shared" si="7"/>
        <v>1.092571739808154E-2</v>
      </c>
      <c r="M63">
        <f t="shared" si="8"/>
        <v>2.451519494559482E-4</v>
      </c>
      <c r="N63">
        <f t="shared" si="9"/>
        <v>2.4490509775557909E-4</v>
      </c>
      <c r="O63">
        <f ca="1">CÁLCULOS!$F$79</f>
        <v>2.3856883989574178</v>
      </c>
      <c r="P63">
        <f t="shared" si="10"/>
        <v>2.6580085286052771E-3</v>
      </c>
      <c r="Q63">
        <f t="shared" ca="1" si="11"/>
        <v>5.7891572278616344E-4</v>
      </c>
      <c r="R63">
        <f t="shared" ca="1" si="12"/>
        <v>3.2369242513914406E-3</v>
      </c>
      <c r="S63">
        <f t="shared" si="13"/>
        <v>3.9390000000000001E-2</v>
      </c>
      <c r="T63" s="37">
        <f t="shared" ca="1" si="14"/>
        <v>0.47576307574860854</v>
      </c>
      <c r="U63">
        <f t="shared" ca="1" si="4"/>
        <v>0.67576706709633361</v>
      </c>
    </row>
    <row r="64" spans="1:21" x14ac:dyDescent="0.35">
      <c r="A64">
        <v>71</v>
      </c>
      <c r="B64" s="4">
        <f t="shared" si="0"/>
        <v>53.950454264762975</v>
      </c>
      <c r="C64" s="37">
        <f t="shared" si="1"/>
        <v>53.840454264762968</v>
      </c>
      <c r="E64" s="4">
        <f>IF(AND(ENTRADAS!$E$15&gt;12,ENTRADAS!$E$15&lt;=13),13,0)</f>
        <v>0</v>
      </c>
      <c r="F64" s="4">
        <f t="shared" si="2"/>
        <v>0</v>
      </c>
      <c r="G64" s="4">
        <f t="shared" si="3"/>
        <v>0</v>
      </c>
      <c r="H64" s="4">
        <f>IF(E64=0,0,IF(AND(ENTRADAS!$G$25&gt;=F64,ENTRADAS!$G$25&lt;=G64),1,0))</f>
        <v>0</v>
      </c>
      <c r="I64" s="4">
        <f t="shared" si="6"/>
        <v>2.535211267605634</v>
      </c>
      <c r="J64">
        <v>0.47899999999999998</v>
      </c>
      <c r="K64">
        <v>0.24328</v>
      </c>
      <c r="L64">
        <f t="shared" si="7"/>
        <v>1.0771631578675991E-2</v>
      </c>
      <c r="M64">
        <f t="shared" si="8"/>
        <v>2.3829097256549043E-4</v>
      </c>
      <c r="N64">
        <f t="shared" si="9"/>
        <v>2.3805773968101364E-4</v>
      </c>
      <c r="O64">
        <f ca="1">CÁLCULOS!$F$79</f>
        <v>2.3856883989574178</v>
      </c>
      <c r="P64">
        <f t="shared" si="10"/>
        <v>2.6205225304602952E-3</v>
      </c>
      <c r="Q64">
        <f t="shared" ca="1" si="11"/>
        <v>5.6280304730642675E-4</v>
      </c>
      <c r="R64">
        <f t="shared" ca="1" si="12"/>
        <v>3.1833255777667219E-3</v>
      </c>
      <c r="S64">
        <f t="shared" si="13"/>
        <v>3.9390000000000001E-2</v>
      </c>
      <c r="T64" s="37">
        <f t="shared" ca="1" si="14"/>
        <v>0.47581667442223324</v>
      </c>
      <c r="U64">
        <f t="shared" ca="1" si="4"/>
        <v>0.66457736487823338</v>
      </c>
    </row>
    <row r="65" spans="1:21" x14ac:dyDescent="0.35">
      <c r="A65">
        <v>72</v>
      </c>
      <c r="B65" s="4">
        <f t="shared" si="0"/>
        <v>54.718074971719197</v>
      </c>
      <c r="C65" s="37">
        <f t="shared" si="1"/>
        <v>54.608074971719191</v>
      </c>
      <c r="E65" s="4">
        <f>IF(AND(ENTRADAS!$E$15&gt;12,ENTRADAS!$E$15&lt;=13),13,0)</f>
        <v>0</v>
      </c>
      <c r="F65" s="4">
        <f t="shared" si="2"/>
        <v>0</v>
      </c>
      <c r="G65" s="4">
        <f t="shared" si="3"/>
        <v>0</v>
      </c>
      <c r="H65" s="4">
        <f>IF(E65=0,0,IF(AND(ENTRADAS!$G$25&gt;=F65,ENTRADAS!$G$25&lt;=G65),1,0))</f>
        <v>0</v>
      </c>
      <c r="I65" s="4">
        <f t="shared" si="6"/>
        <v>2.5</v>
      </c>
      <c r="J65">
        <v>0.47899999999999998</v>
      </c>
      <c r="K65">
        <v>0.24328</v>
      </c>
      <c r="L65">
        <f t="shared" si="7"/>
        <v>1.0621834190782813E-2</v>
      </c>
      <c r="M65">
        <f t="shared" si="8"/>
        <v>2.3171409172809764E-4</v>
      </c>
      <c r="N65">
        <f t="shared" si="9"/>
        <v>2.3149355125641141E-4</v>
      </c>
      <c r="O65">
        <f ca="1">CÁLCULOS!$F$79</f>
        <v>2.3856883989574178</v>
      </c>
      <c r="P65">
        <f t="shared" si="10"/>
        <v>2.5840798219336427E-3</v>
      </c>
      <c r="Q65">
        <f t="shared" ca="1" si="11"/>
        <v>5.4735370743051292E-4</v>
      </c>
      <c r="R65">
        <f t="shared" ca="1" si="12"/>
        <v>3.1314335293641557E-3</v>
      </c>
      <c r="S65">
        <f t="shared" si="13"/>
        <v>3.9390000000000001E-2</v>
      </c>
      <c r="T65" s="37">
        <f t="shared" ca="1" si="14"/>
        <v>0.4758685664706358</v>
      </c>
      <c r="U65">
        <f t="shared" ca="1" si="4"/>
        <v>0.65374395185055956</v>
      </c>
    </row>
    <row r="66" spans="1:21" x14ac:dyDescent="0.35">
      <c r="A66">
        <v>73</v>
      </c>
      <c r="B66" s="4">
        <f t="shared" si="0"/>
        <v>55.485682142598769</v>
      </c>
      <c r="C66" s="37">
        <f t="shared" si="1"/>
        <v>55.375682142598762</v>
      </c>
      <c r="E66" s="4">
        <f>IF(AND(ENTRADAS!$E$15&gt;11,ENTRADAS!$E$15&lt;=12),12,0)</f>
        <v>0</v>
      </c>
      <c r="F66" s="4">
        <f t="shared" si="2"/>
        <v>0</v>
      </c>
      <c r="G66" s="4">
        <f t="shared" si="3"/>
        <v>0</v>
      </c>
      <c r="H66" s="4">
        <f>IF(E66=0,0,IF(AND(ENTRADAS!$G$25&gt;=F66,ENTRADAS!$G$25&lt;=G66),1,0))</f>
        <v>0</v>
      </c>
      <c r="I66" s="4">
        <f t="shared" si="6"/>
        <v>2.4657534246575343</v>
      </c>
      <c r="J66">
        <v>0.47899999999999998</v>
      </c>
      <c r="K66">
        <v>0.24328</v>
      </c>
      <c r="L66">
        <f t="shared" si="7"/>
        <v>1.0476148553074259E-2</v>
      </c>
      <c r="M66">
        <f t="shared" si="8"/>
        <v>2.2540583302428397E-4</v>
      </c>
      <c r="N66">
        <f t="shared" si="9"/>
        <v>2.2519713316761751E-4</v>
      </c>
      <c r="O66">
        <f ca="1">CÁLCULOS!$F$79</f>
        <v>2.3856883989574178</v>
      </c>
      <c r="P66">
        <f t="shared" si="10"/>
        <v>2.5486374199919057E-3</v>
      </c>
      <c r="Q66">
        <f t="shared" ca="1" si="11"/>
        <v>5.32531790834873E-4</v>
      </c>
      <c r="R66">
        <f t="shared" ca="1" si="12"/>
        <v>3.0811692108267787E-3</v>
      </c>
      <c r="S66">
        <f t="shared" si="13"/>
        <v>3.9390000000000001E-2</v>
      </c>
      <c r="T66" s="37">
        <f t="shared" ca="1" si="14"/>
        <v>0.47591883078917319</v>
      </c>
      <c r="U66">
        <f t="shared" ca="1" si="4"/>
        <v>0.6432503571663456</v>
      </c>
    </row>
    <row r="67" spans="1:21" x14ac:dyDescent="0.35">
      <c r="A67">
        <v>74</v>
      </c>
      <c r="B67" s="4">
        <f t="shared" si="0"/>
        <v>56.253276326430864</v>
      </c>
      <c r="C67" s="37">
        <f t="shared" si="1"/>
        <v>56.143276326430858</v>
      </c>
      <c r="E67" s="4">
        <f>IF(AND(ENTRADAS!$E$15&gt;11,ENTRADAS!$E$15&lt;=12),12,0)</f>
        <v>0</v>
      </c>
      <c r="F67" s="4">
        <f t="shared" si="2"/>
        <v>0</v>
      </c>
      <c r="G67" s="4">
        <f t="shared" si="3"/>
        <v>0</v>
      </c>
      <c r="H67" s="4">
        <f>IF(E67=0,0,IF(AND(ENTRADAS!$G$25&gt;=F67,ENTRADAS!$G$25&lt;=G67),1,0))</f>
        <v>0</v>
      </c>
      <c r="I67" s="4">
        <f t="shared" si="6"/>
        <v>2.4324324324324325</v>
      </c>
      <c r="J67">
        <v>0.47899999999999998</v>
      </c>
      <c r="K67">
        <v>0.24328</v>
      </c>
      <c r="L67">
        <f t="shared" si="7"/>
        <v>1.0334407564028746E-2</v>
      </c>
      <c r="M67">
        <f t="shared" si="8"/>
        <v>2.1935176207240874E-4</v>
      </c>
      <c r="N67">
        <f t="shared" si="9"/>
        <v>2.1915411872171884E-4</v>
      </c>
      <c r="O67">
        <f ca="1">CÁLCULOS!$F$79</f>
        <v>2.3856883989574178</v>
      </c>
      <c r="P67">
        <f t="shared" si="10"/>
        <v>2.5141546721769133E-3</v>
      </c>
      <c r="Q67">
        <f t="shared" ca="1" si="11"/>
        <v>5.1830378265372971E-4</v>
      </c>
      <c r="R67">
        <f t="shared" ca="1" si="12"/>
        <v>3.0324584548306428E-3</v>
      </c>
      <c r="S67">
        <f t="shared" si="13"/>
        <v>3.9390000000000001E-2</v>
      </c>
      <c r="T67" s="37">
        <f t="shared" ca="1" si="14"/>
        <v>0.47596754154516935</v>
      </c>
      <c r="U67">
        <f t="shared" ca="1" si="4"/>
        <v>0.63308109704188587</v>
      </c>
    </row>
    <row r="68" spans="1:21" x14ac:dyDescent="0.35">
      <c r="A68">
        <v>75</v>
      </c>
      <c r="B68" s="4">
        <f t="shared" si="0"/>
        <v>57.020858042945498</v>
      </c>
      <c r="C68" s="37">
        <f t="shared" si="1"/>
        <v>56.910858042945492</v>
      </c>
      <c r="E68" s="4">
        <f>IF(AND(ENTRADAS!$E$15&gt;11,ENTRADAS!$E$15&lt;=12),12,0)</f>
        <v>0</v>
      </c>
      <c r="F68" s="4">
        <f t="shared" si="2"/>
        <v>0</v>
      </c>
      <c r="G68" s="4">
        <f t="shared" si="3"/>
        <v>0</v>
      </c>
      <c r="H68" s="4">
        <f>IF(E68=0,0,IF(AND(ENTRADAS!$G$25&gt;=F68,ENTRADAS!$G$25&lt;=G68),1,0))</f>
        <v>0</v>
      </c>
      <c r="I68" s="4">
        <f t="shared" si="6"/>
        <v>2.4</v>
      </c>
      <c r="J68">
        <v>0.47899999999999998</v>
      </c>
      <c r="K68">
        <v>0.24328</v>
      </c>
      <c r="L68">
        <f t="shared" si="7"/>
        <v>1.0196453060963166E-2</v>
      </c>
      <c r="M68">
        <f t="shared" si="8"/>
        <v>2.1353840132363092E-4</v>
      </c>
      <c r="N68">
        <f t="shared" si="9"/>
        <v>2.1335109186525192E-4</v>
      </c>
      <c r="O68">
        <f ca="1">CÁLCULOS!$F$79</f>
        <v>2.3856883989574178</v>
      </c>
      <c r="P68">
        <f t="shared" si="10"/>
        <v>2.4805931006711191E-3</v>
      </c>
      <c r="Q68">
        <f t="shared" ca="1" si="11"/>
        <v>5.0463837598041126E-4</v>
      </c>
      <c r="R68">
        <f t="shared" ca="1" si="12"/>
        <v>2.9852314766515304E-3</v>
      </c>
      <c r="S68">
        <f t="shared" si="13"/>
        <v>3.9390000000000001E-2</v>
      </c>
      <c r="T68" s="37">
        <f t="shared" ca="1" si="14"/>
        <v>0.47601476852334845</v>
      </c>
      <c r="U68">
        <f t="shared" ca="1" si="4"/>
        <v>0.62322160264123772</v>
      </c>
    </row>
    <row r="69" spans="1:21" x14ac:dyDescent="0.35">
      <c r="A69">
        <v>76</v>
      </c>
      <c r="B69" s="4">
        <f t="shared" si="0"/>
        <v>57.788427784502446</v>
      </c>
      <c r="C69" s="37">
        <f t="shared" si="1"/>
        <v>57.678427784502439</v>
      </c>
      <c r="E69" s="4">
        <f>IF(AND(ENTRADAS!$E$15&gt;10,ENTRADAS!$E$15&lt;=11),11,0)</f>
        <v>0</v>
      </c>
      <c r="F69" s="4">
        <f t="shared" si="2"/>
        <v>0</v>
      </c>
      <c r="G69" s="4">
        <f t="shared" si="3"/>
        <v>0</v>
      </c>
      <c r="H69" s="4">
        <f>IF(E69=0,0,IF(AND(ENTRADAS!$G$25&gt;=F69,ENTRADAS!$G$25&lt;=G69),1,0))</f>
        <v>0</v>
      </c>
      <c r="I69" s="4">
        <f t="shared" si="6"/>
        <v>2.3684210526315788</v>
      </c>
      <c r="J69">
        <v>0.47899999999999998</v>
      </c>
      <c r="K69">
        <v>0.24328</v>
      </c>
      <c r="L69">
        <f t="shared" si="7"/>
        <v>1.0062135229877242E-2</v>
      </c>
      <c r="M69">
        <f t="shared" si="8"/>
        <v>2.0795315493416734E-4</v>
      </c>
      <c r="N69">
        <f t="shared" si="9"/>
        <v>2.0777551269573054E-4</v>
      </c>
      <c r="O69">
        <f ca="1">CÁLCULOS!$F$79</f>
        <v>2.3856883989574178</v>
      </c>
      <c r="P69">
        <f t="shared" si="10"/>
        <v>2.4479162587245354E-3</v>
      </c>
      <c r="Q69">
        <f t="shared" ca="1" si="11"/>
        <v>4.9150629961323099E-4</v>
      </c>
      <c r="R69">
        <f t="shared" ca="1" si="12"/>
        <v>2.9394225583377663E-3</v>
      </c>
      <c r="S69">
        <f t="shared" si="13"/>
        <v>3.9390000000000001E-2</v>
      </c>
      <c r="T69" s="37">
        <f t="shared" ca="1" si="14"/>
        <v>0.47606057744166219</v>
      </c>
      <c r="U69">
        <f t="shared" ca="1" si="4"/>
        <v>0.61365815414150104</v>
      </c>
    </row>
    <row r="70" spans="1:21" x14ac:dyDescent="0.35">
      <c r="A70">
        <v>77</v>
      </c>
      <c r="B70" s="4">
        <f t="shared" ref="B70:B103" si="15">(1.205/TAN(PI()/A70)-0.24)*2</f>
        <v>58.555986017869813</v>
      </c>
      <c r="C70" s="37">
        <f t="shared" ref="C70:C126" si="16">(1.205/TAN(PI()/A70)-0.295)*2</f>
        <v>58.445986017869807</v>
      </c>
      <c r="E70" s="4">
        <f>IF(AND(ENTRADAS!$E$15&gt;10,ENTRADAS!$E$15&lt;=11),11,0)</f>
        <v>0</v>
      </c>
      <c r="F70" s="4">
        <f t="shared" ref="F70:F83" si="17">IF(E70&gt;0,$C$5,0)</f>
        <v>0</v>
      </c>
      <c r="G70" s="4">
        <f t="shared" ref="G70:G83" si="18">IF(E70&gt;0,$C$63,0)</f>
        <v>0</v>
      </c>
      <c r="H70" s="4">
        <f>IF(E70=0,0,IF(AND(ENTRADAS!$G$25&gt;=F70,ENTRADAS!$G$25&lt;=G70),1,0))</f>
        <v>0</v>
      </c>
      <c r="I70" s="4">
        <f t="shared" si="6"/>
        <v>2.3376623376623376</v>
      </c>
      <c r="J70">
        <v>0.47899999999999998</v>
      </c>
      <c r="K70">
        <v>0.24328</v>
      </c>
      <c r="L70">
        <f t="shared" si="7"/>
        <v>9.9313120614692423E-3</v>
      </c>
      <c r="M70">
        <f t="shared" si="8"/>
        <v>2.0258424043159533E-4</v>
      </c>
      <c r="N70">
        <f t="shared" si="9"/>
        <v>2.0241564969393098E-4</v>
      </c>
      <c r="O70">
        <f ca="1">CÁLCULOS!$F$79</f>
        <v>2.3856883989574178</v>
      </c>
      <c r="P70">
        <f t="shared" si="10"/>
        <v>2.4160895983142373E-3</v>
      </c>
      <c r="Q70">
        <f t="shared" ca="1" si="11"/>
        <v>4.7888016127576883E-4</v>
      </c>
      <c r="R70">
        <f t="shared" ca="1" si="12"/>
        <v>2.8949697595900062E-3</v>
      </c>
      <c r="S70">
        <f t="shared" si="13"/>
        <v>3.9390000000000001E-2</v>
      </c>
      <c r="T70" s="37">
        <f t="shared" ca="1" si="14"/>
        <v>0.47610503024040995</v>
      </c>
      <c r="U70">
        <f t="shared" ref="U70:U103" ca="1" si="19">(J70-T70)/J70*100</f>
        <v>0.60437782037370091</v>
      </c>
    </row>
    <row r="71" spans="1:21" x14ac:dyDescent="0.35">
      <c r="A71">
        <v>78</v>
      </c>
      <c r="B71" s="4">
        <f t="shared" si="15"/>
        <v>59.32353318586555</v>
      </c>
      <c r="C71" s="37">
        <f t="shared" si="16"/>
        <v>59.213533185865543</v>
      </c>
      <c r="E71" s="4">
        <f>IF(AND(ENTRADAS!$E$15&gt;10,ENTRADAS!$E$15&lt;=11),11,0)</f>
        <v>0</v>
      </c>
      <c r="F71" s="4">
        <f t="shared" si="17"/>
        <v>0</v>
      </c>
      <c r="G71" s="4">
        <f t="shared" si="18"/>
        <v>0</v>
      </c>
      <c r="H71" s="4">
        <f>IF(E71=0,0,IF(AND(ENTRADAS!$G$25&gt;=F71,ENTRADAS!$G$25&lt;=G71),1,0))</f>
        <v>0</v>
      </c>
      <c r="I71" s="4">
        <f t="shared" ref="I71:I103" si="20">180/A71</f>
        <v>2.3076923076923075</v>
      </c>
      <c r="J71">
        <v>0.47899999999999998</v>
      </c>
      <c r="K71">
        <v>0.24328</v>
      </c>
      <c r="L71">
        <f t="shared" ref="L71:L103" si="21">K71*TAN(PI()*I71/180)</f>
        <v>9.8038488491608393E-3</v>
      </c>
      <c r="M71">
        <f t="shared" ref="M71:M103" si="22">L71*SIN(PI()*(I71/2)/180)</f>
        <v>1.974206264818777E-4</v>
      </c>
      <c r="N71">
        <f t="shared" ref="N71:N103" si="23">M71*COS(PI()*(I71)/180)</f>
        <v>1.9726051799283102E-4</v>
      </c>
      <c r="O71">
        <f ca="1">CÁLCULOS!$F$79</f>
        <v>2.3856883989574178</v>
      </c>
      <c r="P71">
        <f t="shared" ref="P71:P103" si="24">L71*K71</f>
        <v>2.3850803480238488E-3</v>
      </c>
      <c r="Q71">
        <f t="shared" ref="Q71:Q103" ca="1" si="25">(O71-(2*L71))*N71</f>
        <v>4.6673430474321022E-4</v>
      </c>
      <c r="R71">
        <f t="shared" ref="R71:R103" ca="1" si="26">P71+Q71</f>
        <v>2.851814652767059E-3</v>
      </c>
      <c r="S71">
        <f t="shared" ref="S71:S126" si="27">$T$1</f>
        <v>3.9390000000000001E-2</v>
      </c>
      <c r="T71" s="37">
        <f t="shared" ref="T71:T103" ca="1" si="28">IF($U$1="X",J71-R71-S71,J71-R71)</f>
        <v>0.47614818534723291</v>
      </c>
      <c r="U71">
        <f t="shared" ca="1" si="19"/>
        <v>0.5953684035004323</v>
      </c>
    </row>
    <row r="72" spans="1:21" x14ac:dyDescent="0.35">
      <c r="A72">
        <v>79</v>
      </c>
      <c r="B72" s="4">
        <f t="shared" si="15"/>
        <v>60.09106970887435</v>
      </c>
      <c r="C72" s="37">
        <f t="shared" si="16"/>
        <v>59.981069708874344</v>
      </c>
      <c r="E72" s="4">
        <f>IF(AND(ENTRADAS!$E$15&gt;9,ENTRADAS!$E$15&lt;=10),10,0)</f>
        <v>0</v>
      </c>
      <c r="F72" s="4">
        <f t="shared" si="17"/>
        <v>0</v>
      </c>
      <c r="G72" s="4">
        <f t="shared" si="18"/>
        <v>0</v>
      </c>
      <c r="H72" s="4">
        <f>IF(E72=0,0,IF(AND(ENTRADAS!$G$25&gt;=F72,ENTRADAS!$G$25&lt;=G72),1,0))</f>
        <v>0</v>
      </c>
      <c r="I72" s="4">
        <f t="shared" si="20"/>
        <v>2.278481012658228</v>
      </c>
      <c r="J72">
        <v>0.47899999999999998</v>
      </c>
      <c r="K72">
        <v>0.24328</v>
      </c>
      <c r="L72">
        <f t="shared" si="21"/>
        <v>9.6796177253924212E-3</v>
      </c>
      <c r="M72">
        <f t="shared" si="22"/>
        <v>1.9245197614239178E-4</v>
      </c>
      <c r="N72">
        <f t="shared" si="23"/>
        <v>1.9229982307644237E-4</v>
      </c>
      <c r="O72">
        <f ca="1">CÁLCULOS!$F$79</f>
        <v>2.3856883989574178</v>
      </c>
      <c r="P72">
        <f t="shared" si="24"/>
        <v>2.354857400233468E-3</v>
      </c>
      <c r="Q72">
        <f t="shared" ca="1" si="25"/>
        <v>4.5504467948295139E-4</v>
      </c>
      <c r="R72">
        <f t="shared" ca="1" si="26"/>
        <v>2.8099020797164196E-3</v>
      </c>
      <c r="S72">
        <f t="shared" si="27"/>
        <v>3.9390000000000001E-2</v>
      </c>
      <c r="T72" s="37">
        <f t="shared" ca="1" si="28"/>
        <v>0.47619009792028355</v>
      </c>
      <c r="U72">
        <f t="shared" ca="1" si="19"/>
        <v>0.58661838824977686</v>
      </c>
    </row>
    <row r="73" spans="1:21" x14ac:dyDescent="0.35">
      <c r="A73">
        <v>80</v>
      </c>
      <c r="B73" s="4">
        <f t="shared" si="15"/>
        <v>60.858595986250563</v>
      </c>
      <c r="C73" s="37">
        <f t="shared" si="16"/>
        <v>60.748595986250557</v>
      </c>
      <c r="E73" s="4">
        <f>IF(AND(ENTRADAS!$E$15&gt;9,ENTRADAS!$E$15&lt;=10),10,0)</f>
        <v>0</v>
      </c>
      <c r="F73" s="4">
        <f t="shared" si="17"/>
        <v>0</v>
      </c>
      <c r="G73" s="4">
        <f t="shared" si="18"/>
        <v>0</v>
      </c>
      <c r="H73" s="4">
        <f>IF(E73=0,0,IF(AND(ENTRADAS!$G$25&gt;=F73,ENTRADAS!$G$25&lt;=G73),1,0))</f>
        <v>0</v>
      </c>
      <c r="I73" s="4">
        <f t="shared" si="20"/>
        <v>2.25</v>
      </c>
      <c r="J73">
        <v>0.47899999999999998</v>
      </c>
      <c r="K73">
        <v>0.24328</v>
      </c>
      <c r="L73">
        <f t="shared" si="21"/>
        <v>9.5584972328258706E-3</v>
      </c>
      <c r="M73">
        <f t="shared" si="22"/>
        <v>1.8766859505506977E-4</v>
      </c>
      <c r="N73">
        <f t="shared" si="23"/>
        <v>1.8752390936952785E-4</v>
      </c>
      <c r="O73">
        <f ca="1">CÁLCULOS!$F$79</f>
        <v>2.3856883989574178</v>
      </c>
      <c r="P73">
        <f t="shared" si="24"/>
        <v>2.3253912068018777E-3</v>
      </c>
      <c r="Q73">
        <f t="shared" ca="1" si="25"/>
        <v>4.4378872157243014E-4</v>
      </c>
      <c r="R73">
        <f t="shared" ca="1" si="26"/>
        <v>2.7691799283743081E-3</v>
      </c>
      <c r="S73">
        <f t="shared" si="27"/>
        <v>3.9390000000000001E-2</v>
      </c>
      <c r="T73" s="37">
        <f t="shared" ca="1" si="28"/>
        <v>0.47623082007162565</v>
      </c>
      <c r="U73">
        <f t="shared" ca="1" si="19"/>
        <v>0.57811689527647858</v>
      </c>
    </row>
    <row r="74" spans="1:21" x14ac:dyDescent="0.35">
      <c r="A74">
        <v>81</v>
      </c>
      <c r="B74" s="4">
        <f t="shared" si="15"/>
        <v>61.626112397617227</v>
      </c>
      <c r="C74" s="37">
        <f t="shared" si="16"/>
        <v>61.516112397617221</v>
      </c>
      <c r="E74" s="4">
        <f>IF(AND(ENTRADAS!$E$15&gt;9,ENTRADAS!$E$15&lt;=10),10,0)</f>
        <v>0</v>
      </c>
      <c r="F74" s="4">
        <f t="shared" si="17"/>
        <v>0</v>
      </c>
      <c r="G74" s="4">
        <f t="shared" si="18"/>
        <v>0</v>
      </c>
      <c r="H74" s="4">
        <f>IF(E74=0,0,IF(AND(ENTRADAS!$G$25&gt;=F74,ENTRADAS!$G$25&lt;=G74),1,0))</f>
        <v>0</v>
      </c>
      <c r="I74" s="4">
        <f t="shared" si="20"/>
        <v>2.2222222222222223</v>
      </c>
      <c r="J74">
        <v>0.47899999999999998</v>
      </c>
      <c r="K74">
        <v>0.24328</v>
      </c>
      <c r="L74">
        <f t="shared" si="21"/>
        <v>9.4403719274255265E-3</v>
      </c>
      <c r="M74">
        <f t="shared" si="22"/>
        <v>1.8306138409412547E-4</v>
      </c>
      <c r="N74">
        <f t="shared" si="23"/>
        <v>1.8292371323864529E-4</v>
      </c>
      <c r="O74">
        <f ca="1">CÁLCULOS!$F$79</f>
        <v>2.3856883989574178</v>
      </c>
      <c r="P74">
        <f t="shared" si="24"/>
        <v>2.296653682504082E-3</v>
      </c>
      <c r="Q74">
        <f t="shared" ca="1" si="25"/>
        <v>4.3294524479301248E-4</v>
      </c>
      <c r="R74">
        <f t="shared" ca="1" si="26"/>
        <v>2.7295989272970943E-3</v>
      </c>
      <c r="S74">
        <f t="shared" si="27"/>
        <v>3.9390000000000001E-2</v>
      </c>
      <c r="T74" s="37">
        <f t="shared" ca="1" si="28"/>
        <v>0.47627040107270291</v>
      </c>
      <c r="U74">
        <f t="shared" ca="1" si="19"/>
        <v>0.56985363826661217</v>
      </c>
    </row>
    <row r="75" spans="1:21" x14ac:dyDescent="0.35">
      <c r="A75">
        <v>82</v>
      </c>
      <c r="B75" s="4">
        <f t="shared" si="15"/>
        <v>62.39361930406983</v>
      </c>
      <c r="C75" s="37">
        <f t="shared" si="16"/>
        <v>62.283619304069823</v>
      </c>
      <c r="E75" s="4">
        <f>IF(AND(ENTRADAS!$E$15&gt;9,ENTRADAS!$E$15&lt;=10),10,0)</f>
        <v>0</v>
      </c>
      <c r="F75" s="4">
        <f t="shared" si="17"/>
        <v>0</v>
      </c>
      <c r="G75" s="4">
        <f t="shared" si="18"/>
        <v>0</v>
      </c>
      <c r="H75" s="4">
        <f>IF(E75=0,0,IF(AND(ENTRADAS!$G$25&gt;=F75,ENTRADAS!$G$25&lt;=G75),1,0))</f>
        <v>0</v>
      </c>
      <c r="I75" s="4">
        <f t="shared" si="20"/>
        <v>2.1951219512195124</v>
      </c>
      <c r="J75">
        <v>0.47899999999999998</v>
      </c>
      <c r="K75">
        <v>0.24328</v>
      </c>
      <c r="L75">
        <f t="shared" si="21"/>
        <v>9.3251320106849389E-3</v>
      </c>
      <c r="M75">
        <f t="shared" si="22"/>
        <v>1.7862179603587896E-4</v>
      </c>
      <c r="N75">
        <f t="shared" si="23"/>
        <v>1.7849071997720948E-4</v>
      </c>
      <c r="O75">
        <f ca="1">CÁLCULOS!$F$79</f>
        <v>2.3856883989574178</v>
      </c>
      <c r="P75">
        <f t="shared" si="24"/>
        <v>2.2686181155594318E-3</v>
      </c>
      <c r="Q75">
        <f t="shared" ca="1" si="25"/>
        <v>4.2249434091824636E-4</v>
      </c>
      <c r="R75">
        <f t="shared" ca="1" si="26"/>
        <v>2.6911124564776784E-3</v>
      </c>
      <c r="S75">
        <f t="shared" si="27"/>
        <v>3.9390000000000001E-2</v>
      </c>
      <c r="T75" s="37">
        <f t="shared" ca="1" si="28"/>
        <v>0.4763088875435223</v>
      </c>
      <c r="U75">
        <f t="shared" ca="1" si="19"/>
        <v>0.56181888444210537</v>
      </c>
    </row>
    <row r="76" spans="1:21" x14ac:dyDescent="0.35">
      <c r="A76">
        <v>83</v>
      </c>
      <c r="B76" s="4">
        <f t="shared" si="15"/>
        <v>63.161117049293217</v>
      </c>
      <c r="C76" s="37">
        <f t="shared" si="16"/>
        <v>63.051117049293211</v>
      </c>
      <c r="E76" s="4">
        <f>IF(AND(ENTRADAS!$E$15&gt;8,ENTRADAS!$E$15&lt;=9),9,0)</f>
        <v>0</v>
      </c>
      <c r="F76" s="4">
        <f t="shared" si="17"/>
        <v>0</v>
      </c>
      <c r="G76" s="4">
        <f t="shared" si="18"/>
        <v>0</v>
      </c>
      <c r="H76" s="4">
        <f>IF(E76=0,0,IF(AND(ENTRADAS!$G$25&gt;=F76,ENTRADAS!$G$25&lt;=G76),1,0))</f>
        <v>0</v>
      </c>
      <c r="I76" s="4">
        <f t="shared" si="20"/>
        <v>2.1686746987951806</v>
      </c>
      <c r="J76">
        <v>0.47899999999999998</v>
      </c>
      <c r="K76">
        <v>0.24328</v>
      </c>
      <c r="L76">
        <f t="shared" si="21"/>
        <v>9.2126729885315759E-3</v>
      </c>
      <c r="M76">
        <f t="shared" si="22"/>
        <v>1.7434179586487037E-4</v>
      </c>
      <c r="N76">
        <f t="shared" si="23"/>
        <v>1.7421692439327003E-4</v>
      </c>
      <c r="O76">
        <f ca="1">CÁLCULOS!$F$79</f>
        <v>2.3856883989574178</v>
      </c>
      <c r="P76">
        <f t="shared" si="24"/>
        <v>2.2412590846499617E-3</v>
      </c>
      <c r="Q76">
        <f t="shared" ca="1" si="25"/>
        <v>4.1241728832006004E-4</v>
      </c>
      <c r="R76">
        <f t="shared" ca="1" si="26"/>
        <v>2.6536763729700218E-3</v>
      </c>
      <c r="S76">
        <f t="shared" si="27"/>
        <v>3.9390000000000001E-2</v>
      </c>
      <c r="T76" s="37">
        <f t="shared" ca="1" si="28"/>
        <v>0.47634632362702994</v>
      </c>
      <c r="U76">
        <f t="shared" ca="1" si="19"/>
        <v>0.55400341815658405</v>
      </c>
    </row>
    <row r="77" spans="1:21" x14ac:dyDescent="0.35">
      <c r="A77">
        <v>84</v>
      </c>
      <c r="B77" s="4">
        <f t="shared" si="15"/>
        <v>63.928605960598439</v>
      </c>
      <c r="C77" s="37">
        <f t="shared" si="16"/>
        <v>63.818605960598433</v>
      </c>
      <c r="E77" s="4">
        <f>IF(AND(ENTRADAS!$E$15&gt;8,ENTRADAS!$E$15&lt;=9),9,0)</f>
        <v>0</v>
      </c>
      <c r="F77" s="4">
        <f t="shared" si="17"/>
        <v>0</v>
      </c>
      <c r="G77" s="4">
        <f t="shared" si="18"/>
        <v>0</v>
      </c>
      <c r="H77" s="4">
        <f>IF(E77=0,0,IF(AND(ENTRADAS!$G$25&gt;=F77,ENTRADAS!$G$25&lt;=G77),1,0))</f>
        <v>0</v>
      </c>
      <c r="I77" s="4">
        <f t="shared" si="20"/>
        <v>2.1428571428571428</v>
      </c>
      <c r="J77">
        <v>0.47899999999999998</v>
      </c>
      <c r="K77">
        <v>0.24328</v>
      </c>
      <c r="L77">
        <f t="shared" si="21"/>
        <v>9.1028953546777331E-3</v>
      </c>
      <c r="M77">
        <f t="shared" si="22"/>
        <v>1.7021382437159963E-4</v>
      </c>
      <c r="N77">
        <f t="shared" si="23"/>
        <v>1.7009479465926819E-4</v>
      </c>
      <c r="O77">
        <f ca="1">CÁLCULOS!$F$79</f>
        <v>2.3856883989574178</v>
      </c>
      <c r="P77">
        <f t="shared" si="24"/>
        <v>2.2145523818859988E-3</v>
      </c>
      <c r="Q77">
        <f t="shared" ca="1" si="25"/>
        <v>4.0269646810934287E-4</v>
      </c>
      <c r="R77">
        <f t="shared" ca="1" si="26"/>
        <v>2.6172488499953414E-3</v>
      </c>
      <c r="S77">
        <f t="shared" si="27"/>
        <v>3.9390000000000001E-2</v>
      </c>
      <c r="T77" s="37">
        <f t="shared" ca="1" si="28"/>
        <v>0.47638275115000461</v>
      </c>
      <c r="U77">
        <f t="shared" ca="1" si="19"/>
        <v>0.54639850730592243</v>
      </c>
    </row>
    <row r="78" spans="1:21" x14ac:dyDescent="0.35">
      <c r="A78">
        <v>85</v>
      </c>
      <c r="B78" s="4">
        <f t="shared" si="15"/>
        <v>64.696086349886485</v>
      </c>
      <c r="C78" s="37">
        <f t="shared" si="16"/>
        <v>64.586086349886486</v>
      </c>
      <c r="E78" s="4">
        <f>IF(AND(ENTRADAS!$E$15&gt;8,ENTRADAS!$E$15&lt;=9),9,0)</f>
        <v>0</v>
      </c>
      <c r="F78" s="4">
        <f t="shared" si="17"/>
        <v>0</v>
      </c>
      <c r="G78" s="4">
        <f t="shared" si="18"/>
        <v>0</v>
      </c>
      <c r="H78" s="4">
        <f>IF(E78=0,0,IF(AND(ENTRADAS!$G$25&gt;=F78,ENTRADAS!$G$25&lt;=G78),1,0))</f>
        <v>0</v>
      </c>
      <c r="I78" s="4">
        <f t="shared" si="20"/>
        <v>2.1176470588235294</v>
      </c>
      <c r="J78">
        <v>0.47899999999999998</v>
      </c>
      <c r="K78">
        <v>0.24328</v>
      </c>
      <c r="L78">
        <f t="shared" si="21"/>
        <v>8.9957042963967598E-3</v>
      </c>
      <c r="M78">
        <f t="shared" si="22"/>
        <v>1.6623076473355227E-4</v>
      </c>
      <c r="N78">
        <f t="shared" si="23"/>
        <v>1.6611723911885993E-4</v>
      </c>
      <c r="O78">
        <f ca="1">CÁLCULOS!$F$79</f>
        <v>2.3856883989574178</v>
      </c>
      <c r="P78">
        <f t="shared" si="24"/>
        <v>2.1884749412274039E-3</v>
      </c>
      <c r="Q78">
        <f t="shared" ca="1" si="25"/>
        <v>3.9331528710940524E-4</v>
      </c>
      <c r="R78">
        <f t="shared" ca="1" si="26"/>
        <v>2.5817902283368091E-3</v>
      </c>
      <c r="S78">
        <f t="shared" si="27"/>
        <v>3.9390000000000001E-2</v>
      </c>
      <c r="T78" s="37">
        <f t="shared" ca="1" si="28"/>
        <v>0.47641820977166316</v>
      </c>
      <c r="U78">
        <f t="shared" ca="1" si="19"/>
        <v>0.53899587230413826</v>
      </c>
    </row>
    <row r="79" spans="1:21" x14ac:dyDescent="0.35">
      <c r="A79">
        <v>86</v>
      </c>
      <c r="B79" s="4">
        <f t="shared" si="15"/>
        <v>65.463558514544729</v>
      </c>
      <c r="C79" s="37">
        <f t="shared" si="16"/>
        <v>65.35355851454473</v>
      </c>
      <c r="E79" s="4">
        <f>IF(AND(ENTRADAS!$E$15&gt;8,ENTRADAS!$E$15&lt;=9),9,0)</f>
        <v>0</v>
      </c>
      <c r="F79" s="4">
        <f t="shared" si="17"/>
        <v>0</v>
      </c>
      <c r="G79" s="4">
        <f t="shared" si="18"/>
        <v>0</v>
      </c>
      <c r="H79" s="4">
        <f>IF(E79=0,0,IF(AND(ENTRADAS!$G$25&gt;=F79,ENTRADAS!$G$25&lt;=G79),1,0))</f>
        <v>0</v>
      </c>
      <c r="I79" s="4">
        <f t="shared" si="20"/>
        <v>2.0930232558139537</v>
      </c>
      <c r="J79">
        <v>0.47899999999999998</v>
      </c>
      <c r="K79">
        <v>0.24328</v>
      </c>
      <c r="L79">
        <f t="shared" si="21"/>
        <v>8.8910094208926056E-3</v>
      </c>
      <c r="M79">
        <f t="shared" si="22"/>
        <v>1.6238591180329744E-4</v>
      </c>
      <c r="N79">
        <f t="shared" si="23"/>
        <v>1.622775757775877E-4</v>
      </c>
      <c r="O79">
        <f ca="1">CÁLCULOS!$F$79</f>
        <v>2.3856883989574178</v>
      </c>
      <c r="P79">
        <f t="shared" si="24"/>
        <v>2.1630047719147531E-3</v>
      </c>
      <c r="Q79">
        <f t="shared" ca="1" si="25"/>
        <v>3.8425810703344792E-4</v>
      </c>
      <c r="R79">
        <f t="shared" ca="1" si="26"/>
        <v>2.5472628789482009E-3</v>
      </c>
      <c r="S79">
        <f t="shared" si="27"/>
        <v>3.9390000000000001E-2</v>
      </c>
      <c r="T79" s="37">
        <f t="shared" ca="1" si="28"/>
        <v>0.47645273712105179</v>
      </c>
      <c r="U79">
        <f t="shared" ca="1" si="19"/>
        <v>0.53178765740045653</v>
      </c>
    </row>
    <row r="80" spans="1:21" x14ac:dyDescent="0.35">
      <c r="A80">
        <v>87</v>
      </c>
      <c r="B80" s="4">
        <f t="shared" si="15"/>
        <v>66.231022738281453</v>
      </c>
      <c r="C80" s="37">
        <f t="shared" si="16"/>
        <v>66.121022738281454</v>
      </c>
      <c r="E80" s="4">
        <f>IF(AND(ENTRADAS!$E$15&gt;7,ENTRADAS!$E$15&lt;=8),8,0)</f>
        <v>8</v>
      </c>
      <c r="F80" s="4">
        <f t="shared" si="17"/>
        <v>8.4042424462409961</v>
      </c>
      <c r="G80" s="4">
        <f t="shared" si="18"/>
        <v>53.072819441307352</v>
      </c>
      <c r="H80" s="4">
        <f>IF(E80=0,0,IF(AND(ENTRADAS!$G$25&gt;=F80,ENTRADAS!$G$25&lt;=G80),1,0))</f>
        <v>1</v>
      </c>
      <c r="I80" s="4">
        <f t="shared" si="20"/>
        <v>2.0689655172413794</v>
      </c>
      <c r="J80">
        <v>0.47899999999999998</v>
      </c>
      <c r="K80">
        <v>0.24328</v>
      </c>
      <c r="L80">
        <f t="shared" si="21"/>
        <v>8.7887245005997313E-3</v>
      </c>
      <c r="M80">
        <f t="shared" si="22"/>
        <v>1.5867294385588484E-4</v>
      </c>
      <c r="N80">
        <f t="shared" si="23"/>
        <v>1.5856950423225166E-4</v>
      </c>
      <c r="O80">
        <f ca="1">CÁLCULOS!$F$79</f>
        <v>2.3856883989574178</v>
      </c>
      <c r="P80">
        <f t="shared" si="24"/>
        <v>2.1381208965059028E-3</v>
      </c>
      <c r="Q80">
        <f t="shared" ca="1" si="25"/>
        <v>3.7551017930152406E-4</v>
      </c>
      <c r="R80">
        <f t="shared" ca="1" si="26"/>
        <v>2.5136310758074269E-3</v>
      </c>
      <c r="S80">
        <f t="shared" si="27"/>
        <v>3.9390000000000001E-2</v>
      </c>
      <c r="T80" s="37">
        <f t="shared" ca="1" si="28"/>
        <v>0.47648636892419255</v>
      </c>
      <c r="U80">
        <f t="shared" ca="1" si="19"/>
        <v>0.52476640413516329</v>
      </c>
    </row>
    <row r="81" spans="1:21" x14ac:dyDescent="0.35">
      <c r="A81">
        <v>88</v>
      </c>
      <c r="B81" s="4">
        <f t="shared" si="15"/>
        <v>66.998479291903521</v>
      </c>
      <c r="C81" s="37">
        <f t="shared" si="16"/>
        <v>66.888479291903522</v>
      </c>
      <c r="E81" s="4">
        <f>IF(AND(ENTRADAS!$E$15&gt;7,ENTRADAS!$E$15&lt;=8),8,0)</f>
        <v>8</v>
      </c>
      <c r="F81" s="4">
        <f t="shared" si="17"/>
        <v>8.4042424462409961</v>
      </c>
      <c r="G81" s="4">
        <f t="shared" si="18"/>
        <v>53.072819441307352</v>
      </c>
      <c r="H81" s="4">
        <f>IF(E81=0,0,IF(AND(ENTRADAS!$G$25&gt;=F81,ENTRADAS!$G$25&lt;=G81),1,0))</f>
        <v>1</v>
      </c>
      <c r="I81" s="4">
        <f t="shared" si="20"/>
        <v>2.0454545454545454</v>
      </c>
      <c r="J81">
        <v>0.47899999999999998</v>
      </c>
      <c r="K81">
        <v>0.24328</v>
      </c>
      <c r="L81">
        <f t="shared" si="21"/>
        <v>8.6887672359022526E-3</v>
      </c>
      <c r="M81">
        <f t="shared" si="22"/>
        <v>1.550858965729969E-4</v>
      </c>
      <c r="N81">
        <f t="shared" si="23"/>
        <v>1.5498707981873814E-4</v>
      </c>
      <c r="O81">
        <f ca="1">CÁLCULOS!$F$79</f>
        <v>2.3856883989574178</v>
      </c>
      <c r="P81">
        <f t="shared" si="24"/>
        <v>2.1138032931503001E-3</v>
      </c>
      <c r="Q81">
        <f t="shared" ca="1" si="25"/>
        <v>3.6705758498961649E-4</v>
      </c>
      <c r="R81">
        <f t="shared" ca="1" si="26"/>
        <v>2.4808608781399163E-3</v>
      </c>
      <c r="S81">
        <f t="shared" si="27"/>
        <v>3.9390000000000001E-2</v>
      </c>
      <c r="T81" s="37">
        <f t="shared" ca="1" si="28"/>
        <v>0.47651913912186006</v>
      </c>
      <c r="U81">
        <f t="shared" ca="1" si="19"/>
        <v>0.51792502675154972</v>
      </c>
    </row>
    <row r="82" spans="1:21" x14ac:dyDescent="0.35">
      <c r="A82">
        <v>89</v>
      </c>
      <c r="B82" s="4">
        <f t="shared" si="15"/>
        <v>67.765928434041541</v>
      </c>
      <c r="C82" s="37">
        <f t="shared" si="16"/>
        <v>67.655928434041542</v>
      </c>
      <c r="E82" s="4">
        <f>IF(AND(ENTRADAS!$E$15&gt;7,ENTRADAS!$E$15&lt;=8),8,0)</f>
        <v>8</v>
      </c>
      <c r="F82" s="4">
        <f t="shared" si="17"/>
        <v>8.4042424462409961</v>
      </c>
      <c r="G82" s="4">
        <f t="shared" si="18"/>
        <v>53.072819441307352</v>
      </c>
      <c r="H82" s="4">
        <f>IF(E82=0,0,IF(AND(ENTRADAS!$G$25&gt;=F82,ENTRADAS!$G$25&lt;=G82),1,0))</f>
        <v>1</v>
      </c>
      <c r="I82" s="4">
        <f t="shared" si="20"/>
        <v>2.0224719101123596</v>
      </c>
      <c r="J82">
        <v>0.47899999999999998</v>
      </c>
      <c r="K82">
        <v>0.24328</v>
      </c>
      <c r="L82">
        <f t="shared" si="21"/>
        <v>8.5910590338975756E-3</v>
      </c>
      <c r="M82">
        <f t="shared" si="22"/>
        <v>1.5161913906371643E-4</v>
      </c>
      <c r="N82">
        <f t="shared" si="23"/>
        <v>1.5152468978018728E-4</v>
      </c>
      <c r="O82">
        <f ca="1">CÁLCULOS!$F$79</f>
        <v>2.3856883989574178</v>
      </c>
      <c r="P82">
        <f t="shared" si="24"/>
        <v>2.0900328417666021E-3</v>
      </c>
      <c r="Q82">
        <f t="shared" ca="1" si="25"/>
        <v>3.588871794542252E-4</v>
      </c>
      <c r="R82">
        <f t="shared" ca="1" si="26"/>
        <v>2.4489200212208274E-3</v>
      </c>
      <c r="S82">
        <f t="shared" si="27"/>
        <v>3.9390000000000001E-2</v>
      </c>
      <c r="T82" s="37">
        <f t="shared" ca="1" si="28"/>
        <v>0.47655107997877916</v>
      </c>
      <c r="U82">
        <f t="shared" ca="1" si="19"/>
        <v>0.5112567893989195</v>
      </c>
    </row>
    <row r="83" spans="1:21" ht="13.5" thickBot="1" x14ac:dyDescent="0.45">
      <c r="A83" s="12">
        <v>90</v>
      </c>
      <c r="B83" s="4">
        <f t="shared" si="15"/>
        <v>68.53337041182661</v>
      </c>
      <c r="C83" s="37">
        <f t="shared" si="16"/>
        <v>68.42337041182661</v>
      </c>
      <c r="D83" s="12"/>
      <c r="E83" s="194">
        <f>IF(AND(ENTRADAS!$E$15&gt;7,ENTRADAS!$E$15&lt;=8),8,0)</f>
        <v>8</v>
      </c>
      <c r="F83" s="4">
        <f t="shared" si="17"/>
        <v>8.4042424462409961</v>
      </c>
      <c r="G83" s="4">
        <f t="shared" si="18"/>
        <v>53.072819441307352</v>
      </c>
      <c r="H83" s="4">
        <f>IF(E83=0,0,IF(AND(ENTRADAS!$G$25&gt;=F83,ENTRADAS!$G$25&lt;=G83),1,0))</f>
        <v>1</v>
      </c>
      <c r="I83" s="4">
        <f t="shared" si="20"/>
        <v>2</v>
      </c>
      <c r="J83">
        <v>0.47899999999999998</v>
      </c>
      <c r="K83">
        <v>0.24328</v>
      </c>
      <c r="L83">
        <f t="shared" si="21"/>
        <v>8.4955248019523873E-3</v>
      </c>
      <c r="M83">
        <f t="shared" si="22"/>
        <v>1.4826735174169558E-4</v>
      </c>
      <c r="N83">
        <f t="shared" si="23"/>
        <v>1.4817703127706431E-4</v>
      </c>
      <c r="O83">
        <f ca="1">CÁLCULOS!$F$79</f>
        <v>2.3856883989574178</v>
      </c>
      <c r="P83">
        <f t="shared" si="24"/>
        <v>2.0667912738189767E-3</v>
      </c>
      <c r="Q83">
        <f t="shared" ca="1" si="25"/>
        <v>3.5098654122105481E-4</v>
      </c>
      <c r="R83">
        <f t="shared" ca="1" si="26"/>
        <v>2.4177778150400314E-3</v>
      </c>
      <c r="S83">
        <f t="shared" si="27"/>
        <v>3.9390000000000001E-2</v>
      </c>
      <c r="T83" s="37">
        <f t="shared" ca="1" si="28"/>
        <v>0.47658222218495994</v>
      </c>
      <c r="U83">
        <f t="shared" ca="1" si="19"/>
        <v>0.50475528497704492</v>
      </c>
    </row>
    <row r="84" spans="1:21" ht="13.15" thickBot="1" x14ac:dyDescent="0.4">
      <c r="A84">
        <v>91</v>
      </c>
      <c r="B84" s="4">
        <f t="shared" si="15"/>
        <v>69.300805461522543</v>
      </c>
      <c r="C84" s="37">
        <f t="shared" si="16"/>
        <v>69.190805461522544</v>
      </c>
      <c r="G84" s="34" t="s">
        <v>840</v>
      </c>
      <c r="H84" s="616">
        <f>SUM(H5:H83)</f>
        <v>4</v>
      </c>
      <c r="I84" s="4">
        <f t="shared" si="20"/>
        <v>1.9780219780219781</v>
      </c>
      <c r="J84">
        <v>0.47899999999999998</v>
      </c>
      <c r="K84">
        <v>0.24328</v>
      </c>
      <c r="L84">
        <f t="shared" si="21"/>
        <v>8.4020927549093866E-3</v>
      </c>
      <c r="M84">
        <f t="shared" si="22"/>
        <v>1.450255058962573E-4</v>
      </c>
      <c r="N84">
        <f t="shared" si="23"/>
        <v>1.4493909107823321E-4</v>
      </c>
      <c r="O84">
        <f ca="1">CÁLCULOS!$F$79</f>
        <v>2.3856883989574178</v>
      </c>
      <c r="P84">
        <f t="shared" si="24"/>
        <v>2.0440611254143553E-3</v>
      </c>
      <c r="Q84">
        <f t="shared" ca="1" si="25"/>
        <v>3.4334392476667044E-4</v>
      </c>
      <c r="R84">
        <f t="shared" ca="1" si="26"/>
        <v>2.3874050501810256E-3</v>
      </c>
      <c r="S84">
        <f t="shared" si="27"/>
        <v>3.9390000000000001E-2</v>
      </c>
      <c r="T84" s="37">
        <f t="shared" ca="1" si="28"/>
        <v>0.47661259494981895</v>
      </c>
      <c r="U84">
        <f t="shared" ca="1" si="19"/>
        <v>0.49841441548664617</v>
      </c>
    </row>
    <row r="85" spans="1:21" x14ac:dyDescent="0.35">
      <c r="A85">
        <v>92</v>
      </c>
      <c r="B85" s="4">
        <f t="shared" si="15"/>
        <v>70.06823380911672</v>
      </c>
      <c r="C85" s="37">
        <f t="shared" si="16"/>
        <v>69.95823380911672</v>
      </c>
      <c r="I85" s="4">
        <f t="shared" si="20"/>
        <v>1.9565217391304348</v>
      </c>
      <c r="J85">
        <v>0.47899999999999998</v>
      </c>
      <c r="K85">
        <v>0.24328</v>
      </c>
      <c r="L85">
        <f t="shared" si="21"/>
        <v>8.3106942349027851E-3</v>
      </c>
      <c r="M85">
        <f t="shared" si="22"/>
        <v>1.4188884481078641E-4</v>
      </c>
      <c r="N85">
        <f t="shared" si="23"/>
        <v>1.4180612678777233E-4</v>
      </c>
      <c r="O85">
        <f ca="1">CÁLCULOS!$F$79</f>
        <v>2.3856883989574178</v>
      </c>
      <c r="P85">
        <f t="shared" si="24"/>
        <v>2.0218256934671497E-3</v>
      </c>
      <c r="Q85">
        <f t="shared" ca="1" si="25"/>
        <v>3.3594821685793512E-4</v>
      </c>
      <c r="R85">
        <f t="shared" ca="1" si="26"/>
        <v>2.3577739103250849E-3</v>
      </c>
      <c r="S85">
        <f t="shared" si="27"/>
        <v>3.9390000000000001E-2</v>
      </c>
      <c r="T85" s="37">
        <f t="shared" ca="1" si="28"/>
        <v>0.47664222608967488</v>
      </c>
      <c r="U85">
        <f t="shared" ca="1" si="19"/>
        <v>0.49222837376306905</v>
      </c>
    </row>
    <row r="86" spans="1:21" x14ac:dyDescent="0.35">
      <c r="A86">
        <v>93</v>
      </c>
      <c r="B86" s="4">
        <f t="shared" si="15"/>
        <v>70.835655670872853</v>
      </c>
      <c r="C86" s="37">
        <f t="shared" si="16"/>
        <v>70.725655670872854</v>
      </c>
      <c r="I86" s="4">
        <f t="shared" si="20"/>
        <v>1.935483870967742</v>
      </c>
      <c r="J86">
        <v>0.47899999999999998</v>
      </c>
      <c r="K86">
        <v>0.24328</v>
      </c>
      <c r="L86">
        <f t="shared" si="21"/>
        <v>8.2212635428304971E-3</v>
      </c>
      <c r="M86">
        <f t="shared" si="22"/>
        <v>1.3885286629589604E-4</v>
      </c>
      <c r="N86">
        <f t="shared" si="23"/>
        <v>1.3877364947623957E-4</v>
      </c>
      <c r="O86">
        <f ca="1">CÁLCULOS!$F$79</f>
        <v>2.3856883989574178</v>
      </c>
      <c r="P86">
        <f t="shared" si="24"/>
        <v>2.0000689946998032E-3</v>
      </c>
      <c r="Q86">
        <f t="shared" ca="1" si="25"/>
        <v>3.287888961461588E-4</v>
      </c>
      <c r="R86">
        <f t="shared" ca="1" si="26"/>
        <v>2.3288578908459623E-3</v>
      </c>
      <c r="S86">
        <f t="shared" si="27"/>
        <v>3.9390000000000001E-2</v>
      </c>
      <c r="T86" s="37">
        <f t="shared" ca="1" si="28"/>
        <v>0.47667114210915401</v>
      </c>
      <c r="U86">
        <f t="shared" ca="1" si="19"/>
        <v>0.4861916264814134</v>
      </c>
    </row>
    <row r="87" spans="1:21" x14ac:dyDescent="0.35">
      <c r="A87">
        <v>94</v>
      </c>
      <c r="B87" s="4">
        <f t="shared" si="15"/>
        <v>71.603071253848455</v>
      </c>
      <c r="C87" s="37">
        <f t="shared" si="16"/>
        <v>71.493071253848456</v>
      </c>
      <c r="I87" s="4">
        <f t="shared" si="20"/>
        <v>1.9148936170212767</v>
      </c>
      <c r="J87">
        <v>0.47899999999999998</v>
      </c>
      <c r="K87">
        <v>0.24328</v>
      </c>
      <c r="L87">
        <f t="shared" si="21"/>
        <v>8.1337377806123615E-3</v>
      </c>
      <c r="M87">
        <f t="shared" si="22"/>
        <v>1.3591330651749025E-4</v>
      </c>
      <c r="N87">
        <f t="shared" si="23"/>
        <v>1.3583740759758986E-4</v>
      </c>
      <c r="O87">
        <f ca="1">CÁLCULOS!$F$79</f>
        <v>2.3856883989574178</v>
      </c>
      <c r="P87">
        <f t="shared" si="24"/>
        <v>1.9787757272673751E-3</v>
      </c>
      <c r="Q87">
        <f t="shared" ca="1" si="25"/>
        <v>3.2185599574162643E-4</v>
      </c>
      <c r="R87">
        <f t="shared" ca="1" si="26"/>
        <v>2.3006317230090017E-3</v>
      </c>
      <c r="S87">
        <f t="shared" si="27"/>
        <v>3.9390000000000001E-2</v>
      </c>
      <c r="T87" s="37">
        <f t="shared" ca="1" si="28"/>
        <v>0.476699368276991</v>
      </c>
      <c r="U87">
        <f t="shared" ca="1" si="19"/>
        <v>0.48029889833172934</v>
      </c>
    </row>
    <row r="88" spans="1:21" x14ac:dyDescent="0.35">
      <c r="A88">
        <v>95</v>
      </c>
      <c r="B88" s="4">
        <f t="shared" si="15"/>
        <v>72.370480756379536</v>
      </c>
      <c r="C88" s="37">
        <f t="shared" si="16"/>
        <v>72.260480756379536</v>
      </c>
      <c r="I88" s="4">
        <f t="shared" si="20"/>
        <v>1.8947368421052631</v>
      </c>
      <c r="J88">
        <v>0.47899999999999998</v>
      </c>
      <c r="K88">
        <v>0.24328</v>
      </c>
      <c r="L88">
        <f t="shared" si="21"/>
        <v>8.0480567034371554E-3</v>
      </c>
      <c r="M88">
        <f t="shared" si="22"/>
        <v>1.3306612501115086E-4</v>
      </c>
      <c r="N88">
        <f t="shared" si="23"/>
        <v>1.329933720841296E-4</v>
      </c>
      <c r="O88">
        <f ca="1">CÁLCULOS!$F$79</f>
        <v>2.3856883989574178</v>
      </c>
      <c r="P88">
        <f t="shared" si="24"/>
        <v>1.957931234812191E-3</v>
      </c>
      <c r="Q88">
        <f t="shared" ca="1" si="25"/>
        <v>3.1514006851990654E-4</v>
      </c>
      <c r="R88">
        <f t="shared" ca="1" si="26"/>
        <v>2.2730713033320975E-3</v>
      </c>
      <c r="S88">
        <f t="shared" si="27"/>
        <v>3.9390000000000001E-2</v>
      </c>
      <c r="T88" s="37">
        <f t="shared" ca="1" si="28"/>
        <v>0.47672692869666788</v>
      </c>
      <c r="U88">
        <f t="shared" ca="1" si="19"/>
        <v>0.47454515727183655</v>
      </c>
    </row>
    <row r="89" spans="1:21" x14ac:dyDescent="0.35">
      <c r="A89">
        <v>96</v>
      </c>
      <c r="B89" s="4">
        <f t="shared" si="15"/>
        <v>73.137884368535168</v>
      </c>
      <c r="C89" s="37">
        <f t="shared" si="16"/>
        <v>73.027884368535169</v>
      </c>
      <c r="I89" s="4">
        <f t="shared" si="20"/>
        <v>1.875</v>
      </c>
      <c r="J89">
        <v>0.47899999999999998</v>
      </c>
      <c r="K89">
        <v>0.24328</v>
      </c>
      <c r="L89">
        <f t="shared" si="21"/>
        <v>7.9641625812679698E-3</v>
      </c>
      <c r="M89">
        <f t="shared" si="22"/>
        <v>1.3030749078441473E-4</v>
      </c>
      <c r="N89">
        <f t="shared" si="23"/>
        <v>1.3023772252192541E-4</v>
      </c>
      <c r="O89">
        <f ca="1">CÁLCULOS!$F$79</f>
        <v>2.3856883989574178</v>
      </c>
      <c r="P89">
        <f t="shared" si="24"/>
        <v>1.9375214727708717E-3</v>
      </c>
      <c r="Q89">
        <f t="shared" ca="1" si="25"/>
        <v>3.0863215493443533E-4</v>
      </c>
      <c r="R89">
        <f t="shared" ca="1" si="26"/>
        <v>2.2461536277053069E-3</v>
      </c>
      <c r="S89">
        <f t="shared" si="27"/>
        <v>3.9390000000000001E-2</v>
      </c>
      <c r="T89" s="37">
        <f t="shared" ca="1" si="28"/>
        <v>0.47675384637229468</v>
      </c>
      <c r="U89">
        <f t="shared" ca="1" si="19"/>
        <v>0.46892560077355017</v>
      </c>
    </row>
    <row r="90" spans="1:21" x14ac:dyDescent="0.35">
      <c r="A90">
        <v>97</v>
      </c>
      <c r="B90" s="4">
        <f t="shared" si="15"/>
        <v>73.905282272543644</v>
      </c>
      <c r="C90" s="37">
        <f t="shared" si="16"/>
        <v>73.795282272543645</v>
      </c>
      <c r="I90" s="4">
        <f t="shared" si="20"/>
        <v>1.8556701030927836</v>
      </c>
      <c r="J90">
        <v>0.47899999999999998</v>
      </c>
      <c r="K90">
        <v>0.24328</v>
      </c>
      <c r="L90">
        <f t="shared" si="21"/>
        <v>7.8820000689358276E-3</v>
      </c>
      <c r="M90">
        <f t="shared" si="22"/>
        <v>1.2763376941759942E-4</v>
      </c>
      <c r="N90">
        <f t="shared" si="23"/>
        <v>1.2756683431807921E-4</v>
      </c>
      <c r="O90">
        <f ca="1">CÁLCULOS!$F$79</f>
        <v>2.3856883989574178</v>
      </c>
      <c r="P90">
        <f t="shared" si="24"/>
        <v>1.9175329767707082E-3</v>
      </c>
      <c r="Q90">
        <f t="shared" ca="1" si="25"/>
        <v>3.023237531305865E-4</v>
      </c>
      <c r="R90">
        <f t="shared" ca="1" si="26"/>
        <v>2.2198567299012949E-3</v>
      </c>
      <c r="S90">
        <f t="shared" si="27"/>
        <v>3.9390000000000001E-2</v>
      </c>
      <c r="T90" s="37">
        <f t="shared" ca="1" si="28"/>
        <v>0.47678014327009871</v>
      </c>
      <c r="U90">
        <f t="shared" ca="1" si="19"/>
        <v>0.46343564298565149</v>
      </c>
    </row>
    <row r="91" spans="1:21" x14ac:dyDescent="0.35">
      <c r="A91">
        <v>98</v>
      </c>
      <c r="B91" s="4">
        <f t="shared" si="15"/>
        <v>74.672674643192835</v>
      </c>
      <c r="C91" s="37">
        <f t="shared" si="16"/>
        <v>74.562674643192835</v>
      </c>
      <c r="I91" s="4">
        <f t="shared" si="20"/>
        <v>1.8367346938775511</v>
      </c>
      <c r="J91">
        <v>0.47899999999999998</v>
      </c>
      <c r="K91">
        <v>0.24328</v>
      </c>
      <c r="L91">
        <f t="shared" si="21"/>
        <v>7.8015160842064089E-3</v>
      </c>
      <c r="M91">
        <f t="shared" si="22"/>
        <v>1.2504151108201004E-4</v>
      </c>
      <c r="N91">
        <f t="shared" si="23"/>
        <v>1.249772667793746E-4</v>
      </c>
      <c r="O91">
        <f ca="1">CÁLCULOS!$F$79</f>
        <v>2.3856883989574178</v>
      </c>
      <c r="P91">
        <f t="shared" si="24"/>
        <v>1.8979528329657351E-3</v>
      </c>
      <c r="Q91">
        <f t="shared" ca="1" si="25"/>
        <v>2.9620679117508137E-4</v>
      </c>
      <c r="R91">
        <f t="shared" ca="1" si="26"/>
        <v>2.1941596241408165E-3</v>
      </c>
      <c r="S91">
        <f t="shared" si="27"/>
        <v>3.9390000000000001E-2</v>
      </c>
      <c r="T91" s="37">
        <f t="shared" ca="1" si="28"/>
        <v>0.47680584037585916</v>
      </c>
      <c r="U91">
        <f t="shared" ca="1" si="19"/>
        <v>0.45807090274338702</v>
      </c>
    </row>
    <row r="92" spans="1:21" x14ac:dyDescent="0.35">
      <c r="A92">
        <v>99</v>
      </c>
      <c r="B92" s="4">
        <f t="shared" si="15"/>
        <v>75.440061648205983</v>
      </c>
      <c r="C92" s="37">
        <f t="shared" si="16"/>
        <v>75.330061648205984</v>
      </c>
      <c r="I92" s="4">
        <f t="shared" si="20"/>
        <v>1.8181818181818181</v>
      </c>
      <c r="J92">
        <v>0.47899999999999998</v>
      </c>
      <c r="K92">
        <v>0.24328</v>
      </c>
      <c r="L92">
        <f t="shared" si="21"/>
        <v>7.7226596932545351E-3</v>
      </c>
      <c r="M92">
        <f t="shared" si="22"/>
        <v>1.225274394017053E-4</v>
      </c>
      <c r="N92">
        <f t="shared" si="23"/>
        <v>1.2246575202906967E-4</v>
      </c>
      <c r="O92">
        <f ca="1">CÁLCULOS!$F$79</f>
        <v>2.3856883989574178</v>
      </c>
      <c r="P92">
        <f t="shared" si="24"/>
        <v>1.8787686501749632E-3</v>
      </c>
      <c r="Q92">
        <f t="shared" ca="1" si="25"/>
        <v>2.9027360123134939E-4</v>
      </c>
      <c r="R92">
        <f t="shared" ca="1" si="26"/>
        <v>2.1690422514063128E-3</v>
      </c>
      <c r="S92">
        <f t="shared" si="27"/>
        <v>3.9390000000000001E-2</v>
      </c>
      <c r="T92" s="37">
        <f t="shared" ca="1" si="28"/>
        <v>0.47683095774859369</v>
      </c>
      <c r="U92">
        <f t="shared" ca="1" si="19"/>
        <v>0.45282719236039559</v>
      </c>
    </row>
    <row r="93" spans="1:21" x14ac:dyDescent="0.35">
      <c r="A93">
        <v>100</v>
      </c>
      <c r="B93" s="4">
        <f t="shared" si="15"/>
        <v>76.207443448595228</v>
      </c>
      <c r="C93" s="37">
        <f t="shared" si="16"/>
        <v>76.097443448595229</v>
      </c>
      <c r="I93" s="4">
        <f t="shared" si="20"/>
        <v>1.8</v>
      </c>
      <c r="J93">
        <v>0.47899999999999998</v>
      </c>
      <c r="K93">
        <v>0.24328</v>
      </c>
      <c r="L93">
        <f t="shared" si="21"/>
        <v>7.645382003026468E-3</v>
      </c>
      <c r="M93">
        <f t="shared" si="22"/>
        <v>1.2008844109161987E-4</v>
      </c>
      <c r="N93">
        <f t="shared" si="23"/>
        <v>1.2002918469516777E-4</v>
      </c>
      <c r="O93">
        <f ca="1">CÁLCULOS!$F$79</f>
        <v>2.3856883989574178</v>
      </c>
      <c r="P93">
        <f t="shared" si="24"/>
        <v>1.859968533696279E-3</v>
      </c>
      <c r="Q93">
        <f t="shared" ca="1" si="25"/>
        <v>2.8451689552656627E-4</v>
      </c>
      <c r="R93">
        <f t="shared" ca="1" si="26"/>
        <v>2.1444854292228454E-3</v>
      </c>
      <c r="S93">
        <f t="shared" si="27"/>
        <v>3.9390000000000001E-2</v>
      </c>
      <c r="T93" s="37">
        <f t="shared" ca="1" si="28"/>
        <v>0.47685551457077713</v>
      </c>
      <c r="U93">
        <f t="shared" ca="1" si="19"/>
        <v>0.44770050714464582</v>
      </c>
    </row>
    <row r="94" spans="1:21" x14ac:dyDescent="0.35">
      <c r="A94">
        <v>101</v>
      </c>
      <c r="B94" s="4">
        <f t="shared" si="15"/>
        <v>76.974820198993868</v>
      </c>
      <c r="C94" s="37">
        <f t="shared" si="16"/>
        <v>76.864820198993868</v>
      </c>
      <c r="I94" s="4">
        <f t="shared" si="20"/>
        <v>1.7821782178217822</v>
      </c>
      <c r="J94">
        <v>0.47899999999999998</v>
      </c>
      <c r="K94">
        <v>0.24328</v>
      </c>
      <c r="L94">
        <f t="shared" si="21"/>
        <v>7.5696360600113572E-3</v>
      </c>
      <c r="M94">
        <f t="shared" si="22"/>
        <v>1.1772155631080243E-4</v>
      </c>
      <c r="N94">
        <f t="shared" si="23"/>
        <v>1.1766461230940017E-4</v>
      </c>
      <c r="O94">
        <f ca="1">CÁLCULOS!$F$79</f>
        <v>2.3856883989574178</v>
      </c>
      <c r="P94">
        <f t="shared" si="24"/>
        <v>1.8415410606795629E-3</v>
      </c>
      <c r="Q94">
        <f t="shared" ca="1" si="25"/>
        <v>2.7892974396970921E-4</v>
      </c>
      <c r="R94">
        <f t="shared" ca="1" si="26"/>
        <v>2.1204708046492719E-3</v>
      </c>
      <c r="S94">
        <f t="shared" si="27"/>
        <v>3.9390000000000001E-2</v>
      </c>
      <c r="T94" s="37">
        <f t="shared" ca="1" si="28"/>
        <v>0.4768795291953507</v>
      </c>
      <c r="U94">
        <f t="shared" ca="1" si="19"/>
        <v>0.44268701558440021</v>
      </c>
    </row>
    <row r="95" spans="1:21" x14ac:dyDescent="0.35">
      <c r="A95">
        <v>102</v>
      </c>
      <c r="B95" s="4">
        <f t="shared" si="15"/>
        <v>77.742192047969112</v>
      </c>
      <c r="C95" s="37">
        <f t="shared" si="16"/>
        <v>77.632192047969113</v>
      </c>
      <c r="I95" s="4">
        <f t="shared" si="20"/>
        <v>1.7647058823529411</v>
      </c>
      <c r="J95">
        <v>0.47899999999999998</v>
      </c>
      <c r="K95">
        <v>0.24328</v>
      </c>
      <c r="L95">
        <f t="shared" si="21"/>
        <v>7.4953767549809057E-3</v>
      </c>
      <c r="M95">
        <f t="shared" si="22"/>
        <v>1.1542396967491405E-4</v>
      </c>
      <c r="N95">
        <f t="shared" si="23"/>
        <v>1.1536922636149219E-4</v>
      </c>
      <c r="O95">
        <f ca="1">CÁLCULOS!$F$79</f>
        <v>2.3856883989574178</v>
      </c>
      <c r="P95">
        <f t="shared" si="24"/>
        <v>1.8234752569517548E-3</v>
      </c>
      <c r="Q95">
        <f t="shared" ca="1" si="25"/>
        <v>2.7350555329228412E-4</v>
      </c>
      <c r="R95">
        <f t="shared" ca="1" si="26"/>
        <v>2.096980810244039E-3</v>
      </c>
      <c r="S95">
        <f t="shared" si="27"/>
        <v>3.9390000000000001E-2</v>
      </c>
      <c r="T95" s="37">
        <f t="shared" ca="1" si="28"/>
        <v>0.47690301918975592</v>
      </c>
      <c r="U95">
        <f t="shared" ca="1" si="19"/>
        <v>0.43778305015533708</v>
      </c>
    </row>
    <row r="96" spans="1:21" x14ac:dyDescent="0.35">
      <c r="A96">
        <v>103</v>
      </c>
      <c r="B96" s="4">
        <f t="shared" si="15"/>
        <v>78.509559138316874</v>
      </c>
      <c r="C96" s="37">
        <f t="shared" si="16"/>
        <v>78.399559138316874</v>
      </c>
      <c r="I96" s="4">
        <f t="shared" si="20"/>
        <v>1.7475728155339805</v>
      </c>
      <c r="J96">
        <v>0.47899999999999998</v>
      </c>
      <c r="K96">
        <v>0.24328</v>
      </c>
      <c r="L96">
        <f t="shared" si="21"/>
        <v>7.4225607332905185E-3</v>
      </c>
      <c r="M96">
        <f t="shared" si="22"/>
        <v>1.1319300187698778E-4</v>
      </c>
      <c r="N96">
        <f t="shared" si="23"/>
        <v>1.1314035395809279E-4</v>
      </c>
      <c r="O96">
        <f ca="1">CÁLCULOS!$F$79</f>
        <v>2.3856883989574178</v>
      </c>
      <c r="P96">
        <f t="shared" si="24"/>
        <v>1.8057605751949173E-3</v>
      </c>
      <c r="Q96">
        <f t="shared" ca="1" si="25"/>
        <v>2.6823804759447807E-4</v>
      </c>
      <c r="R96">
        <f t="shared" ca="1" si="26"/>
        <v>2.0739986227893952E-3</v>
      </c>
      <c r="S96">
        <f t="shared" si="27"/>
        <v>3.9390000000000001E-2</v>
      </c>
      <c r="T96" s="37">
        <f t="shared" ca="1" si="28"/>
        <v>0.47692600137721058</v>
      </c>
      <c r="U96">
        <f t="shared" ca="1" si="19"/>
        <v>0.43298509870342317</v>
      </c>
    </row>
    <row r="97" spans="1:21" x14ac:dyDescent="0.35">
      <c r="A97">
        <v>104</v>
      </c>
      <c r="B97" s="4">
        <f t="shared" si="15"/>
        <v>79.276921607339119</v>
      </c>
      <c r="C97" s="37">
        <f t="shared" si="16"/>
        <v>79.16692160733912</v>
      </c>
      <c r="I97" s="4">
        <f t="shared" si="20"/>
        <v>1.7307692307692308</v>
      </c>
      <c r="J97">
        <v>0.47899999999999998</v>
      </c>
      <c r="K97">
        <v>0.24328</v>
      </c>
      <c r="L97">
        <f t="shared" si="21"/>
        <v>7.3511463103667378E-3</v>
      </c>
      <c r="M97">
        <f t="shared" si="22"/>
        <v>1.1102610186985102E-4</v>
      </c>
      <c r="N97">
        <f t="shared" si="23"/>
        <v>1.1097545004011135E-4</v>
      </c>
      <c r="O97">
        <f ca="1">CÁLCULOS!$F$79</f>
        <v>2.3856883989574178</v>
      </c>
      <c r="P97">
        <f t="shared" si="24"/>
        <v>1.7883868743860199E-3</v>
      </c>
      <c r="Q97">
        <f t="shared" ca="1" si="25"/>
        <v>2.6312125018956482E-4</v>
      </c>
      <c r="R97">
        <f t="shared" ca="1" si="26"/>
        <v>2.0515081245755847E-3</v>
      </c>
      <c r="S97">
        <f t="shared" si="27"/>
        <v>3.9390000000000001E-2</v>
      </c>
      <c r="T97" s="37">
        <f t="shared" ca="1" si="28"/>
        <v>0.47694849187542437</v>
      </c>
      <c r="U97">
        <f t="shared" ca="1" si="19"/>
        <v>0.42828979636233971</v>
      </c>
    </row>
    <row r="98" spans="1:21" x14ac:dyDescent="0.35">
      <c r="A98">
        <v>105</v>
      </c>
      <c r="B98" s="4">
        <f t="shared" si="15"/>
        <v>80.044279587105692</v>
      </c>
      <c r="C98" s="37">
        <f t="shared" si="16"/>
        <v>79.934279587105692</v>
      </c>
      <c r="I98" s="4">
        <f t="shared" si="20"/>
        <v>1.7142857142857142</v>
      </c>
      <c r="J98">
        <v>0.47899999999999998</v>
      </c>
      <c r="K98">
        <v>0.24328</v>
      </c>
      <c r="L98">
        <f t="shared" si="21"/>
        <v>7.2810933920343275E-3</v>
      </c>
      <c r="M98">
        <f t="shared" si="22"/>
        <v>1.089208395675879E-4</v>
      </c>
      <c r="N98">
        <f t="shared" si="23"/>
        <v>1.0887209011614374E-4</v>
      </c>
      <c r="O98">
        <f ca="1">CÁLCULOS!$F$79</f>
        <v>2.3856883989574178</v>
      </c>
      <c r="P98">
        <f t="shared" si="24"/>
        <v>1.7713444004141112E-3</v>
      </c>
      <c r="Q98">
        <f t="shared" ca="1" si="25"/>
        <v>2.5814946664848743E-4</v>
      </c>
      <c r="R98">
        <f t="shared" ca="1" si="26"/>
        <v>2.0294938670625986E-3</v>
      </c>
      <c r="S98">
        <f t="shared" si="27"/>
        <v>3.9390000000000001E-2</v>
      </c>
      <c r="T98" s="37">
        <f t="shared" ca="1" si="28"/>
        <v>0.4769705061329374</v>
      </c>
      <c r="U98">
        <f t="shared" ca="1" si="19"/>
        <v>0.42369391796713607</v>
      </c>
    </row>
    <row r="99" spans="1:21" x14ac:dyDescent="0.35">
      <c r="A99">
        <v>106</v>
      </c>
      <c r="B99" s="4">
        <f t="shared" si="15"/>
        <v>80.811633204701238</v>
      </c>
      <c r="C99" s="37">
        <f t="shared" si="16"/>
        <v>80.701633204701238</v>
      </c>
      <c r="I99" s="4">
        <f t="shared" si="20"/>
        <v>1.6981132075471699</v>
      </c>
      <c r="J99">
        <v>0.47899999999999998</v>
      </c>
      <c r="K99">
        <v>0.24328</v>
      </c>
      <c r="L99">
        <f t="shared" si="21"/>
        <v>7.2123633993626405E-3</v>
      </c>
      <c r="M99">
        <f t="shared" si="22"/>
        <v>1.0687489902702463E-4</v>
      </c>
      <c r="N99">
        <f t="shared" si="23"/>
        <v>1.0682796347324567E-4</v>
      </c>
      <c r="O99">
        <f ca="1">CÁLCULOS!$F$79</f>
        <v>2.3856883989574178</v>
      </c>
      <c r="P99">
        <f t="shared" si="24"/>
        <v>1.7546237677969431E-3</v>
      </c>
      <c r="Q99">
        <f t="shared" ca="1" si="25"/>
        <v>2.5331726895480323E-4</v>
      </c>
      <c r="R99">
        <f t="shared" ca="1" si="26"/>
        <v>2.0079410367517462E-3</v>
      </c>
      <c r="S99">
        <f t="shared" si="27"/>
        <v>3.9390000000000001E-2</v>
      </c>
      <c r="T99" s="37">
        <f t="shared" ca="1" si="28"/>
        <v>0.47699205896324826</v>
      </c>
      <c r="U99">
        <f t="shared" ca="1" si="19"/>
        <v>0.41919437092937911</v>
      </c>
    </row>
    <row r="100" spans="1:21" x14ac:dyDescent="0.35">
      <c r="A100">
        <v>107</v>
      </c>
      <c r="B100" s="4">
        <f t="shared" si="15"/>
        <v>81.57898258245811</v>
      </c>
      <c r="C100" s="37">
        <f t="shared" si="16"/>
        <v>81.468982582458111</v>
      </c>
      <c r="I100" s="4">
        <f t="shared" si="20"/>
        <v>1.6822429906542056</v>
      </c>
      <c r="J100">
        <v>0.47899999999999998</v>
      </c>
      <c r="K100">
        <v>0.24328</v>
      </c>
      <c r="L100">
        <f t="shared" si="21"/>
        <v>7.1449191977349166E-3</v>
      </c>
      <c r="M100">
        <f t="shared" si="22"/>
        <v>1.0488607207348993E-4</v>
      </c>
      <c r="N100">
        <f t="shared" si="23"/>
        <v>1.0484086682955165E-4</v>
      </c>
      <c r="O100">
        <f ca="1">CÁLCULOS!$F$79</f>
        <v>2.3856883989574178</v>
      </c>
      <c r="P100">
        <f t="shared" si="24"/>
        <v>1.7382159424249506E-3</v>
      </c>
      <c r="Q100">
        <f t="shared" ca="1" si="25"/>
        <v>2.4861948068766567E-4</v>
      </c>
      <c r="R100">
        <f t="shared" ca="1" si="26"/>
        <v>1.9868354231126163E-3</v>
      </c>
      <c r="S100">
        <f t="shared" si="27"/>
        <v>3.9390000000000001E-2</v>
      </c>
      <c r="T100" s="37">
        <f t="shared" ca="1" si="28"/>
        <v>0.47701316457688736</v>
      </c>
      <c r="U100">
        <f t="shared" ca="1" si="19"/>
        <v>0.41478818854125699</v>
      </c>
    </row>
    <row r="101" spans="1:21" x14ac:dyDescent="0.35">
      <c r="A101">
        <v>108</v>
      </c>
      <c r="B101" s="4">
        <f t="shared" si="15"/>
        <v>82.346327838176535</v>
      </c>
      <c r="C101" s="37">
        <f t="shared" si="16"/>
        <v>82.236327838176535</v>
      </c>
      <c r="I101" s="4">
        <f t="shared" si="20"/>
        <v>1.6666666666666667</v>
      </c>
      <c r="J101">
        <v>0.47899999999999998</v>
      </c>
      <c r="K101">
        <v>0.24328</v>
      </c>
      <c r="L101">
        <f t="shared" si="21"/>
        <v>7.0787250298661531E-3</v>
      </c>
      <c r="M101">
        <f t="shared" si="22"/>
        <v>1.0295225233806971E-4</v>
      </c>
      <c r="N101">
        <f t="shared" si="23"/>
        <v>1.0290869839618082E-4</v>
      </c>
      <c r="O101">
        <f ca="1">CÁLCULOS!$F$79</f>
        <v>2.3856883989574178</v>
      </c>
      <c r="P101">
        <f t="shared" si="24"/>
        <v>1.7221122252658377E-3</v>
      </c>
      <c r="Q101">
        <f t="shared" ca="1" si="25"/>
        <v>2.4405116315732046E-4</v>
      </c>
      <c r="R101">
        <f t="shared" ca="1" si="26"/>
        <v>1.9661633884231582E-3</v>
      </c>
      <c r="S101">
        <f t="shared" si="27"/>
        <v>3.9390000000000001E-2</v>
      </c>
      <c r="T101" s="37">
        <f t="shared" ca="1" si="28"/>
        <v>0.47703383661157683</v>
      </c>
      <c r="U101">
        <f t="shared" ca="1" si="19"/>
        <v>0.41047252367915404</v>
      </c>
    </row>
    <row r="102" spans="1:21" x14ac:dyDescent="0.35">
      <c r="A102">
        <v>109</v>
      </c>
      <c r="B102" s="4">
        <f t="shared" si="15"/>
        <v>83.11366908533266</v>
      </c>
      <c r="C102" s="37">
        <f t="shared" si="16"/>
        <v>83.00366908533266</v>
      </c>
      <c r="I102" s="4">
        <f t="shared" si="20"/>
        <v>1.6513761467889909</v>
      </c>
      <c r="J102">
        <v>0.47899999999999998</v>
      </c>
      <c r="K102">
        <v>0.24328</v>
      </c>
      <c r="L102">
        <f t="shared" si="21"/>
        <v>7.0137464525154214E-3</v>
      </c>
      <c r="M102">
        <f t="shared" si="22"/>
        <v>1.0107142967627288E-4</v>
      </c>
      <c r="N102">
        <f t="shared" si="23"/>
        <v>1.0102945231854611E-4</v>
      </c>
      <c r="O102">
        <f ca="1">CÁLCULOS!$F$79</f>
        <v>2.3856883989574178</v>
      </c>
      <c r="P102">
        <f t="shared" si="24"/>
        <v>1.7063042369679516E-3</v>
      </c>
      <c r="Q102">
        <f t="shared" ca="1" si="25"/>
        <v>2.3960760242377948E-4</v>
      </c>
      <c r="R102">
        <f t="shared" ca="1" si="26"/>
        <v>1.9459118393917311E-3</v>
      </c>
      <c r="S102">
        <f t="shared" si="27"/>
        <v>3.9390000000000001E-2</v>
      </c>
      <c r="T102" s="37">
        <f t="shared" ca="1" si="28"/>
        <v>0.47705408816060824</v>
      </c>
      <c r="U102">
        <f t="shared" ca="1" si="19"/>
        <v>0.40624464287927875</v>
      </c>
    </row>
    <row r="103" spans="1:21" x14ac:dyDescent="0.35">
      <c r="A103">
        <v>110</v>
      </c>
      <c r="B103" s="4">
        <f t="shared" si="15"/>
        <v>83.881006433274962</v>
      </c>
      <c r="C103" s="37">
        <f t="shared" si="16"/>
        <v>83.771006433274962</v>
      </c>
      <c r="I103" s="4">
        <f t="shared" si="20"/>
        <v>1.6363636363636365</v>
      </c>
      <c r="J103">
        <v>0.47899999999999998</v>
      </c>
      <c r="K103">
        <v>0.24328</v>
      </c>
      <c r="L103">
        <f t="shared" si="21"/>
        <v>6.9499502766569741E-3</v>
      </c>
      <c r="M103">
        <f t="shared" si="22"/>
        <v>9.9241684940475235E-5</v>
      </c>
      <c r="N103">
        <f t="shared" si="23"/>
        <v>9.9201213469613921E-5</v>
      </c>
      <c r="O103">
        <f ca="1">CÁLCULOS!$F$79</f>
        <v>2.3856883989574178</v>
      </c>
      <c r="P103">
        <f t="shared" si="24"/>
        <v>1.6907839033051086E-3</v>
      </c>
      <c r="Q103">
        <f t="shared" ca="1" si="25"/>
        <v>2.3528429713496056E-4</v>
      </c>
      <c r="R103">
        <f t="shared" ca="1" si="26"/>
        <v>1.9260682004400692E-3</v>
      </c>
      <c r="S103">
        <f t="shared" si="27"/>
        <v>3.9390000000000001E-2</v>
      </c>
      <c r="T103" s="37">
        <f t="shared" ca="1" si="28"/>
        <v>0.47707393179955992</v>
      </c>
      <c r="U103">
        <f t="shared" ca="1" si="19"/>
        <v>0.40210192075992829</v>
      </c>
    </row>
    <row r="104" spans="1:21" x14ac:dyDescent="0.35">
      <c r="A104">
        <v>111</v>
      </c>
      <c r="B104" s="4">
        <f t="shared" ref="B104:B125" si="29">(1.205/TAN(PI()/A104)-0.24)*2</f>
        <v>84.648339987410438</v>
      </c>
      <c r="C104" s="37">
        <f t="shared" si="16"/>
        <v>84.538339987410438</v>
      </c>
      <c r="I104" s="4">
        <f t="shared" ref="I104:I125" si="30">180/A104</f>
        <v>1.6216216216216217</v>
      </c>
      <c r="J104">
        <v>0.47899999999999998</v>
      </c>
      <c r="K104">
        <v>0.24328</v>
      </c>
      <c r="L104">
        <f t="shared" ref="L104:L125" si="31">K104*TAN(PI()*I104/180)</f>
        <v>6.8873045108915325E-3</v>
      </c>
      <c r="M104">
        <f t="shared" ref="M104:M125" si="32">L104*SIN(PI()*(I104/2)/180)</f>
        <v>9.7461185080741973E-5</v>
      </c>
      <c r="N104">
        <f t="shared" ref="N104:N125" si="33">M104*COS(PI()*(I104)/180)</f>
        <v>9.74221525698772E-5</v>
      </c>
      <c r="O104">
        <f ca="1">CÁLCULOS!$F$79</f>
        <v>2.3856883989574178</v>
      </c>
      <c r="P104">
        <f t="shared" ref="P104:P125" si="34">L104*K104</f>
        <v>1.675543441409692E-3</v>
      </c>
      <c r="Q104">
        <f t="shared" ref="Q104:Q125" ca="1" si="35">(O104-(2*L104))*N104</f>
        <v>2.3107694712570508E-4</v>
      </c>
      <c r="R104">
        <f t="shared" ref="R104:R125" ca="1" si="36">P104+Q104</f>
        <v>1.9066203885353971E-3</v>
      </c>
      <c r="S104">
        <f t="shared" si="27"/>
        <v>3.9390000000000001E-2</v>
      </c>
      <c r="T104" s="37">
        <f t="shared" ref="T104:T125" ca="1" si="37">IF($U$1="X",J104-R104-S104,J104-R104)</f>
        <v>0.47709337961146459</v>
      </c>
      <c r="U104">
        <f t="shared" ref="U104:U125" ca="1" si="38">(J104-T104)/J104*100</f>
        <v>0.39804183476730609</v>
      </c>
    </row>
    <row r="105" spans="1:21" x14ac:dyDescent="0.35">
      <c r="A105">
        <v>112</v>
      </c>
      <c r="B105" s="4">
        <f t="shared" si="29"/>
        <v>85.415669849380564</v>
      </c>
      <c r="C105" s="37">
        <f t="shared" si="16"/>
        <v>85.305669849380564</v>
      </c>
      <c r="I105" s="4">
        <f t="shared" si="30"/>
        <v>1.6071428571428572</v>
      </c>
      <c r="J105">
        <v>0.47899999999999998</v>
      </c>
      <c r="K105">
        <v>0.24328</v>
      </c>
      <c r="L105">
        <f t="shared" si="31"/>
        <v>6.8257783078948557E-3</v>
      </c>
      <c r="M105">
        <f t="shared" si="32"/>
        <v>9.5728178550662688E-5</v>
      </c>
      <c r="N105">
        <f t="shared" si="33"/>
        <v>9.5690521610822447E-5</v>
      </c>
      <c r="O105">
        <f ca="1">CÁLCULOS!$F$79</f>
        <v>2.3856883989574178</v>
      </c>
      <c r="P105">
        <f t="shared" si="34"/>
        <v>1.6605753467446604E-3</v>
      </c>
      <c r="Q105">
        <f t="shared" ca="1" si="35"/>
        <v>2.269814427237586E-4</v>
      </c>
      <c r="R105">
        <f t="shared" ca="1" si="36"/>
        <v>1.8875567894684189E-3</v>
      </c>
      <c r="S105">
        <f t="shared" si="27"/>
        <v>3.9390000000000001E-2</v>
      </c>
      <c r="T105" s="37">
        <f t="shared" ca="1" si="37"/>
        <v>0.47711244321053159</v>
      </c>
      <c r="U105">
        <f t="shared" ca="1" si="38"/>
        <v>0.39406196022304635</v>
      </c>
    </row>
    <row r="106" spans="1:21" x14ac:dyDescent="0.35">
      <c r="A106">
        <v>113</v>
      </c>
      <c r="B106" s="4">
        <f t="shared" si="29"/>
        <v>86.182996117227859</v>
      </c>
      <c r="C106" s="37">
        <f t="shared" si="16"/>
        <v>86.072996117227859</v>
      </c>
      <c r="I106" s="4">
        <f t="shared" si="30"/>
        <v>1.5929203539823009</v>
      </c>
      <c r="J106">
        <v>0.47899999999999998</v>
      </c>
      <c r="K106">
        <v>0.24328</v>
      </c>
      <c r="L106">
        <f t="shared" si="31"/>
        <v>6.765341913714978E-3</v>
      </c>
      <c r="M106">
        <f t="shared" si="32"/>
        <v>9.4040990996685918E-5</v>
      </c>
      <c r="N106">
        <f t="shared" si="33"/>
        <v>9.4004649560510539E-5</v>
      </c>
      <c r="O106">
        <f ca="1">CÁLCULOS!$F$79</f>
        <v>2.3856883989574178</v>
      </c>
      <c r="P106">
        <f t="shared" si="34"/>
        <v>1.6458723807685799E-3</v>
      </c>
      <c r="Q106">
        <f t="shared" ca="1" si="35"/>
        <v>2.2299385471305589E-4</v>
      </c>
      <c r="R106">
        <f t="shared" ca="1" si="36"/>
        <v>1.8688662354816358E-3</v>
      </c>
      <c r="S106">
        <f t="shared" si="27"/>
        <v>3.9390000000000001E-2</v>
      </c>
      <c r="T106" s="37">
        <f t="shared" ca="1" si="37"/>
        <v>0.47713113376451832</v>
      </c>
      <c r="U106">
        <f t="shared" ca="1" si="38"/>
        <v>0.39015996565379102</v>
      </c>
    </row>
    <row r="107" spans="1:21" x14ac:dyDescent="0.35">
      <c r="A107">
        <v>114</v>
      </c>
      <c r="B107" s="4">
        <f t="shared" si="29"/>
        <v>86.950318885553941</v>
      </c>
      <c r="C107" s="37">
        <f t="shared" si="16"/>
        <v>86.840318885553941</v>
      </c>
      <c r="I107" s="4">
        <f t="shared" si="30"/>
        <v>1.5789473684210527</v>
      </c>
      <c r="J107">
        <v>0.47899999999999998</v>
      </c>
      <c r="K107">
        <v>0.24328</v>
      </c>
      <c r="L107">
        <f t="shared" si="31"/>
        <v>6.7059666197428775E-3</v>
      </c>
      <c r="M107">
        <f t="shared" si="32"/>
        <v>9.2398021211133292E-5</v>
      </c>
      <c r="N107">
        <f t="shared" si="33"/>
        <v>9.2362938331571034E-5</v>
      </c>
      <c r="O107">
        <f ca="1">CÁLCULOS!$F$79</f>
        <v>2.3856883989574178</v>
      </c>
      <c r="P107">
        <f t="shared" si="34"/>
        <v>1.6314275592510471E-3</v>
      </c>
      <c r="Q107">
        <f t="shared" ca="1" si="35"/>
        <v>2.1911042490854263E-4</v>
      </c>
      <c r="R107">
        <f t="shared" ca="1" si="36"/>
        <v>1.8505379841595897E-3</v>
      </c>
      <c r="S107">
        <f t="shared" si="27"/>
        <v>3.9390000000000001E-2</v>
      </c>
      <c r="T107" s="37">
        <f t="shared" ca="1" si="37"/>
        <v>0.47714946201584041</v>
      </c>
      <c r="U107">
        <f t="shared" ca="1" si="38"/>
        <v>0.3863336083840444</v>
      </c>
    </row>
    <row r="108" spans="1:21" x14ac:dyDescent="0.35">
      <c r="A108">
        <v>115</v>
      </c>
      <c r="B108" s="4">
        <f t="shared" si="29"/>
        <v>87.717638245669079</v>
      </c>
      <c r="C108" s="37">
        <f t="shared" si="16"/>
        <v>87.607638245669079</v>
      </c>
      <c r="I108" s="4">
        <f t="shared" si="30"/>
        <v>1.5652173913043479</v>
      </c>
      <c r="J108">
        <v>0.47899999999999998</v>
      </c>
      <c r="K108">
        <v>0.24328</v>
      </c>
      <c r="L108">
        <f t="shared" si="31"/>
        <v>6.6476247171934951E-3</v>
      </c>
      <c r="M108">
        <f t="shared" si="32"/>
        <v>9.0797737330618915E-5</v>
      </c>
      <c r="N108">
        <f t="shared" si="33"/>
        <v>9.0763858993444746E-5</v>
      </c>
      <c r="O108">
        <f ca="1">CÁLCULOS!$F$79</f>
        <v>2.3856883989574178</v>
      </c>
      <c r="P108">
        <f t="shared" si="34"/>
        <v>1.6172341411988334E-3</v>
      </c>
      <c r="Q108">
        <f t="shared" ca="1" si="35"/>
        <v>2.1532755730032264E-4</v>
      </c>
      <c r="R108">
        <f t="shared" ca="1" si="36"/>
        <v>1.832561698499156E-3</v>
      </c>
      <c r="S108">
        <f t="shared" si="27"/>
        <v>3.9390000000000001E-2</v>
      </c>
      <c r="T108" s="37">
        <f t="shared" ca="1" si="37"/>
        <v>0.47716743830150082</v>
      </c>
      <c r="U108">
        <f t="shared" ca="1" si="38"/>
        <v>0.38258073037560708</v>
      </c>
    </row>
    <row r="109" spans="1:21" x14ac:dyDescent="0.35">
      <c r="A109">
        <v>116</v>
      </c>
      <c r="B109" s="4">
        <f t="shared" si="29"/>
        <v>88.484954285734119</v>
      </c>
      <c r="C109" s="37">
        <f t="shared" si="16"/>
        <v>88.37495428573412</v>
      </c>
      <c r="I109" s="4">
        <f t="shared" si="30"/>
        <v>1.5517241379310345</v>
      </c>
      <c r="J109">
        <v>0.47899999999999998</v>
      </c>
      <c r="K109">
        <v>0.24328</v>
      </c>
      <c r="L109">
        <f t="shared" si="31"/>
        <v>6.5902894539453076E-3</v>
      </c>
      <c r="M109">
        <f t="shared" si="32"/>
        <v>8.9238673263011112E-5</v>
      </c>
      <c r="N109">
        <f t="shared" si="33"/>
        <v>8.9205948212109698E-5</v>
      </c>
      <c r="O109">
        <f ca="1">CÁLCULOS!$F$79</f>
        <v>2.3856883989574178</v>
      </c>
      <c r="P109">
        <f t="shared" si="34"/>
        <v>1.6032856183558143E-3</v>
      </c>
      <c r="Q109">
        <f t="shared" ca="1" si="35"/>
        <v>2.1164180972816339E-4</v>
      </c>
      <c r="R109">
        <f t="shared" ca="1" si="36"/>
        <v>1.8149274280839778E-3</v>
      </c>
      <c r="S109">
        <f t="shared" si="27"/>
        <v>3.9390000000000001E-2</v>
      </c>
      <c r="T109" s="37">
        <f t="shared" ca="1" si="37"/>
        <v>0.477185072571916</v>
      </c>
      <c r="U109">
        <f t="shared" ca="1" si="38"/>
        <v>0.37889925429728161</v>
      </c>
    </row>
    <row r="110" spans="1:21" x14ac:dyDescent="0.35">
      <c r="A110">
        <v>117</v>
      </c>
      <c r="B110" s="4">
        <f t="shared" si="29"/>
        <v>89.252267090895145</v>
      </c>
      <c r="C110" s="37">
        <f t="shared" si="16"/>
        <v>89.142267090895146</v>
      </c>
      <c r="I110" s="4">
        <f t="shared" si="30"/>
        <v>1.5384615384615385</v>
      </c>
      <c r="J110">
        <v>0.47899999999999998</v>
      </c>
      <c r="K110">
        <v>0.24328</v>
      </c>
      <c r="L110">
        <f t="shared" si="31"/>
        <v>6.5339349935970865E-3</v>
      </c>
      <c r="M110">
        <f t="shared" si="32"/>
        <v>8.771942532736826E-5</v>
      </c>
      <c r="N110">
        <f t="shared" si="33"/>
        <v>8.7687804901811912E-5</v>
      </c>
      <c r="O110">
        <f ca="1">CÁLCULOS!$F$79</f>
        <v>2.3856883989574178</v>
      </c>
      <c r="P110">
        <f t="shared" si="34"/>
        <v>1.5895757052422992E-3</v>
      </c>
      <c r="Q110">
        <f t="shared" ca="1" si="35"/>
        <v>2.0804988605037475E-4</v>
      </c>
      <c r="R110">
        <f t="shared" ca="1" si="36"/>
        <v>1.7976255912926739E-3</v>
      </c>
      <c r="S110">
        <f t="shared" si="27"/>
        <v>3.9390000000000001E-2</v>
      </c>
      <c r="T110" s="37">
        <f t="shared" ca="1" si="37"/>
        <v>0.47720237440870733</v>
      </c>
      <c r="U110">
        <f t="shared" ca="1" si="38"/>
        <v>0.3752871798105743</v>
      </c>
    </row>
    <row r="111" spans="1:21" x14ac:dyDescent="0.35">
      <c r="A111">
        <v>118</v>
      </c>
      <c r="B111" s="4">
        <f t="shared" si="29"/>
        <v>90.019576743411207</v>
      </c>
      <c r="C111" s="37">
        <f t="shared" si="16"/>
        <v>89.909576743411208</v>
      </c>
      <c r="I111" s="4">
        <f t="shared" si="30"/>
        <v>1.5254237288135593</v>
      </c>
      <c r="J111">
        <v>0.47899999999999998</v>
      </c>
      <c r="K111">
        <v>0.24328</v>
      </c>
      <c r="L111">
        <f t="shared" si="31"/>
        <v>6.4785363766100236E-3</v>
      </c>
      <c r="M111">
        <f t="shared" si="32"/>
        <v>8.6238649092460821E-5</v>
      </c>
      <c r="N111">
        <f t="shared" si="33"/>
        <v>8.6208087074493976E-5</v>
      </c>
      <c r="O111">
        <f ca="1">CÁLCULOS!$F$79</f>
        <v>2.3856883989574178</v>
      </c>
      <c r="P111">
        <f t="shared" si="34"/>
        <v>1.5760983297016865E-3</v>
      </c>
      <c r="Q111">
        <f t="shared" ca="1" si="35"/>
        <v>2.0454862877379104E-4</v>
      </c>
      <c r="R111">
        <f t="shared" ca="1" si="36"/>
        <v>1.7806469584754775E-3</v>
      </c>
      <c r="S111">
        <f t="shared" si="27"/>
        <v>3.9390000000000001E-2</v>
      </c>
      <c r="T111" s="37">
        <f t="shared" ca="1" si="37"/>
        <v>0.47721935304152452</v>
      </c>
      <c r="U111">
        <f t="shared" ca="1" si="38"/>
        <v>0.37174258005750782</v>
      </c>
    </row>
    <row r="112" spans="1:21" x14ac:dyDescent="0.35">
      <c r="A112">
        <v>119</v>
      </c>
      <c r="B112" s="4">
        <f t="shared" si="29"/>
        <v>90.786883322775736</v>
      </c>
      <c r="C112" s="37">
        <f t="shared" si="16"/>
        <v>90.676883322775737</v>
      </c>
      <c r="I112" s="4">
        <f t="shared" si="30"/>
        <v>1.5126050420168067</v>
      </c>
      <c r="J112">
        <v>0.47899999999999998</v>
      </c>
      <c r="K112">
        <v>0.24328</v>
      </c>
      <c r="L112">
        <f t="shared" si="31"/>
        <v>6.4240694834123589E-3</v>
      </c>
      <c r="M112">
        <f t="shared" si="32"/>
        <v>8.4795056400578859E-5</v>
      </c>
      <c r="N112">
        <f t="shared" si="33"/>
        <v>8.4765508873694653E-5</v>
      </c>
      <c r="O112">
        <f ca="1">CÁLCULOS!$F$79</f>
        <v>2.3856883989574178</v>
      </c>
      <c r="P112">
        <f t="shared" si="34"/>
        <v>1.5628476239245587E-3</v>
      </c>
      <c r="Q112">
        <f t="shared" ca="1" si="35"/>
        <v>2.0113501211409254E-4</v>
      </c>
      <c r="R112">
        <f t="shared" ca="1" si="36"/>
        <v>1.7639826360386513E-3</v>
      </c>
      <c r="S112">
        <f t="shared" si="27"/>
        <v>3.9390000000000001E-2</v>
      </c>
      <c r="T112" s="37">
        <f t="shared" ca="1" si="37"/>
        <v>0.47723601736396132</v>
      </c>
      <c r="U112">
        <f t="shared" ca="1" si="38"/>
        <v>0.36826359833792555</v>
      </c>
    </row>
    <row r="113" spans="1:21" x14ac:dyDescent="0.35">
      <c r="A113">
        <v>120</v>
      </c>
      <c r="B113" s="4">
        <f t="shared" si="29"/>
        <v>91.554186905831727</v>
      </c>
      <c r="C113" s="37">
        <f t="shared" si="16"/>
        <v>91.444186905831728</v>
      </c>
      <c r="I113" s="4">
        <f t="shared" si="30"/>
        <v>1.5</v>
      </c>
      <c r="J113">
        <v>0.47899999999999998</v>
      </c>
      <c r="K113">
        <v>0.24328</v>
      </c>
      <c r="L113">
        <f t="shared" si="31"/>
        <v>6.370510999351796E-3</v>
      </c>
      <c r="M113">
        <f t="shared" si="32"/>
        <v>8.3387412564316307E-5</v>
      </c>
      <c r="N113">
        <f t="shared" si="33"/>
        <v>8.335883778067762E-5</v>
      </c>
      <c r="O113">
        <f ca="1">CÁLCULOS!$F$79</f>
        <v>2.3856883989574178</v>
      </c>
      <c r="P113">
        <f t="shared" si="34"/>
        <v>1.549817915922305E-3</v>
      </c>
      <c r="Q113">
        <f t="shared" ca="1" si="35"/>
        <v>1.9780613545798594E-4</v>
      </c>
      <c r="R113">
        <f t="shared" ca="1" si="36"/>
        <v>1.747624051380291E-3</v>
      </c>
      <c r="S113">
        <f t="shared" si="27"/>
        <v>3.9390000000000001E-2</v>
      </c>
      <c r="T113" s="37">
        <f t="shared" ca="1" si="37"/>
        <v>0.47725237594861969</v>
      </c>
      <c r="U113">
        <f t="shared" ca="1" si="38"/>
        <v>0.36484844496457042</v>
      </c>
    </row>
    <row r="114" spans="1:21" x14ac:dyDescent="0.35">
      <c r="A114">
        <v>121</v>
      </c>
      <c r="B114" s="4">
        <f t="shared" si="29"/>
        <v>92.321487566881331</v>
      </c>
      <c r="C114" s="37">
        <f t="shared" si="16"/>
        <v>92.211487566881331</v>
      </c>
      <c r="I114" s="4">
        <f t="shared" si="30"/>
        <v>1.4876033057851239</v>
      </c>
      <c r="J114">
        <v>0.47899999999999998</v>
      </c>
      <c r="K114">
        <v>0.24328</v>
      </c>
      <c r="L114">
        <f t="shared" si="31"/>
        <v>6.3178383813886005E-3</v>
      </c>
      <c r="M114">
        <f t="shared" si="32"/>
        <v>8.2014533724936186E-5</v>
      </c>
      <c r="N114">
        <f t="shared" si="33"/>
        <v>8.1986891981454624E-5</v>
      </c>
      <c r="O114">
        <f ca="1">CÁLCULOS!$F$79</f>
        <v>2.3856883989574178</v>
      </c>
      <c r="P114">
        <f t="shared" si="34"/>
        <v>1.5370037214242187E-3</v>
      </c>
      <c r="Q114">
        <f t="shared" ca="1" si="35"/>
        <v>1.9455921720086883E-4</v>
      </c>
      <c r="R114">
        <f t="shared" ca="1" si="36"/>
        <v>1.7315629386250875E-3</v>
      </c>
      <c r="S114">
        <f t="shared" si="27"/>
        <v>3.9390000000000001E-2</v>
      </c>
      <c r="T114" s="37">
        <f t="shared" ca="1" si="37"/>
        <v>0.47726843706137489</v>
      </c>
      <c r="U114">
        <f t="shared" ca="1" si="38"/>
        <v>0.36149539428498673</v>
      </c>
    </row>
    <row r="115" spans="1:21" x14ac:dyDescent="0.35">
      <c r="A115">
        <v>122</v>
      </c>
      <c r="B115" s="4">
        <f t="shared" si="29"/>
        <v>93.088785377790074</v>
      </c>
      <c r="C115" s="37">
        <f t="shared" si="16"/>
        <v>92.978785377790075</v>
      </c>
      <c r="I115" s="4">
        <f t="shared" si="30"/>
        <v>1.4754098360655739</v>
      </c>
      <c r="J115">
        <v>0.47899999999999998</v>
      </c>
      <c r="K115">
        <v>0.24328</v>
      </c>
      <c r="L115">
        <f t="shared" si="31"/>
        <v>6.2660298264293609E-3</v>
      </c>
      <c r="M115">
        <f t="shared" si="32"/>
        <v>8.0675284361759464E-5</v>
      </c>
      <c r="N115">
        <f t="shared" si="33"/>
        <v>8.0648537884201512E-5</v>
      </c>
      <c r="O115">
        <f ca="1">CÁLCULOS!$F$79</f>
        <v>2.3856883989574178</v>
      </c>
      <c r="P115">
        <f t="shared" si="34"/>
        <v>1.5243997361737349E-3</v>
      </c>
      <c r="Q115">
        <f t="shared" ca="1" si="35"/>
        <v>1.9139158893553669E-4</v>
      </c>
      <c r="R115">
        <f t="shared" ca="1" si="36"/>
        <v>1.7157913251092715E-3</v>
      </c>
      <c r="S115">
        <f t="shared" si="27"/>
        <v>3.9390000000000001E-2</v>
      </c>
      <c r="T115" s="37">
        <f t="shared" ca="1" si="37"/>
        <v>0.47728420867489069</v>
      </c>
      <c r="U115">
        <f t="shared" ca="1" si="38"/>
        <v>0.35820278185997806</v>
      </c>
    </row>
    <row r="116" spans="1:21" x14ac:dyDescent="0.35">
      <c r="A116">
        <v>123</v>
      </c>
      <c r="B116" s="4">
        <f t="shared" si="29"/>
        <v>93.856080408085802</v>
      </c>
      <c r="C116" s="37">
        <f t="shared" si="16"/>
        <v>93.746080408085803</v>
      </c>
      <c r="I116" s="4">
        <f t="shared" si="30"/>
        <v>1.4634146341463414</v>
      </c>
      <c r="J116">
        <v>0.47899999999999998</v>
      </c>
      <c r="K116">
        <v>0.24328</v>
      </c>
      <c r="L116">
        <f t="shared" si="31"/>
        <v>6.2150642412078239E-3</v>
      </c>
      <c r="M116">
        <f t="shared" si="32"/>
        <v>7.9368574942788409E-5</v>
      </c>
      <c r="N116">
        <f t="shared" si="33"/>
        <v>7.9342687777328227E-5</v>
      </c>
      <c r="O116">
        <f ca="1">CÁLCULOS!$F$79</f>
        <v>2.3856883989574178</v>
      </c>
      <c r="P116">
        <f t="shared" si="34"/>
        <v>1.5120008286010395E-3</v>
      </c>
      <c r="Q116">
        <f t="shared" ca="1" si="35"/>
        <v>1.8830068996926008E-4</v>
      </c>
      <c r="R116">
        <f t="shared" ca="1" si="36"/>
        <v>1.7003015185702995E-3</v>
      </c>
      <c r="S116">
        <f t="shared" si="27"/>
        <v>3.9390000000000001E-2</v>
      </c>
      <c r="T116" s="37">
        <f t="shared" ca="1" si="37"/>
        <v>0.47729969848142967</v>
      </c>
      <c r="U116">
        <f t="shared" ca="1" si="38"/>
        <v>0.35496900178920937</v>
      </c>
    </row>
    <row r="117" spans="1:21" x14ac:dyDescent="0.35">
      <c r="A117">
        <v>124</v>
      </c>
      <c r="B117" s="4">
        <f t="shared" si="29"/>
        <v>94.623372725053045</v>
      </c>
      <c r="C117" s="37">
        <f t="shared" si="16"/>
        <v>94.513372725053046</v>
      </c>
      <c r="I117" s="4">
        <f t="shared" si="30"/>
        <v>1.4516129032258065</v>
      </c>
      <c r="J117">
        <v>0.47899999999999998</v>
      </c>
      <c r="K117">
        <v>0.24328</v>
      </c>
      <c r="L117">
        <f t="shared" si="31"/>
        <v>6.1649212136253703E-3</v>
      </c>
      <c r="M117">
        <f t="shared" si="32"/>
        <v>7.8093359707485626E-5</v>
      </c>
      <c r="N117">
        <f t="shared" si="33"/>
        <v>7.8068297619170762E-5</v>
      </c>
      <c r="O117">
        <f ca="1">CÁLCULOS!$F$79</f>
        <v>2.3856883989574178</v>
      </c>
      <c r="P117">
        <f t="shared" si="34"/>
        <v>1.49980203285078E-3</v>
      </c>
      <c r="Q117">
        <f t="shared" ca="1" si="35"/>
        <v>1.852840621482026E-4</v>
      </c>
      <c r="R117">
        <f t="shared" ca="1" si="36"/>
        <v>1.6850860949989826E-3</v>
      </c>
      <c r="S117">
        <f t="shared" si="27"/>
        <v>3.9390000000000001E-2</v>
      </c>
      <c r="T117" s="37">
        <f t="shared" ca="1" si="37"/>
        <v>0.47731491390500103</v>
      </c>
      <c r="U117">
        <f t="shared" ca="1" si="38"/>
        <v>0.35179250417514729</v>
      </c>
    </row>
    <row r="118" spans="1:21" x14ac:dyDescent="0.35">
      <c r="A118">
        <v>125</v>
      </c>
      <c r="B118" s="4">
        <f t="shared" si="29"/>
        <v>95.390662393822836</v>
      </c>
      <c r="C118" s="37">
        <f t="shared" si="16"/>
        <v>95.280662393822837</v>
      </c>
      <c r="I118" s="4">
        <f t="shared" si="30"/>
        <v>1.44</v>
      </c>
      <c r="J118">
        <v>0.47899999999999998</v>
      </c>
      <c r="K118">
        <v>0.24328</v>
      </c>
      <c r="L118">
        <f t="shared" si="31"/>
        <v>6.1155809854692E-3</v>
      </c>
      <c r="M118">
        <f t="shared" si="32"/>
        <v>7.6848634573278805E-5</v>
      </c>
      <c r="N118">
        <f t="shared" si="33"/>
        <v>7.6824364950916799E-5</v>
      </c>
      <c r="O118">
        <f ca="1">CÁLCULOS!$F$79</f>
        <v>2.3856883989574178</v>
      </c>
      <c r="P118">
        <f t="shared" si="34"/>
        <v>1.487798542144947E-3</v>
      </c>
      <c r="Q118">
        <f t="shared" ca="1" si="35"/>
        <v>1.8233934496964392E-4</v>
      </c>
      <c r="R118">
        <f t="shared" ca="1" si="36"/>
        <v>1.6701378871145909E-3</v>
      </c>
      <c r="S118">
        <f t="shared" si="27"/>
        <v>3.9390000000000001E-2</v>
      </c>
      <c r="T118" s="37">
        <f t="shared" ca="1" si="37"/>
        <v>0.47732986211288542</v>
      </c>
      <c r="U118">
        <f t="shared" ca="1" si="38"/>
        <v>0.34867179271702808</v>
      </c>
    </row>
    <row r="119" spans="1:21" x14ac:dyDescent="0.35">
      <c r="A119">
        <v>126</v>
      </c>
      <c r="B119" s="4">
        <f t="shared" si="29"/>
        <v>96.157949477458047</v>
      </c>
      <c r="C119" s="37">
        <f t="shared" si="16"/>
        <v>96.047949477458047</v>
      </c>
      <c r="I119" s="4">
        <f t="shared" si="30"/>
        <v>1.4285714285714286</v>
      </c>
      <c r="J119">
        <v>0.47899999999999998</v>
      </c>
      <c r="K119">
        <v>0.24328</v>
      </c>
      <c r="L119">
        <f t="shared" si="31"/>
        <v>6.0670244264315913E-3</v>
      </c>
      <c r="M119">
        <f t="shared" si="32"/>
        <v>7.5633435157963685E-5</v>
      </c>
      <c r="N119">
        <f t="shared" si="33"/>
        <v>7.5609926924976486E-5</v>
      </c>
      <c r="O119">
        <f ca="1">CÁLCULOS!$F$79</f>
        <v>2.3856883989574178</v>
      </c>
      <c r="P119">
        <f t="shared" si="34"/>
        <v>1.4759857024622776E-3</v>
      </c>
      <c r="Q119">
        <f t="shared" ca="1" si="35"/>
        <v>1.7946427096386544E-4</v>
      </c>
      <c r="R119">
        <f t="shared" ca="1" si="36"/>
        <v>1.6554499734261429E-3</v>
      </c>
      <c r="S119">
        <f t="shared" si="27"/>
        <v>3.9390000000000001E-2</v>
      </c>
      <c r="T119" s="37">
        <f t="shared" ca="1" si="37"/>
        <v>0.47734455002657383</v>
      </c>
      <c r="U119">
        <f t="shared" ca="1" si="38"/>
        <v>0.34560542242717091</v>
      </c>
    </row>
    <row r="120" spans="1:21" x14ac:dyDescent="0.35">
      <c r="A120">
        <v>127</v>
      </c>
      <c r="B120" s="4">
        <f t="shared" si="29"/>
        <v>96.92523403703494</v>
      </c>
      <c r="C120" s="37">
        <f t="shared" si="16"/>
        <v>96.815234037034941</v>
      </c>
      <c r="I120" s="4">
        <f t="shared" si="30"/>
        <v>1.4173228346456692</v>
      </c>
      <c r="J120">
        <v>0.47899999999999998</v>
      </c>
      <c r="K120">
        <v>0.24328</v>
      </c>
      <c r="L120">
        <f t="shared" si="31"/>
        <v>6.0192330093583888E-3</v>
      </c>
      <c r="M120">
        <f t="shared" si="32"/>
        <v>7.4446834910728984E-5</v>
      </c>
      <c r="N120">
        <f t="shared" si="33"/>
        <v>7.4424058441557126E-5</v>
      </c>
      <c r="O120">
        <f ca="1">CÁLCULOS!$F$79</f>
        <v>2.3856883989574178</v>
      </c>
      <c r="P120">
        <f t="shared" si="34"/>
        <v>1.4643590065167088E-3</v>
      </c>
      <c r="Q120">
        <f t="shared" ca="1" si="35"/>
        <v>1.7665666132882801E-4</v>
      </c>
      <c r="R120">
        <f t="shared" ca="1" si="36"/>
        <v>1.6410156678455367E-3</v>
      </c>
      <c r="S120">
        <f t="shared" si="27"/>
        <v>3.9390000000000001E-2</v>
      </c>
      <c r="T120" s="37">
        <f t="shared" ca="1" si="37"/>
        <v>0.47735898433215446</v>
      </c>
      <c r="U120">
        <f t="shared" ca="1" si="38"/>
        <v>0.34259199746253122</v>
      </c>
    </row>
    <row r="121" spans="1:21" x14ac:dyDescent="0.35">
      <c r="A121">
        <v>128</v>
      </c>
      <c r="B121" s="4">
        <f t="shared" si="29"/>
        <v>97.692516131720765</v>
      </c>
      <c r="C121" s="37">
        <f t="shared" si="16"/>
        <v>97.582516131720766</v>
      </c>
      <c r="I121" s="4">
        <f t="shared" si="30"/>
        <v>1.40625</v>
      </c>
      <c r="J121">
        <v>0.47899999999999998</v>
      </c>
      <c r="K121">
        <v>0.24328</v>
      </c>
      <c r="L121">
        <f t="shared" si="31"/>
        <v>5.9721887866593815E-3</v>
      </c>
      <c r="M121">
        <f t="shared" si="32"/>
        <v>7.3287943345037832E-5</v>
      </c>
      <c r="N121">
        <f t="shared" si="33"/>
        <v>7.3265870386708668E-5</v>
      </c>
      <c r="O121">
        <f ca="1">CÁLCULOS!$F$79</f>
        <v>2.3856883989574178</v>
      </c>
      <c r="P121">
        <f t="shared" si="34"/>
        <v>1.4529140880184942E-3</v>
      </c>
      <c r="Q121">
        <f t="shared" ca="1" si="35"/>
        <v>1.7391442180195201E-4</v>
      </c>
      <c r="R121">
        <f t="shared" ca="1" si="36"/>
        <v>1.6268285098204461E-3</v>
      </c>
      <c r="S121">
        <f t="shared" si="27"/>
        <v>3.9390000000000001E-2</v>
      </c>
      <c r="T121" s="37">
        <f t="shared" ca="1" si="37"/>
        <v>0.47737317149017955</v>
      </c>
      <c r="U121">
        <f t="shared" ca="1" si="38"/>
        <v>0.33963016906480853</v>
      </c>
    </row>
    <row r="122" spans="1:21" x14ac:dyDescent="0.35">
      <c r="A122">
        <v>129</v>
      </c>
      <c r="B122" s="4">
        <f t="shared" si="29"/>
        <v>98.459795818847724</v>
      </c>
      <c r="C122" s="37">
        <f t="shared" si="16"/>
        <v>98.349795818847724</v>
      </c>
      <c r="I122" s="4">
        <f t="shared" si="30"/>
        <v>1.3953488372093024</v>
      </c>
      <c r="J122">
        <v>0.47899999999999998</v>
      </c>
      <c r="K122">
        <v>0.24328</v>
      </c>
      <c r="L122">
        <f t="shared" si="31"/>
        <v>5.9258743678174321E-3</v>
      </c>
      <c r="M122">
        <f t="shared" si="32"/>
        <v>7.215590436706995E-5</v>
      </c>
      <c r="N122">
        <f t="shared" si="33"/>
        <v>7.2134507965573871E-5</v>
      </c>
      <c r="O122">
        <f ca="1">CÁLCULOS!$F$79</f>
        <v>2.3856883989574178</v>
      </c>
      <c r="P122">
        <f t="shared" si="34"/>
        <v>1.441646716202625E-3</v>
      </c>
      <c r="Q122">
        <f t="shared" ca="1" si="35"/>
        <v>1.7123553875439439E-4</v>
      </c>
      <c r="R122">
        <f t="shared" ca="1" si="36"/>
        <v>1.6128822549570194E-3</v>
      </c>
      <c r="S122">
        <f t="shared" si="27"/>
        <v>3.9390000000000001E-2</v>
      </c>
      <c r="T122" s="37">
        <f t="shared" ca="1" si="37"/>
        <v>0.47738711774504294</v>
      </c>
      <c r="U122">
        <f t="shared" ca="1" si="38"/>
        <v>0.33671863360272186</v>
      </c>
    </row>
    <row r="123" spans="1:21" x14ac:dyDescent="0.35">
      <c r="A123">
        <v>130</v>
      </c>
      <c r="B123" s="4">
        <f t="shared" si="29"/>
        <v>99.227073153983611</v>
      </c>
      <c r="C123" s="37">
        <f t="shared" si="16"/>
        <v>99.117073153983611</v>
      </c>
      <c r="I123" s="4">
        <f t="shared" si="30"/>
        <v>1.3846153846153846</v>
      </c>
      <c r="J123">
        <v>0.47899999999999998</v>
      </c>
      <c r="K123">
        <v>0.24328</v>
      </c>
      <c r="L123">
        <f t="shared" si="31"/>
        <v>5.880272897937083E-3</v>
      </c>
      <c r="M123">
        <f t="shared" si="32"/>
        <v>7.1049894693864097E-5</v>
      </c>
      <c r="N123">
        <f t="shared" si="33"/>
        <v>7.1029149125009718E-5</v>
      </c>
      <c r="O123">
        <f ca="1">CÁLCULOS!$F$79</f>
        <v>2.3856883989574178</v>
      </c>
      <c r="P123">
        <f t="shared" si="34"/>
        <v>1.4305527906101334E-3</v>
      </c>
      <c r="Q123">
        <f t="shared" ca="1" si="35"/>
        <v>1.6861807549422547E-4</v>
      </c>
      <c r="R123">
        <f t="shared" ca="1" si="36"/>
        <v>1.5991708661043588E-3</v>
      </c>
      <c r="S123">
        <f t="shared" si="27"/>
        <v>3.9390000000000001E-2</v>
      </c>
      <c r="T123" s="37">
        <f t="shared" ca="1" si="37"/>
        <v>0.47740082913389564</v>
      </c>
      <c r="U123">
        <f t="shared" ca="1" si="38"/>
        <v>0.33385613071071779</v>
      </c>
    </row>
    <row r="124" spans="1:21" x14ac:dyDescent="0.35">
      <c r="A124">
        <v>131</v>
      </c>
      <c r="B124" s="4">
        <f t="shared" si="29"/>
        <v>99.99434819099919</v>
      </c>
      <c r="C124" s="37">
        <f t="shared" si="16"/>
        <v>99.884348190999191</v>
      </c>
      <c r="I124" s="4">
        <f t="shared" si="30"/>
        <v>1.3740458015267176</v>
      </c>
      <c r="J124">
        <v>0.47899999999999998</v>
      </c>
      <c r="K124">
        <v>0.24328</v>
      </c>
      <c r="L124">
        <f t="shared" si="31"/>
        <v>5.8353680372770301E-3</v>
      </c>
      <c r="M124">
        <f t="shared" si="32"/>
        <v>6.9969122355700855E-5</v>
      </c>
      <c r="N124">
        <f t="shared" si="33"/>
        <v>6.9949003060144779E-5</v>
      </c>
      <c r="O124">
        <f ca="1">CÁLCULOS!$F$79</f>
        <v>2.3856883989574178</v>
      </c>
      <c r="P124">
        <f t="shared" si="34"/>
        <v>1.4196283361087559E-3</v>
      </c>
      <c r="Q124">
        <f t="shared" ca="1" si="35"/>
        <v>1.6606016876583119E-4</v>
      </c>
      <c r="R124">
        <f t="shared" ca="1" si="36"/>
        <v>1.585688504874587E-3</v>
      </c>
      <c r="S124">
        <f t="shared" si="27"/>
        <v>3.9390000000000001E-2</v>
      </c>
      <c r="T124" s="37">
        <f t="shared" ca="1" si="37"/>
        <v>0.47741431149512542</v>
      </c>
      <c r="U124">
        <f t="shared" ca="1" si="38"/>
        <v>0.33104144151869741</v>
      </c>
    </row>
    <row r="125" spans="1:21" x14ac:dyDescent="0.35">
      <c r="A125">
        <v>132</v>
      </c>
      <c r="B125" s="4">
        <f t="shared" si="29"/>
        <v>100.76162098213248</v>
      </c>
      <c r="C125" s="37">
        <f t="shared" si="16"/>
        <v>100.65162098213248</v>
      </c>
      <c r="I125" s="4">
        <f t="shared" si="30"/>
        <v>1.3636363636363635</v>
      </c>
      <c r="J125">
        <v>0.47899999999999998</v>
      </c>
      <c r="K125">
        <v>0.24328</v>
      </c>
      <c r="L125">
        <f t="shared" si="31"/>
        <v>5.7911439417141818E-3</v>
      </c>
      <c r="M125">
        <f t="shared" si="32"/>
        <v>6.8912825277637305E-5</v>
      </c>
      <c r="N125">
        <f t="shared" si="33"/>
        <v>6.889330879980721E-5</v>
      </c>
      <c r="O125">
        <f ca="1">CÁLCULOS!$F$79</f>
        <v>2.3856883989574178</v>
      </c>
      <c r="P125">
        <f t="shared" si="34"/>
        <v>1.4088694981402262E-3</v>
      </c>
      <c r="Q125">
        <f t="shared" ca="1" si="35"/>
        <v>1.6356002543372973E-4</v>
      </c>
      <c r="R125">
        <f t="shared" ca="1" si="36"/>
        <v>1.5724295235739559E-3</v>
      </c>
      <c r="S125">
        <f t="shared" si="27"/>
        <v>3.9390000000000001E-2</v>
      </c>
      <c r="T125" s="37">
        <f t="shared" ca="1" si="37"/>
        <v>0.47742757047642603</v>
      </c>
      <c r="U125">
        <f t="shared" ca="1" si="38"/>
        <v>0.32827338696742137</v>
      </c>
    </row>
    <row r="126" spans="1:21" x14ac:dyDescent="0.35">
      <c r="A126">
        <v>133</v>
      </c>
      <c r="B126" s="4">
        <f>(1.205/TAN(PI()/A126)-0.24)*2</f>
        <v>101.52889157805005</v>
      </c>
      <c r="C126" s="37">
        <f t="shared" si="16"/>
        <v>101.41889157805005</v>
      </c>
      <c r="I126" s="4">
        <f>180/A126</f>
        <v>1.3533834586466165</v>
      </c>
      <c r="J126">
        <v>0.47899999999999998</v>
      </c>
      <c r="K126">
        <v>0.24328</v>
      </c>
      <c r="L126">
        <f>K126*TAN(PI()*I126/180)</f>
        <v>5.7475852440902241E-3</v>
      </c>
      <c r="M126">
        <f>L126*SIN(PI()*(I126/2)/180)</f>
        <v>6.7880269935448296E-5</v>
      </c>
      <c r="N126">
        <f>M126*COS(PI()*(I126)/180)</f>
        <v>6.7861333866098768E-5</v>
      </c>
      <c r="O126">
        <f ca="1">CÁLCULOS!$F$79</f>
        <v>2.3856883989574178</v>
      </c>
      <c r="P126">
        <f>L126*K126</f>
        <v>1.3982725381822697E-3</v>
      </c>
      <c r="Q126">
        <f ca="1">(O126-(2*L126))*N126</f>
        <v>1.6111591933978182E-4</v>
      </c>
      <c r="R126">
        <f ca="1">P126+Q126</f>
        <v>1.5593884575220516E-3</v>
      </c>
      <c r="S126">
        <f t="shared" si="27"/>
        <v>3.9390000000000001E-2</v>
      </c>
      <c r="T126" s="37">
        <f ca="1">IF($U$1="X",J126-R126-S126,J126-R126)</f>
        <v>0.47744061154247791</v>
      </c>
      <c r="U126">
        <f ca="1">(J126-T126)/J126*100</f>
        <v>0.32555082620502518</v>
      </c>
    </row>
    <row r="127" spans="1:21" x14ac:dyDescent="0.35">
      <c r="B127" s="4"/>
      <c r="C127" s="4"/>
      <c r="I127" s="4"/>
      <c r="T127" s="37"/>
    </row>
    <row r="128" spans="1:21" x14ac:dyDescent="0.35">
      <c r="B128" s="4"/>
      <c r="C128" s="4"/>
      <c r="I128" s="4"/>
      <c r="T128" s="37"/>
    </row>
    <row r="129" spans="2:20" x14ac:dyDescent="0.35">
      <c r="B129" s="4"/>
      <c r="C129" s="4"/>
      <c r="I129" s="4"/>
      <c r="T129" s="37"/>
    </row>
    <row r="130" spans="2:20" x14ac:dyDescent="0.35">
      <c r="B130" s="4"/>
      <c r="C130" s="4"/>
      <c r="I130" s="4"/>
      <c r="T130" s="37"/>
    </row>
    <row r="131" spans="2:20" x14ac:dyDescent="0.35">
      <c r="B131" s="4"/>
      <c r="C131" s="4"/>
      <c r="I131" s="4"/>
      <c r="T131" s="37"/>
    </row>
    <row r="132" spans="2:20" x14ac:dyDescent="0.35">
      <c r="B132" s="4"/>
      <c r="C132" s="4"/>
      <c r="I132" s="4"/>
      <c r="T132" s="37"/>
    </row>
    <row r="139" spans="2:20" ht="13.15" thickBot="1" x14ac:dyDescent="0.4"/>
    <row r="140" spans="2:20" x14ac:dyDescent="0.35">
      <c r="F140" s="610">
        <f>IF(L2&gt;0,L2,K2)</f>
        <v>47.041150642112115</v>
      </c>
    </row>
    <row r="141" spans="2:20" x14ac:dyDescent="0.35">
      <c r="F141" s="611">
        <f>IF(J2&gt;0,J2,IF(I2&gt;0,I2,D2))</f>
        <v>62</v>
      </c>
    </row>
    <row r="142" spans="2:20" x14ac:dyDescent="0.35">
      <c r="F142" s="612">
        <f>IF(F141&gt;A83,0,VLOOKUP(F141,A5:C83,3,0))</f>
        <v>46.931150642112108</v>
      </c>
    </row>
    <row r="143" spans="2:20" x14ac:dyDescent="0.35">
      <c r="F143" s="612">
        <f>IF(F141&gt;A83,0,VLOOKUP(F141,A5:E83,5,0))</f>
        <v>0</v>
      </c>
    </row>
    <row r="144" spans="2:20" x14ac:dyDescent="0.35">
      <c r="F144" s="614" t="str">
        <f>IF(AND(ENTRADAS!G25&lt;=F142,ENTRADAS!E15&lt;=F143),"sim","não")</f>
        <v>não</v>
      </c>
    </row>
    <row r="145" spans="6:6" ht="13.15" thickBot="1" x14ac:dyDescent="0.4">
      <c r="F145" s="613" t="s">
        <v>842</v>
      </c>
    </row>
    <row r="146" spans="6:6" x14ac:dyDescent="0.35">
      <c r="F146" s="37"/>
    </row>
    <row r="147" spans="6:6" x14ac:dyDescent="0.35">
      <c r="F147" s="37" t="str">
        <f>IF(AND(ENTRADAS!G25&lt;=F142,F148&lt;=F143),"sim","não")</f>
        <v>não</v>
      </c>
    </row>
    <row r="148" spans="6:6" x14ac:dyDescent="0.35">
      <c r="F148" s="615">
        <f>IF(ENTRADAS!E15&lt;=7,"sim",IF(AND(ENTRADAS!E15&gt;7,ENTRADAS!E15&lt;=8),8,IF(AND(ENTRADAS!E15&gt;8,ENTRADAS!E15&lt;=9),9,IF(AND(ENTRADAS!E15&gt;9,ENTRADAS!E15&lt;=10),10,IF(AND(ENTRADAS!E15&gt;10,ENTRADAS!E15&lt;=11),11,IF(AND(ENTRADAS!E15&gt;11,ENTRADAS!E15&lt;=12),12,IF(AND(ENTRADAS!E15&gt;12,ENTRADAS!E15&lt;=13),13,G14)))))))</f>
        <v>8</v>
      </c>
    </row>
  </sheetData>
  <sheetProtection algorithmName="SHA-512" hashValue="Gc42FbcqCYzA/dP3wMXFgGMPH+l9vkrSPYTDwc14FBxCfz5xk7cACU9mHrsAok4iiO4lwZWkNprGUwqSBidt1Q==" saltValue="/lVo/NmUeW+RipL7LYhJdQ==" spinCount="100000" sheet="1"/>
  <mergeCells count="1">
    <mergeCell ref="M1:N1"/>
  </mergeCells>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0644B-10B1-4C53-893D-869576075267}">
  <sheetPr codeName="Planilha7"/>
  <dimension ref="A1:BJ136"/>
  <sheetViews>
    <sheetView showGridLines="0" showZeros="0" zoomScaleNormal="100" workbookViewId="0">
      <selection activeCell="G48" sqref="G48"/>
    </sheetView>
  </sheetViews>
  <sheetFormatPr defaultRowHeight="12.75" x14ac:dyDescent="0.35"/>
  <cols>
    <col min="1" max="1" width="1.3984375" customWidth="1"/>
    <col min="2" max="2" width="1.1328125" customWidth="1"/>
    <col min="3" max="3" width="11.1328125" customWidth="1"/>
    <col min="4" max="4" width="12.3984375" customWidth="1"/>
    <col min="5" max="5" width="10.86328125" customWidth="1"/>
    <col min="6" max="6" width="12.59765625" customWidth="1"/>
    <col min="7" max="7" width="8.3984375" customWidth="1"/>
    <col min="8" max="8" width="6.3984375" customWidth="1"/>
    <col min="9" max="9" width="10" customWidth="1"/>
    <col min="10" max="10" width="9.86328125" customWidth="1"/>
    <col min="11" max="11" width="1.1328125" customWidth="1"/>
    <col min="12" max="12" width="10.86328125" customWidth="1"/>
    <col min="13" max="13" width="5.59765625" customWidth="1"/>
    <col min="14" max="14" width="6.86328125" customWidth="1"/>
    <col min="15" max="15" width="10.59765625" customWidth="1"/>
    <col min="16" max="16" width="2.1328125" customWidth="1"/>
    <col min="17" max="17" width="1.3984375" customWidth="1"/>
    <col min="19" max="19" width="12.59765625" hidden="1" customWidth="1"/>
    <col min="20" max="20" width="4.1328125" hidden="1" customWidth="1"/>
    <col min="21" max="21" width="2" hidden="1" customWidth="1"/>
    <col min="22" max="22" width="13.59765625" hidden="1" customWidth="1"/>
    <col min="23" max="23" width="3" hidden="1" customWidth="1"/>
    <col min="24" max="26" width="8.59765625" hidden="1" customWidth="1"/>
    <col min="27" max="30" width="8.59765625" customWidth="1"/>
  </cols>
  <sheetData>
    <row r="1" spans="1:19" ht="5.25" customHeight="1" x14ac:dyDescent="0.35">
      <c r="A1" s="13"/>
      <c r="B1" s="14"/>
      <c r="C1" s="14"/>
      <c r="D1" s="14"/>
      <c r="E1" s="14"/>
      <c r="F1" s="14"/>
      <c r="G1" s="14"/>
      <c r="H1" s="14"/>
      <c r="I1" s="14"/>
      <c r="J1" s="14"/>
      <c r="K1" s="14"/>
      <c r="L1" s="14"/>
      <c r="M1" s="14"/>
      <c r="N1" s="14"/>
      <c r="O1" s="14"/>
      <c r="P1" s="14"/>
      <c r="Q1" s="15"/>
    </row>
    <row r="2" spans="1:19" x14ac:dyDescent="0.35">
      <c r="A2" s="20"/>
      <c r="B2" s="1533"/>
      <c r="C2" s="1534"/>
      <c r="D2" s="1535"/>
      <c r="E2" s="1546" t="s">
        <v>308</v>
      </c>
      <c r="F2" s="1547"/>
      <c r="G2" s="1547"/>
      <c r="H2" s="1547"/>
      <c r="I2" s="1547"/>
      <c r="J2" s="1547"/>
      <c r="K2" s="1547"/>
      <c r="L2" s="1548"/>
      <c r="M2" s="1338" t="s">
        <v>1</v>
      </c>
      <c r="N2" s="1542"/>
      <c r="O2" s="1543">
        <f>CÁLCULOS!O1</f>
        <v>45638</v>
      </c>
      <c r="P2" s="1544"/>
      <c r="Q2" s="16"/>
    </row>
    <row r="3" spans="1:19" x14ac:dyDescent="0.35">
      <c r="A3" s="20"/>
      <c r="B3" s="1536"/>
      <c r="C3" s="1537"/>
      <c r="D3" s="1538"/>
      <c r="E3" s="1549"/>
      <c r="F3" s="1550"/>
      <c r="G3" s="1550"/>
      <c r="H3" s="1550"/>
      <c r="I3" s="1550"/>
      <c r="J3" s="1550"/>
      <c r="K3" s="1550"/>
      <c r="L3" s="1551"/>
      <c r="M3" s="1338" t="s">
        <v>3</v>
      </c>
      <c r="N3" s="1542"/>
      <c r="O3" s="1542">
        <f>CÁLCULOS!O2</f>
        <v>3</v>
      </c>
      <c r="P3" s="1545"/>
      <c r="Q3" s="16"/>
    </row>
    <row r="4" spans="1:19" x14ac:dyDescent="0.35">
      <c r="A4" s="20"/>
      <c r="B4" s="1536"/>
      <c r="C4" s="1537"/>
      <c r="D4" s="1538"/>
      <c r="E4" s="633" t="s">
        <v>5</v>
      </c>
      <c r="F4" s="10" t="str">
        <f>CÁLCULOS!F3</f>
        <v>Passarelli</v>
      </c>
      <c r="G4" s="10"/>
      <c r="H4" s="10"/>
      <c r="I4" s="10"/>
      <c r="J4" s="10"/>
      <c r="K4" s="10"/>
      <c r="L4" s="658"/>
      <c r="M4" s="1458" t="s">
        <v>843</v>
      </c>
      <c r="N4" s="1534"/>
      <c r="O4" s="1534"/>
      <c r="P4" s="1535"/>
      <c r="Q4" s="16"/>
    </row>
    <row r="5" spans="1:19" x14ac:dyDescent="0.35">
      <c r="A5" s="20"/>
      <c r="B5" s="1539"/>
      <c r="C5" s="1540"/>
      <c r="D5" s="1541"/>
      <c r="E5" s="633" t="s">
        <v>844</v>
      </c>
      <c r="F5" s="10" t="str">
        <f>CÁLCULOS!F4</f>
        <v>12 tqs Nereda</v>
      </c>
      <c r="G5" s="10"/>
      <c r="H5" s="10"/>
      <c r="I5" s="10"/>
      <c r="J5" s="10"/>
      <c r="K5" s="10"/>
      <c r="L5" s="6"/>
      <c r="M5" s="1539" t="str">
        <f>CÁLCULOS!M4</f>
        <v>São Paulo - Tatuapé</v>
      </c>
      <c r="N5" s="1540"/>
      <c r="O5" s="1540"/>
      <c r="P5" s="1541"/>
      <c r="Q5" s="16"/>
    </row>
    <row r="6" spans="1:19" x14ac:dyDescent="0.35">
      <c r="A6" s="20"/>
      <c r="C6" s="627"/>
      <c r="D6" s="627"/>
      <c r="E6" s="627"/>
      <c r="F6" s="627"/>
      <c r="G6" s="627"/>
      <c r="H6" s="627"/>
      <c r="I6" s="627"/>
      <c r="J6" s="627"/>
      <c r="K6" s="627"/>
      <c r="L6" s="627"/>
      <c r="M6" s="627"/>
      <c r="Q6" s="16"/>
    </row>
    <row r="7" spans="1:19" ht="5.25" customHeight="1" x14ac:dyDescent="0.35">
      <c r="A7" s="20"/>
      <c r="B7" s="13"/>
      <c r="C7" s="652"/>
      <c r="D7" s="652"/>
      <c r="E7" s="652"/>
      <c r="F7" s="652"/>
      <c r="G7" s="652"/>
      <c r="H7" s="652"/>
      <c r="I7" s="652"/>
      <c r="J7" s="652"/>
      <c r="K7" s="652"/>
      <c r="L7" s="652"/>
      <c r="M7" s="652"/>
      <c r="N7" s="14"/>
      <c r="O7" s="14"/>
      <c r="P7" s="15"/>
      <c r="Q7" s="16"/>
    </row>
    <row r="8" spans="1:19" ht="13.15" x14ac:dyDescent="0.4">
      <c r="A8" s="20"/>
      <c r="B8" s="20"/>
      <c r="C8" s="420" t="s">
        <v>845</v>
      </c>
      <c r="D8" s="627"/>
      <c r="E8" s="627"/>
      <c r="F8" s="627"/>
      <c r="G8" s="627"/>
      <c r="H8" s="627"/>
      <c r="I8" s="627"/>
      <c r="J8" s="627"/>
      <c r="K8" s="627"/>
      <c r="L8" s="627"/>
      <c r="M8" s="627"/>
      <c r="N8" s="627"/>
      <c r="O8" s="627"/>
      <c r="P8" s="16"/>
      <c r="Q8" s="16"/>
    </row>
    <row r="9" spans="1:19" x14ac:dyDescent="0.35">
      <c r="A9" s="20"/>
      <c r="B9" s="20"/>
      <c r="C9" s="627"/>
      <c r="D9" s="627"/>
      <c r="E9" s="627"/>
      <c r="F9" s="627"/>
      <c r="G9" s="627"/>
      <c r="H9" s="627"/>
      <c r="I9" s="749"/>
      <c r="J9" s="627"/>
      <c r="K9" s="627"/>
      <c r="L9" s="749"/>
      <c r="M9" s="627"/>
      <c r="P9" s="16"/>
      <c r="Q9" s="16"/>
    </row>
    <row r="10" spans="1:19" x14ac:dyDescent="0.35">
      <c r="A10" s="20"/>
      <c r="B10" s="20"/>
      <c r="C10" t="s">
        <v>846</v>
      </c>
      <c r="D10" s="627"/>
      <c r="E10" s="627"/>
      <c r="F10" s="627"/>
      <c r="G10" s="634"/>
      <c r="I10" s="626" t="s">
        <v>35</v>
      </c>
      <c r="J10" s="627" t="s">
        <v>847</v>
      </c>
      <c r="L10" s="626"/>
      <c r="M10" s="627" t="s">
        <v>848</v>
      </c>
      <c r="N10" s="195">
        <f>IF(I10="X",1,0)</f>
        <v>1</v>
      </c>
      <c r="O10" s="195">
        <f>IF(L10="X",1,0)</f>
        <v>0</v>
      </c>
      <c r="P10" s="16"/>
      <c r="Q10" s="16"/>
      <c r="S10" t="str">
        <f>IF(OR(G77&lt;90,G90&lt;90,G103&lt;90),"GUINDASTE MENOR QUE 90 ton,  considerar mínimo 30 dias ?",0)</f>
        <v>GUINDASTE MENOR QUE 90 ton,  considerar mínimo 30 dias ?</v>
      </c>
    </row>
    <row r="11" spans="1:19" x14ac:dyDescent="0.35">
      <c r="A11" s="20"/>
      <c r="B11" s="20"/>
      <c r="D11" s="627"/>
      <c r="E11" s="627"/>
      <c r="F11" s="627"/>
      <c r="G11" s="634"/>
      <c r="I11" s="627"/>
      <c r="J11" s="627"/>
      <c r="N11" s="195"/>
      <c r="O11" s="195"/>
      <c r="P11" s="16"/>
      <c r="Q11" s="16"/>
    </row>
    <row r="12" spans="1:19" x14ac:dyDescent="0.35">
      <c r="A12" s="20"/>
      <c r="B12" s="20"/>
      <c r="C12" t="s">
        <v>849</v>
      </c>
      <c r="D12" s="627"/>
      <c r="E12" s="627"/>
      <c r="F12" s="627"/>
      <c r="G12" s="634"/>
      <c r="I12" s="626" t="s">
        <v>35</v>
      </c>
      <c r="J12" s="627" t="s">
        <v>847</v>
      </c>
      <c r="L12" s="626"/>
      <c r="M12" s="627" t="s">
        <v>848</v>
      </c>
      <c r="N12" s="195">
        <f>IF(I12="X",1,0)</f>
        <v>1</v>
      </c>
      <c r="O12" s="195">
        <f>IF(L12="X",1,0)</f>
        <v>0</v>
      </c>
      <c r="P12" s="16"/>
      <c r="Q12" s="16"/>
      <c r="S12">
        <f>IF(OR(G77&gt;=90,G90&gt;=90,G103&gt;=90),"GUINDASTE MAIOR ou IGUAL à 90 ton,  considerar mínimo 30 dias ?",0)</f>
        <v>0</v>
      </c>
    </row>
    <row r="13" spans="1:19" x14ac:dyDescent="0.35">
      <c r="A13" s="20"/>
      <c r="B13" s="18"/>
      <c r="C13" s="3"/>
      <c r="D13" s="749"/>
      <c r="E13" s="749"/>
      <c r="F13" s="749"/>
      <c r="G13" s="983"/>
      <c r="H13" s="749"/>
      <c r="I13" s="749"/>
      <c r="J13" s="3"/>
      <c r="K13" s="3"/>
      <c r="L13" s="3"/>
      <c r="M13" s="3"/>
      <c r="N13" s="3"/>
      <c r="O13" s="3"/>
      <c r="P13" s="17"/>
      <c r="Q13" s="16"/>
    </row>
    <row r="14" spans="1:19" x14ac:dyDescent="0.35">
      <c r="A14" s="20"/>
      <c r="D14" s="627"/>
      <c r="E14" s="627"/>
      <c r="F14" s="627"/>
      <c r="G14" s="634"/>
      <c r="H14" s="627"/>
      <c r="I14" s="627"/>
      <c r="Q14" s="16"/>
    </row>
    <row r="15" spans="1:19" ht="5.25" customHeight="1" x14ac:dyDescent="0.35">
      <c r="A15" s="20"/>
      <c r="B15" s="13"/>
      <c r="C15" s="14"/>
      <c r="D15" s="14"/>
      <c r="E15" s="14"/>
      <c r="F15" s="14"/>
      <c r="G15" s="14"/>
      <c r="H15" s="14"/>
      <c r="I15" s="14"/>
      <c r="J15" s="14"/>
      <c r="K15" s="14"/>
      <c r="L15" s="14"/>
      <c r="M15" s="14"/>
      <c r="N15" s="14"/>
      <c r="O15" s="14"/>
      <c r="P15" s="15"/>
      <c r="Q15" s="16"/>
    </row>
    <row r="16" spans="1:19" ht="13.15" x14ac:dyDescent="0.4">
      <c r="A16" s="20"/>
      <c r="B16" s="20"/>
      <c r="D16" s="420" t="s">
        <v>850</v>
      </c>
      <c r="E16" s="420"/>
      <c r="P16" s="16"/>
      <c r="Q16" s="16"/>
    </row>
    <row r="17" spans="1:62" ht="6" customHeight="1" x14ac:dyDescent="0.4">
      <c r="A17" s="20"/>
      <c r="B17" s="20"/>
      <c r="D17" s="420"/>
      <c r="E17" s="420"/>
      <c r="P17" s="16"/>
      <c r="Q17" s="16"/>
    </row>
    <row r="18" spans="1:62" ht="7.5" customHeight="1" x14ac:dyDescent="0.35">
      <c r="A18" s="20"/>
      <c r="B18" s="20"/>
      <c r="C18" s="13"/>
      <c r="D18" s="14"/>
      <c r="E18" s="14"/>
      <c r="F18" s="14"/>
      <c r="G18" s="14"/>
      <c r="H18" s="14"/>
      <c r="I18" s="14"/>
      <c r="J18" s="14"/>
      <c r="K18" s="15"/>
      <c r="P18" s="16"/>
      <c r="Q18" s="16"/>
    </row>
    <row r="19" spans="1:62" x14ac:dyDescent="0.35">
      <c r="A19" s="20"/>
      <c r="B19" s="20"/>
      <c r="C19" s="20" t="s">
        <v>851</v>
      </c>
      <c r="F19" s="626" t="s">
        <v>35</v>
      </c>
      <c r="G19" s="627" t="s">
        <v>847</v>
      </c>
      <c r="I19" s="626"/>
      <c r="J19" s="627" t="s">
        <v>848</v>
      </c>
      <c r="K19" s="16"/>
      <c r="P19" s="16"/>
      <c r="Q19" s="16"/>
    </row>
    <row r="20" spans="1:62" ht="15" customHeight="1" x14ac:dyDescent="0.4">
      <c r="A20" s="20"/>
      <c r="B20" s="20"/>
      <c r="C20" s="672">
        <f>IF(ENTRADAS!I15=0,0,IF(ENTRADAS!I15&lt;=7,"Altura do painel menor que 7,00 m, logo não há necessidade do GIRADOR DE PLACAS!",0))</f>
        <v>0</v>
      </c>
      <c r="D20" s="3"/>
      <c r="E20" s="3"/>
      <c r="F20" s="3"/>
      <c r="G20" s="3"/>
      <c r="H20" s="3"/>
      <c r="I20" s="3"/>
      <c r="J20" s="3"/>
      <c r="K20" s="17"/>
      <c r="P20" s="16"/>
      <c r="Q20" s="16"/>
    </row>
    <row r="21" spans="1:62" ht="4.5" customHeight="1" x14ac:dyDescent="0.35">
      <c r="A21" s="20"/>
      <c r="B21" s="20"/>
      <c r="P21" s="16"/>
      <c r="Q21" s="16"/>
    </row>
    <row r="22" spans="1:62" x14ac:dyDescent="0.35">
      <c r="A22" s="20"/>
      <c r="B22" s="20"/>
      <c r="C22" s="633" t="s">
        <v>852</v>
      </c>
      <c r="D22" s="646"/>
      <c r="E22" s="646"/>
      <c r="F22" s="972">
        <f>IF(L63&gt;0,L63,CÁLCULOS!I279)</f>
        <v>70</v>
      </c>
      <c r="G22" s="646" t="s">
        <v>445</v>
      </c>
      <c r="H22" s="629"/>
      <c r="I22" s="645">
        <f>IF(E62="X","guindaste era  "&amp;CÁLCULOS!O279&amp;"  ton., mas você optou por igualar ao da cobertura",0)</f>
        <v>0</v>
      </c>
      <c r="P22" s="16"/>
      <c r="Q22" s="16"/>
    </row>
    <row r="23" spans="1:62" ht="4.5" customHeight="1" x14ac:dyDescent="0.35">
      <c r="A23" s="20"/>
      <c r="B23" s="20"/>
      <c r="I23" s="183"/>
      <c r="P23" s="16"/>
      <c r="Q23" s="16"/>
      <c r="BJ23" s="627" t="s">
        <v>10</v>
      </c>
    </row>
    <row r="24" spans="1:62" x14ac:dyDescent="0.35">
      <c r="A24" s="20"/>
      <c r="B24" s="20"/>
      <c r="C24" s="633" t="s">
        <v>853</v>
      </c>
      <c r="D24" s="646"/>
      <c r="E24" s="646"/>
      <c r="F24" s="972">
        <f>CÁLCULOS!I280</f>
        <v>0</v>
      </c>
      <c r="G24" s="646" t="s">
        <v>445</v>
      </c>
      <c r="H24" s="629"/>
      <c r="I24" s="645">
        <f>IF(I29="X"," &lt;&lt; Você marcou  X  para não utilizar este guind. 2 que era de "&amp;CÁLCULOS!O280&amp;" ton",0)</f>
        <v>0</v>
      </c>
      <c r="P24" s="16"/>
      <c r="Q24" s="16"/>
    </row>
    <row r="25" spans="1:62" ht="6.75" customHeight="1" x14ac:dyDescent="0.35">
      <c r="A25" s="20"/>
      <c r="B25" s="20"/>
      <c r="D25" s="627"/>
      <c r="E25" s="627"/>
      <c r="F25" s="627"/>
      <c r="G25" s="634"/>
      <c r="H25" s="627"/>
      <c r="I25" s="627"/>
      <c r="P25" s="16"/>
      <c r="Q25" s="16"/>
    </row>
    <row r="26" spans="1:62" ht="15.75" customHeight="1" x14ac:dyDescent="0.35">
      <c r="A26" s="20"/>
      <c r="B26" s="20"/>
      <c r="C26" s="636" t="s">
        <v>854</v>
      </c>
      <c r="D26" s="652"/>
      <c r="E26" s="652"/>
      <c r="F26" s="652"/>
      <c r="G26" s="652"/>
      <c r="H26" s="652"/>
      <c r="I26" s="652"/>
      <c r="J26" s="652"/>
      <c r="K26" s="652"/>
      <c r="L26" s="652"/>
      <c r="M26" s="987"/>
      <c r="N26" s="627"/>
      <c r="O26" s="627"/>
      <c r="P26" s="719"/>
      <c r="Q26" s="16"/>
    </row>
    <row r="27" spans="1:62" x14ac:dyDescent="0.35">
      <c r="A27" s="20"/>
      <c r="B27" s="20"/>
      <c r="C27" s="988" t="s">
        <v>855</v>
      </c>
      <c r="D27" s="627"/>
      <c r="E27" s="631">
        <v>70</v>
      </c>
      <c r="F27" s="627" t="s">
        <v>445</v>
      </c>
      <c r="G27" s="627"/>
      <c r="H27" s="627"/>
      <c r="I27" s="627"/>
      <c r="J27" s="627"/>
      <c r="K27" s="627"/>
      <c r="L27" s="627"/>
      <c r="M27" s="719"/>
      <c r="N27" s="627"/>
      <c r="O27" s="627"/>
      <c r="P27" s="719"/>
      <c r="Q27" s="16"/>
    </row>
    <row r="28" spans="1:62" x14ac:dyDescent="0.35">
      <c r="A28" s="20"/>
      <c r="B28" s="20"/>
      <c r="C28" s="988" t="s">
        <v>856</v>
      </c>
      <c r="D28" s="627"/>
      <c r="E28" s="631"/>
      <c r="F28" s="627" t="s">
        <v>445</v>
      </c>
      <c r="G28" s="635"/>
      <c r="H28" s="634"/>
      <c r="I28" s="634"/>
      <c r="J28" s="634"/>
      <c r="K28" s="634"/>
      <c r="L28" s="634"/>
      <c r="M28" s="719"/>
      <c r="N28" s="627"/>
      <c r="O28" s="627"/>
      <c r="P28" s="719"/>
      <c r="Q28" s="16"/>
    </row>
    <row r="29" spans="1:62" x14ac:dyDescent="0.35">
      <c r="A29" s="20"/>
      <c r="B29" s="20"/>
      <c r="C29" s="988">
        <f>IF(F19="X",0,"CASO NÃO QUEIRA O GUINDASTE 2 CALCULADO, MARQUE X:")</f>
        <v>0</v>
      </c>
      <c r="D29" s="627"/>
      <c r="E29" s="627"/>
      <c r="F29" s="627"/>
      <c r="G29" s="627"/>
      <c r="H29" s="627"/>
      <c r="I29" s="626"/>
      <c r="J29" s="195">
        <f>IF(I29="x",1000,0)</f>
        <v>0</v>
      </c>
      <c r="K29" s="195"/>
      <c r="L29" s="195">
        <f>IF(F23&lt;&gt;0,1000,0)</f>
        <v>0</v>
      </c>
      <c r="M29" s="719"/>
      <c r="N29" s="627"/>
      <c r="O29" s="627"/>
      <c r="P29" s="719"/>
      <c r="Q29" s="16"/>
    </row>
    <row r="30" spans="1:62" ht="5.25" customHeight="1" x14ac:dyDescent="0.35">
      <c r="A30" s="20"/>
      <c r="B30" s="20"/>
      <c r="C30" s="637"/>
      <c r="D30" s="749"/>
      <c r="E30" s="749"/>
      <c r="F30" s="749"/>
      <c r="G30" s="749"/>
      <c r="H30" s="749"/>
      <c r="I30" s="749"/>
      <c r="J30" s="198"/>
      <c r="K30" s="198"/>
      <c r="L30" s="198"/>
      <c r="M30" s="748"/>
      <c r="N30" s="627"/>
      <c r="O30" s="627"/>
      <c r="P30" s="719"/>
      <c r="Q30" s="16"/>
    </row>
    <row r="31" spans="1:62" hidden="1" x14ac:dyDescent="0.35">
      <c r="A31" s="544"/>
      <c r="B31" s="544"/>
      <c r="C31" s="636" t="s">
        <v>857</v>
      </c>
      <c r="D31" s="652"/>
      <c r="E31" s="652"/>
      <c r="F31" s="652"/>
      <c r="G31" s="1057">
        <f ca="1">CÁLCULOS!L281</f>
        <v>1</v>
      </c>
      <c r="H31" s="1122" t="s">
        <v>858</v>
      </c>
      <c r="I31" s="1529" t="s">
        <v>859</v>
      </c>
      <c r="J31" s="1529"/>
      <c r="K31" s="1530"/>
      <c r="L31" s="660"/>
      <c r="M31" s="1146" t="s">
        <v>860</v>
      </c>
      <c r="N31" s="195"/>
      <c r="O31" s="195"/>
      <c r="P31" s="719"/>
      <c r="Q31" s="16"/>
    </row>
    <row r="32" spans="1:62" hidden="1" x14ac:dyDescent="0.35">
      <c r="A32" s="544"/>
      <c r="B32" s="544"/>
      <c r="C32" s="1147"/>
      <c r="D32" s="1148"/>
      <c r="E32" s="1148"/>
      <c r="F32" s="650">
        <f ca="1">IF(AND(G31&gt;0,G31&lt;1),"ESTE VALOR É DEVIDO AO RATEAMENTO ENTRE PAREDES E COBERTURAS",0)</f>
        <v>0</v>
      </c>
      <c r="G32" s="1149"/>
      <c r="H32" s="1150"/>
      <c r="I32" s="1151"/>
      <c r="J32" s="1151"/>
      <c r="K32" s="1151"/>
      <c r="L32" s="1151"/>
      <c r="M32" s="1151"/>
      <c r="N32" s="297"/>
      <c r="O32" s="297"/>
      <c r="P32" s="719"/>
      <c r="Q32" s="16"/>
    </row>
    <row r="33" spans="1:17" hidden="1" x14ac:dyDescent="0.35">
      <c r="A33" s="544"/>
      <c r="B33" s="544"/>
      <c r="C33" s="988"/>
      <c r="D33" s="627"/>
      <c r="E33" s="627"/>
      <c r="F33" s="627"/>
      <c r="G33" s="761"/>
      <c r="H33" s="688"/>
      <c r="I33" s="647"/>
      <c r="J33" s="647"/>
      <c r="K33" s="647"/>
      <c r="L33" s="647"/>
      <c r="M33" s="635"/>
      <c r="N33" s="195"/>
      <c r="O33" s="195"/>
      <c r="P33" s="719"/>
      <c r="Q33" s="16"/>
    </row>
    <row r="34" spans="1:17" hidden="1" x14ac:dyDescent="0.35">
      <c r="A34" s="544"/>
      <c r="B34" s="544"/>
      <c r="C34" s="988" t="s">
        <v>861</v>
      </c>
      <c r="D34" s="627"/>
      <c r="E34" s="627"/>
      <c r="F34" s="627"/>
      <c r="G34" s="761">
        <f>CÁLCULOS!L282</f>
        <v>0</v>
      </c>
      <c r="H34" s="688" t="s">
        <v>858</v>
      </c>
      <c r="I34" s="1498" t="s">
        <v>859</v>
      </c>
      <c r="J34" s="1498"/>
      <c r="K34" s="1499"/>
      <c r="L34" s="660"/>
      <c r="M34" s="635" t="s">
        <v>860</v>
      </c>
      <c r="N34" s="195"/>
      <c r="O34" s="627"/>
      <c r="P34" s="719"/>
      <c r="Q34" s="16"/>
    </row>
    <row r="35" spans="1:17" hidden="1" x14ac:dyDescent="0.35">
      <c r="A35" s="651"/>
      <c r="B35" s="651"/>
      <c r="C35" s="988"/>
      <c r="D35" s="627"/>
      <c r="E35" s="627"/>
      <c r="F35" s="627"/>
      <c r="G35" s="627"/>
      <c r="H35" s="627"/>
      <c r="I35" s="627"/>
      <c r="J35" s="627"/>
      <c r="K35" s="195"/>
      <c r="L35" s="195"/>
      <c r="M35" s="627"/>
      <c r="N35" s="627"/>
      <c r="O35" s="627"/>
      <c r="P35" s="719"/>
      <c r="Q35" s="16"/>
    </row>
    <row r="36" spans="1:17" hidden="1" x14ac:dyDescent="0.35">
      <c r="A36" s="651"/>
      <c r="B36" s="651"/>
      <c r="C36" s="988" t="s">
        <v>862</v>
      </c>
      <c r="D36" s="627"/>
      <c r="E36" s="627"/>
      <c r="F36" s="627"/>
      <c r="G36" s="627"/>
      <c r="H36" s="627"/>
      <c r="I36" s="627"/>
      <c r="J36" s="627"/>
      <c r="K36" s="627"/>
      <c r="L36" s="627"/>
      <c r="M36" s="627"/>
      <c r="N36" s="627"/>
      <c r="O36" s="627"/>
      <c r="P36" s="719"/>
      <c r="Q36" s="16"/>
    </row>
    <row r="37" spans="1:17" hidden="1" x14ac:dyDescent="0.35">
      <c r="A37" s="651"/>
      <c r="B37" s="651"/>
      <c r="C37" s="988"/>
      <c r="D37" s="627" t="s">
        <v>863</v>
      </c>
      <c r="E37" s="627"/>
      <c r="F37" s="627"/>
      <c r="G37" s="627"/>
      <c r="H37" s="627"/>
      <c r="I37" s="627"/>
      <c r="J37" s="195"/>
      <c r="K37" s="195"/>
      <c r="L37" s="1022">
        <f ca="1">CÁLCULOS!L141</f>
        <v>46</v>
      </c>
      <c r="M37" s="627" t="s">
        <v>101</v>
      </c>
      <c r="N37" s="195">
        <f>SUM(J386:J388)+SUM(J338:J340)+J498*H447</f>
        <v>0</v>
      </c>
      <c r="O37" s="627"/>
      <c r="P37" s="719"/>
      <c r="Q37" s="16"/>
    </row>
    <row r="38" spans="1:17" hidden="1" x14ac:dyDescent="0.35">
      <c r="A38" s="651"/>
      <c r="B38" s="651"/>
      <c r="C38" s="988"/>
      <c r="D38" s="627"/>
      <c r="E38" s="627"/>
      <c r="F38" s="627"/>
      <c r="G38" s="627"/>
      <c r="H38" s="627"/>
      <c r="I38" s="627"/>
      <c r="J38" s="195"/>
      <c r="K38" s="195"/>
      <c r="L38" s="1022"/>
      <c r="M38" s="627"/>
      <c r="N38" s="195"/>
      <c r="O38" s="627"/>
      <c r="P38" s="719"/>
      <c r="Q38" s="16"/>
    </row>
    <row r="39" spans="1:17" hidden="1" x14ac:dyDescent="0.35">
      <c r="A39" s="651"/>
      <c r="B39" s="651"/>
      <c r="C39" s="988"/>
      <c r="D39" s="627" t="s">
        <v>864</v>
      </c>
      <c r="E39" s="627"/>
      <c r="F39" s="627"/>
      <c r="G39" s="627"/>
      <c r="H39" s="1022">
        <f>CÁLCULOS!H143</f>
        <v>0</v>
      </c>
      <c r="I39" s="627" t="s">
        <v>101</v>
      </c>
      <c r="J39" s="195"/>
      <c r="K39" s="195"/>
      <c r="L39" s="1022"/>
      <c r="M39" s="627"/>
      <c r="N39" s="195"/>
      <c r="O39" s="627"/>
      <c r="P39" s="719"/>
      <c r="Q39" s="16"/>
    </row>
    <row r="40" spans="1:17" hidden="1" x14ac:dyDescent="0.35">
      <c r="A40" s="651"/>
      <c r="B40" s="651"/>
      <c r="C40" s="988"/>
      <c r="D40" s="298"/>
      <c r="E40" s="627" t="s">
        <v>865</v>
      </c>
      <c r="F40" s="298"/>
      <c r="G40" s="298"/>
      <c r="H40" s="298"/>
      <c r="I40" s="298"/>
      <c r="J40" s="298"/>
      <c r="K40" s="298"/>
      <c r="L40" s="626"/>
      <c r="M40" s="627"/>
      <c r="N40" s="627"/>
      <c r="O40" s="627"/>
      <c r="P40" s="719"/>
      <c r="Q40" s="16"/>
    </row>
    <row r="41" spans="1:17" hidden="1" x14ac:dyDescent="0.35">
      <c r="A41" s="651"/>
      <c r="B41" s="651"/>
      <c r="C41" s="637"/>
      <c r="D41" s="749"/>
      <c r="E41" s="749"/>
      <c r="F41" s="749"/>
      <c r="G41" s="749"/>
      <c r="H41" s="749"/>
      <c r="I41" s="749"/>
      <c r="J41" s="198"/>
      <c r="K41" s="198"/>
      <c r="L41" s="198"/>
      <c r="M41" s="749"/>
      <c r="N41" s="749"/>
      <c r="O41" s="749"/>
      <c r="P41" s="748"/>
      <c r="Q41" s="16"/>
    </row>
    <row r="42" spans="1:17" hidden="1" x14ac:dyDescent="0.35">
      <c r="A42" s="20"/>
      <c r="B42" s="20"/>
      <c r="C42" s="18"/>
      <c r="D42" s="749"/>
      <c r="E42" s="749"/>
      <c r="F42" s="749"/>
      <c r="G42" s="983"/>
      <c r="H42" s="749"/>
      <c r="I42" s="749"/>
      <c r="J42" s="3"/>
      <c r="K42" s="3"/>
      <c r="L42" s="3"/>
      <c r="M42" s="3"/>
      <c r="N42" s="3"/>
      <c r="O42" s="3"/>
      <c r="P42" s="16"/>
      <c r="Q42" s="16"/>
    </row>
    <row r="43" spans="1:17" ht="6.75" customHeight="1" x14ac:dyDescent="0.35">
      <c r="A43" s="20"/>
      <c r="B43" s="18"/>
      <c r="C43" s="3"/>
      <c r="D43" s="749"/>
      <c r="E43" s="749"/>
      <c r="F43" s="749"/>
      <c r="G43" s="983"/>
      <c r="H43" s="749"/>
      <c r="I43" s="749"/>
      <c r="J43" s="3"/>
      <c r="K43" s="3"/>
      <c r="L43" s="3"/>
      <c r="M43" s="3"/>
      <c r="N43" s="3"/>
      <c r="O43" s="3"/>
      <c r="P43" s="17"/>
      <c r="Q43" s="16"/>
    </row>
    <row r="44" spans="1:17" x14ac:dyDescent="0.35">
      <c r="A44" s="20"/>
      <c r="Q44" s="16"/>
    </row>
    <row r="45" spans="1:17" ht="4.5" customHeight="1" x14ac:dyDescent="0.35">
      <c r="A45" s="20"/>
      <c r="B45" s="13"/>
      <c r="C45" s="14"/>
      <c r="D45" s="652"/>
      <c r="E45" s="652"/>
      <c r="F45" s="652"/>
      <c r="G45" s="652"/>
      <c r="H45" s="652"/>
      <c r="I45" s="652"/>
      <c r="J45" s="652"/>
      <c r="K45" s="652"/>
      <c r="L45" s="652"/>
      <c r="M45" s="652"/>
      <c r="N45" s="652"/>
      <c r="O45" s="652"/>
      <c r="P45" s="987"/>
      <c r="Q45" s="16"/>
    </row>
    <row r="46" spans="1:17" ht="13.15" x14ac:dyDescent="0.4">
      <c r="A46" s="20"/>
      <c r="B46" s="20"/>
      <c r="C46" s="627"/>
      <c r="D46" s="420" t="str">
        <f>IF(ENTRADAS!D912="x","MONTAGEM DE COBERTURA","NÃO HÁ COBERTURAS")</f>
        <v>NÃO HÁ COBERTURAS</v>
      </c>
      <c r="E46" s="627"/>
      <c r="F46" s="627"/>
      <c r="G46" s="627"/>
      <c r="H46" s="627"/>
      <c r="I46" s="627"/>
      <c r="J46" s="627"/>
      <c r="K46" s="627"/>
      <c r="L46" s="627"/>
      <c r="M46" s="627"/>
      <c r="N46" s="627"/>
      <c r="O46" s="627"/>
      <c r="P46" s="719"/>
      <c r="Q46" s="16"/>
    </row>
    <row r="47" spans="1:17" ht="5.25" customHeight="1" x14ac:dyDescent="0.35">
      <c r="A47" s="20"/>
      <c r="B47" s="20"/>
      <c r="C47" s="627"/>
      <c r="D47" s="627"/>
      <c r="E47" s="627"/>
      <c r="F47" s="627"/>
      <c r="G47" s="627"/>
      <c r="H47" s="627"/>
      <c r="I47" s="627"/>
      <c r="J47" s="627"/>
      <c r="K47" s="627"/>
      <c r="L47" s="627"/>
      <c r="M47" s="627"/>
      <c r="N47" s="627"/>
      <c r="O47" s="627"/>
      <c r="P47" s="719"/>
      <c r="Q47" s="16"/>
    </row>
    <row r="48" spans="1:17" x14ac:dyDescent="0.35">
      <c r="A48" s="20"/>
      <c r="B48" s="20"/>
      <c r="C48" s="636">
        <f>IF(ENTRADAS!D912="x","Em relação ao espaço para patolagem do guindaste externamente ao tanque ( percentual livre do perímetro):",0)</f>
        <v>0</v>
      </c>
      <c r="D48" s="652"/>
      <c r="E48" s="652"/>
      <c r="F48" s="652"/>
      <c r="G48" s="652"/>
      <c r="H48" s="652"/>
      <c r="I48" s="652"/>
      <c r="J48" s="652"/>
      <c r="K48" s="652"/>
      <c r="L48" s="652"/>
      <c r="M48" s="987"/>
      <c r="N48" s="627"/>
      <c r="O48" s="627"/>
      <c r="P48" s="719"/>
      <c r="Q48" s="16"/>
    </row>
    <row r="49" spans="1:17" x14ac:dyDescent="0.35">
      <c r="A49" s="20"/>
      <c r="B49" s="20"/>
      <c r="C49" s="20"/>
      <c r="D49" s="627"/>
      <c r="E49" s="627"/>
      <c r="F49" s="627"/>
      <c r="G49" s="627"/>
      <c r="H49" s="627"/>
      <c r="I49" s="627"/>
      <c r="J49" s="627"/>
      <c r="K49" s="627"/>
      <c r="L49" s="627"/>
      <c r="M49" s="719"/>
      <c r="N49" s="627"/>
      <c r="O49" s="627"/>
      <c r="P49" s="719"/>
      <c r="Q49" s="16"/>
    </row>
    <row r="50" spans="1:17" x14ac:dyDescent="0.35">
      <c r="A50" s="20"/>
      <c r="B50" s="20"/>
      <c r="C50" s="626"/>
      <c r="D50" s="1152">
        <f>IF(ENTRADAS!D912="x","&lt;= 50%",0)</f>
        <v>0</v>
      </c>
      <c r="E50" s="626"/>
      <c r="F50" s="1152">
        <f>IF(ENTRADAS!D912="x","&gt;51%",0)</f>
        <v>0</v>
      </c>
      <c r="G50" s="627"/>
      <c r="H50" s="627"/>
      <c r="I50" s="627"/>
      <c r="J50" s="627"/>
      <c r="K50" s="627"/>
      <c r="L50" s="627"/>
      <c r="M50" s="719"/>
      <c r="P50" s="16"/>
      <c r="Q50" s="16"/>
    </row>
    <row r="51" spans="1:17" x14ac:dyDescent="0.35">
      <c r="A51" s="20"/>
      <c r="B51" s="20"/>
      <c r="C51" s="18"/>
      <c r="D51" s="749"/>
      <c r="E51" s="749"/>
      <c r="F51" s="749"/>
      <c r="G51" s="749"/>
      <c r="H51" s="749"/>
      <c r="I51" s="749"/>
      <c r="J51" s="749"/>
      <c r="K51" s="749"/>
      <c r="L51" s="749"/>
      <c r="M51" s="748"/>
      <c r="P51" s="16"/>
      <c r="Q51" s="16"/>
    </row>
    <row r="52" spans="1:17" ht="5.0999999999999996" customHeight="1" x14ac:dyDescent="0.35">
      <c r="A52" s="20"/>
      <c r="B52" s="20"/>
      <c r="P52" s="16"/>
      <c r="Q52" s="16"/>
    </row>
    <row r="53" spans="1:17" x14ac:dyDescent="0.35">
      <c r="A53" s="20"/>
      <c r="B53" s="20"/>
      <c r="C53" s="633">
        <f>IF(ENTRADAS!D912="x","a) GUINDASTE CALCULADO ---------------------------",0)</f>
        <v>0</v>
      </c>
      <c r="D53" s="646"/>
      <c r="E53" s="646"/>
      <c r="F53" s="980" t="str">
        <f>IF(ENTRADAS!D912="x",IF(ENTRADAS!D912="X",IF(GUINDASTE!E57&gt;0,GUINDASTE!E57,SUM(LAJES!AO154:AO158))),0)&amp;"  toneladas"</f>
        <v>0  toneladas</v>
      </c>
      <c r="G53" s="248">
        <f>IF(ENTRADAS!D912="x","( se for exclusivo para cobertura )",0)</f>
        <v>0</v>
      </c>
      <c r="H53" s="646"/>
      <c r="I53" s="646"/>
      <c r="J53" s="646"/>
      <c r="K53" s="646"/>
      <c r="L53" s="646"/>
      <c r="M53" s="629"/>
      <c r="O53">
        <f>IF(E57&gt;0,"(mudou para  "&amp;E57&amp;" toneladas )",0)</f>
        <v>0</v>
      </c>
      <c r="P53" s="16"/>
      <c r="Q53" s="16"/>
    </row>
    <row r="54" spans="1:17" x14ac:dyDescent="0.35">
      <c r="A54" s="20"/>
      <c r="B54" s="20"/>
      <c r="C54" s="633">
        <f>IF(ENTRADAS!D912="x","b) GUINDASTE CALCULADO ---------------------------",0)</f>
        <v>0</v>
      </c>
      <c r="D54" s="646"/>
      <c r="E54" s="646"/>
      <c r="F54" s="980">
        <f>IF(ENTRADAS!D912="x",G103&amp;"  toneladas",0)</f>
        <v>0</v>
      </c>
      <c r="G54" s="248">
        <f>IF(ENTRADAS!D912="x","( se for cobertura  junto com parede)",0)</f>
        <v>0</v>
      </c>
      <c r="H54" s="646"/>
      <c r="I54" s="646"/>
      <c r="J54" s="646"/>
      <c r="K54" s="646"/>
      <c r="L54" s="646"/>
      <c r="M54" s="629"/>
      <c r="P54" s="16"/>
      <c r="Q54" s="16"/>
    </row>
    <row r="55" spans="1:17" x14ac:dyDescent="0.35">
      <c r="A55" s="20"/>
      <c r="B55" s="20"/>
      <c r="D55" s="627"/>
      <c r="E55" s="627"/>
      <c r="F55" s="627"/>
      <c r="G55" s="627"/>
      <c r="H55" s="627"/>
      <c r="I55" s="627"/>
      <c r="J55" s="627"/>
      <c r="K55" s="627"/>
      <c r="L55" s="627"/>
      <c r="M55" s="627"/>
      <c r="P55" s="16"/>
      <c r="Q55" s="16"/>
    </row>
    <row r="56" spans="1:17" x14ac:dyDescent="0.35">
      <c r="A56" s="20"/>
      <c r="B56" s="20"/>
      <c r="C56" s="636">
        <f>IF(ENTRADAS!D912="x","CASO NÃO QUEIRA UTILIZAR O GUINDASTE CALCULADO no ítem a, INSIRA ABAIXO OS NOVO GUINDASTE:",0)</f>
        <v>0</v>
      </c>
      <c r="D56" s="652"/>
      <c r="E56" s="652"/>
      <c r="F56" s="652"/>
      <c r="G56" s="652"/>
      <c r="H56" s="652"/>
      <c r="I56" s="652"/>
      <c r="J56" s="652"/>
      <c r="K56" s="652"/>
      <c r="L56" s="652"/>
      <c r="M56" s="987"/>
      <c r="P56" s="16"/>
      <c r="Q56" s="16"/>
    </row>
    <row r="57" spans="1:17" x14ac:dyDescent="0.35">
      <c r="A57" s="20"/>
      <c r="B57" s="20"/>
      <c r="C57" s="988">
        <f>IF(ENTRADAS!D912="x","          GUINDASTE =",0)</f>
        <v>0</v>
      </c>
      <c r="D57" s="627"/>
      <c r="E57" s="631"/>
      <c r="F57" s="627">
        <f>IF(ENTRADAS!D912="x","toneladas",0)</f>
        <v>0</v>
      </c>
      <c r="G57" s="627"/>
      <c r="H57" s="627"/>
      <c r="I57" s="627"/>
      <c r="J57" s="627"/>
      <c r="K57" s="627"/>
      <c r="L57" s="627"/>
      <c r="M57" s="719"/>
      <c r="P57" s="16"/>
      <c r="Q57" s="16"/>
    </row>
    <row r="58" spans="1:17" hidden="1" x14ac:dyDescent="0.35">
      <c r="A58" s="20"/>
      <c r="B58" s="20"/>
      <c r="C58" s="988"/>
      <c r="D58" s="627"/>
      <c r="E58" s="627"/>
      <c r="F58" s="627"/>
      <c r="G58" s="195">
        <f>IF(ENTRADAS!D912="X",IF(L59&gt;0,L59,IF(ENTRADAS!G91+ENTRADAS!G93+ENTRADAS!G97&gt;40,2,1)),0)</f>
        <v>0</v>
      </c>
      <c r="H58" s="627"/>
      <c r="I58" s="627"/>
      <c r="J58" s="627"/>
      <c r="K58" s="627"/>
      <c r="L58" s="627"/>
      <c r="M58" s="719"/>
      <c r="P58" s="16"/>
      <c r="Q58" s="16"/>
    </row>
    <row r="59" spans="1:17" hidden="1" x14ac:dyDescent="0.35">
      <c r="A59" s="544"/>
      <c r="B59" s="20"/>
      <c r="C59" s="988" t="s">
        <v>866</v>
      </c>
      <c r="D59" s="627"/>
      <c r="E59" s="627"/>
      <c r="F59" s="627"/>
      <c r="G59" s="761">
        <f>IF(ENTRADAS!D912="X",IF(L59&gt;0,L59&amp;"  mobilização",IF(C123=1,I94&amp;"  mobilização",IF(C125=1,I107&amp;"  mobilização",0))),0)</f>
        <v>0</v>
      </c>
      <c r="H59" s="688" t="s">
        <v>858</v>
      </c>
      <c r="I59" s="1498" t="s">
        <v>859</v>
      </c>
      <c r="J59" s="1498"/>
      <c r="K59" s="1498"/>
      <c r="L59" s="660"/>
      <c r="M59" s="1003" t="s">
        <v>860</v>
      </c>
      <c r="P59" s="16"/>
      <c r="Q59" s="16"/>
    </row>
    <row r="60" spans="1:17" hidden="1" x14ac:dyDescent="0.35">
      <c r="A60" s="20"/>
      <c r="B60" s="20"/>
      <c r="C60" s="988"/>
      <c r="D60" s="627"/>
      <c r="E60" s="627"/>
      <c r="F60" s="627"/>
      <c r="G60" s="627"/>
      <c r="H60" s="627"/>
      <c r="I60" s="627"/>
      <c r="J60" s="627"/>
      <c r="K60" s="627"/>
      <c r="L60" s="627"/>
      <c r="M60" s="719"/>
      <c r="P60" s="16"/>
      <c r="Q60" s="16"/>
    </row>
    <row r="61" spans="1:17" hidden="1" x14ac:dyDescent="0.35">
      <c r="A61" s="20"/>
      <c r="B61" s="20"/>
      <c r="C61" s="988" t="s">
        <v>867</v>
      </c>
      <c r="D61" s="627"/>
      <c r="E61" s="627"/>
      <c r="F61" s="627"/>
      <c r="G61" s="627"/>
      <c r="H61" s="627"/>
      <c r="I61" s="627"/>
      <c r="J61" s="627"/>
      <c r="K61" s="627"/>
      <c r="L61" s="627"/>
      <c r="M61" s="719"/>
      <c r="P61" s="16"/>
      <c r="Q61" s="16"/>
    </row>
    <row r="62" spans="1:17" hidden="1" x14ac:dyDescent="0.35">
      <c r="A62" s="20"/>
      <c r="B62" s="20"/>
      <c r="C62" s="988"/>
      <c r="D62" s="627"/>
      <c r="E62" s="626"/>
      <c r="F62" s="627" t="s">
        <v>52</v>
      </c>
      <c r="G62" s="626"/>
      <c r="H62" s="627" t="s">
        <v>53</v>
      </c>
      <c r="I62" s="627" t="str">
        <f>IF(E62="X","o guindaste 1 das paredes e o da cobertura passaram para=","o guindaste 1  das paredes é=")</f>
        <v>o guindaste 1  das paredes é=</v>
      </c>
      <c r="J62" s="627"/>
      <c r="K62" s="627"/>
      <c r="L62" s="627"/>
      <c r="M62" s="719"/>
      <c r="P62" s="16"/>
      <c r="Q62" s="16"/>
    </row>
    <row r="63" spans="1:17" hidden="1" x14ac:dyDescent="0.35">
      <c r="A63" s="20"/>
      <c r="B63" s="20"/>
      <c r="C63" s="988"/>
      <c r="D63" s="627"/>
      <c r="E63" s="627"/>
      <c r="F63" s="627"/>
      <c r="G63" s="627"/>
      <c r="H63" s="627"/>
      <c r="I63" s="627"/>
      <c r="J63" s="627"/>
      <c r="K63" s="627"/>
      <c r="L63" s="627">
        <f>IF(E62="X",IF(E62="X",IF(CÁLCULOS!O279&gt;SUM(LAJES!AO154:AO158),CÁLCULOS!O279,IF(SUM(LAJES!AO154:AO158)&gt;CÁLCULOS!O279,SUM(LAJES!AO154:AO158),G90)),CÁLCULOS!O279),IF(D125="X",G103,0))</f>
        <v>0</v>
      </c>
      <c r="M63" s="719" t="s">
        <v>445</v>
      </c>
      <c r="P63" s="16"/>
      <c r="Q63" s="16"/>
    </row>
    <row r="64" spans="1:17" ht="5.25" customHeight="1" x14ac:dyDescent="0.35">
      <c r="A64" s="20"/>
      <c r="B64" s="20"/>
      <c r="C64" s="637"/>
      <c r="D64" s="749"/>
      <c r="E64" s="749"/>
      <c r="F64" s="749"/>
      <c r="G64" s="749"/>
      <c r="H64" s="749"/>
      <c r="I64" s="749"/>
      <c r="J64" s="749"/>
      <c r="K64" s="749"/>
      <c r="L64" s="749"/>
      <c r="M64" s="748"/>
      <c r="P64" s="16"/>
      <c r="Q64" s="16"/>
    </row>
    <row r="65" spans="1:23" ht="7.5" customHeight="1" x14ac:dyDescent="0.35">
      <c r="A65" s="20"/>
      <c r="B65" s="18"/>
      <c r="C65" s="749"/>
      <c r="D65" s="749"/>
      <c r="E65" s="749"/>
      <c r="F65" s="749"/>
      <c r="G65" s="749"/>
      <c r="H65" s="749"/>
      <c r="I65" s="749"/>
      <c r="J65" s="749"/>
      <c r="K65" s="749"/>
      <c r="L65" s="749"/>
      <c r="M65" s="749"/>
      <c r="N65" s="3"/>
      <c r="O65" s="3"/>
      <c r="P65" s="17"/>
      <c r="Q65" s="16"/>
    </row>
    <row r="66" spans="1:23" ht="7.5" customHeight="1" x14ac:dyDescent="0.35">
      <c r="A66" s="20"/>
      <c r="C66" s="627"/>
      <c r="D66" s="627"/>
      <c r="E66" s="627"/>
      <c r="F66" s="627"/>
      <c r="G66" s="627"/>
      <c r="H66" s="627"/>
      <c r="I66" s="627"/>
      <c r="J66" s="627"/>
      <c r="K66" s="627"/>
      <c r="L66" s="627"/>
      <c r="M66" s="627"/>
      <c r="Q66" s="16"/>
    </row>
    <row r="67" spans="1:23" ht="7.5" customHeight="1" x14ac:dyDescent="0.35">
      <c r="A67" s="20"/>
      <c r="B67" s="13"/>
      <c r="C67" s="652"/>
      <c r="D67" s="652"/>
      <c r="E67" s="652"/>
      <c r="F67" s="652"/>
      <c r="G67" s="652"/>
      <c r="H67" s="652"/>
      <c r="I67" s="652"/>
      <c r="J67" s="652"/>
      <c r="K67" s="652"/>
      <c r="L67" s="652"/>
      <c r="M67" s="652"/>
      <c r="N67" s="14"/>
      <c r="O67" s="14"/>
      <c r="P67" s="15"/>
      <c r="Q67" s="16"/>
    </row>
    <row r="68" spans="1:23" ht="13.15" x14ac:dyDescent="0.4">
      <c r="A68" s="20"/>
      <c r="B68" s="20"/>
      <c r="C68" s="627"/>
      <c r="D68" s="420" t="s">
        <v>868</v>
      </c>
      <c r="E68" s="627"/>
      <c r="F68" s="627"/>
      <c r="G68" s="627"/>
      <c r="H68" s="627"/>
      <c r="I68" s="627"/>
      <c r="J68" s="627"/>
      <c r="K68" s="627"/>
      <c r="L68" s="627"/>
      <c r="M68" s="627"/>
      <c r="P68" s="16"/>
      <c r="Q68" s="16"/>
    </row>
    <row r="69" spans="1:23" ht="6" customHeight="1" x14ac:dyDescent="0.35">
      <c r="A69" s="20"/>
      <c r="B69" s="18"/>
      <c r="C69" s="3"/>
      <c r="D69" s="749"/>
      <c r="E69" s="749"/>
      <c r="F69" s="749"/>
      <c r="G69" s="983"/>
      <c r="H69" s="749"/>
      <c r="I69" s="749"/>
      <c r="J69" s="3"/>
      <c r="K69" s="3"/>
      <c r="L69" s="3"/>
      <c r="M69" s="3"/>
      <c r="N69" s="3"/>
      <c r="O69" s="3"/>
      <c r="P69" s="17"/>
      <c r="Q69" s="16"/>
    </row>
    <row r="70" spans="1:23" x14ac:dyDescent="0.35">
      <c r="A70" s="20"/>
      <c r="B70" s="13"/>
      <c r="C70" s="652" t="s">
        <v>869</v>
      </c>
      <c r="D70" s="14"/>
      <c r="E70" s="14"/>
      <c r="F70" s="199">
        <f ca="1">IF(C72=0,0,1)</f>
        <v>0</v>
      </c>
      <c r="G70" s="199">
        <f>IF(I73=0,0,1)</f>
        <v>0</v>
      </c>
      <c r="H70" s="199">
        <f>IF(L73=0,0,1)</f>
        <v>0</v>
      </c>
      <c r="I70" s="14">
        <f ca="1">IF(F70+G70+H70=1,"OBRIGATÓRIO DEFINIÇÃO, SIM OU NÃO !",0)</f>
        <v>0</v>
      </c>
      <c r="J70" s="14"/>
      <c r="K70" s="14"/>
      <c r="L70" s="14"/>
      <c r="M70" s="14"/>
      <c r="N70" s="199">
        <f ca="1">IF(I70&lt;&gt;0,1,0)</f>
        <v>0</v>
      </c>
      <c r="O70" s="14"/>
      <c r="P70" s="15"/>
      <c r="Q70" s="16"/>
    </row>
    <row r="71" spans="1:23" ht="3" customHeight="1" x14ac:dyDescent="0.35">
      <c r="A71" s="20"/>
      <c r="B71" s="20"/>
      <c r="O71">
        <f ca="1">IF($D$127&lt;&gt;0,1,0)</f>
        <v>0</v>
      </c>
      <c r="P71" s="16"/>
      <c r="Q71" s="16"/>
    </row>
    <row r="72" spans="1:23" x14ac:dyDescent="0.35">
      <c r="A72" s="20"/>
      <c r="B72" s="20"/>
      <c r="C72">
        <f ca="1">IF('cronograma unit.'!$E$381=0,0,IF('cronograma unit.'!$E$381=1,"Analisando o cronograma, existe "&amp;'cronograma unit.'!$E$381&amp;" intervalo de "&amp;'cronograma unit.'!$E$380/'cronograma unit.'!$E$381&amp;"  dias entre as montagem de paredes. ","Analisando o cronograma, existem "&amp;'cronograma unit.'!$E$381&amp;" intervalos de "&amp;'cronograma unit.'!$E$380/'cronograma unit.'!$E$381&amp;"  dias em média entre as montagem de paredes. "))</f>
        <v>0</v>
      </c>
      <c r="J72" s="195"/>
      <c r="K72" s="195">
        <f ca="1">IF($D$127&lt;&gt;0,1,0)</f>
        <v>0</v>
      </c>
      <c r="L72" s="195"/>
      <c r="M72" s="195"/>
      <c r="N72" s="195"/>
      <c r="P72" s="16"/>
      <c r="Q72" s="16"/>
    </row>
    <row r="73" spans="1:23" x14ac:dyDescent="0.35">
      <c r="A73" s="20"/>
      <c r="B73" s="20"/>
      <c r="C73">
        <f ca="1">IF('cronograma unit.'!$E$381=0,0,IF('cronograma unit.'!$E$381=1,"           Considerar que o guindaste será desmobilizado neste intervalo ?","         Considerar que o guindaste será desmobilizado nestes intervalos ?"))</f>
        <v>0</v>
      </c>
      <c r="I73" s="626"/>
      <c r="J73" s="627">
        <f ca="1">IF('cronograma unit.'!$E$381=0,0,"sim")</f>
        <v>0</v>
      </c>
      <c r="L73" s="626"/>
      <c r="M73" s="627">
        <f ca="1">IF('cronograma unit.'!$E$381=0,0,"não")</f>
        <v>0</v>
      </c>
      <c r="O73" s="195"/>
      <c r="P73" s="16"/>
      <c r="Q73" s="16"/>
    </row>
    <row r="74" spans="1:23" ht="2.25" customHeight="1" x14ac:dyDescent="0.35">
      <c r="A74" s="20"/>
      <c r="B74" s="20"/>
      <c r="O74" s="195">
        <f t="shared" ref="O74:O104" ca="1" si="0">IF($D$127&lt;&gt;0,1,0)</f>
        <v>0</v>
      </c>
      <c r="P74" s="16"/>
      <c r="Q74" s="16"/>
      <c r="S74" s="9" t="s">
        <v>870</v>
      </c>
      <c r="T74" s="6"/>
      <c r="V74" s="633" t="s">
        <v>871</v>
      </c>
      <c r="W74" s="6"/>
    </row>
    <row r="75" spans="1:23" ht="3" customHeight="1" x14ac:dyDescent="0.35">
      <c r="A75" s="20"/>
      <c r="B75" s="20"/>
      <c r="C75" s="627"/>
      <c r="O75" s="195">
        <f t="shared" ca="1" si="0"/>
        <v>0</v>
      </c>
      <c r="P75" s="16"/>
      <c r="Q75" s="16"/>
      <c r="S75" s="630" t="s">
        <v>872</v>
      </c>
      <c r="T75" s="6"/>
      <c r="V75" s="630" t="s">
        <v>872</v>
      </c>
      <c r="W75" s="6"/>
    </row>
    <row r="76" spans="1:23" ht="13.15" x14ac:dyDescent="0.4">
      <c r="A76" s="20"/>
      <c r="B76" s="20"/>
      <c r="C76" s="627" t="str">
        <f>IF(ENTRADAS!$C$395="x","MONTAGEM SEQUENCIAL:",IF(ENTRADAS!$C$397="x","MONTAGEM NÃO SEQUENCIAL:",0))</f>
        <v>MONTAGEM SEQUENCIAL:</v>
      </c>
      <c r="F76" s="12">
        <f>IF(SUM($N$10:$O$12)&gt;0,0,"VOLTE E DEFINA O TEMPO MÍNIMO DE GUINDASTE ACIMA !")</f>
        <v>0</v>
      </c>
      <c r="O76" s="195"/>
      <c r="P76" s="16"/>
      <c r="Q76" s="16"/>
      <c r="S76" s="32">
        <f>S78</f>
        <v>70</v>
      </c>
      <c r="T76" s="32">
        <f ca="1">IF(S76=0,0,IF(S76&lt;90,IF((ROUNDUP('cronograma unit.'!$E$378/7*6,0)+ROUNDUP('cronograma unit.'!$E$380/7*6,0))&gt;=30/7*6,ROUNDUP('cronograma unit.'!$E$380/7*6,0),IF($O$10=1,ROUNDUP('cronograma unit.'!$E$380/7*6,0),IF($N$10=1,ROUNDUP((30/7*6),0)-ROUNDUP('cronograma unit.'!$E$378/7*6,0),0))),IF((ROUNDUP('cronograma unit.'!$E$378/7*6,0)+ROUNDUP('cronograma unit.'!$E$380/7*6,0))&gt;=30/7*6,ROUNDUP('cronograma unit.'!$E$380/7*6,0),IF($O$12=1,ROUNDUP('cronograma unit.'!$E$380/7*6,0),IF($N$12=1,ROUNDUP((30/7*6),0)-ROUNDUP('cronograma unit.'!$E$378/7*6,0),0)))))</f>
        <v>0</v>
      </c>
      <c r="V76" s="32">
        <f>V78</f>
        <v>70</v>
      </c>
      <c r="W76" s="32">
        <f>0</f>
        <v>0</v>
      </c>
    </row>
    <row r="77" spans="1:23" x14ac:dyDescent="0.35">
      <c r="A77" s="20"/>
      <c r="B77" s="20"/>
      <c r="D77" s="633" t="s">
        <v>873</v>
      </c>
      <c r="E77" s="10"/>
      <c r="F77" s="10"/>
      <c r="G77" s="646">
        <f>$F$22</f>
        <v>70</v>
      </c>
      <c r="H77" s="629" t="s">
        <v>328</v>
      </c>
      <c r="I77" s="9">
        <f ca="1">IF(AND(ENTRADAS!F22=1,O10=1,G77&lt;90,C125&lt;&gt;1),ROUNDUP(SUM(RELATÓRIO!S181:S187),0),IF(AND(ENTRADAS!F22=1,O12=1,G77&gt;=90,C125&lt;&gt;1),ROUNDUP(SUM(RELATÓRIO!S181:S187),0),IF('cronograma unit.'!$E$381&gt;0,IF(L73="X",T78,IF(I73="X",W78,0)),T78)))</f>
        <v>88</v>
      </c>
      <c r="J77" s="646" t="s">
        <v>874</v>
      </c>
      <c r="K77" s="10"/>
      <c r="L77" s="6"/>
      <c r="O77" s="195"/>
      <c r="P77" s="16"/>
      <c r="Q77" s="16"/>
      <c r="S77" s="633" t="s">
        <v>875</v>
      </c>
      <c r="T77" s="6"/>
      <c r="V77" s="633" t="s">
        <v>875</v>
      </c>
      <c r="W77" s="6"/>
    </row>
    <row r="78" spans="1:23" ht="3" customHeight="1" x14ac:dyDescent="0.35">
      <c r="A78" s="20"/>
      <c r="B78" s="20"/>
      <c r="D78" s="627"/>
      <c r="H78" s="627"/>
      <c r="J78" s="627"/>
      <c r="O78" s="195">
        <f t="shared" ca="1" si="0"/>
        <v>0</v>
      </c>
      <c r="P78" s="16"/>
      <c r="Q78" s="16"/>
      <c r="S78" s="386">
        <f>G77</f>
        <v>70</v>
      </c>
      <c r="T78" s="32">
        <f ca="1">IF(S78=0,0,IF(S78&lt;90,IF((ROUNDUP('cronograma unit.'!$E$378/7*6,0)+ROUNDUP('cronograma unit.'!$E$380/7*6,0))&gt;=30/7*6,ROUNDUP('cronograma unit.'!$E$378/7*6,0),IF($O$10=1,ROUNDUP('cronograma unit.'!$E$378/7*6,0),IF($N$10=1,ROUNDUP(30/7*6,0),0))),IF(S78&gt;=90,IF((ROUNDUP('cronograma unit.'!$E$378/7*6,0)+ROUNDUP('cronograma unit.'!$E$380/7*6,0))&gt;=30/7*6,ROUNDUP('cronograma unit.'!$E$378/7*6,0),IF($O$12=1,ROUNDUP('cronograma unit.'!$E$378/7*6,0),IF($N$12=1,ROUNDUP(30/7*6,0),0))),1000)))</f>
        <v>88</v>
      </c>
      <c r="V78" s="386">
        <f>G77</f>
        <v>70</v>
      </c>
      <c r="W78" s="32">
        <f ca="1">IF(V78=0,0,IF(V78&lt;90,IF(((ROUNDUP('cronograma unit.'!$E$378/7*6,0)+ROUNDUP('cronograma unit.'!$E$380/7*6,0)))/('cronograma unit.'!$E$381+1)&gt;=30/7*6,ROUNDUP('cronograma unit.'!$E$378/7*6,0),IF($O$10=1,ROUNDUP('cronograma unit.'!$E$378/7*6,0),IF($N$10=1,ROUNDUP(30/7*6,0)*('cronograma unit.'!$E$381+1),0))),IF(V78&gt;=90,IF(((ROUNDUP('cronograma unit.'!$E$378/7*6,0)+ROUNDUP('cronograma unit.'!$E$380/7*6,0)))/('cronograma unit.'!$E$381+1)&gt;=30/7*6,ROUNDUP('cronograma unit.'!$E$378/7*6,0),IF($O$12=1,ROUNDUP('cronograma unit.'!$E$378/7*6,0),IF($N$12=1,ROUNDUP(30/7*6,0)*('cronograma unit.'!$E$381+1),0))))))</f>
        <v>88</v>
      </c>
    </row>
    <row r="79" spans="1:23" x14ac:dyDescent="0.35">
      <c r="A79" s="20"/>
      <c r="B79" s="20"/>
      <c r="D79" s="633">
        <f>IF(I79=0,0,"GUINDASTE G1 À DISPOSIÇÃO=")</f>
        <v>0</v>
      </c>
      <c r="E79" s="10"/>
      <c r="F79" s="10"/>
      <c r="G79" s="10">
        <f>IF(I79=0,0,$F$22)</f>
        <v>0</v>
      </c>
      <c r="H79" s="629" t="s">
        <v>328</v>
      </c>
      <c r="I79" s="9">
        <f>IF(L73="X",T76,IF(I73="X",W76,0))</f>
        <v>0</v>
      </c>
      <c r="J79" s="646" t="s">
        <v>874</v>
      </c>
      <c r="K79" s="10"/>
      <c r="L79" s="6"/>
      <c r="O79" s="195"/>
      <c r="P79" s="16"/>
      <c r="Q79" s="16"/>
      <c r="S79" s="9" t="s">
        <v>876</v>
      </c>
      <c r="T79" s="6">
        <f>IF(N10+O10+N12+O12=0,0,1)</f>
        <v>1</v>
      </c>
      <c r="V79" s="9" t="s">
        <v>876</v>
      </c>
      <c r="W79" s="6">
        <f ca="1">IF(N10+O10+N12+O12=0,0,'cronograma unit.'!$E$381+1)</f>
        <v>1</v>
      </c>
    </row>
    <row r="80" spans="1:23" ht="3" customHeight="1" x14ac:dyDescent="0.35">
      <c r="A80" s="20"/>
      <c r="B80" s="20"/>
      <c r="D80" s="627"/>
      <c r="O80" s="195">
        <f t="shared" ca="1" si="0"/>
        <v>0</v>
      </c>
      <c r="P80" s="16"/>
      <c r="Q80" s="16"/>
    </row>
    <row r="81" spans="1:23" x14ac:dyDescent="0.35">
      <c r="A81" s="20"/>
      <c r="B81" s="20"/>
      <c r="D81" s="633" t="str">
        <f ca="1">IF(I77=0,0,"MOBILIZAÇÃO G1=")</f>
        <v>MOBILIZAÇÃO G1=</v>
      </c>
      <c r="E81" s="10"/>
      <c r="F81" s="10"/>
      <c r="G81" s="10">
        <f ca="1">IF(I81=0,0,$F$22)</f>
        <v>70</v>
      </c>
      <c r="H81" s="629" t="s">
        <v>328</v>
      </c>
      <c r="I81" s="9">
        <f ca="1">IF('cronograma unit.'!$E$381&gt;0,IF(I73="X",W79,IF(L73="x",T79,0)),T79)</f>
        <v>1</v>
      </c>
      <c r="J81" s="646" t="s">
        <v>877</v>
      </c>
      <c r="K81" s="10"/>
      <c r="L81" s="6"/>
      <c r="O81" s="195"/>
      <c r="P81" s="16"/>
      <c r="Q81" s="16"/>
    </row>
    <row r="82" spans="1:23" ht="5.25" customHeight="1" x14ac:dyDescent="0.35">
      <c r="A82" s="20"/>
      <c r="B82" s="18"/>
      <c r="C82" s="3"/>
      <c r="D82" s="3"/>
      <c r="E82" s="3"/>
      <c r="F82" s="3"/>
      <c r="G82" s="3"/>
      <c r="H82" s="3"/>
      <c r="I82" s="3"/>
      <c r="J82" s="3"/>
      <c r="K82" s="3"/>
      <c r="L82" s="3"/>
      <c r="M82" s="3"/>
      <c r="N82" s="3"/>
      <c r="O82" s="198">
        <f t="shared" ca="1" si="0"/>
        <v>0</v>
      </c>
      <c r="P82" s="17"/>
      <c r="Q82" s="16"/>
    </row>
    <row r="83" spans="1:23" x14ac:dyDescent="0.35">
      <c r="A83" s="20"/>
      <c r="B83" s="13"/>
      <c r="C83" s="652">
        <f>IF(ENTRADAS!D912="x","CASO SOMENTE COBERTURA",0)</f>
        <v>0</v>
      </c>
      <c r="D83" s="14"/>
      <c r="E83" s="14"/>
      <c r="F83" s="199">
        <f>IF(C85=0,0,1)</f>
        <v>0</v>
      </c>
      <c r="G83" s="199">
        <f>IF(I86=0,0,1)</f>
        <v>0</v>
      </c>
      <c r="H83" s="199">
        <f>IF(L86=0,0,1)</f>
        <v>0</v>
      </c>
      <c r="I83" s="14">
        <f>IF(F83+G83+H83=1,"OBRIGATÓRIO DEFINIÇÃO, SIM OU NÃO !",0)</f>
        <v>0</v>
      </c>
      <c r="J83" s="14"/>
      <c r="K83" s="14"/>
      <c r="L83" s="14"/>
      <c r="M83" s="14"/>
      <c r="N83" s="199">
        <f>IF(I83&lt;&gt;0,1,0)</f>
        <v>0</v>
      </c>
      <c r="O83" s="195">
        <f t="shared" ca="1" si="0"/>
        <v>0</v>
      </c>
      <c r="P83" s="15"/>
      <c r="Q83" s="16"/>
    </row>
    <row r="84" spans="1:23" ht="3" customHeight="1" x14ac:dyDescent="0.35">
      <c r="A84" s="20"/>
      <c r="B84" s="20"/>
      <c r="O84" s="195">
        <f t="shared" ca="1" si="0"/>
        <v>0</v>
      </c>
      <c r="P84" s="16"/>
      <c r="Q84" s="16"/>
    </row>
    <row r="85" spans="1:23" x14ac:dyDescent="0.35">
      <c r="A85" s="20"/>
      <c r="B85" s="20"/>
      <c r="C85">
        <f>IF(ENTRADAS!D912="x",IF('cronograma unit.'!$E$386=0,0,IF('cronograma unit.'!$E$386=1,"Analisando o cronograma, existe "&amp;'cronograma unit.'!$E$386&amp;" intervalo de "&amp;'cronograma unit.'!$E$385/'cronograma unit.'!$E$386&amp;"  dias entre as montagem de coberturas. ","Analisando o cronograma, existem "&amp;'cronograma unit.'!$E$386&amp;" intervalos de "&amp;'cronograma unit.'!$E$385/'cronograma unit.'!$E$386&amp;"  dias em média entre as montagem de coberturas. ")),0)</f>
        <v>0</v>
      </c>
      <c r="O85" s="195">
        <f t="shared" ca="1" si="0"/>
        <v>0</v>
      </c>
      <c r="P85" s="16"/>
      <c r="Q85" s="16"/>
    </row>
    <row r="86" spans="1:23" x14ac:dyDescent="0.35">
      <c r="A86" s="20"/>
      <c r="B86" s="20"/>
      <c r="C86">
        <f>IF(ENTRADAS!D912="x",IF('cronograma unit.'!$E$386=0,0,IF('cronograma unit.'!$E$386=1,"           Considerar que o guindaste será desmobilizado neste intervalo ?","         Considerar que o guindaste será desmobilizado nestes intervalos ?")),0)</f>
        <v>0</v>
      </c>
      <c r="I86" s="626"/>
      <c r="J86" s="627">
        <f>IF(ENTRADAS!D912="x",IF('cronograma unit.'!$E$386=0,0,"sim"),0)</f>
        <v>0</v>
      </c>
      <c r="L86" s="626"/>
      <c r="M86" s="627">
        <f>IF(ENTRADAS!D912="x",IF('cronograma unit.'!$E$386=0,0,"não"),0)</f>
        <v>0</v>
      </c>
      <c r="O86" s="195">
        <f t="shared" ca="1" si="0"/>
        <v>0</v>
      </c>
      <c r="P86" s="16"/>
      <c r="Q86" s="16"/>
    </row>
    <row r="87" spans="1:23" ht="3" customHeight="1" x14ac:dyDescent="0.35">
      <c r="A87" s="20"/>
      <c r="B87" s="20"/>
      <c r="O87" s="195">
        <f t="shared" ca="1" si="0"/>
        <v>0</v>
      </c>
      <c r="P87" s="16"/>
      <c r="Q87" s="16"/>
      <c r="S87" s="9" t="s">
        <v>870</v>
      </c>
      <c r="T87" s="6"/>
      <c r="V87" s="633" t="s">
        <v>871</v>
      </c>
      <c r="W87" s="6"/>
    </row>
    <row r="88" spans="1:23" ht="3" customHeight="1" x14ac:dyDescent="0.35">
      <c r="A88" s="20"/>
      <c r="B88" s="20"/>
      <c r="C88" s="627"/>
      <c r="O88" s="195">
        <f t="shared" ca="1" si="0"/>
        <v>0</v>
      </c>
      <c r="P88" s="16"/>
      <c r="Q88" s="16"/>
      <c r="S88" s="630" t="s">
        <v>872</v>
      </c>
      <c r="T88" s="6"/>
      <c r="V88" s="630" t="s">
        <v>872</v>
      </c>
      <c r="W88" s="6"/>
    </row>
    <row r="89" spans="1:23" ht="13.15" x14ac:dyDescent="0.4">
      <c r="A89" s="20"/>
      <c r="B89" s="20"/>
      <c r="C89" s="627">
        <f>IF(ENTRADAS!D912="x",IF(ENTRADAS!$C$395="x","MONTAGEM SEQUENCIAL:",IF(ENTRADAS!$C$397="x","MONTAGEM NÃO SEQUENCIAL:",0)),0)</f>
        <v>0</v>
      </c>
      <c r="F89" s="12">
        <f>IF(ENTRADAS!D912="x",IF(SUM($N$10:$O$12)&gt;0,0,"VOLTE E DEFINA O TEMPO MÍNIMO DE GUINDASTE ACIMA !"),0)</f>
        <v>0</v>
      </c>
      <c r="O89" s="195">
        <f t="shared" ca="1" si="0"/>
        <v>0</v>
      </c>
      <c r="P89" s="16"/>
      <c r="Q89" s="16"/>
      <c r="S89" s="32">
        <f>S91</f>
        <v>0</v>
      </c>
      <c r="T89" s="32">
        <f>IF(S89=0,0,IF(S89&lt;90,IF((ROUNDUP('cronograma unit.'!$E$383/7*6,0)+ROUNDUP('cronograma unit.'!$E$385/7*6,0))&gt;=30/7*6,ROUNDUP('cronograma unit.'!$E$385/7*6,0),IF($O$10=1,ROUNDUP('cronograma unit.'!$E$385/7*6,0),IF($N$10=1,ROUNDUP((30/7*6),0)-ROUNDUP('cronograma unit.'!$E$383/7*6,0),0))),IF(S89&gt;=90,IF((ROUNDUP('cronograma unit.'!$E$383/7*6,0)+ROUNDUP('cronograma unit.'!$E$385/7*6,0))&gt;=30/7*6,ROUNDUP('cronograma unit.'!$E$385/7*6,0),IF($O$12=1,ROUNDUP('cronograma unit.'!$E$385/7*6,0),IF($N$12=1,ROUNDUP((30/7*6),0)-ROUNDUP('cronograma unit.'!$E$383/7*6,0),0))))))</f>
        <v>0</v>
      </c>
      <c r="V89" s="32">
        <f>V91</f>
        <v>0</v>
      </c>
      <c r="W89" s="32">
        <f>0</f>
        <v>0</v>
      </c>
    </row>
    <row r="90" spans="1:23" x14ac:dyDescent="0.35">
      <c r="A90" s="20"/>
      <c r="B90" s="20"/>
      <c r="D90" s="633">
        <f>IF(ENTRADAS!D912="x","GUINDASTE COBERT. TRABALHANDO=",0)</f>
        <v>0</v>
      </c>
      <c r="E90" s="10"/>
      <c r="F90" s="10"/>
      <c r="G90" s="646">
        <f>IF(ENTRADAS!D912="X",IF(GUINDASTE!E62="X",IF(SUM(LAJES!AO154:AO158)&gt;=CÁLCULOS!O279,SUM(LAJES!AO154:AO158),CÁLCULOS!O279),IF(GUINDASTE!E57&gt;0,GUINDASTE!E57,SUM(LAJES!AO154:AO158))),0)</f>
        <v>0</v>
      </c>
      <c r="H90" s="629">
        <f>IF(ENTRADAS!D912="x","ton",0)</f>
        <v>0</v>
      </c>
      <c r="I90" s="9">
        <f>IF(ENTRADAS!D912="x",IF('cronograma unit.'!$E$386&gt;0,IF(L86="X",T91,IF(I86="X",W91,0)),T91),0)</f>
        <v>0</v>
      </c>
      <c r="J90" s="646">
        <f>IF(ENTRADAS!D912="x","dias (seg a sab )",0)</f>
        <v>0</v>
      </c>
      <c r="K90" s="10"/>
      <c r="L90" s="6"/>
      <c r="O90" s="195">
        <f t="shared" ca="1" si="0"/>
        <v>0</v>
      </c>
      <c r="P90" s="16"/>
      <c r="Q90" s="16"/>
      <c r="S90" s="633" t="s">
        <v>875</v>
      </c>
      <c r="T90" s="6"/>
      <c r="V90" s="633" t="s">
        <v>875</v>
      </c>
      <c r="W90" s="6"/>
    </row>
    <row r="91" spans="1:23" ht="3" customHeight="1" x14ac:dyDescent="0.35">
      <c r="A91" s="20"/>
      <c r="B91" s="20"/>
      <c r="D91" s="627"/>
      <c r="H91" s="627"/>
      <c r="J91" s="627"/>
      <c r="O91" s="195">
        <f t="shared" ca="1" si="0"/>
        <v>0</v>
      </c>
      <c r="P91" s="16"/>
      <c r="Q91" s="16"/>
      <c r="S91" s="386">
        <f>G90</f>
        <v>0</v>
      </c>
      <c r="T91" s="32">
        <f>IF(S91=0,0,IF(S91&lt;90,IF((ROUNDUP('cronograma unit.'!$E$383/7*6,0)+ROUNDUP('cronograma unit.'!$E$385/7*6,0))&gt;=30/7*6,ROUNDUP('cronograma unit.'!$E$383/7*6,0),IF($O$10=1,ROUNDUP('cronograma unit.'!$E$383/7*6,0),IF($N$10=1,ROUNDUP(30/7*6,0),0))),IF(S91&gt;=90,IF((ROUNDUP('cronograma unit.'!$E$383/7*6,0)+ROUNDUP('cronograma unit.'!$E$385/7*6,0))&gt;=30/7*6,ROUNDUP('cronograma unit.'!$E$383/7*6,0),IF($O$12=1,ROUNDUP('cronograma unit.'!$E$383/7*6,0),IF($N$12=1,ROUNDUP(30/7*6,0),0))))))</f>
        <v>0</v>
      </c>
      <c r="V91" s="386">
        <f>G90</f>
        <v>0</v>
      </c>
      <c r="W91" s="32">
        <f>IF(V91=0,0,IF(V91&lt;90,IF(((ROUNDUP('cronograma unit.'!$E$383/7*6,0)+ROUNDUP('cronograma unit.'!$E$385/7*6,0)))/('cronograma unit.'!$E$386+1)&gt;=30/7*6,ROUNDUP('cronograma unit.'!$E$383/7*6,0),IF($O$10=1,ROUNDUP('cronograma unit.'!$E$383/7*6,0),IF($N$10=1,ROUNDUP(30/7*6,0)*('cronograma unit.'!$E$386+1),0))),IF(V91&gt;=90,IF(((ROUNDUP('cronograma unit.'!$E$383/7*6,0)+ROUNDUP('cronograma unit.'!$E$385/7*6,0)))/('cronograma unit.'!$E$386+1)&gt;=30/7*6,ROUNDUP('cronograma unit.'!$E$383/7*6,0),IF($O$12=1,ROUNDUP('cronograma unit.'!$E$383/7*6,0),IF($N$12=1,ROUNDUP(30/7*6,0)*('cronograma unit.'!$E$386+1),0))))))</f>
        <v>0</v>
      </c>
    </row>
    <row r="92" spans="1:23" x14ac:dyDescent="0.35">
      <c r="A92" s="20"/>
      <c r="B92" s="20"/>
      <c r="D92" s="633">
        <f>IF(ENTRADAS!D912="x",IF(I92=0,0,"GUINDASTE COBERT. À DISPOSIÇÃO="),0)</f>
        <v>0</v>
      </c>
      <c r="E92" s="10"/>
      <c r="F92" s="10"/>
      <c r="G92" s="10">
        <f>IF(I92=0,0,G90)</f>
        <v>0</v>
      </c>
      <c r="H92" s="629">
        <f>IF(ENTRADAS!D912="x","ton",0)</f>
        <v>0</v>
      </c>
      <c r="I92" s="9">
        <f>IF(L86="X",T89,IF(I86="X",W89,0))</f>
        <v>0</v>
      </c>
      <c r="J92" s="646">
        <f>IF(ENTRADAS!D912="x","dias (seg a sab )",0)</f>
        <v>0</v>
      </c>
      <c r="K92" s="10"/>
      <c r="L92" s="6"/>
      <c r="O92" s="195">
        <f t="shared" ca="1" si="0"/>
        <v>0</v>
      </c>
      <c r="P92" s="16"/>
      <c r="Q92" s="16"/>
      <c r="S92" s="9" t="s">
        <v>876</v>
      </c>
      <c r="T92" s="6">
        <f>IF(N10+O10+N12+O12=0,0,1)</f>
        <v>1</v>
      </c>
      <c r="V92" s="9" t="s">
        <v>876</v>
      </c>
      <c r="W92" s="6">
        <f ca="1">IF(N10+O10+N12+O12=0,0,'cronograma unit.'!$E$386+1)</f>
        <v>1</v>
      </c>
    </row>
    <row r="93" spans="1:23" ht="3" customHeight="1" x14ac:dyDescent="0.35">
      <c r="A93" s="20"/>
      <c r="B93" s="20"/>
      <c r="D93" s="627"/>
      <c r="O93" s="195">
        <f t="shared" ca="1" si="0"/>
        <v>0</v>
      </c>
      <c r="P93" s="16"/>
      <c r="Q93" s="16"/>
    </row>
    <row r="94" spans="1:23" x14ac:dyDescent="0.35">
      <c r="A94" s="20"/>
      <c r="B94" s="20"/>
      <c r="D94" s="633">
        <f>IF(ENTRADAS!D912="x",IF(I90=0,0,"MOBILIZAÇÃO GUINDASTE COBERT.="),0)</f>
        <v>0</v>
      </c>
      <c r="E94" s="10"/>
      <c r="F94" s="10"/>
      <c r="G94" s="10">
        <f>IF(I94=0,0,G90)</f>
        <v>0</v>
      </c>
      <c r="H94" s="629">
        <f>IF(ENTRADAS!D912="x","ton",0)</f>
        <v>0</v>
      </c>
      <c r="I94" s="9">
        <f>IF(ENTRADAS!D912="x",IF('cronograma unit.'!$E$386&gt;0,IF(I86="X",W92,IF(L86="x",T92,0)),T92),0)</f>
        <v>0</v>
      </c>
      <c r="J94" s="646">
        <f>IF(ENTRADAS!D912="x","mobilização / desmobiliz.",0)</f>
        <v>0</v>
      </c>
      <c r="K94" s="10"/>
      <c r="L94" s="6"/>
      <c r="O94" s="195">
        <f t="shared" ca="1" si="0"/>
        <v>0</v>
      </c>
      <c r="P94" s="16"/>
      <c r="Q94" s="16"/>
    </row>
    <row r="95" spans="1:23" ht="5.25" customHeight="1" x14ac:dyDescent="0.35">
      <c r="A95" s="20"/>
      <c r="B95" s="18"/>
      <c r="C95" s="3"/>
      <c r="D95" s="3"/>
      <c r="E95" s="3"/>
      <c r="F95" s="3"/>
      <c r="G95" s="3"/>
      <c r="H95" s="3"/>
      <c r="I95" s="3"/>
      <c r="J95" s="3"/>
      <c r="K95" s="3"/>
      <c r="L95" s="3"/>
      <c r="M95" s="3"/>
      <c r="N95" s="3"/>
      <c r="O95" s="198">
        <f t="shared" ca="1" si="0"/>
        <v>0</v>
      </c>
      <c r="P95" s="17"/>
      <c r="Q95" s="16"/>
    </row>
    <row r="96" spans="1:23" x14ac:dyDescent="0.35">
      <c r="A96" s="20"/>
      <c r="B96" s="13"/>
      <c r="C96" s="652">
        <f>IF(ENTRADAS!D912="x","CASO PAREDES E COBERTURA ( considerado o maior guindaste )",0)</f>
        <v>0</v>
      </c>
      <c r="D96" s="14"/>
      <c r="E96" s="14"/>
      <c r="F96" s="199">
        <f>IF(C98=0,0,1)</f>
        <v>0</v>
      </c>
      <c r="G96" s="199">
        <f>IF(I99=0,0,1)</f>
        <v>0</v>
      </c>
      <c r="H96" s="199">
        <f>IF(L99=0,0,1)</f>
        <v>0</v>
      </c>
      <c r="I96" s="14">
        <f>IF(F96+G96+H96=1,"OBRIGATÓRIO DEFINIÇÃO, SIM OU NÃO !",0)</f>
        <v>0</v>
      </c>
      <c r="J96" s="14"/>
      <c r="K96" s="14"/>
      <c r="L96" s="14"/>
      <c r="M96" s="14"/>
      <c r="N96" s="199">
        <f>IF(I96&lt;&gt;0,1,0)</f>
        <v>0</v>
      </c>
      <c r="O96" s="195">
        <f t="shared" ca="1" si="0"/>
        <v>0</v>
      </c>
      <c r="P96" s="15"/>
      <c r="Q96" s="16"/>
    </row>
    <row r="97" spans="1:23" ht="3" customHeight="1" x14ac:dyDescent="0.35">
      <c r="A97" s="20"/>
      <c r="B97" s="20"/>
      <c r="O97" s="195">
        <f t="shared" ca="1" si="0"/>
        <v>0</v>
      </c>
      <c r="P97" s="16"/>
      <c r="Q97" s="16"/>
    </row>
    <row r="98" spans="1:23" x14ac:dyDescent="0.35">
      <c r="A98" s="20"/>
      <c r="B98" s="20"/>
      <c r="C98">
        <f>IF(ENTRADAS!D912="x",IF('cronograma unit.'!$E$376=0,0,IF('cronograma unit.'!$E$376=1,"Analisando o cronograma, existe "&amp;'cronograma unit.'!$E$376&amp;" intervalo de "&amp;'cronograma unit.'!$E$375/'cronograma unit.'!$E$376&amp;"  dias entre as montagem de paredes / coberturas. ","Analisando o cronograma, existem "&amp;'cronograma unit.'!$E$376&amp;" intervalos de "&amp;'cronograma unit.'!$E$375/'cronograma unit.'!$E$376&amp;"  dias em média entre as montagem de paredes / coberturas. ")),0)</f>
        <v>0</v>
      </c>
      <c r="O98" s="195">
        <f t="shared" ca="1" si="0"/>
        <v>0</v>
      </c>
      <c r="P98" s="16"/>
      <c r="Q98" s="16"/>
    </row>
    <row r="99" spans="1:23" x14ac:dyDescent="0.35">
      <c r="A99" s="20"/>
      <c r="B99" s="20"/>
      <c r="C99">
        <f>IF(ENTRADAS!D912="x",IF('cronograma unit.'!$E$376=0,0,IF('cronograma unit.'!$E$376=1,"           Considerar que o guindaste será desmobilizado neste intervalo ?","         Considerar que o guindaste será desmobilizado nestes intervalos ?")),0)</f>
        <v>0</v>
      </c>
      <c r="I99" s="626"/>
      <c r="J99" s="627">
        <f>IF(ENTRADAS!D912="x",IF('cronograma unit.'!$E$376=0,0,IF('cronograma unit.'!$E$376=1,"sim","sim")),0)</f>
        <v>0</v>
      </c>
      <c r="L99" s="626"/>
      <c r="M99" s="627">
        <f>IF(ENTRADAS!D912="x",IF('cronograma unit.'!$E$376=0,0,IF('cronograma unit.'!$E$376=1,"não","não")),0)</f>
        <v>0</v>
      </c>
      <c r="O99" s="195">
        <f t="shared" ca="1" si="0"/>
        <v>0</v>
      </c>
      <c r="P99" s="16"/>
      <c r="Q99" s="16"/>
    </row>
    <row r="100" spans="1:23" ht="3" customHeight="1" x14ac:dyDescent="0.35">
      <c r="A100" s="20"/>
      <c r="B100" s="20"/>
      <c r="O100" s="195">
        <f t="shared" ca="1" si="0"/>
        <v>0</v>
      </c>
      <c r="P100" s="16"/>
      <c r="Q100" s="16"/>
      <c r="S100" s="9" t="s">
        <v>870</v>
      </c>
      <c r="T100" s="6"/>
      <c r="V100" s="633" t="s">
        <v>871</v>
      </c>
      <c r="W100" s="6"/>
    </row>
    <row r="101" spans="1:23" ht="3" customHeight="1" x14ac:dyDescent="0.35">
      <c r="A101" s="20"/>
      <c r="B101" s="20"/>
      <c r="C101" s="627"/>
      <c r="O101" s="195">
        <f t="shared" ca="1" si="0"/>
        <v>0</v>
      </c>
      <c r="P101" s="16"/>
      <c r="Q101" s="16"/>
      <c r="S101" s="630" t="s">
        <v>872</v>
      </c>
      <c r="T101" s="6"/>
      <c r="V101" s="630" t="s">
        <v>872</v>
      </c>
      <c r="W101" s="6"/>
    </row>
    <row r="102" spans="1:23" ht="13.15" x14ac:dyDescent="0.4">
      <c r="A102" s="20"/>
      <c r="B102" s="20"/>
      <c r="C102" s="627">
        <f>IF(ENTRADAS!D912="x",IF(ENTRADAS!$C$395="x","MONTAGEM SEQUENCIAL:",IF(ENTRADAS!$C$397="x","MONTAGEM NÃO SEQUENCIAL:",0)),0)</f>
        <v>0</v>
      </c>
      <c r="F102" s="12">
        <f>IF(ENTRADAS!D912="x",IF(SUM($N$10:$O$12)&gt;0,0,"VOLTE E DEFINA O TEMPO MÍNIMO DE GUINDASTE ACIMA !"),0)</f>
        <v>0</v>
      </c>
      <c r="O102" s="195">
        <f t="shared" ca="1" si="0"/>
        <v>0</v>
      </c>
      <c r="P102" s="16"/>
      <c r="Q102" s="16"/>
      <c r="S102" s="32">
        <f>S104</f>
        <v>0</v>
      </c>
      <c r="T102" s="32">
        <f>IF(S102=0,0,IF(S102&lt;90,IF((ROUNDUP('cronograma unit.'!$E$373/7*6,0)+ROUNDUP('cronograma unit.'!$E$375/7*6,0))&gt;=30/7*6,ROUNDUP('cronograma unit.'!$E$375/7*6,0),IF($O$10=1,ROUNDUP('cronograma unit.'!$E$375/7*6,0),IF($N$10=1,ROUNDUP((30/7*6),0)-ROUNDUP('cronograma unit.'!$E$373/7*6,0),0))),IF(S102&gt;=90,IF((ROUNDUP('cronograma unit.'!$E$373/7*6,0)+ROUNDUP('cronograma unit.'!$E$375/7*6,0))&gt;=30/7*6,ROUNDUP('cronograma unit.'!$E$375/7*6,0),IF($O$12=1,ROUNDUP('cronograma unit.'!$E$375/7*6,0),IF($N$12=1,ROUNDUP((30/7*6),0)-ROUNDUP('cronograma unit.'!$E$373/7*6,0),0))))))</f>
        <v>0</v>
      </c>
      <c r="V102" s="32">
        <f>V104</f>
        <v>0</v>
      </c>
      <c r="W102" s="32">
        <f>0</f>
        <v>0</v>
      </c>
    </row>
    <row r="103" spans="1:23" x14ac:dyDescent="0.35">
      <c r="A103" s="20"/>
      <c r="B103" s="20"/>
      <c r="D103" s="633">
        <f>IF(ENTRADAS!D912="x","GUIND. G1 (parede/cob.) TRABALHANDO =",0)</f>
        <v>0</v>
      </c>
      <c r="E103" s="10"/>
      <c r="F103" s="10"/>
      <c r="G103" s="646">
        <f>IF(ENTRADAS!D912="x",IF(CÁLCULOS!O279&gt;=SUM(LAJES!AO154:AO158),CÁLCULOS!O279,IF(SUM(LAJES!AO154:AO158)&gt;CÁLCULOS!O279,SUM(LAJES!AO154:AO158))),0)</f>
        <v>0</v>
      </c>
      <c r="H103" s="629">
        <f>IF(ENTRADAS!D912="x","ton",0)</f>
        <v>0</v>
      </c>
      <c r="I103" s="9">
        <f>IF(ENTRADAS!D912="x",IF('cronograma unit.'!$E$376&gt;0,IF(L99="X",T104,IF(I99="X",W104,0)),T104),0)</f>
        <v>0</v>
      </c>
      <c r="J103" s="646">
        <f>IF(ENTRADAS!D912="x","dias (seg a sab )",0)</f>
        <v>0</v>
      </c>
      <c r="K103" s="10"/>
      <c r="L103" s="6"/>
      <c r="O103" s="195">
        <f t="shared" ca="1" si="0"/>
        <v>0</v>
      </c>
      <c r="P103" s="16"/>
      <c r="Q103" s="16"/>
      <c r="S103" s="633" t="s">
        <v>875</v>
      </c>
      <c r="T103" s="6"/>
      <c r="V103" s="633" t="s">
        <v>875</v>
      </c>
      <c r="W103" s="6"/>
    </row>
    <row r="104" spans="1:23" ht="3" customHeight="1" x14ac:dyDescent="0.35">
      <c r="A104" s="20"/>
      <c r="B104" s="20"/>
      <c r="D104" s="627"/>
      <c r="H104" s="627"/>
      <c r="J104" s="627"/>
      <c r="O104" s="195">
        <f t="shared" ca="1" si="0"/>
        <v>0</v>
      </c>
      <c r="P104" s="16"/>
      <c r="Q104" s="16"/>
      <c r="S104" s="386">
        <f>G103</f>
        <v>0</v>
      </c>
      <c r="T104" s="32">
        <f>IF(S104=0,0,IF(S104&lt;90,IF((ROUNDUP('cronograma unit.'!$E$373/7*6,0)+ROUNDUP('cronograma unit.'!$E$375/7*6,0))&gt;=30/7*6,ROUNDUP('cronograma unit.'!$E$373/7*6,0),IF($O$10=1,ROUNDUP('cronograma unit.'!$E$373/7*6,0),IF($N$10=1,ROUNDUP(30/7*6,0),0))),IF(S104&gt;=90,IF((ROUNDUP('cronograma unit.'!$E$373/7*6,0)+ROUNDUP('cronograma unit.'!$E$375/7*6,0))&gt;=30/7*6,ROUNDUP('cronograma unit.'!$E$373/7*6,0),IF($O$12=1,ROUNDUP('cronograma unit.'!$E$373/7*6,0),IF($N$12=1,ROUNDUP(30/7*6,0),0))))))</f>
        <v>0</v>
      </c>
      <c r="V104" s="386">
        <f>G103</f>
        <v>0</v>
      </c>
      <c r="W104" s="32">
        <f>IF(V104=0,0,IF(V104&lt;90,IF(((ROUNDUP('cronograma unit.'!$E$373/7*6,0)+ROUNDUP('cronograma unit.'!$E$375/7*6,0)))/('cronograma unit.'!$E$386+1)&gt;=30/7*6,ROUNDUP('cronograma unit.'!$E$373/7*6,0),IF(O$10=1,ROUNDUP('cronograma unit.'!$E$373/7*6,0),IF($N$10=1,ROUNDUP(30/7*6,0)*('cronograma unit.'!$E$376+1),0))),IF(V104&gt;=90,IF(((ROUNDUP('cronograma unit.'!$E$373/7*6,0)+ROUNDUP('cronograma unit.'!$E$375/7*6,0)))/('cronograma unit.'!$E$386+1)&gt;=30/7*6,ROUNDUP('cronograma unit.'!$E$373/7*6,0),IF($O$12=1,ROUNDUP('cronograma unit.'!$E$373/7*6,0),IF($N$12=1,ROUNDUP(30/7*6,0)*('cronograma unit.'!$E$376+1),0))))))</f>
        <v>0</v>
      </c>
    </row>
    <row r="105" spans="1:23" x14ac:dyDescent="0.35">
      <c r="A105" s="20"/>
      <c r="B105" s="20"/>
      <c r="D105" s="633">
        <f>IF(ENTRADAS!D912="x",IF(I105=0,0,"GUIND. G1 ( parede/cob.)  À DISPOSIÇÃO="),0)</f>
        <v>0</v>
      </c>
      <c r="E105" s="10"/>
      <c r="F105" s="10"/>
      <c r="G105" s="10">
        <f>IF(I105=0,0,IF(ENTRADAS!D912="x",IF(CÁLCULOS!O279&gt;=SUM(LAJES!AO154:AO158),CÁLCULOS!O279,IF(SUM(LAJES!AO154:AO158)&gt;CÁLCULOS!O279,SUM(LAJES!AO154:AO158))),0))</f>
        <v>0</v>
      </c>
      <c r="H105" s="629">
        <f>IF(ENTRADAS!D912="x","ton",0)</f>
        <v>0</v>
      </c>
      <c r="I105" s="9">
        <f>IF(L99="X",T102,IF(I99="X",W102,0))</f>
        <v>0</v>
      </c>
      <c r="J105" s="646">
        <f>IF(ENTRADAS!D912="x","dias (seg a sab )",0)</f>
        <v>0</v>
      </c>
      <c r="K105" s="10"/>
      <c r="L105" s="6"/>
      <c r="O105" s="195">
        <f t="shared" ref="O105:O128" ca="1" si="1">IF($D$127&lt;&gt;0,1,0)</f>
        <v>0</v>
      </c>
      <c r="P105" s="16"/>
      <c r="Q105" s="16"/>
      <c r="S105" s="9" t="s">
        <v>876</v>
      </c>
      <c r="T105" s="6">
        <f>IF(N10+O10+N12+O12=0,0,1)</f>
        <v>1</v>
      </c>
      <c r="V105" s="9" t="s">
        <v>876</v>
      </c>
      <c r="W105" s="6">
        <f ca="1">IF(N10+O10+N12+O12=0,0,'cronograma unit.'!$E$386+1)</f>
        <v>1</v>
      </c>
    </row>
    <row r="106" spans="1:23" ht="3" customHeight="1" x14ac:dyDescent="0.35">
      <c r="A106" s="20"/>
      <c r="B106" s="20"/>
      <c r="D106" s="627"/>
      <c r="O106" s="195">
        <f t="shared" ca="1" si="1"/>
        <v>0</v>
      </c>
      <c r="P106" s="16"/>
      <c r="Q106" s="16"/>
    </row>
    <row r="107" spans="1:23" x14ac:dyDescent="0.35">
      <c r="A107" s="20"/>
      <c r="B107" s="20"/>
      <c r="D107" s="633">
        <f>IF(ENTRADAS!D912="x",IF(I103=0,0,"MOBILIZAÇÃO G1 (parede/cob.)="),0)</f>
        <v>0</v>
      </c>
      <c r="E107" s="10"/>
      <c r="F107" s="10"/>
      <c r="G107" s="10">
        <f>IF(I107=0,0,IF(ENTRADAS!D912="x",IF(CÁLCULOS!O279&gt;=SUM(LAJES!AO154:AO158),CÁLCULOS!O279,IF(SUM(LAJES!AO154:AO158)&gt;CÁLCULOS!O279,SUM(LAJES!AO154:AO158))),0))</f>
        <v>0</v>
      </c>
      <c r="H107" s="629">
        <f>IF(ENTRADAS!D912="x","ton",0)</f>
        <v>0</v>
      </c>
      <c r="I107" s="9">
        <f>IF(ENTRADAS!D912="x",IF('cronograma unit.'!$E$376&gt;0,IF(I99="X",W105,IF(L99="x",T105,0)),T105),0)</f>
        <v>0</v>
      </c>
      <c r="J107" s="646">
        <f>IF(ENTRADAS!D912="x","dias (seg a sab )",0)</f>
        <v>0</v>
      </c>
      <c r="K107" s="10"/>
      <c r="L107" s="6"/>
      <c r="O107" s="195">
        <f t="shared" ca="1" si="1"/>
        <v>0</v>
      </c>
      <c r="P107" s="16"/>
      <c r="Q107" s="16"/>
      <c r="S107" s="627" t="s">
        <v>878</v>
      </c>
      <c r="U107">
        <f ca="1">'cronograma unit.'!E378/'cronograma unit.'!E373</f>
        <v>1</v>
      </c>
    </row>
    <row r="108" spans="1:23" ht="5.25" customHeight="1" x14ac:dyDescent="0.35">
      <c r="A108" s="20"/>
      <c r="B108" s="18"/>
      <c r="C108" s="3"/>
      <c r="D108" s="3"/>
      <c r="E108" s="3"/>
      <c r="F108" s="3"/>
      <c r="G108" s="3"/>
      <c r="H108" s="3"/>
      <c r="I108" s="3"/>
      <c r="J108" s="3"/>
      <c r="K108" s="3"/>
      <c r="L108" s="3"/>
      <c r="M108" s="3"/>
      <c r="N108" s="3"/>
      <c r="O108" s="198">
        <f t="shared" ca="1" si="1"/>
        <v>0</v>
      </c>
      <c r="P108" s="17"/>
      <c r="Q108" s="16"/>
      <c r="S108" s="627" t="s">
        <v>879</v>
      </c>
    </row>
    <row r="109" spans="1:23" ht="14.25" hidden="1" customHeight="1" x14ac:dyDescent="0.35">
      <c r="A109" s="20"/>
      <c r="O109" s="195">
        <f t="shared" ca="1" si="1"/>
        <v>0</v>
      </c>
      <c r="Q109" s="16"/>
    </row>
    <row r="110" spans="1:23" ht="5.25" customHeight="1" x14ac:dyDescent="0.35">
      <c r="A110" s="20"/>
      <c r="B110" s="20"/>
      <c r="O110" s="195">
        <f t="shared" ca="1" si="1"/>
        <v>0</v>
      </c>
      <c r="P110" s="16"/>
      <c r="Q110" s="16"/>
    </row>
    <row r="111" spans="1:23" x14ac:dyDescent="0.35">
      <c r="A111" s="20"/>
      <c r="B111" s="20"/>
      <c r="C111" s="1352" t="s">
        <v>737</v>
      </c>
      <c r="D111" s="1352" t="s">
        <v>880</v>
      </c>
      <c r="E111" s="1531"/>
      <c r="F111" s="1531"/>
      <c r="G111" s="1338" t="s">
        <v>881</v>
      </c>
      <c r="H111" s="1441"/>
      <c r="I111" s="1441"/>
      <c r="J111" s="1441"/>
      <c r="K111" s="1441"/>
      <c r="L111" s="1339"/>
      <c r="O111" s="195">
        <f t="shared" ca="1" si="1"/>
        <v>0</v>
      </c>
      <c r="P111" s="16"/>
      <c r="Q111" s="16"/>
    </row>
    <row r="112" spans="1:23" ht="12.75" customHeight="1" x14ac:dyDescent="0.35">
      <c r="A112" s="20"/>
      <c r="B112" s="20"/>
      <c r="C112" s="1531"/>
      <c r="D112" s="1531"/>
      <c r="E112" s="1531"/>
      <c r="F112" s="1531"/>
      <c r="G112" s="1446" t="s">
        <v>882</v>
      </c>
      <c r="H112" s="1446"/>
      <c r="I112" s="1446" t="s">
        <v>883</v>
      </c>
      <c r="J112" s="1446" t="s">
        <v>884</v>
      </c>
      <c r="K112" s="1532" t="s">
        <v>885</v>
      </c>
      <c r="L112" s="1532"/>
      <c r="O112" s="195">
        <f t="shared" ca="1" si="1"/>
        <v>0</v>
      </c>
      <c r="P112" s="16"/>
      <c r="Q112" s="16"/>
    </row>
    <row r="113" spans="1:17" x14ac:dyDescent="0.35">
      <c r="A113" s="20"/>
      <c r="B113" s="20"/>
      <c r="C113" s="1531"/>
      <c r="D113" s="1531"/>
      <c r="E113" s="1531"/>
      <c r="F113" s="1531"/>
      <c r="G113" s="1446"/>
      <c r="H113" s="1446"/>
      <c r="I113" s="1446"/>
      <c r="J113" s="1446"/>
      <c r="K113" s="1532"/>
      <c r="L113" s="1532"/>
      <c r="O113" s="195">
        <f t="shared" ca="1" si="1"/>
        <v>0</v>
      </c>
      <c r="P113" s="16"/>
      <c r="Q113" s="16"/>
    </row>
    <row r="114" spans="1:17" x14ac:dyDescent="0.35">
      <c r="A114" s="20"/>
      <c r="B114" s="20"/>
      <c r="C114" s="626" t="s">
        <v>886</v>
      </c>
      <c r="D114" s="9" t="s">
        <v>869</v>
      </c>
      <c r="E114" s="10"/>
      <c r="F114" s="6"/>
      <c r="G114" s="1522">
        <f ca="1">IF(G77=0,0,I77*VLOOKUP(G77,INSUMOS!$V$56:$Y$63,2,0))</f>
        <v>325600</v>
      </c>
      <c r="H114" s="1522"/>
      <c r="I114" s="648">
        <f>IF(G79=0,0,I79*VLOOKUP(G79,INSUMOS!$V$56:$Y$63,4,0))</f>
        <v>0</v>
      </c>
      <c r="J114" s="648">
        <f ca="1">IF(G81=0,0,I81*VLOOKUP(G81,INSUMOS!$V$56:$Y$63,3,0))</f>
        <v>5000</v>
      </c>
      <c r="K114" s="1523">
        <f ca="1">G114+I114+J114</f>
        <v>330600</v>
      </c>
      <c r="L114" s="1524"/>
      <c r="O114" s="195">
        <f t="shared" ca="1" si="1"/>
        <v>0</v>
      </c>
      <c r="P114" s="16"/>
      <c r="Q114" s="16"/>
    </row>
    <row r="115" spans="1:17" ht="3.75" customHeight="1" x14ac:dyDescent="0.35">
      <c r="A115" s="20"/>
      <c r="B115" s="20"/>
      <c r="C115" s="1"/>
      <c r="O115" s="195">
        <f t="shared" ca="1" si="1"/>
        <v>0</v>
      </c>
      <c r="P115" s="16"/>
      <c r="Q115" s="16"/>
    </row>
    <row r="116" spans="1:17" x14ac:dyDescent="0.35">
      <c r="A116" s="20"/>
      <c r="B116" s="20"/>
      <c r="C116" s="626">
        <f>IF(ENTRADAS!D912="x","B",0)</f>
        <v>0</v>
      </c>
      <c r="D116" s="9">
        <f>IF(ENTRADAS!D912="x","CASO SOMENTE COBERTURA",0)</f>
        <v>0</v>
      </c>
      <c r="E116" s="10"/>
      <c r="F116" s="6"/>
      <c r="G116" s="1522">
        <f>IF(G90=0,0,I90*VLOOKUP(G90,INSUMOS!$V$56:$Y$63,2,0))</f>
        <v>0</v>
      </c>
      <c r="H116" s="1522"/>
      <c r="I116" s="648">
        <f>IF(G92=0,0,I92*VLOOKUP(G92,INSUMOS!$V$56:$Y$63,4,0))</f>
        <v>0</v>
      </c>
      <c r="J116" s="648">
        <f>IF(G94=0,0,I94*VLOOKUP(G94,INSUMOS!$V$56:$Y$63,3,0))</f>
        <v>0</v>
      </c>
      <c r="K116" s="1523">
        <f>G116+I116+J116</f>
        <v>0</v>
      </c>
      <c r="L116" s="1524"/>
      <c r="O116" s="195">
        <f t="shared" ca="1" si="1"/>
        <v>0</v>
      </c>
      <c r="P116" s="16"/>
      <c r="Q116" s="16"/>
    </row>
    <row r="117" spans="1:17" ht="3" customHeight="1" x14ac:dyDescent="0.35">
      <c r="A117" s="20"/>
      <c r="B117" s="20"/>
      <c r="C117" s="1"/>
      <c r="O117" s="195">
        <f t="shared" ca="1" si="1"/>
        <v>0</v>
      </c>
      <c r="P117" s="16"/>
      <c r="Q117" s="16"/>
    </row>
    <row r="118" spans="1:17" x14ac:dyDescent="0.35">
      <c r="A118" s="20"/>
      <c r="B118" s="20"/>
      <c r="C118" s="626">
        <f>IF(ENTRADAS!D912="x","C",0)</f>
        <v>0</v>
      </c>
      <c r="D118" s="9">
        <f>IF(ENTRADAS!D912="x","CASO PAREDES E COBERTURA",0)</f>
        <v>0</v>
      </c>
      <c r="E118" s="10"/>
      <c r="F118" s="6"/>
      <c r="G118" s="1522">
        <f>IF(G103=0,0,I103*VLOOKUP(G103,INSUMOS!$V$56:$Y$63,2,0))</f>
        <v>0</v>
      </c>
      <c r="H118" s="1522"/>
      <c r="I118" s="648">
        <f>IF(G105=0,0,I105*VLOOKUP(G105,INSUMOS!$V$56:$Y$63,4,0))</f>
        <v>0</v>
      </c>
      <c r="J118" s="648">
        <f>IF(G107=0,0,I107*VLOOKUP(G107,INSUMOS!$V$56:$Y$63,3,0))</f>
        <v>0</v>
      </c>
      <c r="K118" s="1523">
        <f>G118+I118+J118</f>
        <v>0</v>
      </c>
      <c r="L118" s="1524"/>
      <c r="O118" s="195">
        <f t="shared" ca="1" si="1"/>
        <v>0</v>
      </c>
      <c r="P118" s="16"/>
      <c r="Q118" s="16"/>
    </row>
    <row r="119" spans="1:17" ht="5.25" customHeight="1" x14ac:dyDescent="0.35">
      <c r="A119" s="20"/>
      <c r="B119" s="20"/>
      <c r="O119" s="195">
        <f t="shared" ca="1" si="1"/>
        <v>0</v>
      </c>
      <c r="P119" s="16"/>
      <c r="Q119" s="16"/>
    </row>
    <row r="120" spans="1:17" ht="12.75" customHeight="1" x14ac:dyDescent="0.35">
      <c r="A120" s="20"/>
      <c r="B120" s="20"/>
      <c r="D120" s="1447" t="s">
        <v>887</v>
      </c>
      <c r="E120" s="1448"/>
      <c r="F120" s="1448"/>
      <c r="G120" s="1448"/>
      <c r="H120" s="1448"/>
      <c r="I120" s="1448"/>
      <c r="J120" s="1448"/>
      <c r="K120" s="1448"/>
      <c r="L120" s="1449"/>
      <c r="O120" s="195">
        <f t="shared" ca="1" si="1"/>
        <v>0</v>
      </c>
      <c r="P120" s="16"/>
      <c r="Q120" s="16"/>
    </row>
    <row r="121" spans="1:17" x14ac:dyDescent="0.35">
      <c r="A121" s="20"/>
      <c r="B121" s="20"/>
      <c r="D121" s="1525"/>
      <c r="E121" s="1526"/>
      <c r="F121" s="1526"/>
      <c r="G121" s="1526"/>
      <c r="H121" s="1526"/>
      <c r="I121" s="1526"/>
      <c r="J121" s="1526"/>
      <c r="K121" s="1526"/>
      <c r="L121" s="1527"/>
      <c r="O121" s="195">
        <f t="shared" ca="1" si="1"/>
        <v>0</v>
      </c>
      <c r="P121" s="16"/>
      <c r="Q121" s="16"/>
    </row>
    <row r="122" spans="1:17" ht="3" customHeight="1" x14ac:dyDescent="0.35">
      <c r="A122" s="20"/>
      <c r="B122" s="20"/>
      <c r="O122" s="195">
        <f t="shared" ca="1" si="1"/>
        <v>0</v>
      </c>
      <c r="P122" s="16"/>
      <c r="Q122" s="16"/>
    </row>
    <row r="123" spans="1:17" x14ac:dyDescent="0.35">
      <c r="A123" s="20"/>
      <c r="B123" s="20"/>
      <c r="C123" s="183">
        <f>IF(AND(ENTRADAS!F22&gt;0,ENTRADAS!D912=0),1,IF(ENTRADAS!D912="x",IF(D123="X",1,0),0))</f>
        <v>1</v>
      </c>
      <c r="D123" s="626" t="s">
        <v>35</v>
      </c>
      <c r="E123" s="1338" t="str">
        <f>IF(ENTRADAS!D912="x","A + B =","A =")</f>
        <v>A =</v>
      </c>
      <c r="F123" s="1339"/>
      <c r="G123" s="1520">
        <f ca="1">IF(D123=0,0,K114+K116)</f>
        <v>330600</v>
      </c>
      <c r="H123" s="1521"/>
      <c r="I123" s="1330" t="s">
        <v>888</v>
      </c>
      <c r="J123" s="1331"/>
      <c r="K123" s="1331"/>
      <c r="L123" s="1332"/>
      <c r="O123" s="195">
        <f t="shared" ca="1" si="1"/>
        <v>0</v>
      </c>
      <c r="P123" s="16"/>
      <c r="Q123" s="16"/>
    </row>
    <row r="124" spans="1:17" ht="12.75" customHeight="1" x14ac:dyDescent="0.35">
      <c r="A124" s="20"/>
      <c r="B124" s="20"/>
      <c r="C124" s="195"/>
      <c r="I124" s="1464"/>
      <c r="J124" s="1466"/>
      <c r="K124" s="1466"/>
      <c r="L124" s="1465"/>
      <c r="O124" s="195">
        <f t="shared" ca="1" si="1"/>
        <v>0</v>
      </c>
      <c r="P124" s="16"/>
      <c r="Q124" s="16"/>
    </row>
    <row r="125" spans="1:17" x14ac:dyDescent="0.35">
      <c r="A125" s="20"/>
      <c r="B125" s="20"/>
      <c r="C125" s="195">
        <f>IF(D125="X",1,0)</f>
        <v>0</v>
      </c>
      <c r="D125" s="626"/>
      <c r="E125" s="1338">
        <f>IF(AND(D123="X",D125="X"),"tire o X da opção anterior",IF(ENTRADAS!D912="x","C =",0))</f>
        <v>0</v>
      </c>
      <c r="F125" s="1339"/>
      <c r="G125" s="1520">
        <f>IF(AND(D123="X",D125="X"),"*******",IF(D125=0,0,K118))</f>
        <v>0</v>
      </c>
      <c r="H125" s="1521"/>
      <c r="I125" s="1333"/>
      <c r="J125" s="1334"/>
      <c r="K125" s="1334"/>
      <c r="L125" s="1335"/>
      <c r="O125" s="195">
        <f t="shared" ca="1" si="1"/>
        <v>0</v>
      </c>
      <c r="P125" s="16"/>
      <c r="Q125" s="16"/>
    </row>
    <row r="126" spans="1:17" ht="4.5" customHeight="1" x14ac:dyDescent="0.35">
      <c r="A126" s="20"/>
      <c r="B126" s="20"/>
      <c r="C126" s="195"/>
      <c r="D126" s="195"/>
      <c r="E126" s="195"/>
      <c r="F126" s="634"/>
      <c r="G126" s="666"/>
      <c r="H126" s="666"/>
      <c r="J126" s="667"/>
      <c r="K126" s="667"/>
      <c r="L126" s="667"/>
      <c r="O126" s="195">
        <f t="shared" ca="1" si="1"/>
        <v>0</v>
      </c>
      <c r="P126" s="16"/>
      <c r="Q126" s="16"/>
    </row>
    <row r="127" spans="1:17" ht="7.5" customHeight="1" x14ac:dyDescent="0.35">
      <c r="A127" s="20"/>
      <c r="B127" s="20"/>
      <c r="D127" s="1528">
        <f ca="1">IF('cronograma unit.'!$E$381=0,0,IF(AND(C125=1,'cronograma unit.'!$E$380/'cronograma unit.'!$E$381&gt;0),"******Alerta !!! Volte na linha 72 e 73  e confirme !!!",0))</f>
        <v>0</v>
      </c>
      <c r="E127" s="1528"/>
      <c r="F127" s="1528"/>
      <c r="G127" s="1528"/>
      <c r="H127" s="1528"/>
      <c r="O127" s="195">
        <f t="shared" ca="1" si="1"/>
        <v>0</v>
      </c>
      <c r="P127" s="16"/>
      <c r="Q127" s="16"/>
    </row>
    <row r="128" spans="1:17" ht="7.5" customHeight="1" x14ac:dyDescent="0.35">
      <c r="A128" s="20"/>
      <c r="B128" s="20"/>
      <c r="D128" s="1528"/>
      <c r="E128" s="1528"/>
      <c r="F128" s="1528"/>
      <c r="G128" s="1528"/>
      <c r="H128" s="1528"/>
      <c r="I128" s="195">
        <f t="shared" ref="I128:N128" ca="1" si="2">IF($D$127&lt;&gt;0,1,0)</f>
        <v>0</v>
      </c>
      <c r="J128" s="195">
        <f t="shared" ca="1" si="2"/>
        <v>0</v>
      </c>
      <c r="K128" s="195">
        <f t="shared" ca="1" si="2"/>
        <v>0</v>
      </c>
      <c r="L128" s="195">
        <f t="shared" ca="1" si="2"/>
        <v>0</v>
      </c>
      <c r="M128" s="195">
        <f t="shared" ca="1" si="2"/>
        <v>0</v>
      </c>
      <c r="N128" s="195">
        <f t="shared" ca="1" si="2"/>
        <v>0</v>
      </c>
      <c r="O128" s="195">
        <f t="shared" ca="1" si="1"/>
        <v>0</v>
      </c>
      <c r="P128" s="16"/>
      <c r="Q128" s="16"/>
    </row>
    <row r="129" spans="1:17" ht="3" customHeight="1" x14ac:dyDescent="0.35">
      <c r="A129" s="20"/>
      <c r="B129" s="20"/>
      <c r="P129" s="16"/>
      <c r="Q129" s="16"/>
    </row>
    <row r="130" spans="1:17" ht="13.9" x14ac:dyDescent="0.4">
      <c r="A130" s="20"/>
      <c r="B130" s="20"/>
      <c r="D130" s="649">
        <f>IF(ENTRADAS!D912="X",IF(C123+C125=0,0,IF(D123="x","As montagens de paredes e coberturas serão independentes uma da outra.","As montagens de paredes e coberturas serão em conjunto uma com a outra.")),IF(ENTRADAS!F22&gt;0,0,0))</f>
        <v>0</v>
      </c>
      <c r="E130" s="10"/>
      <c r="F130" s="10"/>
      <c r="G130" s="10"/>
      <c r="H130" s="10"/>
      <c r="I130" s="10"/>
      <c r="J130" s="10"/>
      <c r="K130" s="10"/>
      <c r="L130" s="6"/>
      <c r="P130" s="16"/>
      <c r="Q130" s="16"/>
    </row>
    <row r="131" spans="1:17" ht="3" customHeight="1" x14ac:dyDescent="0.35">
      <c r="A131" s="20"/>
      <c r="B131" s="20"/>
      <c r="P131" s="16"/>
      <c r="Q131" s="16"/>
    </row>
    <row r="132" spans="1:17" ht="15" customHeight="1" x14ac:dyDescent="0.35">
      <c r="A132" s="20"/>
      <c r="B132" s="20"/>
      <c r="D132" s="1511">
        <f>IF(AND(ENTRADAS!D912="x",ENTRADAS!F22&gt;0),0,IF(C123+C125=0,0,IF(D123="x",IF(E62="X","Como as montagens de paredes e coberturas serão independentes uma da outra, volte na célula E46 e reavalie a sua decisão. Em seguida volte na tabela acima e a analise outra vez.",0),0)))</f>
        <v>0</v>
      </c>
      <c r="E132" s="1512"/>
      <c r="F132" s="1512"/>
      <c r="G132" s="1512"/>
      <c r="H132" s="1512"/>
      <c r="I132" s="1512"/>
      <c r="J132" s="1512"/>
      <c r="K132" s="1512"/>
      <c r="L132" s="1513"/>
      <c r="P132" s="16"/>
      <c r="Q132" s="16"/>
    </row>
    <row r="133" spans="1:17" ht="12.75" customHeight="1" x14ac:dyDescent="0.35">
      <c r="A133" s="20"/>
      <c r="B133" s="20"/>
      <c r="D133" s="1514"/>
      <c r="E133" s="1515"/>
      <c r="F133" s="1515"/>
      <c r="G133" s="1515"/>
      <c r="H133" s="1515"/>
      <c r="I133" s="1515"/>
      <c r="J133" s="1515"/>
      <c r="K133" s="1515"/>
      <c r="L133" s="1516"/>
      <c r="P133" s="16"/>
      <c r="Q133" s="16"/>
    </row>
    <row r="134" spans="1:17" ht="18.75" customHeight="1" x14ac:dyDescent="0.35">
      <c r="A134" s="20"/>
      <c r="B134" s="20"/>
      <c r="D134" s="1517"/>
      <c r="E134" s="1518"/>
      <c r="F134" s="1518"/>
      <c r="G134" s="1518"/>
      <c r="H134" s="1518"/>
      <c r="I134" s="1518"/>
      <c r="J134" s="1518"/>
      <c r="K134" s="1518"/>
      <c r="L134" s="1519"/>
      <c r="P134" s="16"/>
      <c r="Q134" s="16"/>
    </row>
    <row r="135" spans="1:17" ht="5.25" customHeight="1" x14ac:dyDescent="0.35">
      <c r="A135" s="512"/>
      <c r="B135" s="18"/>
      <c r="C135" s="3"/>
      <c r="D135" s="3"/>
      <c r="E135" s="3"/>
      <c r="F135" s="3"/>
      <c r="G135" s="3"/>
      <c r="H135" s="3"/>
      <c r="I135" s="3"/>
      <c r="J135" s="3"/>
      <c r="K135" s="3"/>
      <c r="L135" s="3"/>
      <c r="M135" s="3"/>
      <c r="N135" s="3"/>
      <c r="O135" s="3"/>
      <c r="P135" s="17"/>
      <c r="Q135" s="16"/>
    </row>
    <row r="136" spans="1:17" ht="6.75" customHeight="1" x14ac:dyDescent="0.35">
      <c r="A136" s="18"/>
      <c r="B136" s="749"/>
      <c r="C136" s="3"/>
      <c r="D136" s="3"/>
      <c r="E136" s="3"/>
      <c r="F136" s="3"/>
      <c r="G136" s="3"/>
      <c r="H136" s="3"/>
      <c r="I136" s="3"/>
      <c r="J136" s="3"/>
      <c r="K136" s="3"/>
      <c r="L136" s="3"/>
      <c r="M136" s="3"/>
      <c r="N136" s="3"/>
      <c r="O136" s="10"/>
      <c r="P136" s="10"/>
      <c r="Q136" s="17"/>
    </row>
  </sheetData>
  <sheetProtection algorithmName="SHA-512" hashValue="HB33cQzsJXbQAE8P8j5xgqi8jHVGWeKAgFXpGltNONiy0KTmrbD++URAN1ojKM1l25rgYThAucZpz/xMMAT1IQ==" saltValue="hTKnLGaPZQajHvAVMYgKqw==" spinCount="100000" sheet="1" objects="1" scenarios="1"/>
  <protectedRanges>
    <protectedRange sqref="C50 E50 E57 E62 G62 L59" name="Intervalo10"/>
    <protectedRange sqref="E27:E28 I29 L31 L34 L40 D123 D125 I10 L10 I12 L12 I73 L73 I86 L86 I99 L99 F19 I19" name="Intervalo5"/>
  </protectedRanges>
  <mergeCells count="32">
    <mergeCell ref="B2:D5"/>
    <mergeCell ref="M2:N2"/>
    <mergeCell ref="M3:N3"/>
    <mergeCell ref="M4:P4"/>
    <mergeCell ref="M5:P5"/>
    <mergeCell ref="O2:P2"/>
    <mergeCell ref="O3:P3"/>
    <mergeCell ref="E2:L3"/>
    <mergeCell ref="I59:K59"/>
    <mergeCell ref="I31:K31"/>
    <mergeCell ref="I34:K34"/>
    <mergeCell ref="D111:F113"/>
    <mergeCell ref="C111:C113"/>
    <mergeCell ref="G111:L111"/>
    <mergeCell ref="K112:L113"/>
    <mergeCell ref="K114:L114"/>
    <mergeCell ref="G116:H116"/>
    <mergeCell ref="K116:L116"/>
    <mergeCell ref="G114:H114"/>
    <mergeCell ref="J112:J113"/>
    <mergeCell ref="G112:H113"/>
    <mergeCell ref="I112:I113"/>
    <mergeCell ref="D132:L134"/>
    <mergeCell ref="E125:F125"/>
    <mergeCell ref="G125:H125"/>
    <mergeCell ref="G118:H118"/>
    <mergeCell ref="K118:L118"/>
    <mergeCell ref="G123:H123"/>
    <mergeCell ref="E123:F123"/>
    <mergeCell ref="D120:L121"/>
    <mergeCell ref="I123:L125"/>
    <mergeCell ref="D127:H128"/>
  </mergeCells>
  <conditionalFormatting sqref="C50">
    <cfRule type="cellIs" dxfId="233" priority="47" stopIfTrue="1" operator="equal">
      <formula>0</formula>
    </cfRule>
  </conditionalFormatting>
  <conditionalFormatting sqref="D123">
    <cfRule type="cellIs" dxfId="232" priority="14" stopIfTrue="1" operator="equal">
      <formula>0</formula>
    </cfRule>
  </conditionalFormatting>
  <conditionalFormatting sqref="D125">
    <cfRule type="cellIs" dxfId="231" priority="13" stopIfTrue="1" operator="equal">
      <formula>0</formula>
    </cfRule>
  </conditionalFormatting>
  <conditionalFormatting sqref="E27:E28">
    <cfRule type="cellIs" dxfId="230" priority="41" stopIfTrue="1" operator="equal">
      <formula>0</formula>
    </cfRule>
  </conditionalFormatting>
  <conditionalFormatting sqref="E50">
    <cfRule type="cellIs" dxfId="229" priority="46" stopIfTrue="1" operator="equal">
      <formula>0</formula>
    </cfRule>
  </conditionalFormatting>
  <conditionalFormatting sqref="E57">
    <cfRule type="cellIs" dxfId="228" priority="45" stopIfTrue="1" operator="equal">
      <formula>0</formula>
    </cfRule>
  </conditionalFormatting>
  <conditionalFormatting sqref="E62">
    <cfRule type="cellIs" dxfId="227" priority="43" stopIfTrue="1" operator="equal">
      <formula>0</formula>
    </cfRule>
  </conditionalFormatting>
  <conditionalFormatting sqref="F19">
    <cfRule type="cellIs" dxfId="226" priority="5" stopIfTrue="1" operator="equal">
      <formula>0</formula>
    </cfRule>
  </conditionalFormatting>
  <conditionalFormatting sqref="G28">
    <cfRule type="cellIs" dxfId="225" priority="39" stopIfTrue="1" operator="notEqual">
      <formula>0</formula>
    </cfRule>
  </conditionalFormatting>
  <conditionalFormatting sqref="G62">
    <cfRule type="cellIs" dxfId="224" priority="42" stopIfTrue="1" operator="equal">
      <formula>0</formula>
    </cfRule>
  </conditionalFormatting>
  <conditionalFormatting sqref="I10">
    <cfRule type="cellIs" dxfId="223" priority="34" stopIfTrue="1" operator="equal">
      <formula>0</formula>
    </cfRule>
  </conditionalFormatting>
  <conditionalFormatting sqref="I12">
    <cfRule type="cellIs" dxfId="222" priority="32" stopIfTrue="1" operator="equal">
      <formula>0</formula>
    </cfRule>
  </conditionalFormatting>
  <conditionalFormatting sqref="I19">
    <cfRule type="cellIs" dxfId="221" priority="4" stopIfTrue="1" operator="equal">
      <formula>0</formula>
    </cfRule>
  </conditionalFormatting>
  <conditionalFormatting sqref="I29">
    <cfRule type="cellIs" dxfId="220" priority="40" stopIfTrue="1" operator="equal">
      <formula>0</formula>
    </cfRule>
  </conditionalFormatting>
  <conditionalFormatting sqref="I70">
    <cfRule type="expression" dxfId="219" priority="3">
      <formula>IF($F$70+$G$70+$H$70=1,1,0)</formula>
    </cfRule>
  </conditionalFormatting>
  <conditionalFormatting sqref="I73">
    <cfRule type="cellIs" dxfId="218" priority="30" stopIfTrue="1" operator="equal">
      <formula>0</formula>
    </cfRule>
  </conditionalFormatting>
  <conditionalFormatting sqref="I83">
    <cfRule type="expression" dxfId="217" priority="2">
      <formula>IF($F$70+$G$70+$H$70=1,1,0)</formula>
    </cfRule>
  </conditionalFormatting>
  <conditionalFormatting sqref="I86">
    <cfRule type="cellIs" dxfId="216" priority="18" stopIfTrue="1" operator="equal">
      <formula>0</formula>
    </cfRule>
  </conditionalFormatting>
  <conditionalFormatting sqref="I96">
    <cfRule type="expression" dxfId="215" priority="1">
      <formula>IF($F$70+$G$70+$H$70=1,1,0)</formula>
    </cfRule>
  </conditionalFormatting>
  <conditionalFormatting sqref="I99">
    <cfRule type="cellIs" dxfId="214" priority="16" stopIfTrue="1" operator="equal">
      <formula>0</formula>
    </cfRule>
  </conditionalFormatting>
  <conditionalFormatting sqref="I128:N128">
    <cfRule type="cellIs" dxfId="213" priority="8" operator="equal">
      <formula>1</formula>
    </cfRule>
  </conditionalFormatting>
  <conditionalFormatting sqref="J72:N72">
    <cfRule type="cellIs" dxfId="212" priority="12" operator="equal">
      <formula>1</formula>
    </cfRule>
  </conditionalFormatting>
  <conditionalFormatting sqref="L10">
    <cfRule type="cellIs" dxfId="211" priority="33" stopIfTrue="1" operator="equal">
      <formula>0</formula>
    </cfRule>
  </conditionalFormatting>
  <conditionalFormatting sqref="L12">
    <cfRule type="cellIs" dxfId="210" priority="31" stopIfTrue="1" operator="equal">
      <formula>0</formula>
    </cfRule>
  </conditionalFormatting>
  <conditionalFormatting sqref="L31 L34">
    <cfRule type="cellIs" dxfId="209" priority="38" stopIfTrue="1" operator="equal">
      <formula>0</formula>
    </cfRule>
  </conditionalFormatting>
  <conditionalFormatting sqref="L40">
    <cfRule type="cellIs" dxfId="208" priority="37" stopIfTrue="1" operator="equal">
      <formula>0</formula>
    </cfRule>
  </conditionalFormatting>
  <conditionalFormatting sqref="L59">
    <cfRule type="cellIs" dxfId="207" priority="44" stopIfTrue="1" operator="equal">
      <formula>0</formula>
    </cfRule>
  </conditionalFormatting>
  <conditionalFormatting sqref="L73">
    <cfRule type="cellIs" dxfId="206" priority="29" stopIfTrue="1" operator="equal">
      <formula>0</formula>
    </cfRule>
  </conditionalFormatting>
  <conditionalFormatting sqref="L86">
    <cfRule type="cellIs" dxfId="205" priority="17" stopIfTrue="1" operator="equal">
      <formula>0</formula>
    </cfRule>
  </conditionalFormatting>
  <conditionalFormatting sqref="L99">
    <cfRule type="cellIs" dxfId="204" priority="15" stopIfTrue="1" operator="equal">
      <formula>0</formula>
    </cfRule>
  </conditionalFormatting>
  <conditionalFormatting sqref="N72">
    <cfRule type="cellIs" dxfId="203" priority="10" operator="equal">
      <formula>1</formula>
    </cfRule>
  </conditionalFormatting>
  <conditionalFormatting sqref="O73:O127">
    <cfRule type="cellIs" dxfId="202" priority="7" operator="equal">
      <formula>1</formula>
    </cfRule>
  </conditionalFormatting>
  <dataValidations disablePrompts="1" count="2">
    <dataValidation type="list" allowBlank="1" showInputMessage="1" showErrorMessage="1" error="TEM QUE SER &quot;X&quot; " sqref="C50 F19 I19 E50 E62 G62 I29 L40 I10 L10 I12 L12 I73 L73 I86 L86 I99 L99 D123 D125" xr:uid="{0DDBCBB4-2C43-4824-A983-6502F10C9226}">
      <formula1>$BJ$23</formula1>
    </dataValidation>
    <dataValidation type="custom" allowBlank="1" showInputMessage="1" showErrorMessage="1" error="Você marcou &quot;X&quot; para cancelar o guindaste 2 !" sqref="L34" xr:uid="{38B17CFB-5A0E-4886-B56A-DC3AB2C1C7CA}">
      <formula1>IF(I29="x",0,1)</formula1>
    </dataValidation>
  </dataValidations>
  <printOptions horizontalCentered="1"/>
  <pageMargins left="0.51181102362204722" right="0.51181102362204722" top="0.78740157480314965" bottom="0.78740157480314965" header="0.31496062992125984" footer="0.31496062992125984"/>
  <pageSetup paperSize="9" scale="70"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F1C3D-DB3F-4B37-AAF4-20C8E27E2AFE}">
  <sheetPr codeName="Planilha8"/>
  <dimension ref="A1:N88"/>
  <sheetViews>
    <sheetView showGridLines="0" showZeros="0" topLeftCell="A53" zoomScale="110" zoomScaleNormal="110" workbookViewId="0">
      <selection activeCell="I75" sqref="I75"/>
    </sheetView>
  </sheetViews>
  <sheetFormatPr defaultColWidth="8.59765625" defaultRowHeight="14.25" x14ac:dyDescent="0.45"/>
  <cols>
    <col min="1" max="1" width="0.86328125" style="827" customWidth="1"/>
    <col min="2" max="2" width="24" style="827" customWidth="1"/>
    <col min="3" max="3" width="5.1328125" style="827" bestFit="1" customWidth="1"/>
    <col min="4" max="4" width="7.86328125" style="827" customWidth="1"/>
    <col min="5" max="5" width="8.59765625" style="827" customWidth="1"/>
    <col min="6" max="6" width="9.1328125" style="827" customWidth="1"/>
    <col min="7" max="7" width="0.86328125" style="827" customWidth="1"/>
    <col min="8" max="8" width="8.3984375" style="827" customWidth="1"/>
    <col min="9" max="9" width="10.1328125" style="827" customWidth="1"/>
    <col min="10" max="10" width="14.59765625" style="827" customWidth="1"/>
    <col min="11" max="11" width="5.86328125" style="827" customWidth="1"/>
    <col min="12" max="12" width="0.86328125" style="827" customWidth="1"/>
    <col min="13" max="13" width="10.59765625" style="827" customWidth="1"/>
    <col min="14" max="16384" width="8.59765625" style="827"/>
  </cols>
  <sheetData>
    <row r="1" spans="1:12" ht="5.0999999999999996" customHeight="1" x14ac:dyDescent="0.45">
      <c r="A1" s="824"/>
      <c r="B1" s="824"/>
      <c r="C1" s="825"/>
      <c r="D1" s="825"/>
      <c r="E1" s="825"/>
      <c r="F1" s="825"/>
      <c r="G1" s="825"/>
      <c r="H1" s="825"/>
      <c r="I1" s="825"/>
      <c r="J1" s="825"/>
      <c r="K1" s="825"/>
      <c r="L1" s="826"/>
    </row>
    <row r="2" spans="1:12" x14ac:dyDescent="0.45">
      <c r="A2" s="828"/>
      <c r="B2" s="1566"/>
      <c r="C2" s="1569" t="s">
        <v>889</v>
      </c>
      <c r="D2" s="1570"/>
      <c r="E2" s="1570"/>
      <c r="F2" s="1570"/>
      <c r="G2" s="1570"/>
      <c r="H2" s="1570"/>
      <c r="I2" s="1570"/>
      <c r="J2" s="1570"/>
      <c r="K2" s="1571"/>
      <c r="L2" s="829"/>
    </row>
    <row r="3" spans="1:12" x14ac:dyDescent="0.45">
      <c r="A3" s="828"/>
      <c r="B3" s="1567"/>
      <c r="C3" s="1572"/>
      <c r="D3" s="1573"/>
      <c r="E3" s="1573"/>
      <c r="F3" s="1573"/>
      <c r="G3" s="1573"/>
      <c r="H3" s="1573"/>
      <c r="I3" s="1573"/>
      <c r="J3" s="1573"/>
      <c r="K3" s="1574"/>
      <c r="L3" s="829"/>
    </row>
    <row r="4" spans="1:12" x14ac:dyDescent="0.45">
      <c r="A4" s="828"/>
      <c r="B4" s="1568"/>
      <c r="C4" s="1575"/>
      <c r="D4" s="1576"/>
      <c r="E4" s="1576"/>
      <c r="F4" s="1576"/>
      <c r="G4" s="1576"/>
      <c r="H4" s="1576"/>
      <c r="I4" s="1576"/>
      <c r="J4" s="1576"/>
      <c r="K4" s="1577"/>
      <c r="L4" s="829"/>
    </row>
    <row r="5" spans="1:12" x14ac:dyDescent="0.45">
      <c r="A5" s="828"/>
      <c r="B5" s="828"/>
      <c r="L5" s="829"/>
    </row>
    <row r="6" spans="1:12" x14ac:dyDescent="0.45">
      <c r="A6" s="828"/>
      <c r="B6" s="828"/>
      <c r="L6" s="829"/>
    </row>
    <row r="7" spans="1:12" x14ac:dyDescent="0.45">
      <c r="A7" s="828"/>
      <c r="B7" s="828"/>
      <c r="L7" s="829"/>
    </row>
    <row r="8" spans="1:12" x14ac:dyDescent="0.45">
      <c r="A8" s="828"/>
      <c r="B8" s="828"/>
      <c r="L8" s="829"/>
    </row>
    <row r="9" spans="1:12" x14ac:dyDescent="0.45">
      <c r="A9" s="828"/>
      <c r="B9" s="828"/>
      <c r="L9" s="829"/>
    </row>
    <row r="10" spans="1:12" x14ac:dyDescent="0.45">
      <c r="A10" s="828"/>
      <c r="B10" s="828"/>
      <c r="L10" s="829"/>
    </row>
    <row r="11" spans="1:12" x14ac:dyDescent="0.45">
      <c r="A11" s="828"/>
      <c r="B11" s="828"/>
      <c r="L11" s="829"/>
    </row>
    <row r="12" spans="1:12" ht="26.25" x14ac:dyDescent="0.45">
      <c r="A12" s="828"/>
      <c r="B12" s="920" t="s">
        <v>890</v>
      </c>
      <c r="C12" s="1578" t="s">
        <v>891</v>
      </c>
      <c r="D12" s="1578"/>
      <c r="E12" s="831" t="s">
        <v>892</v>
      </c>
      <c r="F12" s="830" t="s">
        <v>893</v>
      </c>
      <c r="G12" s="1578" t="s">
        <v>738</v>
      </c>
      <c r="H12" s="1578"/>
      <c r="I12" s="832"/>
      <c r="J12" s="832"/>
      <c r="K12" s="832"/>
      <c r="L12" s="833"/>
    </row>
    <row r="13" spans="1:12" x14ac:dyDescent="0.45">
      <c r="A13" s="828"/>
      <c r="B13" s="921" t="s">
        <v>894</v>
      </c>
      <c r="C13" s="1560" t="s">
        <v>895</v>
      </c>
      <c r="D13" s="1560"/>
      <c r="E13" s="888">
        <v>483</v>
      </c>
      <c r="F13" s="888">
        <f>36*1.1</f>
        <v>39.6</v>
      </c>
      <c r="G13" s="1560" t="s">
        <v>896</v>
      </c>
      <c r="H13" s="1560"/>
      <c r="I13" s="832"/>
      <c r="J13" s="832"/>
      <c r="K13" s="832"/>
      <c r="L13" s="833"/>
    </row>
    <row r="14" spans="1:12" x14ac:dyDescent="0.45">
      <c r="A14" s="828"/>
      <c r="B14" s="921" t="s">
        <v>897</v>
      </c>
      <c r="C14" s="1560" t="s">
        <v>895</v>
      </c>
      <c r="D14" s="1560"/>
      <c r="E14" s="888">
        <v>722.85</v>
      </c>
      <c r="F14" s="889"/>
      <c r="G14" s="1560" t="s">
        <v>896</v>
      </c>
      <c r="H14" s="1560"/>
      <c r="I14" s="832"/>
      <c r="J14" s="832"/>
      <c r="K14" s="832"/>
      <c r="L14" s="833"/>
    </row>
    <row r="15" spans="1:12" x14ac:dyDescent="0.45">
      <c r="A15" s="828"/>
      <c r="B15" s="921" t="s">
        <v>898</v>
      </c>
      <c r="C15" s="1560" t="s">
        <v>895</v>
      </c>
      <c r="D15" s="1560"/>
      <c r="E15" s="888">
        <v>128</v>
      </c>
      <c r="F15" s="888">
        <f>16*1.1</f>
        <v>17.600000000000001</v>
      </c>
      <c r="G15" s="1560" t="s">
        <v>896</v>
      </c>
      <c r="H15" s="1560"/>
      <c r="I15" s="832"/>
      <c r="J15" s="832"/>
      <c r="K15" s="832"/>
      <c r="L15" s="833"/>
    </row>
    <row r="16" spans="1:12" x14ac:dyDescent="0.45">
      <c r="A16" s="828"/>
      <c r="B16" s="921" t="s">
        <v>396</v>
      </c>
      <c r="C16" s="1560" t="s">
        <v>31</v>
      </c>
      <c r="D16" s="1560"/>
      <c r="E16" s="888">
        <v>198.28</v>
      </c>
      <c r="F16" s="888"/>
      <c r="G16" s="1560" t="s">
        <v>896</v>
      </c>
      <c r="H16" s="1560"/>
      <c r="I16" s="832"/>
      <c r="J16" s="832"/>
      <c r="K16" s="832"/>
      <c r="L16" s="833"/>
    </row>
    <row r="17" spans="1:12" x14ac:dyDescent="0.45">
      <c r="A17" s="828"/>
      <c r="B17" s="921" t="s">
        <v>899</v>
      </c>
      <c r="C17" s="1560" t="s">
        <v>64</v>
      </c>
      <c r="D17" s="1560"/>
      <c r="E17" s="888">
        <v>1.58</v>
      </c>
      <c r="F17" s="888"/>
      <c r="G17" s="1560" t="s">
        <v>896</v>
      </c>
      <c r="H17" s="1560"/>
      <c r="I17" s="832"/>
      <c r="J17" s="832"/>
      <c r="K17" s="832"/>
      <c r="L17" s="833"/>
    </row>
    <row r="18" spans="1:12" x14ac:dyDescent="0.45">
      <c r="A18" s="828"/>
      <c r="B18" s="921" t="s">
        <v>900</v>
      </c>
      <c r="C18" s="1560" t="s">
        <v>64</v>
      </c>
      <c r="D18" s="1560"/>
      <c r="E18" s="888">
        <v>11.05</v>
      </c>
      <c r="F18" s="888">
        <f>0.75*1.1</f>
        <v>0.82500000000000007</v>
      </c>
      <c r="G18" s="1560" t="s">
        <v>896</v>
      </c>
      <c r="H18" s="1560"/>
      <c r="I18" s="832"/>
      <c r="J18" s="832"/>
      <c r="K18" s="832"/>
      <c r="L18" s="833"/>
    </row>
    <row r="19" spans="1:12" x14ac:dyDescent="0.45">
      <c r="A19" s="828"/>
      <c r="B19" s="921" t="s">
        <v>901</v>
      </c>
      <c r="C19" s="1560" t="s">
        <v>902</v>
      </c>
      <c r="D19" s="1560"/>
      <c r="E19" s="888">
        <v>8.5</v>
      </c>
      <c r="F19" s="889" t="s">
        <v>896</v>
      </c>
      <c r="G19" s="1560" t="s">
        <v>896</v>
      </c>
      <c r="H19" s="1560"/>
      <c r="I19" s="832"/>
      <c r="J19" s="832"/>
      <c r="K19" s="832"/>
      <c r="L19" s="833"/>
    </row>
    <row r="20" spans="1:12" x14ac:dyDescent="0.45">
      <c r="A20" s="828"/>
      <c r="B20" s="921" t="s">
        <v>903</v>
      </c>
      <c r="C20" s="1560" t="s">
        <v>31</v>
      </c>
      <c r="D20" s="1560"/>
      <c r="E20" s="836" t="s">
        <v>896</v>
      </c>
      <c r="F20" s="836" t="s">
        <v>896</v>
      </c>
      <c r="G20" s="1561"/>
      <c r="H20" s="1561"/>
      <c r="I20" s="832"/>
      <c r="J20" s="832"/>
      <c r="K20" s="832"/>
      <c r="L20" s="833"/>
    </row>
    <row r="21" spans="1:12" x14ac:dyDescent="0.45">
      <c r="A21" s="828"/>
      <c r="B21" s="922"/>
      <c r="C21" s="832"/>
      <c r="D21" s="832"/>
      <c r="E21" s="832"/>
      <c r="F21" s="832"/>
      <c r="G21" s="832"/>
      <c r="H21" s="832"/>
      <c r="I21" s="832"/>
      <c r="J21" s="832"/>
      <c r="K21" s="832"/>
      <c r="L21" s="833"/>
    </row>
    <row r="22" spans="1:12" x14ac:dyDescent="0.45">
      <c r="A22" s="828"/>
      <c r="B22" s="922" t="s">
        <v>904</v>
      </c>
      <c r="C22" s="923" t="s">
        <v>10</v>
      </c>
      <c r="D22" s="832"/>
      <c r="E22" s="832"/>
      <c r="F22" s="832"/>
      <c r="G22" s="832"/>
      <c r="H22" s="832"/>
      <c r="I22" s="832"/>
      <c r="J22" s="832"/>
      <c r="K22" s="832"/>
      <c r="L22" s="833"/>
    </row>
    <row r="23" spans="1:12" x14ac:dyDescent="0.45">
      <c r="A23" s="837">
        <f>C23</f>
        <v>0</v>
      </c>
      <c r="B23" s="924" t="str">
        <f>'tabela traços'!C3</f>
        <v>30 MPa 24 h</v>
      </c>
      <c r="C23" s="838"/>
      <c r="D23" s="923">
        <f>IF(C23=0,0,1)</f>
        <v>0</v>
      </c>
      <c r="E23" s="832"/>
      <c r="F23" s="832"/>
      <c r="G23" s="832"/>
      <c r="H23" s="832"/>
      <c r="I23" s="832"/>
      <c r="J23" s="832"/>
      <c r="K23" s="832"/>
      <c r="L23" s="833"/>
    </row>
    <row r="24" spans="1:12" x14ac:dyDescent="0.45">
      <c r="A24" s="837">
        <f>C24</f>
        <v>0</v>
      </c>
      <c r="B24" s="924" t="str">
        <f>'tabela traços'!C4</f>
        <v>28 MPa 24 h</v>
      </c>
      <c r="C24" s="838"/>
      <c r="D24" s="839">
        <f>IF(C24=0,0,1)</f>
        <v>0</v>
      </c>
      <c r="E24" s="832"/>
      <c r="F24" s="832"/>
      <c r="G24" s="832"/>
      <c r="H24" s="832"/>
      <c r="I24" s="832"/>
      <c r="J24" s="832"/>
      <c r="K24" s="832"/>
      <c r="L24" s="833"/>
    </row>
    <row r="25" spans="1:12" x14ac:dyDescent="0.45">
      <c r="A25" s="837">
        <f>C25</f>
        <v>0</v>
      </c>
      <c r="B25" s="924" t="str">
        <f>'tabela traços'!C5</f>
        <v>25 MPa 24 h</v>
      </c>
      <c r="C25" s="838"/>
      <c r="D25" s="839">
        <f>IF(C25=0,0,1)</f>
        <v>0</v>
      </c>
      <c r="E25" s="832"/>
      <c r="F25" s="832"/>
      <c r="G25" s="832"/>
      <c r="H25" s="832"/>
      <c r="I25" s="832"/>
      <c r="J25" s="832"/>
      <c r="K25" s="832"/>
      <c r="L25" s="833"/>
    </row>
    <row r="26" spans="1:12" x14ac:dyDescent="0.45">
      <c r="A26" s="837" t="str">
        <f>C26</f>
        <v>x</v>
      </c>
      <c r="B26" s="924" t="str">
        <f>'tabela traços'!C6</f>
        <v>20 MPa 24 h</v>
      </c>
      <c r="C26" s="838" t="s">
        <v>35</v>
      </c>
      <c r="D26" s="839">
        <f>IF(C26=0,0,1)</f>
        <v>1</v>
      </c>
      <c r="E26" s="832"/>
      <c r="F26" s="832"/>
      <c r="G26" s="832"/>
      <c r="H26" s="832"/>
      <c r="I26" s="832"/>
      <c r="J26" s="832"/>
      <c r="K26" s="832"/>
      <c r="L26" s="833"/>
    </row>
    <row r="27" spans="1:12" x14ac:dyDescent="0.45">
      <c r="A27" s="837">
        <f>C27</f>
        <v>0</v>
      </c>
      <c r="B27" s="924" t="str">
        <f>'tabela traços'!C7</f>
        <v>15 MPa 24 h</v>
      </c>
      <c r="C27" s="838"/>
      <c r="D27" s="839">
        <f t="shared" ref="D27:D30" si="0">IF(C27=0,0,1)</f>
        <v>0</v>
      </c>
      <c r="E27" s="832"/>
      <c r="F27" s="832"/>
      <c r="G27" s="832"/>
      <c r="H27" s="832"/>
      <c r="I27" s="832"/>
      <c r="J27" s="832"/>
      <c r="K27" s="832"/>
      <c r="L27" s="833"/>
    </row>
    <row r="28" spans="1:12" x14ac:dyDescent="0.45">
      <c r="A28" s="837"/>
      <c r="B28" s="924" t="str">
        <f>'tabela traços'!C8</f>
        <v>10 MPa 24 h</v>
      </c>
      <c r="C28" s="838"/>
      <c r="D28" s="839">
        <f t="shared" si="0"/>
        <v>0</v>
      </c>
      <c r="E28" s="832"/>
      <c r="F28" s="832"/>
      <c r="G28" s="832"/>
      <c r="H28" s="832"/>
      <c r="I28" s="832"/>
      <c r="J28" s="832"/>
      <c r="K28" s="832"/>
      <c r="L28" s="833"/>
    </row>
    <row r="29" spans="1:12" x14ac:dyDescent="0.45">
      <c r="A29" s="837"/>
      <c r="B29" s="924">
        <f>'tabela traços'!C9</f>
        <v>0</v>
      </c>
      <c r="C29" s="838"/>
      <c r="D29" s="839">
        <f t="shared" si="0"/>
        <v>0</v>
      </c>
      <c r="E29" s="832"/>
      <c r="F29" s="832"/>
      <c r="G29" s="832"/>
      <c r="H29" s="832"/>
      <c r="I29" s="832"/>
      <c r="J29" s="832"/>
      <c r="K29" s="832"/>
      <c r="L29" s="833"/>
    </row>
    <row r="30" spans="1:12" x14ac:dyDescent="0.45">
      <c r="A30" s="837"/>
      <c r="B30" s="924">
        <f>'tabela traços'!C10</f>
        <v>0</v>
      </c>
      <c r="C30" s="838"/>
      <c r="D30" s="839">
        <f t="shared" si="0"/>
        <v>0</v>
      </c>
      <c r="E30" s="832"/>
      <c r="F30" s="832"/>
      <c r="G30" s="832"/>
      <c r="H30" s="832"/>
      <c r="I30" s="832"/>
      <c r="J30" s="832"/>
      <c r="K30" s="832"/>
      <c r="L30" s="833"/>
    </row>
    <row r="31" spans="1:12" ht="14.65" thickBot="1" x14ac:dyDescent="0.5">
      <c r="A31" s="828"/>
      <c r="B31" s="922"/>
      <c r="C31" s="832"/>
      <c r="D31" s="832"/>
      <c r="E31" s="832"/>
      <c r="F31" s="832"/>
      <c r="G31" s="832"/>
      <c r="H31" s="832"/>
      <c r="I31" s="832"/>
      <c r="J31" s="832"/>
      <c r="K31" s="832"/>
      <c r="L31" s="833"/>
    </row>
    <row r="32" spans="1:12" ht="14.65" thickBot="1" x14ac:dyDescent="0.5">
      <c r="A32" s="828"/>
      <c r="B32" s="1562" t="str">
        <f>IF(SUM($D$23:$D$27)=0,0,"PREÇO POR m³ TRAÇO ref. Umidade da areia à 6%:")</f>
        <v>PREÇO POR m³ TRAÇO ref. Umidade da areia à 6%:</v>
      </c>
      <c r="C32" s="1563"/>
      <c r="D32" s="1563"/>
      <c r="E32" s="1563"/>
      <c r="F32" s="840" t="str">
        <f>IF(SUM($D$23:$D$27)=0,0,VLOOKUP($C$22,$A$23:$B$27,2,0))</f>
        <v>20 MPa 24 h</v>
      </c>
      <c r="G32" s="841"/>
      <c r="H32" s="842"/>
      <c r="I32" s="843" t="s">
        <v>1</v>
      </c>
      <c r="J32" s="844">
        <v>44722</v>
      </c>
      <c r="K32" s="842"/>
      <c r="L32" s="833"/>
    </row>
    <row r="33" spans="1:14" ht="5.45" customHeight="1" x14ac:dyDescent="0.45">
      <c r="A33" s="828"/>
      <c r="B33" s="925"/>
      <c r="C33" s="845"/>
      <c r="D33" s="845"/>
      <c r="E33" s="845"/>
      <c r="F33" s="845"/>
      <c r="G33" s="845"/>
      <c r="H33" s="845"/>
      <c r="I33" s="845"/>
      <c r="J33" s="845"/>
      <c r="K33" s="845"/>
      <c r="L33" s="833"/>
    </row>
    <row r="34" spans="1:14" ht="30" customHeight="1" x14ac:dyDescent="0.45">
      <c r="A34" s="828"/>
      <c r="B34" s="926" t="s">
        <v>905</v>
      </c>
      <c r="C34" s="846" t="s">
        <v>46</v>
      </c>
      <c r="D34" s="847" t="s">
        <v>906</v>
      </c>
      <c r="E34" s="848" t="s">
        <v>907</v>
      </c>
      <c r="F34" s="849" t="s">
        <v>908</v>
      </c>
      <c r="G34" s="832"/>
      <c r="H34" s="834" t="s">
        <v>909</v>
      </c>
      <c r="I34" s="834" t="s">
        <v>910</v>
      </c>
      <c r="J34" s="832"/>
      <c r="K34" s="832"/>
      <c r="L34" s="833"/>
      <c r="M34" s="917" t="s">
        <v>911</v>
      </c>
    </row>
    <row r="35" spans="1:14" x14ac:dyDescent="0.45">
      <c r="A35" s="828"/>
      <c r="B35" s="927" t="s">
        <v>912</v>
      </c>
      <c r="C35" s="846" t="s">
        <v>913</v>
      </c>
      <c r="D35" s="850">
        <f>IF(SUM($D$23:$D$30)=0,0,VLOOKUP($C$22,'tabela traços'!$A$3:$M$15,5,0))</f>
        <v>0.34300000000000003</v>
      </c>
      <c r="E35" s="851">
        <f>IF(SUM($D$23:$D$30)=0,0,H35+I35)</f>
        <v>522.6</v>
      </c>
      <c r="F35" s="852">
        <f>D35*E35</f>
        <v>179.25180000000003</v>
      </c>
      <c r="G35" s="832"/>
      <c r="H35" s="835">
        <f>F13</f>
        <v>39.6</v>
      </c>
      <c r="I35" s="835">
        <f>E13</f>
        <v>483</v>
      </c>
      <c r="J35" s="834" t="s">
        <v>914</v>
      </c>
      <c r="K35" s="832"/>
      <c r="L35" s="833"/>
      <c r="M35" s="1153">
        <v>0.17</v>
      </c>
      <c r="N35" s="827">
        <f>M35*F35</f>
        <v>30.472806000000009</v>
      </c>
    </row>
    <row r="36" spans="1:14" x14ac:dyDescent="0.45">
      <c r="A36" s="828"/>
      <c r="B36" s="927" t="s">
        <v>915</v>
      </c>
      <c r="C36" s="846" t="s">
        <v>913</v>
      </c>
      <c r="D36" s="850">
        <f>IF(SUM($D$23:$D$30)=0,0,VLOOKUP($C$22,'tabela traços'!$A$3:$M$15,6,0))</f>
        <v>0.184</v>
      </c>
      <c r="E36" s="851">
        <f>IF(SUM($D$23:$D$30)=0,0,E14)</f>
        <v>722.85</v>
      </c>
      <c r="F36" s="852">
        <f t="shared" ref="F36:F47" si="1">D36*E36</f>
        <v>133.0044</v>
      </c>
      <c r="G36" s="832"/>
      <c r="H36" s="832"/>
      <c r="I36" s="832"/>
      <c r="J36" s="832"/>
      <c r="K36" s="832"/>
      <c r="L36" s="833"/>
      <c r="M36" s="1153">
        <v>7.0000000000000007E-2</v>
      </c>
      <c r="N36" s="827">
        <f>M36*F36</f>
        <v>9.3103080000000009</v>
      </c>
    </row>
    <row r="37" spans="1:14" x14ac:dyDescent="0.45">
      <c r="A37" s="828"/>
      <c r="B37" s="927"/>
      <c r="C37" s="846"/>
      <c r="D37" s="850"/>
      <c r="E37" s="851"/>
      <c r="F37" s="852"/>
      <c r="G37" s="832"/>
      <c r="H37" s="834" t="s">
        <v>909</v>
      </c>
      <c r="I37" s="834" t="s">
        <v>910</v>
      </c>
      <c r="J37" s="832"/>
      <c r="K37" s="832"/>
      <c r="L37" s="833"/>
      <c r="M37" s="918"/>
    </row>
    <row r="38" spans="1:14" x14ac:dyDescent="0.45">
      <c r="A38" s="828"/>
      <c r="B38" s="927" t="s">
        <v>916</v>
      </c>
      <c r="C38" s="846" t="s">
        <v>913</v>
      </c>
      <c r="D38" s="850">
        <f>IF(SUM($D$23:$D$30)=0,0,VLOOKUP($C$22,'tabela traços'!$A$3:$M$15,7,0))</f>
        <v>0.85899999999999999</v>
      </c>
      <c r="E38" s="851">
        <f>IF(SUM($D$23:$D$30)=0,0,H38+I38)</f>
        <v>145.6</v>
      </c>
      <c r="F38" s="852">
        <f t="shared" si="1"/>
        <v>125.07039999999999</v>
      </c>
      <c r="G38" s="832"/>
      <c r="H38" s="835">
        <f>F15</f>
        <v>17.600000000000001</v>
      </c>
      <c r="I38" s="835">
        <f>E15</f>
        <v>128</v>
      </c>
      <c r="J38" s="834" t="s">
        <v>917</v>
      </c>
      <c r="K38" s="832"/>
      <c r="L38" s="833"/>
      <c r="M38" s="1153">
        <v>0.17</v>
      </c>
      <c r="N38" s="827">
        <f>M38*F38</f>
        <v>21.261968</v>
      </c>
    </row>
    <row r="39" spans="1:14" x14ac:dyDescent="0.45">
      <c r="A39" s="828"/>
      <c r="B39" s="927"/>
      <c r="C39" s="846"/>
      <c r="D39" s="850"/>
      <c r="E39" s="851"/>
      <c r="F39" s="852"/>
      <c r="G39" s="832"/>
      <c r="H39" s="832"/>
      <c r="I39" s="832"/>
      <c r="J39" s="832"/>
      <c r="K39" s="832"/>
      <c r="L39" s="833"/>
      <c r="M39" s="918"/>
    </row>
    <row r="40" spans="1:14" x14ac:dyDescent="0.45">
      <c r="A40" s="828"/>
      <c r="B40" s="927"/>
      <c r="C40" s="846"/>
      <c r="D40" s="850"/>
      <c r="E40" s="851"/>
      <c r="F40" s="852"/>
      <c r="G40" s="832"/>
      <c r="H40" s="834" t="s">
        <v>918</v>
      </c>
      <c r="I40" s="834" t="s">
        <v>919</v>
      </c>
      <c r="J40" s="834" t="s">
        <v>920</v>
      </c>
      <c r="K40" s="832"/>
      <c r="L40" s="833"/>
      <c r="M40" s="918"/>
    </row>
    <row r="41" spans="1:14" x14ac:dyDescent="0.45">
      <c r="A41" s="828"/>
      <c r="B41" s="927" t="s">
        <v>921</v>
      </c>
      <c r="C41" s="846" t="s">
        <v>913</v>
      </c>
      <c r="D41" s="850">
        <f>IF(SUM($D$23:$D$30)=0,0,VLOOKUP($C$22,'tabela traços'!$A$3:$M$15,8,0))</f>
        <v>0.84600000000000009</v>
      </c>
      <c r="E41" s="851">
        <f>IF(SUM($D$23:$D$30)=0,0,(H41+I41)/J41)</f>
        <v>123.925</v>
      </c>
      <c r="F41" s="852">
        <f t="shared" si="1"/>
        <v>104.84055000000001</v>
      </c>
      <c r="G41" s="832"/>
      <c r="H41" s="835">
        <f>F16</f>
        <v>0</v>
      </c>
      <c r="I41" s="835">
        <f>E16</f>
        <v>198.28</v>
      </c>
      <c r="J41" s="834">
        <v>1.6</v>
      </c>
      <c r="K41" s="834" t="s">
        <v>922</v>
      </c>
      <c r="L41" s="833"/>
      <c r="M41" s="1153">
        <v>0.17</v>
      </c>
      <c r="N41" s="827">
        <f t="shared" ref="N41:N42" si="2">M41*F41</f>
        <v>17.822893500000003</v>
      </c>
    </row>
    <row r="42" spans="1:14" x14ac:dyDescent="0.45">
      <c r="A42" s="828"/>
      <c r="B42" s="927" t="s">
        <v>923</v>
      </c>
      <c r="C42" s="846" t="s">
        <v>64</v>
      </c>
      <c r="D42" s="850">
        <f>IF(SUM($D$23:$D$30)=0,0,VLOOKUP($C$22,'tabela traços'!$A$3:$M$15,11,0))</f>
        <v>30.77</v>
      </c>
      <c r="E42" s="851">
        <f>IF(SUM($D$23:$D$30)=0,0,E17+F17)</f>
        <v>1.58</v>
      </c>
      <c r="F42" s="852">
        <f t="shared" si="1"/>
        <v>48.616599999999998</v>
      </c>
      <c r="G42" s="832"/>
      <c r="H42" s="832"/>
      <c r="I42" s="832"/>
      <c r="J42" s="832"/>
      <c r="K42" s="832"/>
      <c r="L42" s="833"/>
      <c r="M42" s="1153">
        <v>7.0000000000000007E-2</v>
      </c>
      <c r="N42" s="827">
        <f t="shared" si="2"/>
        <v>3.403162</v>
      </c>
    </row>
    <row r="43" spans="1:14" x14ac:dyDescent="0.45">
      <c r="A43" s="828"/>
      <c r="B43" s="927" t="s">
        <v>924</v>
      </c>
      <c r="C43" s="846" t="s">
        <v>925</v>
      </c>
      <c r="D43" s="850">
        <f>IF(SUM($D$23:$D$30)=0,0,VLOOKUP($C$22,'tabela traços'!$A$3:$M$15,10,0))</f>
        <v>144</v>
      </c>
      <c r="E43" s="851"/>
      <c r="F43" s="852">
        <f t="shared" si="1"/>
        <v>0</v>
      </c>
      <c r="G43" s="832"/>
      <c r="H43" s="834" t="s">
        <v>926</v>
      </c>
      <c r="I43" s="834" t="s">
        <v>927</v>
      </c>
      <c r="J43" s="832"/>
      <c r="K43" s="832"/>
      <c r="L43" s="833"/>
      <c r="M43" s="918"/>
    </row>
    <row r="44" spans="1:14" x14ac:dyDescent="0.45">
      <c r="A44" s="828"/>
      <c r="B44" s="927" t="s">
        <v>928</v>
      </c>
      <c r="C44" s="846" t="s">
        <v>64</v>
      </c>
      <c r="D44" s="850">
        <f>IF(SUM($D$23:$D$30)=0,0,VLOOKUP($C$22,'tabela traços'!$A$3:$M$15,9,0))</f>
        <v>3.6890000000000001</v>
      </c>
      <c r="E44" s="851">
        <f>IF(SUM($D$23:$D$30)=0,0,H44+I44)</f>
        <v>11.875</v>
      </c>
      <c r="F44" s="852">
        <f t="shared" si="1"/>
        <v>43.806874999999998</v>
      </c>
      <c r="G44" s="832"/>
      <c r="H44" s="835">
        <f>F18</f>
        <v>0.82500000000000007</v>
      </c>
      <c r="I44" s="835">
        <f>E18</f>
        <v>11.05</v>
      </c>
      <c r="J44" s="834" t="s">
        <v>929</v>
      </c>
      <c r="K44" s="832"/>
      <c r="L44" s="833"/>
      <c r="M44" s="1153">
        <v>7.0000000000000007E-2</v>
      </c>
      <c r="N44" s="827">
        <f t="shared" ref="N44:N46" si="3">M44*F44</f>
        <v>3.0664812500000003</v>
      </c>
    </row>
    <row r="45" spans="1:14" x14ac:dyDescent="0.45">
      <c r="A45" s="828"/>
      <c r="B45" s="927" t="s">
        <v>930</v>
      </c>
      <c r="C45" s="846" t="s">
        <v>64</v>
      </c>
      <c r="D45" s="850"/>
      <c r="E45" s="851"/>
      <c r="F45" s="852">
        <f t="shared" si="1"/>
        <v>0</v>
      </c>
      <c r="G45" s="832"/>
      <c r="H45" s="832"/>
      <c r="I45" s="832"/>
      <c r="J45" s="832"/>
      <c r="K45" s="832"/>
      <c r="L45" s="833"/>
      <c r="M45" s="1153">
        <v>7.0000000000000007E-2</v>
      </c>
      <c r="N45" s="827">
        <f t="shared" si="3"/>
        <v>0</v>
      </c>
    </row>
    <row r="46" spans="1:14" x14ac:dyDescent="0.45">
      <c r="A46" s="828"/>
      <c r="B46" s="927" t="s">
        <v>931</v>
      </c>
      <c r="C46" s="846" t="s">
        <v>177</v>
      </c>
      <c r="D46" s="850">
        <f>IF(SUM($D$23:$D$30)=0,0,VLOOKUP($C$22,'tabela traços'!$A$3:$M$15,12,0))</f>
        <v>2</v>
      </c>
      <c r="E46" s="851">
        <f>IF(SUM($D$23:$D$30)=0,0,E19)</f>
        <v>8.5</v>
      </c>
      <c r="F46" s="852">
        <f>D46*E46</f>
        <v>17</v>
      </c>
      <c r="G46" s="832"/>
      <c r="H46" s="832"/>
      <c r="I46" s="832"/>
      <c r="J46" s="832"/>
      <c r="K46" s="832"/>
      <c r="L46" s="833"/>
      <c r="M46" s="1153">
        <v>0.17</v>
      </c>
      <c r="N46" s="827">
        <f t="shared" si="3"/>
        <v>2.89</v>
      </c>
    </row>
    <row r="47" spans="1:14" x14ac:dyDescent="0.45">
      <c r="A47" s="828"/>
      <c r="B47" s="927" t="s">
        <v>932</v>
      </c>
      <c r="C47" s="846" t="s">
        <v>31</v>
      </c>
      <c r="D47" s="850"/>
      <c r="E47" s="851">
        <f>IF(SUM($D$23:$D$30)=0,0,G20)</f>
        <v>0</v>
      </c>
      <c r="F47" s="852">
        <f t="shared" si="1"/>
        <v>0</v>
      </c>
      <c r="G47" s="832"/>
      <c r="H47" s="832"/>
      <c r="I47" s="832"/>
      <c r="J47" s="832"/>
      <c r="K47" s="832"/>
      <c r="L47" s="833"/>
    </row>
    <row r="48" spans="1:14" x14ac:dyDescent="0.45">
      <c r="A48" s="828"/>
      <c r="B48" s="922"/>
      <c r="C48" s="832"/>
      <c r="D48" s="832"/>
      <c r="E48" s="832"/>
      <c r="F48" s="832"/>
      <c r="G48" s="832"/>
      <c r="H48" s="832"/>
      <c r="I48" s="832"/>
      <c r="J48" s="832"/>
      <c r="K48" s="832"/>
      <c r="L48" s="833"/>
    </row>
    <row r="49" spans="1:14" ht="4.5" customHeight="1" x14ac:dyDescent="0.45">
      <c r="A49" s="828"/>
      <c r="B49" s="922"/>
      <c r="C49" s="832"/>
      <c r="D49" s="832"/>
      <c r="E49" s="832"/>
      <c r="F49" s="832"/>
      <c r="G49" s="832"/>
      <c r="H49" s="832"/>
      <c r="I49" s="832"/>
      <c r="J49" s="832"/>
      <c r="K49" s="832"/>
      <c r="L49" s="833"/>
    </row>
    <row r="50" spans="1:14" x14ac:dyDescent="0.45">
      <c r="A50" s="828"/>
      <c r="B50" s="922"/>
      <c r="C50" s="832"/>
      <c r="D50" s="1564" t="s">
        <v>933</v>
      </c>
      <c r="E50" s="1565"/>
      <c r="F50" s="853">
        <f>SUM(F35:F49)</f>
        <v>651.59062499999993</v>
      </c>
      <c r="G50" s="853" t="s">
        <v>934</v>
      </c>
      <c r="H50" s="853"/>
      <c r="I50" s="832"/>
      <c r="J50" s="832"/>
      <c r="K50" s="832"/>
      <c r="L50" s="833"/>
      <c r="M50" s="919" t="s">
        <v>935</v>
      </c>
    </row>
    <row r="51" spans="1:14" x14ac:dyDescent="0.45">
      <c r="A51" s="828"/>
      <c r="B51" s="922"/>
      <c r="C51" s="832"/>
      <c r="D51" s="832"/>
      <c r="E51" s="832"/>
      <c r="F51" s="832"/>
      <c r="G51" s="832"/>
      <c r="H51" s="832"/>
      <c r="I51" s="832"/>
      <c r="J51" s="832"/>
      <c r="K51" s="832"/>
      <c r="L51" s="833"/>
      <c r="M51" s="1154">
        <f>N51/F50</f>
        <v>0.13540345021078229</v>
      </c>
      <c r="N51" s="827">
        <f>SUM(N35:N46)</f>
        <v>88.227618750000005</v>
      </c>
    </row>
    <row r="52" spans="1:14" hidden="1" x14ac:dyDescent="0.45">
      <c r="A52" s="828"/>
      <c r="B52" s="928" t="s">
        <v>936</v>
      </c>
      <c r="C52" s="854" t="s">
        <v>488</v>
      </c>
      <c r="D52" s="1564"/>
      <c r="E52" s="1565"/>
      <c r="F52" s="853"/>
      <c r="G52" s="853" t="s">
        <v>934</v>
      </c>
      <c r="H52" s="853"/>
      <c r="I52" s="832"/>
      <c r="J52" s="832"/>
      <c r="K52" s="832"/>
      <c r="L52" s="833"/>
    </row>
    <row r="53" spans="1:14" ht="5.45" customHeight="1" thickBot="1" x14ac:dyDescent="0.5">
      <c r="A53" s="855"/>
      <c r="B53" s="929"/>
      <c r="C53" s="856"/>
      <c r="D53" s="856"/>
      <c r="E53" s="856"/>
      <c r="F53" s="856"/>
      <c r="G53" s="856"/>
      <c r="H53" s="856"/>
      <c r="I53" s="856"/>
      <c r="J53" s="856"/>
      <c r="K53" s="856"/>
      <c r="L53" s="857"/>
    </row>
    <row r="55" spans="1:14" x14ac:dyDescent="0.45">
      <c r="A55" s="878"/>
      <c r="B55" s="879"/>
      <c r="C55" s="879"/>
      <c r="D55" s="879"/>
      <c r="E55" s="879"/>
      <c r="F55" s="879"/>
      <c r="G55" s="879"/>
      <c r="H55" s="879"/>
      <c r="I55" s="879"/>
      <c r="J55" s="879"/>
      <c r="K55" s="879"/>
      <c r="L55" s="880"/>
    </row>
    <row r="56" spans="1:14" x14ac:dyDescent="0.45">
      <c r="A56" s="885"/>
      <c r="B56" s="1554" t="s">
        <v>937</v>
      </c>
      <c r="C56" s="1559"/>
      <c r="D56" s="1559"/>
      <c r="E56" s="1559"/>
      <c r="F56" s="1555"/>
      <c r="G56" s="832"/>
      <c r="H56" s="870"/>
      <c r="I56" s="871" t="s">
        <v>938</v>
      </c>
      <c r="J56" s="871"/>
      <c r="K56" s="872"/>
      <c r="L56" s="881"/>
    </row>
    <row r="57" spans="1:14" ht="6.6" customHeight="1" x14ac:dyDescent="0.45">
      <c r="A57" s="885"/>
      <c r="B57" s="832"/>
      <c r="C57" s="832"/>
      <c r="D57" s="832"/>
      <c r="E57" s="832"/>
      <c r="F57" s="832"/>
      <c r="G57" s="832"/>
      <c r="H57" s="873"/>
      <c r="I57" s="832"/>
      <c r="J57" s="832"/>
      <c r="K57" s="874"/>
      <c r="L57" s="881"/>
    </row>
    <row r="58" spans="1:14" ht="4.5" customHeight="1" x14ac:dyDescent="0.45">
      <c r="A58" s="885"/>
      <c r="B58" s="870"/>
      <c r="C58" s="871"/>
      <c r="D58" s="871"/>
      <c r="E58" s="871"/>
      <c r="F58" s="872"/>
      <c r="G58" s="832"/>
      <c r="H58" s="873"/>
      <c r="I58" s="832"/>
      <c r="J58" s="832"/>
      <c r="K58" s="874"/>
      <c r="L58" s="881"/>
    </row>
    <row r="59" spans="1:14" x14ac:dyDescent="0.45">
      <c r="A59" s="885"/>
      <c r="B59" s="873" t="s">
        <v>939</v>
      </c>
      <c r="C59" s="832"/>
      <c r="D59" s="832"/>
      <c r="E59" s="835">
        <v>400</v>
      </c>
      <c r="F59" s="874" t="s">
        <v>940</v>
      </c>
      <c r="G59" s="832"/>
      <c r="H59" s="873" t="s">
        <v>941</v>
      </c>
      <c r="I59" s="832"/>
      <c r="J59" s="832"/>
      <c r="K59" s="874"/>
      <c r="L59" s="881"/>
    </row>
    <row r="60" spans="1:14" ht="5.0999999999999996" customHeight="1" x14ac:dyDescent="0.45">
      <c r="A60" s="885"/>
      <c r="B60" s="873"/>
      <c r="C60" s="832"/>
      <c r="F60" s="874"/>
      <c r="G60" s="832"/>
      <c r="H60" s="873"/>
      <c r="I60" s="832"/>
      <c r="J60" s="832"/>
      <c r="K60" s="874"/>
      <c r="L60" s="881"/>
    </row>
    <row r="61" spans="1:14" x14ac:dyDescent="0.45">
      <c r="A61" s="885"/>
      <c r="B61" s="911" t="s">
        <v>942</v>
      </c>
      <c r="C61" s="839"/>
      <c r="D61" s="839"/>
      <c r="E61" s="912">
        <f ca="1">IF(E59=0,0,I75/E59*100)</f>
        <v>223.17071788356776</v>
      </c>
      <c r="F61" s="913" t="s">
        <v>130</v>
      </c>
      <c r="G61" s="832"/>
      <c r="H61" s="873" t="s">
        <v>943</v>
      </c>
      <c r="I61" s="832"/>
      <c r="J61" s="832"/>
      <c r="K61" s="874"/>
      <c r="L61" s="881"/>
    </row>
    <row r="62" spans="1:14" ht="6" customHeight="1" x14ac:dyDescent="0.45">
      <c r="A62" s="885"/>
      <c r="B62" s="875"/>
      <c r="C62" s="876"/>
      <c r="D62" s="876"/>
      <c r="E62" s="876"/>
      <c r="F62" s="877"/>
      <c r="G62" s="832"/>
      <c r="H62" s="873"/>
      <c r="I62" s="832"/>
      <c r="J62" s="832"/>
      <c r="K62" s="874"/>
      <c r="L62" s="881"/>
    </row>
    <row r="63" spans="1:14" ht="9.9499999999999993" customHeight="1" x14ac:dyDescent="0.45">
      <c r="A63" s="885"/>
      <c r="B63" s="832"/>
      <c r="C63" s="832"/>
      <c r="D63" s="832"/>
      <c r="E63" s="832"/>
      <c r="F63" s="832"/>
      <c r="G63" s="832"/>
      <c r="H63" s="873" t="s">
        <v>944</v>
      </c>
      <c r="I63" s="832"/>
      <c r="J63" s="832"/>
      <c r="K63" s="874"/>
      <c r="L63" s="881"/>
    </row>
    <row r="64" spans="1:14" x14ac:dyDescent="0.45">
      <c r="A64" s="885"/>
      <c r="B64" s="834" t="s">
        <v>324</v>
      </c>
      <c r="C64" s="1554" t="s">
        <v>891</v>
      </c>
      <c r="D64" s="1555"/>
      <c r="E64" s="834" t="s">
        <v>945</v>
      </c>
      <c r="F64" s="830" t="s">
        <v>946</v>
      </c>
      <c r="G64" s="832"/>
      <c r="H64" s="873" t="s">
        <v>947</v>
      </c>
      <c r="I64" s="832"/>
      <c r="J64" s="832"/>
      <c r="K64" s="874"/>
      <c r="L64" s="881"/>
    </row>
    <row r="65" spans="1:14" x14ac:dyDescent="0.45">
      <c r="A65" s="885"/>
      <c r="B65" s="834" t="s">
        <v>948</v>
      </c>
      <c r="C65" s="1554" t="s">
        <v>949</v>
      </c>
      <c r="D65" s="1555"/>
      <c r="E65" s="866">
        <v>1300</v>
      </c>
      <c r="F65" s="835">
        <f>IF(E59=0,0,E65*25/E59)</f>
        <v>81.25</v>
      </c>
      <c r="G65" s="832"/>
      <c r="H65" s="873"/>
      <c r="I65" s="832"/>
      <c r="J65" s="832" t="s">
        <v>950</v>
      </c>
      <c r="K65" s="874"/>
      <c r="L65" s="881"/>
    </row>
    <row r="66" spans="1:14" x14ac:dyDescent="0.45">
      <c r="A66" s="885"/>
      <c r="B66" s="834" t="s">
        <v>951</v>
      </c>
      <c r="C66" s="1554" t="s">
        <v>949</v>
      </c>
      <c r="D66" s="1555"/>
      <c r="E66" s="866">
        <f>22000*2/25</f>
        <v>1760</v>
      </c>
      <c r="F66" s="886">
        <f>IF(E59=0,0,E66*25/E59)</f>
        <v>110</v>
      </c>
      <c r="G66" s="832"/>
      <c r="H66" s="875"/>
      <c r="I66" s="887">
        <f ca="1">INSUMOS!Q195+INSUMOS!Q236</f>
        <v>521069.54465898167</v>
      </c>
      <c r="J66" s="876"/>
      <c r="K66" s="877"/>
      <c r="L66" s="881"/>
    </row>
    <row r="67" spans="1:14" x14ac:dyDescent="0.45">
      <c r="A67" s="885"/>
      <c r="B67" s="834" t="s">
        <v>952</v>
      </c>
      <c r="C67" s="1554" t="s">
        <v>953</v>
      </c>
      <c r="D67" s="1555"/>
      <c r="E67" s="866">
        <f>IF(D72="X",0,3745*2.26)</f>
        <v>8463.6999999999989</v>
      </c>
      <c r="F67" s="1556" t="s">
        <v>954</v>
      </c>
      <c r="G67" s="1557"/>
      <c r="H67" s="1557"/>
      <c r="I67" s="1558"/>
      <c r="J67" s="835">
        <f>(E67/(ENTRADAS!$F$751*2.26))</f>
        <v>1.5417867435158503</v>
      </c>
      <c r="K67" s="834" t="s">
        <v>891</v>
      </c>
      <c r="L67" s="881"/>
    </row>
    <row r="68" spans="1:14" x14ac:dyDescent="0.45">
      <c r="A68" s="885"/>
      <c r="B68" s="834" t="s">
        <v>955</v>
      </c>
      <c r="C68" s="1554" t="s">
        <v>953</v>
      </c>
      <c r="D68" s="1555"/>
      <c r="E68" s="866">
        <f>IF(D72="X",0,1*2737*2.26)</f>
        <v>6185.619999999999</v>
      </c>
      <c r="F68" s="1556" t="s">
        <v>954</v>
      </c>
      <c r="G68" s="1557"/>
      <c r="H68" s="1557"/>
      <c r="I68" s="1558"/>
      <c r="J68" s="835">
        <f>(E68/(ENTRADAS!$F$751*2.26))</f>
        <v>1.1268011527377522</v>
      </c>
      <c r="K68" s="834" t="s">
        <v>891</v>
      </c>
      <c r="L68" s="881"/>
    </row>
    <row r="69" spans="1:14" x14ac:dyDescent="0.45">
      <c r="A69" s="882"/>
      <c r="B69" s="883"/>
      <c r="C69" s="883"/>
      <c r="D69" s="883"/>
      <c r="E69" s="883"/>
      <c r="F69" s="883"/>
      <c r="G69" s="883"/>
      <c r="H69" s="883"/>
      <c r="I69" s="883"/>
      <c r="J69" s="883"/>
      <c r="K69" s="883"/>
      <c r="L69" s="884"/>
    </row>
    <row r="70" spans="1:14" x14ac:dyDescent="0.45">
      <c r="A70" s="878"/>
      <c r="B70" s="879"/>
      <c r="C70" s="871"/>
      <c r="D70" s="871"/>
      <c r="E70" s="871"/>
      <c r="F70" s="871"/>
      <c r="G70" s="871"/>
      <c r="H70" s="871"/>
      <c r="I70" s="871"/>
      <c r="J70" s="871"/>
      <c r="K70" s="871"/>
      <c r="L70" s="872"/>
    </row>
    <row r="71" spans="1:14" x14ac:dyDescent="0.45">
      <c r="A71" s="885"/>
      <c r="C71" s="832"/>
      <c r="D71" s="832"/>
      <c r="E71" s="838" t="s">
        <v>886</v>
      </c>
      <c r="F71" s="834" t="s">
        <v>956</v>
      </c>
      <c r="G71" s="834"/>
      <c r="H71" s="834"/>
      <c r="I71" s="866">
        <v>521069.54465898167</v>
      </c>
      <c r="J71" s="832"/>
      <c r="K71" s="832"/>
      <c r="L71" s="874"/>
    </row>
    <row r="72" spans="1:14" x14ac:dyDescent="0.45">
      <c r="A72" s="885"/>
      <c r="C72" s="832"/>
      <c r="D72" s="838"/>
      <c r="E72" s="838" t="s">
        <v>957</v>
      </c>
      <c r="F72" s="834" t="s">
        <v>958</v>
      </c>
      <c r="G72" s="834"/>
      <c r="H72" s="834"/>
      <c r="I72" s="866">
        <v>450349.79933333333</v>
      </c>
      <c r="J72" s="832"/>
      <c r="K72" s="832"/>
      <c r="L72" s="874"/>
      <c r="N72" s="917"/>
    </row>
    <row r="73" spans="1:14" x14ac:dyDescent="0.45">
      <c r="A73" s="885"/>
      <c r="C73" s="832"/>
      <c r="D73" s="832"/>
      <c r="E73" s="832"/>
      <c r="F73" s="832"/>
      <c r="G73" s="832"/>
      <c r="H73" s="834" t="s">
        <v>959</v>
      </c>
      <c r="I73" s="835">
        <f>I71-I72</f>
        <v>70719.745325648342</v>
      </c>
      <c r="J73" s="832" t="s">
        <v>960</v>
      </c>
      <c r="K73" s="832"/>
      <c r="L73" s="874"/>
    </row>
    <row r="74" spans="1:14" ht="15.75" x14ac:dyDescent="0.5">
      <c r="A74" s="885"/>
      <c r="C74" s="832"/>
      <c r="D74" s="895">
        <f>IF(D72="X","NA SEQUÊNCIA DELETAR O X",0)</f>
        <v>0</v>
      </c>
      <c r="E74" s="832"/>
      <c r="F74" s="832"/>
      <c r="G74" s="832"/>
      <c r="H74" s="832"/>
      <c r="I74" s="832"/>
      <c r="J74" s="896" t="s">
        <v>961</v>
      </c>
      <c r="K74" s="832"/>
      <c r="L74" s="874"/>
    </row>
    <row r="75" spans="1:14" x14ac:dyDescent="0.45">
      <c r="A75" s="885"/>
      <c r="C75" s="832"/>
      <c r="D75" s="867" t="s">
        <v>962</v>
      </c>
      <c r="E75" s="869"/>
      <c r="F75" s="869"/>
      <c r="G75" s="869"/>
      <c r="H75" s="868"/>
      <c r="I75" s="835">
        <f ca="1">INSUMOS!K154+INSUMOS!K249</f>
        <v>892.68287153427104</v>
      </c>
      <c r="J75" s="832" t="s">
        <v>31</v>
      </c>
      <c r="K75" s="832"/>
      <c r="L75" s="874"/>
    </row>
    <row r="76" spans="1:14" x14ac:dyDescent="0.45">
      <c r="A76" s="885"/>
      <c r="C76" s="832"/>
      <c r="D76" s="867" t="s">
        <v>963</v>
      </c>
      <c r="E76" s="869"/>
      <c r="F76" s="869"/>
      <c r="G76" s="869"/>
      <c r="H76" s="868"/>
      <c r="I76" s="835">
        <f ca="1">('cronograma unit.'!F23*ENTRADAS!F22/30)*E59</f>
        <v>1346.6666666666667</v>
      </c>
      <c r="J76" s="832" t="s">
        <v>31</v>
      </c>
      <c r="K76" s="832"/>
      <c r="L76" s="874"/>
    </row>
    <row r="77" spans="1:14" x14ac:dyDescent="0.45">
      <c r="A77" s="885"/>
      <c r="C77" s="832"/>
      <c r="D77" s="867" t="s">
        <v>964</v>
      </c>
      <c r="E77" s="869"/>
      <c r="F77" s="869"/>
      <c r="G77" s="869"/>
      <c r="H77" s="868"/>
      <c r="I77" s="835">
        <f ca="1">I73/I76</f>
        <v>52.514662370530942</v>
      </c>
      <c r="J77" s="832" t="s">
        <v>965</v>
      </c>
      <c r="K77" s="832"/>
      <c r="L77" s="874"/>
    </row>
    <row r="78" spans="1:14" x14ac:dyDescent="0.45">
      <c r="A78" s="885"/>
      <c r="C78" s="832"/>
      <c r="D78" s="832"/>
      <c r="E78" s="832"/>
      <c r="F78" s="832"/>
      <c r="G78" s="832"/>
      <c r="H78" s="832"/>
      <c r="I78" s="832"/>
      <c r="J78" s="832"/>
      <c r="K78" s="832"/>
      <c r="L78" s="874"/>
    </row>
    <row r="79" spans="1:14" x14ac:dyDescent="0.45">
      <c r="A79" s="885"/>
      <c r="C79" s="832"/>
      <c r="D79" s="867" t="s">
        <v>966</v>
      </c>
      <c r="E79" s="869"/>
      <c r="F79" s="869"/>
      <c r="G79" s="869"/>
      <c r="H79" s="868"/>
      <c r="I79" s="890">
        <f>IF(ENTRADAS!I15=0,0,F50)</f>
        <v>651.59062499999993</v>
      </c>
      <c r="J79" s="854" t="s">
        <v>965</v>
      </c>
      <c r="K79" s="832"/>
      <c r="L79" s="874"/>
    </row>
    <row r="80" spans="1:14" ht="6.6" customHeight="1" x14ac:dyDescent="0.45">
      <c r="A80" s="885"/>
      <c r="C80" s="832"/>
      <c r="D80" s="832"/>
      <c r="E80" s="832"/>
      <c r="F80" s="832"/>
      <c r="G80" s="832"/>
      <c r="H80" s="832"/>
      <c r="I80" s="832"/>
      <c r="J80" s="832"/>
      <c r="K80" s="832"/>
      <c r="L80" s="874"/>
    </row>
    <row r="81" spans="1:12" x14ac:dyDescent="0.45">
      <c r="A81" s="885"/>
      <c r="C81" s="832"/>
      <c r="D81" s="867" t="s">
        <v>967</v>
      </c>
      <c r="E81" s="869"/>
      <c r="F81" s="869"/>
      <c r="G81" s="869"/>
      <c r="H81" s="868"/>
      <c r="I81" s="890">
        <f>F65</f>
        <v>81.25</v>
      </c>
      <c r="J81" s="854" t="s">
        <v>965</v>
      </c>
      <c r="K81" s="832"/>
      <c r="L81" s="874"/>
    </row>
    <row r="82" spans="1:12" ht="6.6" customHeight="1" x14ac:dyDescent="0.45">
      <c r="A82" s="885"/>
      <c r="C82" s="832"/>
      <c r="D82" s="832"/>
      <c r="E82" s="832"/>
      <c r="F82" s="832"/>
      <c r="G82" s="832"/>
      <c r="H82" s="832"/>
      <c r="I82" s="832"/>
      <c r="J82" s="832"/>
      <c r="K82" s="832"/>
      <c r="L82" s="874"/>
    </row>
    <row r="83" spans="1:12" x14ac:dyDescent="0.45">
      <c r="A83" s="885"/>
      <c r="C83" s="832"/>
      <c r="D83" s="867" t="s">
        <v>968</v>
      </c>
      <c r="E83" s="869"/>
      <c r="F83" s="869"/>
      <c r="G83" s="869"/>
      <c r="H83" s="868"/>
      <c r="I83" s="890">
        <f>F66</f>
        <v>110</v>
      </c>
      <c r="J83" s="854" t="s">
        <v>965</v>
      </c>
      <c r="K83" s="832"/>
      <c r="L83" s="874"/>
    </row>
    <row r="84" spans="1:12" ht="6.6" customHeight="1" x14ac:dyDescent="0.45">
      <c r="A84" s="885"/>
      <c r="C84" s="832"/>
      <c r="D84" s="832"/>
      <c r="E84" s="832"/>
      <c r="F84" s="832"/>
      <c r="G84" s="832"/>
      <c r="H84" s="832"/>
      <c r="I84" s="832"/>
      <c r="J84" s="832"/>
      <c r="K84" s="832"/>
      <c r="L84" s="874"/>
    </row>
    <row r="85" spans="1:12" x14ac:dyDescent="0.45">
      <c r="A85" s="885"/>
      <c r="C85" s="832"/>
      <c r="D85" s="867" t="s">
        <v>969</v>
      </c>
      <c r="E85" s="869"/>
      <c r="F85" s="869"/>
      <c r="G85" s="869"/>
      <c r="H85" s="868"/>
      <c r="I85" s="890">
        <f ca="1">I77</f>
        <v>52.514662370530942</v>
      </c>
      <c r="J85" s="854" t="s">
        <v>965</v>
      </c>
      <c r="K85" s="832"/>
      <c r="L85" s="874"/>
    </row>
    <row r="86" spans="1:12" ht="6.6" customHeight="1" x14ac:dyDescent="0.45">
      <c r="A86" s="885"/>
      <c r="C86" s="832"/>
      <c r="D86" s="832"/>
      <c r="E86" s="832"/>
      <c r="F86" s="832"/>
      <c r="G86" s="832"/>
      <c r="H86" s="832"/>
      <c r="I86" s="832"/>
      <c r="J86" s="832"/>
      <c r="K86" s="832"/>
      <c r="L86" s="874"/>
    </row>
    <row r="87" spans="1:12" x14ac:dyDescent="0.45">
      <c r="A87" s="885"/>
      <c r="C87" s="832"/>
      <c r="D87" s="891" t="s">
        <v>970</v>
      </c>
      <c r="E87" s="892"/>
      <c r="F87" s="892"/>
      <c r="G87" s="892"/>
      <c r="H87" s="893"/>
      <c r="I87" s="1552">
        <f ca="1">SUM(I79:I85)</f>
        <v>895.35528737053085</v>
      </c>
      <c r="J87" s="1553"/>
      <c r="K87" s="894" t="s">
        <v>934</v>
      </c>
      <c r="L87" s="874"/>
    </row>
    <row r="88" spans="1:12" x14ac:dyDescent="0.45">
      <c r="A88" s="882"/>
      <c r="B88" s="883"/>
      <c r="C88" s="876"/>
      <c r="D88" s="876"/>
      <c r="E88" s="876"/>
      <c r="F88" s="876"/>
      <c r="G88" s="876"/>
      <c r="H88" s="876"/>
      <c r="I88" s="876"/>
      <c r="J88" s="876"/>
      <c r="K88" s="876"/>
      <c r="L88" s="877"/>
    </row>
  </sheetData>
  <sheetProtection algorithmName="SHA-512" hashValue="YbycGQymQGSzZnA3yK6In1GwS+4/qCSmYJAcFqx4c16Hx4B6oFVN1bwcR4gSmytHT9Do1KuRwqwHBhPWgedKSA==" saltValue="AElFSZKkmWNKZeryDUtQyA==" spinCount="100000" sheet="1" objects="1" scenarios="1"/>
  <protectedRanges>
    <protectedRange sqref="M35:M47" name="Intervalo7"/>
    <protectedRange sqref="I71:I72 E65:E68 E59" name="Intervalo5"/>
    <protectedRange sqref="F52" name="Intervalo3"/>
    <protectedRange sqref="C23:C30 D72" name="Intervalo1"/>
    <protectedRange sqref="E13:H20" name="Intervalo2"/>
    <protectedRange sqref="J32" name="Intervalo4"/>
    <protectedRange sqref="K71:K72" name="Intervalo6"/>
  </protectedRanges>
  <mergeCells count="32">
    <mergeCell ref="B2:B4"/>
    <mergeCell ref="C2:K4"/>
    <mergeCell ref="C12:D12"/>
    <mergeCell ref="G12:H12"/>
    <mergeCell ref="C13:D13"/>
    <mergeCell ref="G13:H13"/>
    <mergeCell ref="C14:D14"/>
    <mergeCell ref="G14:H14"/>
    <mergeCell ref="C15:D15"/>
    <mergeCell ref="G15:H15"/>
    <mergeCell ref="C16:D16"/>
    <mergeCell ref="G16:H16"/>
    <mergeCell ref="C64:D64"/>
    <mergeCell ref="B56:F56"/>
    <mergeCell ref="C17:D17"/>
    <mergeCell ref="G17:H17"/>
    <mergeCell ref="C18:D18"/>
    <mergeCell ref="G18:H18"/>
    <mergeCell ref="C19:D19"/>
    <mergeCell ref="G19:H19"/>
    <mergeCell ref="C20:D20"/>
    <mergeCell ref="G20:H20"/>
    <mergeCell ref="B32:E32"/>
    <mergeCell ref="D50:E50"/>
    <mergeCell ref="D52:E52"/>
    <mergeCell ref="I87:J87"/>
    <mergeCell ref="C65:D65"/>
    <mergeCell ref="C66:D66"/>
    <mergeCell ref="C67:D67"/>
    <mergeCell ref="C68:D68"/>
    <mergeCell ref="F67:I67"/>
    <mergeCell ref="F68:I68"/>
  </mergeCells>
  <conditionalFormatting sqref="C23:C30">
    <cfRule type="cellIs" dxfId="201" priority="8" operator="equal">
      <formula>0</formula>
    </cfRule>
  </conditionalFormatting>
  <conditionalFormatting sqref="D72">
    <cfRule type="cellIs" dxfId="200" priority="2" operator="equal">
      <formula>0</formula>
    </cfRule>
  </conditionalFormatting>
  <conditionalFormatting sqref="E59">
    <cfRule type="cellIs" dxfId="199" priority="5" operator="equal">
      <formula>0</formula>
    </cfRule>
  </conditionalFormatting>
  <conditionalFormatting sqref="E65:E68">
    <cfRule type="cellIs" dxfId="198" priority="4" operator="equal">
      <formula>0</formula>
    </cfRule>
  </conditionalFormatting>
  <conditionalFormatting sqref="E13:H20">
    <cfRule type="cellIs" dxfId="197" priority="1" operator="equal">
      <formula>0</formula>
    </cfRule>
  </conditionalFormatting>
  <conditionalFormatting sqref="I71:I72">
    <cfRule type="cellIs" dxfId="196" priority="3" operator="equal">
      <formula>0</formula>
    </cfRule>
  </conditionalFormatting>
  <conditionalFormatting sqref="J32">
    <cfRule type="cellIs" dxfId="195" priority="7" operator="equal">
      <formula>0</formula>
    </cfRule>
  </conditionalFormatting>
  <dataValidations count="1">
    <dataValidation type="list" allowBlank="1" showInputMessage="1" showErrorMessage="1" error="Tem que ser &quot;X&quot; !" sqref="C23:C30 D72" xr:uid="{946E7D7A-37B9-4522-8DFA-206E4D4C18D3}">
      <formula1>$C$22</formula1>
    </dataValidation>
  </dataValidations>
  <printOptions horizontalCentered="1"/>
  <pageMargins left="0.51181102362204722" right="0" top="0.78740157480314965" bottom="0.78740157480314965" header="0.31496062992125984" footer="0.31496062992125984"/>
  <pageSetup paperSize="9" scale="95"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2">
    <tabColor rgb="FF00B0F0"/>
  </sheetPr>
  <dimension ref="A1:AH381"/>
  <sheetViews>
    <sheetView showGridLines="0" showZeros="0" topLeftCell="C24" zoomScale="115" zoomScaleNormal="115" workbookViewId="0">
      <selection activeCell="K155" sqref="K155:N155"/>
    </sheetView>
  </sheetViews>
  <sheetFormatPr defaultRowHeight="12.75" x14ac:dyDescent="0.35"/>
  <cols>
    <col min="1" max="1" width="13.3984375" hidden="1" customWidth="1"/>
    <col min="2" max="2" width="10" hidden="1" customWidth="1"/>
    <col min="3" max="3" width="5.3984375" style="131" bestFit="1" customWidth="1"/>
    <col min="4" max="4" width="10.3984375" customWidth="1"/>
    <col min="5" max="5" width="12.59765625" customWidth="1"/>
    <col min="6" max="6" width="10.86328125" customWidth="1"/>
    <col min="7" max="7" width="11.86328125" customWidth="1"/>
    <col min="8" max="8" width="8.3984375" customWidth="1"/>
    <col min="9" max="9" width="17" customWidth="1"/>
    <col min="10" max="10" width="10.1328125" customWidth="1"/>
    <col min="11" max="14" width="2.3984375" customWidth="1"/>
    <col min="15" max="15" width="1.1328125" customWidth="1"/>
    <col min="16" max="16" width="7.1328125" customWidth="1"/>
    <col min="17" max="17" width="16.1328125" bestFit="1" customWidth="1"/>
    <col min="18" max="18" width="16.1328125" customWidth="1"/>
    <col min="19" max="19" width="1.86328125" style="73" customWidth="1"/>
    <col min="20" max="20" width="1.1328125" customWidth="1"/>
    <col min="21" max="21" width="4.59765625" customWidth="1"/>
    <col min="22" max="22" width="18.59765625" customWidth="1"/>
    <col min="23" max="23" width="13.86328125" customWidth="1"/>
    <col min="24" max="24" width="13.3984375" customWidth="1"/>
    <col min="25" max="25" width="11.59765625" customWidth="1"/>
    <col min="26" max="26" width="14.59765625" bestFit="1" customWidth="1"/>
    <col min="28" max="28" width="10.3984375" customWidth="1"/>
    <col min="29" max="29" width="14.3984375" bestFit="1" customWidth="1"/>
  </cols>
  <sheetData>
    <row r="1" spans="3:22" x14ac:dyDescent="0.35">
      <c r="C1" s="1683" t="s">
        <v>10</v>
      </c>
      <c r="D1" s="1684"/>
      <c r="E1" s="1685"/>
      <c r="F1" s="1393" t="s">
        <v>971</v>
      </c>
      <c r="G1" s="1393"/>
      <c r="H1" s="1393"/>
      <c r="I1" s="1393"/>
      <c r="J1" s="1393"/>
      <c r="K1" s="1393"/>
      <c r="L1" s="1393"/>
      <c r="M1" s="1393"/>
      <c r="N1" s="1393"/>
      <c r="O1" s="1393"/>
      <c r="P1" s="1393"/>
      <c r="Q1" s="695" t="s">
        <v>1</v>
      </c>
      <c r="R1" s="66">
        <f>CÁLCULOS!O1</f>
        <v>45638</v>
      </c>
      <c r="V1" s="627" t="s">
        <v>10</v>
      </c>
    </row>
    <row r="2" spans="3:22" x14ac:dyDescent="0.35">
      <c r="C2" s="1686"/>
      <c r="D2" s="1687"/>
      <c r="E2" s="1688"/>
      <c r="F2" s="1393"/>
      <c r="G2" s="1393"/>
      <c r="H2" s="1393"/>
      <c r="I2" s="1393"/>
      <c r="J2" s="1393"/>
      <c r="K2" s="1393"/>
      <c r="L2" s="1393"/>
      <c r="M2" s="1393"/>
      <c r="N2" s="1393"/>
      <c r="O2" s="1393"/>
      <c r="P2" s="1393"/>
      <c r="Q2" s="971" t="s">
        <v>3</v>
      </c>
      <c r="R2" s="1155">
        <f>CÁLCULOS!O2</f>
        <v>3</v>
      </c>
    </row>
    <row r="3" spans="3:22" x14ac:dyDescent="0.35">
      <c r="C3" s="1686"/>
      <c r="D3" s="1687"/>
      <c r="E3" s="1688"/>
      <c r="F3" s="985" t="s">
        <v>5</v>
      </c>
      <c r="G3" s="1500" t="str">
        <f>CÁLCULOS!F3</f>
        <v>Passarelli</v>
      </c>
      <c r="H3" s="1500"/>
      <c r="I3" s="1500"/>
      <c r="J3" s="1500"/>
      <c r="K3" s="1500"/>
      <c r="L3" s="1500"/>
      <c r="M3" s="1500"/>
      <c r="N3" s="1500"/>
      <c r="O3" s="1500"/>
      <c r="P3" s="1501"/>
      <c r="Q3" s="1318" t="s">
        <v>844</v>
      </c>
      <c r="R3" s="1400"/>
    </row>
    <row r="4" spans="3:22" x14ac:dyDescent="0.35">
      <c r="C4" s="1689"/>
      <c r="D4" s="1647"/>
      <c r="E4" s="1648"/>
      <c r="F4" s="821" t="s">
        <v>7</v>
      </c>
      <c r="G4" s="1487" t="str">
        <f>CÁLCULOS!F4</f>
        <v>12 tqs Nereda</v>
      </c>
      <c r="H4" s="1487"/>
      <c r="I4" s="1487"/>
      <c r="J4" s="1487"/>
      <c r="K4" s="1487"/>
      <c r="L4" s="1487"/>
      <c r="M4" s="1487"/>
      <c r="N4" s="1487"/>
      <c r="O4" s="1487"/>
      <c r="P4" s="1488"/>
      <c r="Q4" s="1704" t="str">
        <f>FECHAMENTO!M5</f>
        <v>São Paulo - Tatuapé - SP</v>
      </c>
      <c r="R4" s="1705"/>
    </row>
    <row r="5" spans="3:22" hidden="1" x14ac:dyDescent="0.35"/>
    <row r="6" spans="3:22" ht="19.5" hidden="1" customHeight="1" x14ac:dyDescent="0.4">
      <c r="D6" s="80"/>
    </row>
    <row r="7" spans="3:22" ht="6.75" hidden="1" customHeight="1" x14ac:dyDescent="0.35"/>
    <row r="8" spans="3:22" ht="19.5" hidden="1" customHeight="1" x14ac:dyDescent="0.4">
      <c r="D8" s="80"/>
    </row>
    <row r="9" spans="3:22" ht="6.75" hidden="1" customHeight="1" x14ac:dyDescent="0.35"/>
    <row r="10" spans="3:22" ht="19.5" hidden="1" customHeight="1" x14ac:dyDescent="0.4">
      <c r="D10" s="80"/>
    </row>
    <row r="11" spans="3:22" ht="5.25" customHeight="1" x14ac:dyDescent="0.35"/>
    <row r="12" spans="3:22" x14ac:dyDescent="0.35">
      <c r="E12" s="633" t="s">
        <v>972</v>
      </c>
      <c r="F12" s="10"/>
      <c r="G12" s="720">
        <v>6.15</v>
      </c>
      <c r="I12" s="183"/>
      <c r="J12" s="183"/>
      <c r="K12" s="183"/>
      <c r="L12" s="183"/>
      <c r="M12" s="183"/>
    </row>
    <row r="13" spans="3:22" ht="4.5" customHeight="1" x14ac:dyDescent="0.35">
      <c r="I13" s="183"/>
      <c r="J13" s="183"/>
      <c r="K13" s="183"/>
      <c r="L13" s="183"/>
      <c r="M13" s="183"/>
    </row>
    <row r="14" spans="3:22" x14ac:dyDescent="0.35">
      <c r="C14" s="38"/>
      <c r="D14" s="495" t="s">
        <v>973</v>
      </c>
      <c r="E14" s="495"/>
      <c r="F14" s="495"/>
      <c r="G14" s="495"/>
      <c r="H14" s="495"/>
      <c r="I14" s="495"/>
      <c r="J14" s="495"/>
      <c r="K14" s="495"/>
      <c r="L14" s="495"/>
      <c r="M14" s="495"/>
      <c r="N14" s="495"/>
      <c r="O14" s="495"/>
      <c r="P14" s="495"/>
      <c r="Q14" s="495"/>
      <c r="R14" s="497"/>
    </row>
    <row r="15" spans="3:22" x14ac:dyDescent="0.35">
      <c r="C15" s="498"/>
      <c r="D15" s="183"/>
      <c r="E15" s="183" t="s">
        <v>974</v>
      </c>
      <c r="F15" s="183"/>
      <c r="G15" s="183"/>
      <c r="H15" s="183"/>
      <c r="I15" s="183"/>
      <c r="J15" s="183"/>
      <c r="K15" s="183"/>
      <c r="L15" s="183"/>
      <c r="M15" s="183"/>
      <c r="N15" s="183"/>
      <c r="O15" s="183"/>
      <c r="P15" s="183"/>
      <c r="Q15" s="183"/>
      <c r="R15" s="185"/>
    </row>
    <row r="16" spans="3:22" x14ac:dyDescent="0.35">
      <c r="C16" s="498"/>
      <c r="I16" s="183"/>
      <c r="J16" s="183"/>
      <c r="K16" s="183"/>
      <c r="L16" s="183"/>
      <c r="M16" s="183"/>
      <c r="R16" s="16"/>
    </row>
    <row r="17" spans="3:18" x14ac:dyDescent="0.35">
      <c r="C17" s="498"/>
      <c r="D17" s="597" t="s">
        <v>975</v>
      </c>
      <c r="E17" s="1373" t="s">
        <v>976</v>
      </c>
      <c r="F17" s="1663"/>
      <c r="I17" s="626" t="s">
        <v>977</v>
      </c>
      <c r="J17" s="1373" t="s">
        <v>976</v>
      </c>
      <c r="K17" s="1377"/>
      <c r="L17" s="1377"/>
      <c r="M17" s="1377"/>
      <c r="N17" s="1663"/>
      <c r="R17" s="16"/>
    </row>
    <row r="18" spans="3:18" x14ac:dyDescent="0.35">
      <c r="C18" s="622">
        <f t="shared" ref="C18:C27" si="0">VLOOKUP(D18,$B$40:$AC$277,16,0)</f>
        <v>750</v>
      </c>
      <c r="D18" s="2" t="s">
        <v>978</v>
      </c>
      <c r="E18" s="626"/>
      <c r="F18" s="2" t="str">
        <f>IF(C18&gt;0,"SIM",IF(E18="x","SIM","NÃO"))</f>
        <v>SIM</v>
      </c>
      <c r="H18" s="446">
        <f t="shared" ref="H18:H28" si="1">VLOOKUP(I18,$B$40:$AC$277,16,0)</f>
        <v>2300</v>
      </c>
      <c r="I18" s="2" t="s">
        <v>979</v>
      </c>
      <c r="J18" s="695"/>
      <c r="K18" s="1542" t="str">
        <f>IF(H18&gt;0,"SIM",IF(J18="x","SIM","NÃO"))</f>
        <v>SIM</v>
      </c>
      <c r="L18" s="1542"/>
      <c r="M18" s="1542"/>
      <c r="N18" s="1545"/>
      <c r="R18" s="16"/>
    </row>
    <row r="19" spans="3:18" ht="15.75" customHeight="1" x14ac:dyDescent="0.35">
      <c r="C19" s="622">
        <f t="shared" si="0"/>
        <v>2000</v>
      </c>
      <c r="D19" s="2" t="s">
        <v>980</v>
      </c>
      <c r="E19" s="626"/>
      <c r="F19" s="2" t="str">
        <f t="shared" ref="F19:F33" si="2">IF(C19&gt;0,"SIM",IF(E19="x","SIM","NÃO"))</f>
        <v>SIM</v>
      </c>
      <c r="H19" s="446">
        <f t="shared" si="1"/>
        <v>180</v>
      </c>
      <c r="I19" s="2" t="s">
        <v>981</v>
      </c>
      <c r="J19" s="695"/>
      <c r="K19" s="1542" t="str">
        <f>IF(H19&gt;0,"SIM",IF(J19="x","SIM","NÃO"))</f>
        <v>SIM</v>
      </c>
      <c r="L19" s="1542"/>
      <c r="M19" s="1542"/>
      <c r="N19" s="1545"/>
      <c r="R19" s="16"/>
    </row>
    <row r="20" spans="3:18" x14ac:dyDescent="0.35">
      <c r="C20" s="622">
        <f t="shared" si="0"/>
        <v>3700</v>
      </c>
      <c r="D20" s="2" t="s">
        <v>982</v>
      </c>
      <c r="E20" s="626"/>
      <c r="F20" s="2" t="str">
        <f t="shared" si="2"/>
        <v>SIM</v>
      </c>
      <c r="H20" s="446">
        <f t="shared" si="1"/>
        <v>30</v>
      </c>
      <c r="I20" s="2" t="s">
        <v>983</v>
      </c>
      <c r="J20" s="695"/>
      <c r="K20" s="1542" t="str">
        <f t="shared" ref="K20:K28" si="3">IF(H20&gt;0,"SIM",IF(J20="x","SIM","NÃO"))</f>
        <v>SIM</v>
      </c>
      <c r="L20" s="1542"/>
      <c r="M20" s="1542"/>
      <c r="N20" s="1545"/>
      <c r="R20" s="16"/>
    </row>
    <row r="21" spans="3:18" x14ac:dyDescent="0.35">
      <c r="C21" s="622">
        <f t="shared" si="0"/>
        <v>0</v>
      </c>
      <c r="D21" s="2" t="s">
        <v>984</v>
      </c>
      <c r="E21" s="626"/>
      <c r="F21" s="2" t="str">
        <f t="shared" si="2"/>
        <v>NÃO</v>
      </c>
      <c r="H21" s="446">
        <f t="shared" si="1"/>
        <v>35</v>
      </c>
      <c r="I21" s="2" t="s">
        <v>985</v>
      </c>
      <c r="J21" s="695"/>
      <c r="K21" s="1542" t="str">
        <f t="shared" si="3"/>
        <v>SIM</v>
      </c>
      <c r="L21" s="1542"/>
      <c r="M21" s="1542"/>
      <c r="N21" s="1545"/>
      <c r="R21" s="16"/>
    </row>
    <row r="22" spans="3:18" x14ac:dyDescent="0.35">
      <c r="C22" s="622">
        <f t="shared" si="0"/>
        <v>0</v>
      </c>
      <c r="D22" s="2" t="s">
        <v>986</v>
      </c>
      <c r="E22" s="626"/>
      <c r="F22" s="2" t="str">
        <f t="shared" si="2"/>
        <v>NÃO</v>
      </c>
      <c r="H22" s="446">
        <f t="shared" si="1"/>
        <v>35</v>
      </c>
      <c r="I22" s="2" t="s">
        <v>987</v>
      </c>
      <c r="J22" s="695"/>
      <c r="K22" s="1542" t="str">
        <f t="shared" si="3"/>
        <v>SIM</v>
      </c>
      <c r="L22" s="1542"/>
      <c r="M22" s="1542"/>
      <c r="N22" s="1545"/>
      <c r="R22" s="16"/>
    </row>
    <row r="23" spans="3:18" x14ac:dyDescent="0.35">
      <c r="C23" s="622">
        <f t="shared" si="0"/>
        <v>5000</v>
      </c>
      <c r="D23" s="2" t="s">
        <v>988</v>
      </c>
      <c r="E23" s="626"/>
      <c r="F23" s="2" t="str">
        <f t="shared" si="2"/>
        <v>SIM</v>
      </c>
      <c r="H23" s="446">
        <f t="shared" si="1"/>
        <v>7.5</v>
      </c>
      <c r="I23" s="2" t="s">
        <v>989</v>
      </c>
      <c r="J23" s="695"/>
      <c r="K23" s="1542" t="str">
        <f t="shared" si="3"/>
        <v>SIM</v>
      </c>
      <c r="L23" s="1542"/>
      <c r="M23" s="1542"/>
      <c r="N23" s="1545"/>
      <c r="R23" s="16"/>
    </row>
    <row r="24" spans="3:18" x14ac:dyDescent="0.35">
      <c r="C24" s="622">
        <f t="shared" si="0"/>
        <v>0</v>
      </c>
      <c r="D24" s="2" t="s">
        <v>990</v>
      </c>
      <c r="E24" s="626"/>
      <c r="F24" s="2" t="str">
        <f>IF(C24&gt;0,"SIM",IF(E24="x","SIM","NÃO"))</f>
        <v>NÃO</v>
      </c>
      <c r="H24" s="446">
        <f t="shared" si="1"/>
        <v>7.5</v>
      </c>
      <c r="I24" s="2" t="s">
        <v>991</v>
      </c>
      <c r="J24" s="695"/>
      <c r="K24" s="1542" t="str">
        <f t="shared" si="3"/>
        <v>SIM</v>
      </c>
      <c r="L24" s="1542"/>
      <c r="M24" s="1542"/>
      <c r="N24" s="1545"/>
      <c r="R24" s="16"/>
    </row>
    <row r="25" spans="3:18" x14ac:dyDescent="0.35">
      <c r="C25" s="622">
        <f t="shared" si="0"/>
        <v>0</v>
      </c>
      <c r="D25" s="2" t="s">
        <v>992</v>
      </c>
      <c r="E25" s="626"/>
      <c r="F25" s="2" t="str">
        <f t="shared" si="2"/>
        <v>NÃO</v>
      </c>
      <c r="H25" s="446">
        <f t="shared" si="1"/>
        <v>4</v>
      </c>
      <c r="I25" s="2" t="s">
        <v>993</v>
      </c>
      <c r="J25" s="695"/>
      <c r="K25" s="1542" t="str">
        <f t="shared" si="3"/>
        <v>SIM</v>
      </c>
      <c r="L25" s="1542"/>
      <c r="M25" s="1542"/>
      <c r="N25" s="1545"/>
      <c r="R25" s="16"/>
    </row>
    <row r="26" spans="3:18" x14ac:dyDescent="0.35">
      <c r="C26" s="622">
        <f t="shared" ca="1" si="0"/>
        <v>2220</v>
      </c>
      <c r="D26" s="2" t="s">
        <v>994</v>
      </c>
      <c r="E26" s="626"/>
      <c r="F26" s="2" t="str">
        <f ca="1">IF(C26&gt;0,"SIM",IF(E26="x","SIM","NÃO"))</f>
        <v>SIM</v>
      </c>
      <c r="H26" s="446">
        <f t="shared" si="1"/>
        <v>41</v>
      </c>
      <c r="I26" s="2" t="s">
        <v>995</v>
      </c>
      <c r="J26" s="695"/>
      <c r="K26" s="1542" t="str">
        <f t="shared" si="3"/>
        <v>SIM</v>
      </c>
      <c r="L26" s="1542"/>
      <c r="M26" s="1542"/>
      <c r="N26" s="1545"/>
      <c r="R26" s="16"/>
    </row>
    <row r="27" spans="3:18" x14ac:dyDescent="0.35">
      <c r="C27" s="622">
        <f t="shared" si="0"/>
        <v>0</v>
      </c>
      <c r="D27" s="2" t="s">
        <v>996</v>
      </c>
      <c r="E27" s="626"/>
      <c r="F27" s="2" t="str">
        <f t="shared" si="2"/>
        <v>NÃO</v>
      </c>
      <c r="H27" s="446">
        <f t="shared" si="1"/>
        <v>4.8</v>
      </c>
      <c r="I27" s="2" t="s">
        <v>997</v>
      </c>
      <c r="J27" s="695"/>
      <c r="K27" s="1542" t="str">
        <f t="shared" si="3"/>
        <v>SIM</v>
      </c>
      <c r="L27" s="1542"/>
      <c r="M27" s="1542"/>
      <c r="N27" s="1545"/>
      <c r="R27" s="16"/>
    </row>
    <row r="28" spans="3:18" x14ac:dyDescent="0.35">
      <c r="C28" s="622">
        <f>VLOOKUP(D28,$B$40:$AC$277,23,0)</f>
        <v>10502</v>
      </c>
      <c r="D28" s="2" t="s">
        <v>998</v>
      </c>
      <c r="E28" s="626"/>
      <c r="F28" s="2" t="str">
        <f t="shared" si="2"/>
        <v>SIM</v>
      </c>
      <c r="H28" s="446">
        <f t="shared" si="1"/>
        <v>999.99799999999993</v>
      </c>
      <c r="I28" s="2" t="s">
        <v>999</v>
      </c>
      <c r="J28" s="695"/>
      <c r="K28" s="1542" t="str">
        <f t="shared" si="3"/>
        <v>SIM</v>
      </c>
      <c r="L28" s="1542"/>
      <c r="M28" s="1542"/>
      <c r="N28" s="1545"/>
      <c r="R28" s="16"/>
    </row>
    <row r="29" spans="3:18" x14ac:dyDescent="0.35">
      <c r="C29" s="622">
        <f>VLOOKUP(D29,$B$40:$AC$277,23,0)</f>
        <v>10502</v>
      </c>
      <c r="D29" s="2" t="s">
        <v>1000</v>
      </c>
      <c r="E29" s="626"/>
      <c r="F29" s="2" t="str">
        <f t="shared" si="2"/>
        <v>SIM</v>
      </c>
      <c r="H29" s="446"/>
      <c r="I29" s="626" t="s">
        <v>1001</v>
      </c>
      <c r="J29" s="695"/>
      <c r="K29" s="1542" t="str">
        <f t="shared" ref="K29" si="4">IF(H29&gt;0,"SIM",IF(J29="x","SIM","NÃO"))</f>
        <v>NÃO</v>
      </c>
      <c r="L29" s="1542"/>
      <c r="M29" s="1542"/>
      <c r="N29" s="1545"/>
      <c r="R29" s="16"/>
    </row>
    <row r="30" spans="3:18" x14ac:dyDescent="0.35">
      <c r="C30" s="622">
        <f>VLOOKUP(D30,$B$40:$AC$277,23,0)</f>
        <v>0</v>
      </c>
      <c r="D30" s="2" t="s">
        <v>1002</v>
      </c>
      <c r="E30" s="626"/>
      <c r="F30" s="2" t="str">
        <f t="shared" si="2"/>
        <v>NÃO</v>
      </c>
      <c r="I30" s="626" t="s">
        <v>1003</v>
      </c>
      <c r="J30" s="695"/>
      <c r="K30" s="1542" t="str">
        <f t="shared" ref="K30" si="5">IF(H30&gt;0,"SIM",IF(J30="x","SIM","NÃO"))</f>
        <v>NÃO</v>
      </c>
      <c r="L30" s="1542"/>
      <c r="M30" s="1542"/>
      <c r="N30" s="1545"/>
      <c r="R30" s="16"/>
    </row>
    <row r="31" spans="3:18" x14ac:dyDescent="0.35">
      <c r="C31" s="622">
        <f>VLOOKUP(D31,$B$40:$AC$277,23,0)</f>
        <v>0</v>
      </c>
      <c r="D31" s="2" t="s">
        <v>1004</v>
      </c>
      <c r="E31" s="626"/>
      <c r="F31" s="2" t="str">
        <f t="shared" si="2"/>
        <v>NÃO</v>
      </c>
      <c r="I31" s="626" t="s">
        <v>1005</v>
      </c>
      <c r="J31" s="695"/>
      <c r="K31" s="1542" t="str">
        <f>IF(H30&gt;0,"SIM",IF(J31="x","SIM","NÃO"))</f>
        <v>NÃO</v>
      </c>
      <c r="L31" s="1542"/>
      <c r="M31" s="1542"/>
      <c r="N31" s="1545"/>
      <c r="P31" s="627" t="s">
        <v>1006</v>
      </c>
      <c r="R31" s="16"/>
    </row>
    <row r="32" spans="3:18" x14ac:dyDescent="0.35">
      <c r="C32" s="622">
        <f>VLOOKUP(D32,$B$40:$AC$277,23,0)</f>
        <v>14002.666666666666</v>
      </c>
      <c r="D32" s="2" t="s">
        <v>1007</v>
      </c>
      <c r="E32" s="626"/>
      <c r="F32" s="2" t="str">
        <f t="shared" si="2"/>
        <v>SIM</v>
      </c>
      <c r="I32" s="626" t="s">
        <v>1008</v>
      </c>
      <c r="J32" s="695"/>
      <c r="K32" s="1542" t="str">
        <f>IF(H31&gt;0,"SIM",IF(J32="x","SIM","NÃO"))</f>
        <v>NÃO</v>
      </c>
      <c r="L32" s="1542"/>
      <c r="M32" s="1542"/>
      <c r="N32" s="1545"/>
      <c r="P32" s="627" t="s">
        <v>1009</v>
      </c>
      <c r="R32" s="16"/>
    </row>
    <row r="33" spans="1:29" x14ac:dyDescent="0.35">
      <c r="C33" s="622">
        <f>VLOOKUP(D33,$B$40:$AC$277,16,0)</f>
        <v>4.8</v>
      </c>
      <c r="D33" s="2" t="s">
        <v>1010</v>
      </c>
      <c r="E33" s="626"/>
      <c r="F33" s="2" t="str">
        <f t="shared" si="2"/>
        <v>SIM</v>
      </c>
      <c r="I33" s="626" t="s">
        <v>1011</v>
      </c>
      <c r="J33" s="695"/>
      <c r="K33" s="1542" t="str">
        <f>IF(H32&gt;0,"SIM",IF(J33="x","SIM","NÃO"))</f>
        <v>NÃO</v>
      </c>
      <c r="L33" s="1542"/>
      <c r="M33" s="1542"/>
      <c r="N33" s="1545"/>
      <c r="P33" s="627" t="s">
        <v>1012</v>
      </c>
      <c r="R33" s="16"/>
    </row>
    <row r="34" spans="1:29" x14ac:dyDescent="0.35">
      <c r="C34" s="622">
        <f>VLOOKUP(D34,$B$40:$AC$277,16,0)</f>
        <v>180</v>
      </c>
      <c r="D34" s="2" t="s">
        <v>1013</v>
      </c>
      <c r="E34" s="626"/>
      <c r="F34" s="2" t="str">
        <f>IF(C34&gt;0,"SIM",IF(E34="x","SIM","NÃO"))</f>
        <v>SIM</v>
      </c>
      <c r="G34" s="674">
        <f>IF(G35=0,0,"informado ?")</f>
        <v>0</v>
      </c>
      <c r="I34" s="626" t="s">
        <v>1014</v>
      </c>
      <c r="J34" s="695"/>
      <c r="K34" s="1542" t="str">
        <f>IF(H33&gt;0,"SIM",IF(J34="x","SIM","NÃO"))</f>
        <v>NÃO</v>
      </c>
      <c r="L34" s="1542"/>
      <c r="M34" s="1542"/>
      <c r="N34" s="1545"/>
      <c r="P34" s="627" t="s">
        <v>1015</v>
      </c>
      <c r="R34" s="16"/>
    </row>
    <row r="35" spans="1:29" x14ac:dyDescent="0.35">
      <c r="C35" s="622"/>
      <c r="D35" s="1582">
        <f>IF(FECHAMENTO!X115&lt;&gt;0,"informar faturamento direto FORTES",IF(FECHAMENTO!X98&lt;&gt;0,"informar faturamento direto para CLIENTE",0))</f>
        <v>0</v>
      </c>
      <c r="E35" s="1583"/>
      <c r="F35" s="1421"/>
      <c r="G35" s="1586">
        <f>IF(D35=0,0,IF(C35&gt;0,"SIM",IF(F35="x","SIM","NÃO")))</f>
        <v>0</v>
      </c>
      <c r="I35" s="705" t="s">
        <v>1016</v>
      </c>
      <c r="J35" s="695"/>
      <c r="K35" s="1542" t="str">
        <f>IF(H34&gt;0,"SIM",IF(J35="x","SIM","NÃO"))</f>
        <v>NÃO</v>
      </c>
      <c r="L35" s="1542"/>
      <c r="M35" s="1542"/>
      <c r="N35" s="1545"/>
      <c r="P35" s="627" t="s">
        <v>1017</v>
      </c>
    </row>
    <row r="36" spans="1:29" x14ac:dyDescent="0.35">
      <c r="C36" s="622"/>
      <c r="D36" s="1584"/>
      <c r="E36" s="1585"/>
      <c r="F36" s="1422"/>
      <c r="G36" s="1587"/>
      <c r="I36" s="575" t="s">
        <v>1018</v>
      </c>
      <c r="J36" s="695"/>
      <c r="K36" s="1542" t="str">
        <f>IF(H32&gt;0,"SIM",IF(J36="x","SIM","NÃO"))</f>
        <v>NÃO</v>
      </c>
      <c r="L36" s="1542"/>
      <c r="M36" s="1542"/>
      <c r="N36" s="1545"/>
      <c r="P36" s="627" t="s">
        <v>1019</v>
      </c>
      <c r="R36" s="16"/>
    </row>
    <row r="37" spans="1:29" ht="6.6" customHeight="1" x14ac:dyDescent="0.35">
      <c r="C37" s="39"/>
      <c r="D37" s="3"/>
      <c r="E37" s="3"/>
      <c r="F37" s="3"/>
      <c r="G37" s="3"/>
      <c r="H37" s="3"/>
      <c r="I37" s="496"/>
      <c r="J37" s="496"/>
      <c r="K37" s="496"/>
      <c r="L37" s="496"/>
      <c r="M37" s="496"/>
      <c r="N37" s="3"/>
      <c r="O37" s="3"/>
      <c r="P37" s="3"/>
      <c r="Q37" s="3"/>
      <c r="R37" s="17"/>
    </row>
    <row r="38" spans="1:29" ht="20.100000000000001" customHeight="1" thickBot="1" x14ac:dyDescent="0.4">
      <c r="C38" s="1079" t="s">
        <v>1020</v>
      </c>
      <c r="D38" s="1470" t="s">
        <v>1021</v>
      </c>
      <c r="E38" s="1470"/>
      <c r="F38" s="1470"/>
      <c r="G38" s="1470"/>
      <c r="H38" s="1470"/>
      <c r="I38" s="1470"/>
      <c r="J38" s="1470"/>
      <c r="K38" s="1606" t="s">
        <v>275</v>
      </c>
      <c r="L38" s="1607"/>
      <c r="M38" s="1607"/>
      <c r="N38" s="1608"/>
      <c r="O38" s="1606" t="s">
        <v>891</v>
      </c>
      <c r="P38" s="1608"/>
      <c r="Q38" s="1079" t="s">
        <v>1022</v>
      </c>
      <c r="R38" s="1079" t="s">
        <v>1023</v>
      </c>
    </row>
    <row r="39" spans="1:29" ht="20.100000000000001" customHeight="1" x14ac:dyDescent="0.35">
      <c r="C39" s="1579" t="str">
        <f>IF(ENTRADAS!F21&gt;4,"AS QUANTIDADES DOS INSUMOS SÃO PARA 4 TANQUES","AS QUANTIDADES DOS INSUMOS SÃO PARA "&amp;ENTRADAS!F21&amp;" TANQUES")</f>
        <v>AS QUANTIDADES DOS INSUMOS SÃO PARA 4 TANQUES</v>
      </c>
      <c r="D39" s="1580"/>
      <c r="E39" s="1580"/>
      <c r="F39" s="1580"/>
      <c r="G39" s="1580"/>
      <c r="H39" s="1580"/>
      <c r="I39" s="1580"/>
      <c r="J39" s="1580"/>
      <c r="K39" s="1580"/>
      <c r="L39" s="1580"/>
      <c r="M39" s="1580"/>
      <c r="N39" s="1580"/>
      <c r="O39" s="1580"/>
      <c r="P39" s="1580"/>
      <c r="Q39" s="1580"/>
      <c r="R39" s="1581"/>
      <c r="V39" s="1157" t="s">
        <v>1024</v>
      </c>
      <c r="W39" s="174" t="s">
        <v>907</v>
      </c>
    </row>
    <row r="40" spans="1:29" ht="20.100000000000001" customHeight="1" x14ac:dyDescent="0.35">
      <c r="B40" t="s">
        <v>1025</v>
      </c>
      <c r="C40" s="603" t="s">
        <v>1025</v>
      </c>
      <c r="D40" s="42" t="str">
        <f>CÁLCULOS!C233</f>
        <v>CHAPA AÇO 500 x 300 x 3/16'</v>
      </c>
      <c r="E40" s="35"/>
      <c r="F40" s="35"/>
      <c r="G40" s="35"/>
      <c r="H40" s="35"/>
      <c r="I40" s="35" t="s">
        <v>1026</v>
      </c>
      <c r="J40" s="910">
        <v>0.7</v>
      </c>
      <c r="K40" s="1609">
        <f ca="1">CÁLCULOS!L233</f>
        <v>248</v>
      </c>
      <c r="L40" s="1609"/>
      <c r="M40" s="1609"/>
      <c r="N40" s="1609"/>
      <c r="O40" s="44" t="str">
        <f>CÁLCULOS!M233</f>
        <v>unid.</v>
      </c>
      <c r="P40" s="45"/>
      <c r="Q40" s="1158">
        <f ca="1">IF(K40=0,0,IF(J40&gt;0,J40*CÁLCULOS!P233*Q159*2.7,CÁLCULOS!P233*Q159*2.7))</f>
        <v>62.445599999999992</v>
      </c>
      <c r="R40" s="78">
        <f t="shared" ref="R40:R59" ca="1" si="6">K40*Q40</f>
        <v>15486.508799999998</v>
      </c>
      <c r="V40" s="726" t="s">
        <v>1027</v>
      </c>
      <c r="W40" s="173">
        <v>8</v>
      </c>
      <c r="AC40" s="355">
        <f t="shared" ref="AC40:AC49" ca="1" si="7">Q40</f>
        <v>62.445599999999992</v>
      </c>
    </row>
    <row r="41" spans="1:29" ht="20.100000000000001" customHeight="1" x14ac:dyDescent="0.35">
      <c r="A41" t="s">
        <v>1028</v>
      </c>
      <c r="B41" t="s">
        <v>1029</v>
      </c>
      <c r="C41" s="603" t="s">
        <v>1029</v>
      </c>
      <c r="D41" s="727" t="str">
        <f>CÁLCULOS!C234</f>
        <v>CIMENTO PORTLAND ( SACO 50 kg )</v>
      </c>
      <c r="E41" s="35"/>
      <c r="F41" s="35"/>
      <c r="G41" s="35"/>
      <c r="H41" s="35"/>
      <c r="I41" s="35"/>
      <c r="J41" s="35"/>
      <c r="K41" s="1609">
        <f ca="1">CÁLCULOS!L234</f>
        <v>22</v>
      </c>
      <c r="L41" s="1609"/>
      <c r="M41" s="1609"/>
      <c r="N41" s="1609"/>
      <c r="O41" s="44" t="str">
        <f>CÁLCULOS!M234</f>
        <v>sacos</v>
      </c>
      <c r="P41" s="45"/>
      <c r="Q41" s="736">
        <v>40</v>
      </c>
      <c r="R41" s="78">
        <f t="shared" ca="1" si="6"/>
        <v>880</v>
      </c>
      <c r="V41" s="726" t="s">
        <v>1030</v>
      </c>
      <c r="W41" s="173">
        <v>9</v>
      </c>
      <c r="AC41" s="355">
        <f t="shared" si="7"/>
        <v>40</v>
      </c>
    </row>
    <row r="42" spans="1:29" ht="20.100000000000001" customHeight="1" x14ac:dyDescent="0.35">
      <c r="A42" t="s">
        <v>1031</v>
      </c>
      <c r="B42" t="s">
        <v>1032</v>
      </c>
      <c r="C42" s="603" t="s">
        <v>1032</v>
      </c>
      <c r="D42" s="727" t="str">
        <f>CÁLCULOS!C235</f>
        <v>AREIA MÉDIA</v>
      </c>
      <c r="E42" s="35"/>
      <c r="F42" s="35"/>
      <c r="G42" s="35"/>
      <c r="H42" s="35"/>
      <c r="I42" s="35"/>
      <c r="J42" s="35"/>
      <c r="K42" s="1609">
        <f ca="1">CÁLCULOS!L235</f>
        <v>3.3</v>
      </c>
      <c r="L42" s="1609"/>
      <c r="M42" s="1609"/>
      <c r="N42" s="1609"/>
      <c r="O42" s="44" t="str">
        <f>CÁLCULOS!M235</f>
        <v>m³</v>
      </c>
      <c r="P42" s="45"/>
      <c r="Q42" s="736">
        <v>200</v>
      </c>
      <c r="R42" s="78">
        <f t="shared" ca="1" si="6"/>
        <v>660</v>
      </c>
      <c r="AC42" s="355">
        <f t="shared" si="7"/>
        <v>200</v>
      </c>
    </row>
    <row r="43" spans="1:29" ht="20.100000000000001" customHeight="1" thickBot="1" x14ac:dyDescent="0.4">
      <c r="A43" t="s">
        <v>1033</v>
      </c>
      <c r="B43" t="s">
        <v>1034</v>
      </c>
      <c r="C43" s="603" t="s">
        <v>1034</v>
      </c>
      <c r="D43" s="727" t="str">
        <f>CÁLCULOS!C236</f>
        <v>PARABOLT 5/8" x 6"</v>
      </c>
      <c r="E43" s="35"/>
      <c r="F43" s="35"/>
      <c r="G43" s="35"/>
      <c r="H43" s="35" t="str">
        <f>CÁLCULOS!G236</f>
        <v>para fixar escora na base</v>
      </c>
      <c r="I43" s="35"/>
      <c r="J43" s="35"/>
      <c r="K43" s="1609">
        <f ca="1">CÁLCULOS!L236</f>
        <v>124</v>
      </c>
      <c r="L43" s="1609"/>
      <c r="M43" s="1609"/>
      <c r="N43" s="1609"/>
      <c r="O43" s="44" t="str">
        <f>CÁLCULOS!M236</f>
        <v>unid.</v>
      </c>
      <c r="P43" s="45"/>
      <c r="Q43" s="736">
        <v>12.8</v>
      </c>
      <c r="R43" s="78">
        <f t="shared" ca="1" si="6"/>
        <v>1587.2</v>
      </c>
      <c r="AC43" s="355">
        <f t="shared" si="7"/>
        <v>12.8</v>
      </c>
    </row>
    <row r="44" spans="1:29" ht="20.100000000000001" customHeight="1" x14ac:dyDescent="0.35">
      <c r="A44" t="s">
        <v>1033</v>
      </c>
      <c r="B44" t="s">
        <v>1035</v>
      </c>
      <c r="C44" s="603" t="s">
        <v>1035</v>
      </c>
      <c r="D44" s="727" t="str">
        <f>CÁLCULOS!C237</f>
        <v xml:space="preserve">PARABOLT 5/8" x 6" </v>
      </c>
      <c r="E44" s="35"/>
      <c r="F44" s="35"/>
      <c r="G44" s="35"/>
      <c r="H44" s="35" t="str">
        <f>CÁLCULOS!G237</f>
        <v>para fixar escora 9 m aproveitadas</v>
      </c>
      <c r="I44" s="35"/>
      <c r="J44" s="35"/>
      <c r="K44" s="1609">
        <f ca="1">CÁLCULOS!L237</f>
        <v>80</v>
      </c>
      <c r="L44" s="1609"/>
      <c r="M44" s="1609"/>
      <c r="N44" s="1609"/>
      <c r="O44" s="44" t="str">
        <f>CÁLCULOS!M237</f>
        <v>unid.</v>
      </c>
      <c r="P44" s="45"/>
      <c r="Q44" s="736">
        <v>12.8</v>
      </c>
      <c r="R44" s="78">
        <f t="shared" ca="1" si="6"/>
        <v>1024</v>
      </c>
      <c r="V44" s="1637" t="s">
        <v>1036</v>
      </c>
      <c r="W44" s="1632" t="s">
        <v>907</v>
      </c>
      <c r="AC44" s="355">
        <f t="shared" si="7"/>
        <v>12.8</v>
      </c>
    </row>
    <row r="45" spans="1:29" ht="20.100000000000001" customHeight="1" x14ac:dyDescent="0.35">
      <c r="A45" t="s">
        <v>1037</v>
      </c>
      <c r="B45" t="s">
        <v>1038</v>
      </c>
      <c r="C45" s="603" t="s">
        <v>1038</v>
      </c>
      <c r="D45" s="727" t="str">
        <f ca="1">CÁLCULOS!C238</f>
        <v>PARAFUSO p/ escora  M16 x 1 3/4"</v>
      </c>
      <c r="E45" s="35"/>
      <c r="F45" s="35"/>
      <c r="G45" s="35"/>
      <c r="H45" s="35" t="str">
        <f>CÁLCULOS!G238</f>
        <v>para fixar escora no painel</v>
      </c>
      <c r="I45" s="35"/>
      <c r="J45" s="35"/>
      <c r="K45" s="1609">
        <f ca="1">CÁLCULOS!L238</f>
        <v>496</v>
      </c>
      <c r="L45" s="1609"/>
      <c r="M45" s="1609"/>
      <c r="N45" s="1609"/>
      <c r="O45" s="44" t="str">
        <f>CÁLCULOS!M238</f>
        <v>unid.</v>
      </c>
      <c r="P45" s="45"/>
      <c r="Q45" s="1158">
        <f ca="1">IF(D45="PARAFUSO p/ escora  M16 x 1 1/2""",W40,IF(D45="PARAFUSO p/ escora  M16 x 1 3/4""",W41,0))</f>
        <v>9</v>
      </c>
      <c r="R45" s="78">
        <f t="shared" ca="1" si="6"/>
        <v>4464</v>
      </c>
      <c r="V45" s="1638"/>
      <c r="W45" s="1633"/>
      <c r="X45" s="734"/>
      <c r="AC45" s="355">
        <f t="shared" ca="1" si="7"/>
        <v>9</v>
      </c>
    </row>
    <row r="46" spans="1:29" ht="20.100000000000001" customHeight="1" x14ac:dyDescent="0.35">
      <c r="A46" t="s">
        <v>1037</v>
      </c>
      <c r="B46" t="s">
        <v>1039</v>
      </c>
      <c r="C46" s="603" t="s">
        <v>1039</v>
      </c>
      <c r="D46" s="727" t="str">
        <f ca="1">CÁLCULOS!C239</f>
        <v>PARAFUSO p/ Nivelam. M30 x 85 ( pé do P. Normal ) -----------</v>
      </c>
      <c r="E46" s="35"/>
      <c r="F46" s="35"/>
      <c r="G46" s="35"/>
      <c r="H46" s="35">
        <f ca="1">CÁLCULOS!G239</f>
        <v>6</v>
      </c>
      <c r="I46" s="35" t="str">
        <f ca="1">CÁLCULOS!H239</f>
        <v>ton p/ painel normal</v>
      </c>
      <c r="J46" s="733">
        <f ca="1">CÁLCULOS!J239</f>
        <v>6</v>
      </c>
      <c r="K46" s="1609">
        <f ca="1">CÁLCULOS!L239</f>
        <v>480</v>
      </c>
      <c r="L46" s="1609"/>
      <c r="M46" s="1609"/>
      <c r="N46" s="1609"/>
      <c r="O46" s="44" t="str">
        <f>CÁLCULOS!M239</f>
        <v>unid.</v>
      </c>
      <c r="P46" s="45"/>
      <c r="Q46" s="1158">
        <f ca="1">IF(H46=0,0,VLOOKUP(J46,V46:W49,2,0))</f>
        <v>40</v>
      </c>
      <c r="R46" s="78">
        <f t="shared" ca="1" si="6"/>
        <v>19200</v>
      </c>
      <c r="V46" s="726">
        <f>CÁLCULOS!Z280/1000</f>
        <v>0</v>
      </c>
      <c r="W46" s="173">
        <v>27</v>
      </c>
      <c r="X46" s="1159">
        <f>CÁLCULOS!AA280</f>
        <v>0</v>
      </c>
      <c r="AC46" s="355">
        <f t="shared" ca="1" si="7"/>
        <v>40</v>
      </c>
    </row>
    <row r="47" spans="1:29" ht="20.100000000000001" customHeight="1" x14ac:dyDescent="0.35">
      <c r="A47" t="s">
        <v>1037</v>
      </c>
      <c r="B47" t="s">
        <v>1040</v>
      </c>
      <c r="C47" s="603" t="s">
        <v>1040</v>
      </c>
      <c r="D47" s="727" t="str">
        <f ca="1">CÁLCULOS!C240</f>
        <v>PARAFUSO p/ Nivelam. M30 x 85 ( pé do P. Fecho ) -----------</v>
      </c>
      <c r="E47" s="35"/>
      <c r="F47" s="35"/>
      <c r="G47" s="35"/>
      <c r="H47" s="35">
        <f ca="1">CÁLCULOS!G240</f>
        <v>6</v>
      </c>
      <c r="I47" s="35" t="str">
        <f ca="1">CÁLCULOS!H240</f>
        <v>ton p/ painel fecho</v>
      </c>
      <c r="J47" s="733">
        <f ca="1">CÁLCULOS!J240</f>
        <v>6</v>
      </c>
      <c r="K47" s="1609">
        <f>CÁLCULOS!L240</f>
        <v>16</v>
      </c>
      <c r="L47" s="1609"/>
      <c r="M47" s="1609"/>
      <c r="N47" s="1609"/>
      <c r="O47" s="44" t="str">
        <f>CÁLCULOS!M240</f>
        <v>unid.</v>
      </c>
      <c r="P47" s="45"/>
      <c r="Q47" s="1158">
        <f ca="1">IF(H47=0,0,VLOOKUP(J47,V46:W49,2,0))</f>
        <v>40</v>
      </c>
      <c r="R47" s="78">
        <f t="shared" ca="1" si="6"/>
        <v>640</v>
      </c>
      <c r="V47" s="726">
        <f>CÁLCULOS!Z281/1000</f>
        <v>6</v>
      </c>
      <c r="W47" s="173">
        <v>40</v>
      </c>
      <c r="X47" s="1159" t="str">
        <f>CÁLCULOS!AA281</f>
        <v>M30 x 85</v>
      </c>
      <c r="AC47" s="355">
        <f t="shared" ca="1" si="7"/>
        <v>40</v>
      </c>
    </row>
    <row r="48" spans="1:29" ht="20.100000000000001" customHeight="1" x14ac:dyDescent="0.35">
      <c r="A48" t="s">
        <v>1037</v>
      </c>
      <c r="B48" t="s">
        <v>1041</v>
      </c>
      <c r="C48" s="603" t="s">
        <v>1041</v>
      </c>
      <c r="D48" s="727" t="str">
        <f>CÁLCULOS!C241</f>
        <v>PARAFUSO SEXTAVADO M12 x 45 mm</v>
      </c>
      <c r="E48" s="35"/>
      <c r="F48" s="35"/>
      <c r="G48" s="35"/>
      <c r="H48" s="35" t="str">
        <f>CÁLCULOS!G241</f>
        <v>para fixar flutuadores</v>
      </c>
      <c r="I48" s="35"/>
      <c r="J48" s="35"/>
      <c r="K48" s="1609">
        <f ca="1">CÁLCULOS!L241</f>
        <v>124</v>
      </c>
      <c r="L48" s="1609"/>
      <c r="M48" s="1609"/>
      <c r="N48" s="1609"/>
      <c r="O48" s="44" t="str">
        <f>CÁLCULOS!M241</f>
        <v>unid.</v>
      </c>
      <c r="P48" s="45"/>
      <c r="Q48" s="736">
        <v>1.5</v>
      </c>
      <c r="R48" s="78">
        <f t="shared" ca="1" si="6"/>
        <v>186</v>
      </c>
      <c r="V48" s="726">
        <f>CÁLCULOS!Z282/1000</f>
        <v>10</v>
      </c>
      <c r="W48" s="173">
        <v>64</v>
      </c>
      <c r="X48" s="1159" t="str">
        <f>CÁLCULOS!AA282</f>
        <v>M36 x 85</v>
      </c>
      <c r="AC48" s="355">
        <f t="shared" si="7"/>
        <v>1.5</v>
      </c>
    </row>
    <row r="49" spans="1:29" ht="20.100000000000001" customHeight="1" thickBot="1" x14ac:dyDescent="0.4">
      <c r="A49" t="s">
        <v>1042</v>
      </c>
      <c r="B49" t="s">
        <v>1043</v>
      </c>
      <c r="C49" s="603" t="s">
        <v>1043</v>
      </c>
      <c r="D49" s="727" t="str">
        <f>CÁLCULOS!C242</f>
        <v>ARRUELA 16 mm</v>
      </c>
      <c r="E49" s="35"/>
      <c r="F49" s="35"/>
      <c r="G49" s="35"/>
      <c r="H49" s="35" t="str">
        <f>CÁLCULOS!G242</f>
        <v>para fixar escora no painel</v>
      </c>
      <c r="I49" s="35"/>
      <c r="J49" s="35"/>
      <c r="K49" s="1609">
        <f ca="1">CÁLCULOS!L242</f>
        <v>204</v>
      </c>
      <c r="L49" s="1609"/>
      <c r="M49" s="1609"/>
      <c r="N49" s="1609"/>
      <c r="O49" s="44" t="str">
        <f>CÁLCULOS!M242</f>
        <v>unid.</v>
      </c>
      <c r="P49" s="45"/>
      <c r="Q49" s="736">
        <v>0.35</v>
      </c>
      <c r="R49" s="78">
        <f t="shared" ca="1" si="6"/>
        <v>71.399999999999991</v>
      </c>
      <c r="V49" s="1160">
        <f>CÁLCULOS!Z283/1000</f>
        <v>15</v>
      </c>
      <c r="W49" s="577">
        <v>78</v>
      </c>
      <c r="X49" s="1159" t="str">
        <f>CÁLCULOS!AA283</f>
        <v>M39 x 85</v>
      </c>
      <c r="AC49" s="355">
        <f t="shared" si="7"/>
        <v>0.35</v>
      </c>
    </row>
    <row r="50" spans="1:29" ht="20.100000000000001" customHeight="1" x14ac:dyDescent="0.35">
      <c r="C50" s="603" t="s">
        <v>1044</v>
      </c>
      <c r="D50" s="727" t="str">
        <f>CÁLCULOS!C243</f>
        <v>BROCA SDS Plus  DIÂMETRO 16 mm x 210 mm</v>
      </c>
      <c r="E50" s="35"/>
      <c r="F50" s="35"/>
      <c r="G50" s="35"/>
      <c r="H50" s="35"/>
      <c r="I50" s="35"/>
      <c r="J50" s="35"/>
      <c r="K50" s="1609">
        <f ca="1">CÁLCULOS!L243</f>
        <v>5</v>
      </c>
      <c r="L50" s="1609"/>
      <c r="M50" s="1609"/>
      <c r="N50" s="1609"/>
      <c r="O50" s="44" t="str">
        <f>CÁLCULOS!M243</f>
        <v>unid.</v>
      </c>
      <c r="P50" s="45"/>
      <c r="Q50" s="736">
        <v>35</v>
      </c>
      <c r="R50" s="78">
        <f t="shared" ca="1" si="6"/>
        <v>175</v>
      </c>
      <c r="AC50" s="355"/>
    </row>
    <row r="51" spans="1:29" ht="20.100000000000001" customHeight="1" x14ac:dyDescent="0.35">
      <c r="B51" t="s">
        <v>1045</v>
      </c>
      <c r="C51" s="603" t="s">
        <v>1046</v>
      </c>
      <c r="D51" s="727" t="str">
        <f>CÁLCULOS!C244</f>
        <v>BORRACHA DE VEDAÇÃO VERTICAL SOPLACAS</v>
      </c>
      <c r="E51" s="35"/>
      <c r="F51" s="35"/>
      <c r="G51" s="35"/>
      <c r="H51" s="35"/>
      <c r="I51" s="35"/>
      <c r="J51" s="35"/>
      <c r="K51" s="1609">
        <f>CÁLCULOS!L244</f>
        <v>0</v>
      </c>
      <c r="L51" s="1609"/>
      <c r="M51" s="1609"/>
      <c r="N51" s="1609"/>
      <c r="O51" s="44" t="str">
        <f>CÁLCULOS!M244</f>
        <v>m</v>
      </c>
      <c r="P51" s="45"/>
      <c r="Q51" s="736">
        <f>10*G12*1.25</f>
        <v>76.875</v>
      </c>
      <c r="R51" s="78">
        <f t="shared" si="6"/>
        <v>0</v>
      </c>
      <c r="U51" s="627" t="s">
        <v>1047</v>
      </c>
      <c r="V51" s="7">
        <f ca="1">INSUMOS!R69+INSUMOS!R71</f>
        <v>0</v>
      </c>
      <c r="AC51" s="355"/>
    </row>
    <row r="52" spans="1:29" ht="20.100000000000001" customHeight="1" x14ac:dyDescent="0.35">
      <c r="A52" t="s">
        <v>1048</v>
      </c>
      <c r="B52" t="s">
        <v>1049</v>
      </c>
      <c r="C52" s="603" t="s">
        <v>1049</v>
      </c>
      <c r="D52" s="727" t="str">
        <f>CÁLCULOS!C245</f>
        <v xml:space="preserve">SELANTE FLEXÍVEL  PU 40 ( sachê 600 ml ) </v>
      </c>
      <c r="E52" s="35"/>
      <c r="F52" s="35"/>
      <c r="G52" s="35"/>
      <c r="H52" s="35"/>
      <c r="I52" s="35"/>
      <c r="J52" s="35"/>
      <c r="K52" s="1609">
        <f ca="1">CÁLCULOS!L245+LAJES!I267</f>
        <v>2319</v>
      </c>
      <c r="L52" s="1609"/>
      <c r="M52" s="1609"/>
      <c r="N52" s="1609"/>
      <c r="O52" s="44" t="str">
        <f>CÁLCULOS!M245</f>
        <v>unid.</v>
      </c>
      <c r="P52" s="45"/>
      <c r="Q52" s="736">
        <v>30</v>
      </c>
      <c r="R52" s="78">
        <f t="shared" ca="1" si="6"/>
        <v>69570</v>
      </c>
      <c r="U52" s="627" t="s">
        <v>1050</v>
      </c>
      <c r="V52" s="7">
        <f ca="1">LAJES!I267*INSUMOS!Q52+INSUMOS!R54+INSUMOS!R55+LAJES!I263*INSUMOS!Q56+(IF(CÁLCULOS!L278=0,LAJES!I264,0))*INSUMOS!Q57+INSUMOS!R60+R64+INSUMOS!R63</f>
        <v>0</v>
      </c>
      <c r="X52" s="7">
        <f ca="1">SUM(R40:R49)+CÁLCULOS!L245*Q52+R53+CÁLCULOS!L277*Q56+CÁLCULOS!L278*Q57+R58+R59+R61+R62+R67+R73+R51</f>
        <v>1430051.1088</v>
      </c>
      <c r="Y52" s="627" t="s">
        <v>1050</v>
      </c>
      <c r="AB52" s="4"/>
      <c r="AC52" s="355">
        <f t="shared" ref="AC52:AC83" si="8">Q52</f>
        <v>30</v>
      </c>
    </row>
    <row r="53" spans="1:29" ht="21.6" customHeight="1" thickBot="1" x14ac:dyDescent="0.4">
      <c r="A53" t="s">
        <v>1051</v>
      </c>
      <c r="B53" t="s">
        <v>1052</v>
      </c>
      <c r="C53" s="603" t="s">
        <v>1052</v>
      </c>
      <c r="D53" s="727" t="str">
        <f>CÁLCULOS!C246</f>
        <v>D11 ( MC-BAUCHIMIE ) - primer para substrados absorventes ( embalagem: galão de 4 litros )</v>
      </c>
      <c r="E53" s="35"/>
      <c r="F53" s="35"/>
      <c r="G53" s="35"/>
      <c r="H53" s="35"/>
      <c r="I53" s="35"/>
      <c r="J53" s="35"/>
      <c r="K53" s="1609">
        <f ca="1">CÁLCULOS!L246</f>
        <v>2</v>
      </c>
      <c r="L53" s="1609"/>
      <c r="M53" s="1609"/>
      <c r="N53" s="1609"/>
      <c r="O53" s="1702" t="str">
        <f>CÁLCULOS!M246</f>
        <v>galão de 4 litros</v>
      </c>
      <c r="P53" s="1703"/>
      <c r="Q53" s="736">
        <v>130</v>
      </c>
      <c r="R53" s="78">
        <f t="shared" ca="1" si="6"/>
        <v>260</v>
      </c>
      <c r="V53" s="1161" t="s">
        <v>1053</v>
      </c>
      <c r="X53" s="1161" t="s">
        <v>1054</v>
      </c>
      <c r="AB53" s="4"/>
      <c r="AC53" s="355">
        <f t="shared" si="8"/>
        <v>130</v>
      </c>
    </row>
    <row r="54" spans="1:29" ht="20.100000000000001" customHeight="1" x14ac:dyDescent="0.35">
      <c r="B54" t="s">
        <v>1055</v>
      </c>
      <c r="C54" s="603" t="s">
        <v>1055</v>
      </c>
      <c r="D54" s="727" t="str">
        <f>LAJES!B271</f>
        <v xml:space="preserve">NEOPRENE 50 X 5 X 0,5 cm </v>
      </c>
      <c r="E54" s="35"/>
      <c r="F54" s="35"/>
      <c r="G54" s="35"/>
      <c r="H54" s="35"/>
      <c r="I54" s="35"/>
      <c r="J54" s="35"/>
      <c r="K54" s="1609">
        <f ca="1">LAJES!I271</f>
        <v>0</v>
      </c>
      <c r="L54" s="1609"/>
      <c r="M54" s="1609"/>
      <c r="N54" s="1609"/>
      <c r="O54" s="727" t="s">
        <v>46</v>
      </c>
      <c r="P54" s="45"/>
      <c r="Q54" s="736">
        <v>15</v>
      </c>
      <c r="R54" s="78">
        <f t="shared" ca="1" si="6"/>
        <v>0</v>
      </c>
      <c r="V54" s="1588" t="s">
        <v>1056</v>
      </c>
      <c r="W54" s="1590" t="s">
        <v>1057</v>
      </c>
      <c r="X54" s="1590" t="s">
        <v>1058</v>
      </c>
      <c r="Y54" s="1592" t="s">
        <v>1059</v>
      </c>
      <c r="AB54" s="4"/>
      <c r="AC54" s="355">
        <f t="shared" si="8"/>
        <v>15</v>
      </c>
    </row>
    <row r="55" spans="1:29" ht="20.100000000000001" customHeight="1" x14ac:dyDescent="0.35">
      <c r="B55" t="s">
        <v>1060</v>
      </c>
      <c r="C55" s="603" t="s">
        <v>1060</v>
      </c>
      <c r="D55" s="727" t="str">
        <f>LAJES!B262</f>
        <v>SISTEMA DE ANCORAGEM PILAR x PISO ( TREJOR )</v>
      </c>
      <c r="E55" s="35"/>
      <c r="F55" s="35"/>
      <c r="G55" s="35"/>
      <c r="H55" s="35"/>
      <c r="I55" s="35"/>
      <c r="J55" s="35"/>
      <c r="K55" s="1609">
        <f>IF(ENTRADAS!D912="x",IF(ENTRADAS!D998="x",LAJES!I262,0),0)</f>
        <v>0</v>
      </c>
      <c r="L55" s="1609"/>
      <c r="M55" s="1609"/>
      <c r="N55" s="1609"/>
      <c r="O55" s="727" t="s">
        <v>1061</v>
      </c>
      <c r="P55" s="45"/>
      <c r="Q55" s="736">
        <v>5000</v>
      </c>
      <c r="R55" s="78">
        <f t="shared" si="6"/>
        <v>0</v>
      </c>
      <c r="V55" s="1589"/>
      <c r="W55" s="1591"/>
      <c r="X55" s="1591"/>
      <c r="Y55" s="1593"/>
      <c r="AB55" s="4"/>
      <c r="AC55" s="355">
        <f t="shared" si="8"/>
        <v>5000</v>
      </c>
    </row>
    <row r="56" spans="1:29" ht="20.100000000000001" customHeight="1" x14ac:dyDescent="0.35">
      <c r="A56" t="s">
        <v>1062</v>
      </c>
      <c r="B56" t="s">
        <v>978</v>
      </c>
      <c r="C56" s="603" t="s">
        <v>978</v>
      </c>
      <c r="D56" s="223" t="str">
        <f>CÁLCULOS!C277</f>
        <v>PLATAFORMA ELEVATÓRIA ARTICULADA (PTA) TIPO 450AJ</v>
      </c>
      <c r="E56" s="224"/>
      <c r="F56" s="224"/>
      <c r="G56" s="224"/>
      <c r="H56" s="224"/>
      <c r="I56" s="224"/>
      <c r="J56" s="338"/>
      <c r="K56" s="1636">
        <f ca="1">IF(J56&gt;0,J56,CÁLCULOS!L277+LAJES!I263)</f>
        <v>107</v>
      </c>
      <c r="L56" s="1636"/>
      <c r="M56" s="1636"/>
      <c r="N56" s="1636"/>
      <c r="O56" s="223" t="str">
        <f>CÁLCULOS!M277</f>
        <v>dias</v>
      </c>
      <c r="P56" s="225"/>
      <c r="Q56" s="698">
        <v>750</v>
      </c>
      <c r="R56" s="226">
        <f t="shared" ca="1" si="6"/>
        <v>80250</v>
      </c>
      <c r="V56" s="726">
        <v>30</v>
      </c>
      <c r="W56" s="804">
        <v>2500</v>
      </c>
      <c r="X56" s="804">
        <v>4000</v>
      </c>
      <c r="Y56" s="752">
        <f>W56*0.6</f>
        <v>1500</v>
      </c>
      <c r="AB56" s="4"/>
      <c r="AC56" s="355">
        <f t="shared" si="8"/>
        <v>750</v>
      </c>
    </row>
    <row r="57" spans="1:29" ht="20.100000000000001" customHeight="1" x14ac:dyDescent="0.35">
      <c r="A57" t="s">
        <v>1062</v>
      </c>
      <c r="B57" t="s">
        <v>980</v>
      </c>
      <c r="C57" s="603" t="s">
        <v>980</v>
      </c>
      <c r="D57" s="223" t="str">
        <f>CÁLCULOS!C278</f>
        <v>MOBILIZAÇÃO DE PLATAFORMA  ELEVATÓRIA</v>
      </c>
      <c r="E57" s="224"/>
      <c r="F57" s="224"/>
      <c r="G57" s="224"/>
      <c r="H57" s="224"/>
      <c r="I57" s="224"/>
      <c r="J57" s="224"/>
      <c r="K57" s="1636">
        <f ca="1">IF(CÁLCULOS!L278=0,LAJES!I264,CÁLCULOS!L278)</f>
        <v>1</v>
      </c>
      <c r="L57" s="1636"/>
      <c r="M57" s="1636"/>
      <c r="N57" s="1636"/>
      <c r="O57" s="223" t="str">
        <f>CÁLCULOS!M278</f>
        <v>unid.</v>
      </c>
      <c r="P57" s="225"/>
      <c r="Q57" s="698">
        <v>2000</v>
      </c>
      <c r="R57" s="226">
        <f t="shared" ca="1" si="6"/>
        <v>2000</v>
      </c>
      <c r="V57" s="726">
        <v>60</v>
      </c>
      <c r="W57" s="804">
        <v>3000</v>
      </c>
      <c r="X57" s="804">
        <v>6000</v>
      </c>
      <c r="Y57" s="752">
        <f t="shared" ref="Y57:Y62" si="9">W57*0.6</f>
        <v>1800</v>
      </c>
      <c r="AB57" s="4"/>
      <c r="AC57" s="355">
        <f t="shared" si="8"/>
        <v>2000</v>
      </c>
    </row>
    <row r="58" spans="1:29" ht="20.100000000000001" customHeight="1" x14ac:dyDescent="0.35">
      <c r="A58" t="s">
        <v>1063</v>
      </c>
      <c r="B58" t="s">
        <v>982</v>
      </c>
      <c r="C58" s="603" t="s">
        <v>982</v>
      </c>
      <c r="D58" s="223" t="str">
        <f ca="1">IF(K61=2," GUINDASTE 1  (mont. painés + retirada P.T.A)","GUINDASTE 1 - montagem dos painés CAP=")</f>
        <v>GUINDASTE 1 - montagem dos painés CAP=</v>
      </c>
      <c r="E58" s="224"/>
      <c r="F58" s="224"/>
      <c r="G58" s="224"/>
      <c r="H58" s="224" t="str">
        <f>GUINDASTE!F22&amp;" toneladas"</f>
        <v>70 toneladas</v>
      </c>
      <c r="I58" s="224"/>
      <c r="J58" s="338"/>
      <c r="K58" s="1594">
        <f ca="1">IF(ENTRADAS!E15=0,0,IF(J58="X",0,IF(J58&gt;0,J58,CÁLCULOS!L279)))</f>
        <v>88</v>
      </c>
      <c r="L58" s="1595"/>
      <c r="M58" s="1595"/>
      <c r="N58" s="1596"/>
      <c r="O58" s="223" t="str">
        <f ca="1">CÁLCULOS!M279</f>
        <v>dias trabalhados</v>
      </c>
      <c r="P58" s="225"/>
      <c r="Q58" s="1158">
        <f>IF(GUINDASTE!F22=0,0,VLOOKUP(GUINDASTE!F22,V56:X63,2,0))</f>
        <v>3700</v>
      </c>
      <c r="R58" s="226">
        <f t="shared" ca="1" si="6"/>
        <v>325600</v>
      </c>
      <c r="V58" s="726">
        <v>70</v>
      </c>
      <c r="W58" s="804">
        <v>3700</v>
      </c>
      <c r="X58" s="804">
        <v>5000</v>
      </c>
      <c r="Y58" s="752">
        <f t="shared" si="9"/>
        <v>2220</v>
      </c>
      <c r="AB58" s="4"/>
      <c r="AC58" s="355">
        <f t="shared" si="8"/>
        <v>3700</v>
      </c>
    </row>
    <row r="59" spans="1:29" ht="20.100000000000001" customHeight="1" x14ac:dyDescent="0.35">
      <c r="A59" t="s">
        <v>1063</v>
      </c>
      <c r="B59" t="s">
        <v>984</v>
      </c>
      <c r="C59" s="603" t="s">
        <v>984</v>
      </c>
      <c r="D59" s="223">
        <f>CÁLCULOS!E280</f>
        <v>0</v>
      </c>
      <c r="E59" s="224"/>
      <c r="F59" s="224"/>
      <c r="G59" s="224"/>
      <c r="H59" s="224">
        <f>IF(D59=0,0,CÁLCULOS!I280&amp;" toneladas")</f>
        <v>0</v>
      </c>
      <c r="I59" s="224"/>
      <c r="J59" s="338"/>
      <c r="K59" s="1594">
        <f>IF(ENTRADAS!E15=0,0,IF(J59="X",0,IF(J59&gt;0,J59,CÁLCULOS!L280)))</f>
        <v>0</v>
      </c>
      <c r="L59" s="1595"/>
      <c r="M59" s="1595"/>
      <c r="N59" s="1596"/>
      <c r="O59" s="223">
        <f>CÁLCULOS!M280</f>
        <v>0</v>
      </c>
      <c r="P59" s="225"/>
      <c r="Q59" s="1158">
        <f>IF(CÁLCULOS!I280=0,0,VLOOKUP(CÁLCULOS!I280,V56:X63,2,0))</f>
        <v>0</v>
      </c>
      <c r="R59" s="226">
        <f t="shared" si="6"/>
        <v>0</v>
      </c>
      <c r="V59" s="726">
        <v>90</v>
      </c>
      <c r="W59" s="804">
        <v>6000</v>
      </c>
      <c r="X59" s="804">
        <v>13000</v>
      </c>
      <c r="Y59" s="752">
        <f t="shared" si="9"/>
        <v>3600</v>
      </c>
      <c r="AB59" s="4"/>
      <c r="AC59" s="355">
        <f t="shared" si="8"/>
        <v>0</v>
      </c>
    </row>
    <row r="60" spans="1:29" ht="20.100000000000001" customHeight="1" x14ac:dyDescent="0.35">
      <c r="B60" t="s">
        <v>986</v>
      </c>
      <c r="C60" s="603" t="s">
        <v>986</v>
      </c>
      <c r="D60" s="227" t="str">
        <f>LAJES!B154</f>
        <v>GUINDASTE PARA LAJES</v>
      </c>
      <c r="E60" s="228"/>
      <c r="F60" s="228">
        <f>LAJES!E155</f>
        <v>0</v>
      </c>
      <c r="G60" s="228" t="str">
        <f>LAJES!F155</f>
        <v>toneladas</v>
      </c>
      <c r="H60" s="228"/>
      <c r="I60" s="228"/>
      <c r="J60" s="338"/>
      <c r="K60" s="1594">
        <f>IF(ENTRADAS!E15=0,0,IF(J60="X",0,IF(J60&gt;0,J60,LAJES!I154)))</f>
        <v>0</v>
      </c>
      <c r="L60" s="1595"/>
      <c r="M60" s="1595"/>
      <c r="N60" s="1596"/>
      <c r="O60" s="223" t="s">
        <v>1064</v>
      </c>
      <c r="P60" s="225"/>
      <c r="Q60" s="1158">
        <f>IF(LAJES!E155=0,0,VLOOKUP(LAJES!E155,V56:X63,2,0))</f>
        <v>0</v>
      </c>
      <c r="R60" s="226">
        <f t="shared" ref="R60:R67" si="10">K60*Q60</f>
        <v>0</v>
      </c>
      <c r="V60" s="726">
        <v>100</v>
      </c>
      <c r="W60" s="804">
        <v>7500</v>
      </c>
      <c r="X60" s="804">
        <v>20000</v>
      </c>
      <c r="Y60" s="752">
        <f t="shared" si="9"/>
        <v>4500</v>
      </c>
      <c r="AB60" s="4"/>
      <c r="AC60" s="355">
        <f t="shared" si="8"/>
        <v>0</v>
      </c>
    </row>
    <row r="61" spans="1:29" ht="20.100000000000001" customHeight="1" x14ac:dyDescent="0.35">
      <c r="A61" t="s">
        <v>1063</v>
      </c>
      <c r="B61" t="s">
        <v>988</v>
      </c>
      <c r="C61" s="603" t="s">
        <v>988</v>
      </c>
      <c r="D61" s="227" t="str">
        <f ca="1">IF(K61=2,"MOBILIZAÇÃO DO GUINDASTE 1  ( montagem dos painés + retirada de P.T.A )","MOBILIZAÇÃO DO GUINDASTE 1  ( montagem dos painés )")</f>
        <v>MOBILIZAÇÃO DO GUINDASTE 1  ( montagem dos painés )</v>
      </c>
      <c r="E61" s="228"/>
      <c r="F61" s="228"/>
      <c r="G61" s="228"/>
      <c r="H61" s="228"/>
      <c r="I61" s="228"/>
      <c r="J61" s="338"/>
      <c r="K61" s="1594">
        <f ca="1">IF(ENTRADAS!E15=0,0,IF(J61="X",0,IF(J61&gt;0,J61,CÁLCULOS!L281)))</f>
        <v>1</v>
      </c>
      <c r="L61" s="1595"/>
      <c r="M61" s="1595"/>
      <c r="N61" s="1596"/>
      <c r="O61" s="223" t="str">
        <f>CÁLCULOS!M281</f>
        <v>unid.</v>
      </c>
      <c r="P61" s="225"/>
      <c r="Q61" s="1158">
        <f>IF(CÁLCULOS!I279=0,0,VLOOKUP(CÁLCULOS!I279,V56:X63,3,0))</f>
        <v>5000</v>
      </c>
      <c r="R61" s="226">
        <f t="shared" ca="1" si="10"/>
        <v>5000</v>
      </c>
      <c r="V61" s="726">
        <v>130</v>
      </c>
      <c r="W61" s="804">
        <v>8000</v>
      </c>
      <c r="X61" s="804">
        <v>25000</v>
      </c>
      <c r="Y61" s="752">
        <f t="shared" si="9"/>
        <v>4800</v>
      </c>
      <c r="AB61" s="4"/>
      <c r="AC61" s="355">
        <f t="shared" si="8"/>
        <v>5000</v>
      </c>
    </row>
    <row r="62" spans="1:29" ht="20.100000000000001" customHeight="1" x14ac:dyDescent="0.35">
      <c r="A62" t="s">
        <v>1063</v>
      </c>
      <c r="B62" t="s">
        <v>990</v>
      </c>
      <c r="C62" s="603" t="s">
        <v>990</v>
      </c>
      <c r="D62" s="227">
        <f>IF(K62=2,"MOBILIZAÇÃO DO GUINDASTE 2  ( montagem dos painés + retirada de P.T.A )",IF(AND(CÁLCULOS!V283=1,CÁLCULOS!V284=1),"MOBILIZAÇÃO DO GUINDASTE 2  ( montagem dos painés + retirada de P.T.A )",IF(AND(CÁLCULOS!V283=1,CÁLCULOS!V284=0),"MOBILIZAÇÃO DO GUINDASTE 2  ( retirada de P.T.A )",IF(AND(CÁLCULOS!V283=0,CÁLCULOS!V284=1),"MOBILIZAÇÃO DO GUINDASTE 2  ( montagem de painéis )",IF(K62=1,"MOBILIZAÇÃO DO GUINDASTE 2  ( montagem de painéis )",0)))))</f>
        <v>0</v>
      </c>
      <c r="E62" s="228"/>
      <c r="F62" s="228"/>
      <c r="G62" s="228"/>
      <c r="H62" s="228"/>
      <c r="I62" s="228"/>
      <c r="J62" s="338"/>
      <c r="K62" s="1594">
        <f>IF(ENTRADAS!E15=0,0,IF(J62="X",0,IF(J62&gt;0,J62,CÁLCULOS!L282)))</f>
        <v>0</v>
      </c>
      <c r="L62" s="1595"/>
      <c r="M62" s="1595"/>
      <c r="N62" s="1596"/>
      <c r="O62" s="223">
        <f>CÁLCULOS!M282</f>
        <v>0</v>
      </c>
      <c r="P62" s="229"/>
      <c r="Q62" s="1158">
        <f>IF(CÁLCULOS!I280=0,0,VLOOKUP(CÁLCULOS!I280,V56:X63,3,0))</f>
        <v>0</v>
      </c>
      <c r="R62" s="226">
        <f t="shared" si="10"/>
        <v>0</v>
      </c>
      <c r="V62" s="726">
        <v>160</v>
      </c>
      <c r="W62" s="804">
        <v>9800</v>
      </c>
      <c r="X62" s="804">
        <v>30000</v>
      </c>
      <c r="Y62" s="752">
        <f t="shared" si="9"/>
        <v>5880</v>
      </c>
      <c r="AB62" s="4"/>
      <c r="AC62" s="355">
        <f t="shared" si="8"/>
        <v>0</v>
      </c>
    </row>
    <row r="63" spans="1:29" ht="20.100000000000001" customHeight="1" thickBot="1" x14ac:dyDescent="0.4">
      <c r="B63" t="s">
        <v>992</v>
      </c>
      <c r="C63" s="603" t="s">
        <v>992</v>
      </c>
      <c r="D63" s="227">
        <f ca="1">IF(K63=0,0,LAJES!B155)</f>
        <v>0</v>
      </c>
      <c r="E63" s="228"/>
      <c r="F63" s="228"/>
      <c r="G63" s="228">
        <f>IF(J63="X",0,LAJES!E155)</f>
        <v>0</v>
      </c>
      <c r="H63" s="228">
        <f ca="1">IF(K63=0,0,LAJES!F155)</f>
        <v>0</v>
      </c>
      <c r="I63" s="228"/>
      <c r="J63" s="338"/>
      <c r="K63" s="1594">
        <f ca="1">IF(ENTRADAS!E15=0,0,IF(J63="X",0,IF(J63&gt;0,J63,LAJES!I155)))</f>
        <v>0</v>
      </c>
      <c r="L63" s="1595"/>
      <c r="M63" s="1595"/>
      <c r="N63" s="1596"/>
      <c r="O63" s="223" t="s">
        <v>46</v>
      </c>
      <c r="P63" s="229"/>
      <c r="Q63" s="1158">
        <f>IF(LAJES!E155=0,0,VLOOKUP(LAJES!E155,V56:X63,3,0))</f>
        <v>0</v>
      </c>
      <c r="R63" s="226">
        <f t="shared" ca="1" si="10"/>
        <v>0</v>
      </c>
      <c r="V63" s="1160">
        <v>200</v>
      </c>
      <c r="W63" s="805">
        <v>13000</v>
      </c>
      <c r="X63" s="805">
        <v>50000</v>
      </c>
      <c r="Y63" s="753">
        <v>5500</v>
      </c>
      <c r="AB63" s="4"/>
      <c r="AC63" s="355">
        <f t="shared" si="8"/>
        <v>0</v>
      </c>
    </row>
    <row r="64" spans="1:29" ht="20.100000000000001" customHeight="1" x14ac:dyDescent="0.35">
      <c r="C64" s="603" t="s">
        <v>1065</v>
      </c>
      <c r="D64" s="223">
        <f>IF(K64=0,0,LAJES!B160)</f>
        <v>0</v>
      </c>
      <c r="E64" s="224"/>
      <c r="F64" s="224"/>
      <c r="G64" s="224"/>
      <c r="H64" s="224"/>
      <c r="I64" s="224"/>
      <c r="J64" s="230">
        <f>IF(K64=0,0,LAJES!E160&amp;" toneladas")</f>
        <v>0</v>
      </c>
      <c r="K64" s="1594">
        <f>LAJES!I160</f>
        <v>0</v>
      </c>
      <c r="L64" s="1595"/>
      <c r="M64" s="1595"/>
      <c r="N64" s="1596"/>
      <c r="O64" s="223" t="s">
        <v>46</v>
      </c>
      <c r="P64" s="229"/>
      <c r="Q64" s="1158">
        <f>IF(LAJES!E160=0,0,VLOOKUP(LAJES!E160,V56:Y63,4,0))</f>
        <v>0</v>
      </c>
      <c r="R64" s="226">
        <f t="shared" si="10"/>
        <v>0</v>
      </c>
      <c r="AB64" s="4"/>
      <c r="AC64" s="355">
        <f t="shared" si="8"/>
        <v>0</v>
      </c>
    </row>
    <row r="65" spans="1:29" ht="20.100000000000001" customHeight="1" thickBot="1" x14ac:dyDescent="0.4">
      <c r="A65" t="s">
        <v>1063</v>
      </c>
      <c r="B65" t="s">
        <v>994</v>
      </c>
      <c r="C65" s="603" t="s">
        <v>994</v>
      </c>
      <c r="D65" s="223">
        <f>IF(K65=0,0,CÁLCULOS!C283)</f>
        <v>0</v>
      </c>
      <c r="E65" s="224"/>
      <c r="F65" s="224"/>
      <c r="G65" s="224"/>
      <c r="H65" s="224"/>
      <c r="I65" s="224"/>
      <c r="J65" s="230">
        <f>IF(K65=0,0,CÁLCULOS!I283&amp;" toneladas")</f>
        <v>0</v>
      </c>
      <c r="K65" s="1594">
        <f>CÁLCULOS!L283</f>
        <v>0</v>
      </c>
      <c r="L65" s="1595"/>
      <c r="M65" s="1595"/>
      <c r="N65" s="1596"/>
      <c r="O65" s="223" t="str">
        <f>CÁLCULOS!M283</f>
        <v>dia</v>
      </c>
      <c r="P65" s="229"/>
      <c r="Q65" s="1158">
        <f ca="1">IF(CÁLCULOS!L279=0,0,VLOOKUP(CÁLCULOS!I279,V56:Y63,4,0))</f>
        <v>2220</v>
      </c>
      <c r="R65" s="226">
        <f t="shared" ca="1" si="10"/>
        <v>0</v>
      </c>
      <c r="AB65" s="4"/>
      <c r="AC65" s="355">
        <f t="shared" ca="1" si="8"/>
        <v>2220</v>
      </c>
    </row>
    <row r="66" spans="1:29" ht="20.100000000000001" customHeight="1" x14ac:dyDescent="0.35">
      <c r="B66" t="s">
        <v>996</v>
      </c>
      <c r="C66" s="603" t="s">
        <v>996</v>
      </c>
      <c r="D66" s="223">
        <f>IF(K66=0,0,CÁLCULOS!C284)</f>
        <v>0</v>
      </c>
      <c r="E66" s="224"/>
      <c r="F66" s="224"/>
      <c r="G66" s="224"/>
      <c r="H66" s="224"/>
      <c r="I66" s="224"/>
      <c r="J66" s="230">
        <f>IF(D66=0,0,CÁLCULOS!I284&amp;" toneladas")</f>
        <v>0</v>
      </c>
      <c r="K66" s="1594">
        <f>CÁLCULOS!L284</f>
        <v>0</v>
      </c>
      <c r="L66" s="1595"/>
      <c r="M66" s="1595"/>
      <c r="N66" s="1596"/>
      <c r="O66" s="223" t="str">
        <f>CÁLCULOS!M284</f>
        <v>dia</v>
      </c>
      <c r="P66" s="229"/>
      <c r="Q66" s="1158">
        <f>IF(CÁLCULOS!L280=0,0,VLOOKUP(CÁLCULOS!I280,V56:Y63,4,0))</f>
        <v>0</v>
      </c>
      <c r="R66" s="226">
        <f t="shared" si="10"/>
        <v>0</v>
      </c>
      <c r="V66" s="1628" t="s">
        <v>1066</v>
      </c>
      <c r="W66" s="1629"/>
      <c r="X66" s="174" t="s">
        <v>1067</v>
      </c>
      <c r="AB66" s="4"/>
      <c r="AC66" s="355">
        <f t="shared" si="8"/>
        <v>0</v>
      </c>
    </row>
    <row r="67" spans="1:29" ht="20.100000000000001" customHeight="1" x14ac:dyDescent="0.35">
      <c r="B67" t="s">
        <v>998</v>
      </c>
      <c r="C67" s="603" t="s">
        <v>998</v>
      </c>
      <c r="D67" s="227" t="s">
        <v>1068</v>
      </c>
      <c r="E67" s="228"/>
      <c r="F67" s="228"/>
      <c r="G67" s="228"/>
      <c r="H67" s="228"/>
      <c r="I67" s="228"/>
      <c r="J67" s="338">
        <v>2</v>
      </c>
      <c r="K67" s="1620">
        <f>IF(ENTRADAS!E15=0,0,IF(J67="X",0,IF(J67&gt;0,J67,1)))</f>
        <v>2</v>
      </c>
      <c r="L67" s="1621"/>
      <c r="M67" s="1621"/>
      <c r="N67" s="1622"/>
      <c r="O67" s="1643" t="s">
        <v>1069</v>
      </c>
      <c r="P67" s="1644"/>
      <c r="Q67" s="1641">
        <f>IF(ENTRADAS!I15=0,0,X67)</f>
        <v>10502</v>
      </c>
      <c r="R67" s="1634">
        <f t="shared" si="10"/>
        <v>21004</v>
      </c>
      <c r="V67" s="1630" t="str">
        <f>IF(ENTRADAS!E461=0,0,ENTRADAS!E461&amp;"-- "&amp;ENTRADAS!H461&amp;" ton --"&amp;ENTRADAS!I461&amp;" m")</f>
        <v>CARRETA ABERTA -- 25 ton --12,4 m</v>
      </c>
      <c r="W67" s="1631"/>
      <c r="X67" s="699">
        <f>(8900*1.18)</f>
        <v>10502</v>
      </c>
      <c r="AB67" s="4"/>
      <c r="AC67" s="355">
        <f t="shared" si="8"/>
        <v>10502</v>
      </c>
    </row>
    <row r="68" spans="1:29" ht="20.100000000000001" customHeight="1" x14ac:dyDescent="0.35">
      <c r="B68" t="s">
        <v>1000</v>
      </c>
      <c r="C68" s="603" t="s">
        <v>1000</v>
      </c>
      <c r="D68" s="231" t="s">
        <v>1070</v>
      </c>
      <c r="E68" s="55"/>
      <c r="F68" s="232"/>
      <c r="G68" s="55"/>
      <c r="H68" s="55"/>
      <c r="I68" s="1698"/>
      <c r="J68" s="1699"/>
      <c r="K68" s="1623"/>
      <c r="L68" s="1624"/>
      <c r="M68" s="1624"/>
      <c r="N68" s="1625"/>
      <c r="O68" s="1645"/>
      <c r="P68" s="1646"/>
      <c r="Q68" s="1642"/>
      <c r="R68" s="1635"/>
      <c r="V68" s="1630" t="str">
        <f>IF(ENTRADAS!E462=0,0,ENTRADAS!E462&amp;"-- "&amp;ENTRADAS!H462&amp;" ton --"&amp;ENTRADAS!I462&amp;" m")</f>
        <v>CARRETA LS-- 31 ton --12,4 m</v>
      </c>
      <c r="W68" s="1631"/>
      <c r="X68" s="699">
        <f>X67</f>
        <v>10502</v>
      </c>
      <c r="AB68" s="4"/>
      <c r="AC68" s="355">
        <f t="shared" si="8"/>
        <v>0</v>
      </c>
    </row>
    <row r="69" spans="1:29" ht="20.100000000000001" customHeight="1" x14ac:dyDescent="0.35">
      <c r="B69" t="s">
        <v>1002</v>
      </c>
      <c r="C69" s="603" t="s">
        <v>1002</v>
      </c>
      <c r="D69" s="227" t="str">
        <f ca="1">LAJES!B156</f>
        <v>FRETE p/ 1000 km com 0</v>
      </c>
      <c r="E69" s="228"/>
      <c r="F69" s="228"/>
      <c r="G69" s="228"/>
      <c r="H69" s="228"/>
      <c r="I69" s="228"/>
      <c r="J69" s="338"/>
      <c r="K69" s="1620">
        <f>IF(ENTRADAS!D912="X",IF(J69="X",0,IF(J69&gt;0,J69,LAJES!AJ165)),0)</f>
        <v>0</v>
      </c>
      <c r="L69" s="1621"/>
      <c r="M69" s="1621"/>
      <c r="N69" s="1622"/>
      <c r="O69" s="1643" t="s">
        <v>1071</v>
      </c>
      <c r="P69" s="1644"/>
      <c r="Q69" s="1641">
        <f ca="1">IF(LAJES!C166="X",X67,IF(LAJES!C169="X",X68,IF(LAJES!C172="X",X69,IF(LAJES!C175="X",X70,IF(LAJES!C178="X",X71,0)))))</f>
        <v>10502</v>
      </c>
      <c r="R69" s="1634">
        <f ca="1">K69*Q69</f>
        <v>0</v>
      </c>
      <c r="V69" s="1630" t="str">
        <f>IF(ENTRADAS!E463=0,0,ENTRADAS!E463&amp;"-- "&amp;ENTRADAS!H463&amp;" ton --"&amp;ENTRADAS!I463&amp;" m")</f>
        <v>CARRETA VANDERLEIA-- 25 ton --15 m</v>
      </c>
      <c r="W69" s="1631"/>
      <c r="X69" s="699"/>
      <c r="AB69" s="4"/>
      <c r="AC69" s="355">
        <f t="shared" ca="1" si="8"/>
        <v>10502</v>
      </c>
    </row>
    <row r="70" spans="1:29" ht="20.100000000000001" customHeight="1" x14ac:dyDescent="0.35">
      <c r="B70" t="s">
        <v>1004</v>
      </c>
      <c r="C70" s="603" t="s">
        <v>1004</v>
      </c>
      <c r="D70" s="231" t="str">
        <f ca="1">LAJES!B157</f>
        <v>CARGA com pré-moldadados entre lajes e pilares</v>
      </c>
      <c r="E70" s="336"/>
      <c r="F70" s="521"/>
      <c r="G70" s="336"/>
      <c r="H70" s="336"/>
      <c r="I70" s="1647" t="s">
        <v>1072</v>
      </c>
      <c r="J70" s="1648"/>
      <c r="K70" s="1623"/>
      <c r="L70" s="1624"/>
      <c r="M70" s="1624"/>
      <c r="N70" s="1625"/>
      <c r="O70" s="1645"/>
      <c r="P70" s="1646"/>
      <c r="Q70" s="1642"/>
      <c r="R70" s="1635"/>
      <c r="V70" s="1630" t="str">
        <f>IF(ENTRADAS!E464=0,0,ENTRADAS!E464&amp;"-- "&amp;ENTRADAS!H464&amp;" ton --"&amp;ENTRADAS!I464&amp;" m")</f>
        <v>CARRETA VANDERLEIA-- 31 ton --15 m</v>
      </c>
      <c r="W70" s="1631"/>
      <c r="X70" s="699"/>
      <c r="AB70" s="4"/>
      <c r="AC70" s="355">
        <f t="shared" si="8"/>
        <v>0</v>
      </c>
    </row>
    <row r="71" spans="1:29" ht="20.100000000000001" customHeight="1" thickBot="1" x14ac:dyDescent="0.4">
      <c r="B71" t="s">
        <v>1007</v>
      </c>
      <c r="C71" s="603" t="s">
        <v>1007</v>
      </c>
      <c r="D71" s="227" t="str">
        <f ca="1">LAJES!B158</f>
        <v>FRETE para 1000 km com 0</v>
      </c>
      <c r="E71" s="228"/>
      <c r="F71" s="228"/>
      <c r="G71" s="228"/>
      <c r="H71" s="228"/>
      <c r="I71" s="228"/>
      <c r="J71" s="338"/>
      <c r="K71" s="1620">
        <f>IF(ENTRADAS!D912="X",IF(J71="X",0,IF(J71&gt;0,J71,LAJES!I158)),0)</f>
        <v>0</v>
      </c>
      <c r="L71" s="1621"/>
      <c r="M71" s="1621"/>
      <c r="N71" s="1622"/>
      <c r="O71" s="1643" t="s">
        <v>1071</v>
      </c>
      <c r="P71" s="1644"/>
      <c r="Q71" s="1641">
        <f ca="1">IF(LAJES!C217="X",X67,IF(LAJES!C220="X",X68,IF(LAJES!C223="X",X69,IF(LAJES!C226="X",X70,IF(LAJES!C229="X",X71,0)))))</f>
        <v>10502</v>
      </c>
      <c r="R71" s="1634">
        <f ca="1">K71*Q71</f>
        <v>0</v>
      </c>
      <c r="V71" s="1639" t="str">
        <f>IF(ENTRADAS!E465=0,0,ENTRADAS!E465&amp;"-- "&amp;ENTRADAS!H465&amp;" ton --"&amp;ENTRADAS!I465&amp;" m")</f>
        <v>CARRETA VANDERLEIA-- 35 ton --15 m</v>
      </c>
      <c r="W71" s="1640"/>
      <c r="X71" s="744">
        <f>X68/3*4</f>
        <v>14002.666666666666</v>
      </c>
      <c r="AB71" s="4"/>
      <c r="AC71" s="355">
        <f t="shared" ca="1" si="8"/>
        <v>10502</v>
      </c>
    </row>
    <row r="72" spans="1:29" ht="20.100000000000001" customHeight="1" x14ac:dyDescent="0.35">
      <c r="B72" t="s">
        <v>1073</v>
      </c>
      <c r="C72" s="603" t="s">
        <v>1074</v>
      </c>
      <c r="D72" s="231" t="str">
        <f ca="1">LAJES!B159</f>
        <v>CARGA com  0  vigas</v>
      </c>
      <c r="E72" s="55"/>
      <c r="F72" s="232"/>
      <c r="G72" s="55"/>
      <c r="H72" s="55"/>
      <c r="I72" s="55"/>
      <c r="J72" s="339" t="s">
        <v>1075</v>
      </c>
      <c r="K72" s="1623"/>
      <c r="L72" s="1624"/>
      <c r="M72" s="1624"/>
      <c r="N72" s="1625"/>
      <c r="O72" s="1645"/>
      <c r="P72" s="1646"/>
      <c r="Q72" s="1642"/>
      <c r="R72" s="1635"/>
      <c r="S72"/>
      <c r="AB72" s="4"/>
      <c r="AC72" s="355">
        <f t="shared" si="8"/>
        <v>0</v>
      </c>
    </row>
    <row r="73" spans="1:29" ht="20.100000000000001" customHeight="1" x14ac:dyDescent="0.35">
      <c r="A73" t="s">
        <v>1069</v>
      </c>
      <c r="B73" t="s">
        <v>1076</v>
      </c>
      <c r="C73" s="603" t="s">
        <v>1076</v>
      </c>
      <c r="D73" s="227" t="str">
        <f ca="1">CÁLCULOS!C285</f>
        <v xml:space="preserve">FRETE para 1000 km com CARRETA LS  capac.= 31 ton </v>
      </c>
      <c r="E73" s="228"/>
      <c r="F73" s="228"/>
      <c r="G73" s="228"/>
      <c r="H73" s="228"/>
      <c r="I73" s="228"/>
      <c r="J73" s="338"/>
      <c r="K73" s="1620">
        <f ca="1">IF(J73="X",0,IF(J73&gt;0,J73,CÁLCULOS!L285))</f>
        <v>84</v>
      </c>
      <c r="L73" s="1621"/>
      <c r="M73" s="1621"/>
      <c r="N73" s="1622"/>
      <c r="O73" s="1643" t="str">
        <f>CÁLCULOS!M285</f>
        <v>unid.</v>
      </c>
      <c r="P73" s="1644"/>
      <c r="Q73" s="1641">
        <f ca="1">IF(CÁLCULOS!C176="X",X67,IF(CÁLCULOS!C179="X",X68,IF(CÁLCULOS!C182="X",X69,IF(CÁLCULOS!C185="X",X70,IF(CÁLCULOS!C188="X",X71,0)))))</f>
        <v>10502</v>
      </c>
      <c r="R73" s="1634">
        <f ca="1">K73*Q73</f>
        <v>882168</v>
      </c>
      <c r="S73" s="1649">
        <f>IF(ENTRADAS!D912=0,0,"estão sendo transportadas "&amp;LAJES!Y152&amp;" lajes  junto com os painéis de parede")</f>
        <v>0</v>
      </c>
      <c r="T73" s="1650"/>
      <c r="U73" s="1650"/>
      <c r="V73" s="1650"/>
      <c r="W73" s="1650"/>
      <c r="X73" s="1650"/>
      <c r="Y73" s="1650"/>
      <c r="Z73" s="1651"/>
      <c r="AB73" s="4"/>
      <c r="AC73" s="355">
        <f t="shared" ca="1" si="8"/>
        <v>10502</v>
      </c>
    </row>
    <row r="74" spans="1:29" ht="20.100000000000001" customHeight="1" x14ac:dyDescent="0.35">
      <c r="B74" t="s">
        <v>1077</v>
      </c>
      <c r="C74" s="603" t="s">
        <v>1077</v>
      </c>
      <c r="D74" s="231" t="str">
        <f ca="1">CÁLCULOS!C286</f>
        <v>CARGA c/ 3  painéis ( larg.= 2,40m // espess.= 0,25 m // comp.= 7,3 m )</v>
      </c>
      <c r="E74" s="55"/>
      <c r="F74" s="232"/>
      <c r="G74" s="55"/>
      <c r="H74" s="55"/>
      <c r="I74" s="55"/>
      <c r="J74" s="339" t="s">
        <v>1078</v>
      </c>
      <c r="K74" s="1623"/>
      <c r="L74" s="1624"/>
      <c r="M74" s="1624"/>
      <c r="N74" s="1625"/>
      <c r="O74" s="1700"/>
      <c r="P74" s="1701"/>
      <c r="Q74" s="1642"/>
      <c r="R74" s="1635"/>
      <c r="S74" s="1652"/>
      <c r="T74" s="1653"/>
      <c r="U74" s="1653"/>
      <c r="V74" s="1653"/>
      <c r="W74" s="1653"/>
      <c r="X74" s="1653"/>
      <c r="Y74" s="1653"/>
      <c r="Z74" s="1654"/>
      <c r="AB74" s="4"/>
      <c r="AC74" s="355">
        <f t="shared" si="8"/>
        <v>0</v>
      </c>
    </row>
    <row r="75" spans="1:29" ht="20.100000000000001" customHeight="1" x14ac:dyDescent="0.35">
      <c r="B75" t="s">
        <v>1079</v>
      </c>
      <c r="C75" s="603" t="s">
        <v>1079</v>
      </c>
      <c r="D75" s="295"/>
      <c r="E75" s="296"/>
      <c r="F75" s="296"/>
      <c r="G75" s="296"/>
      <c r="H75" s="296"/>
      <c r="I75" s="296"/>
      <c r="J75" s="296"/>
      <c r="K75" s="1677"/>
      <c r="L75" s="1678"/>
      <c r="M75" s="1678"/>
      <c r="N75" s="1679"/>
      <c r="O75" s="1677"/>
      <c r="P75" s="1679"/>
      <c r="Q75" s="1634"/>
      <c r="R75" s="1634">
        <f>K75*Q75</f>
        <v>0</v>
      </c>
      <c r="S75" s="1655"/>
      <c r="T75" s="1656"/>
      <c r="U75" s="1656"/>
      <c r="V75" s="1656"/>
      <c r="W75" s="1656"/>
      <c r="X75" s="1656"/>
      <c r="Y75" s="1656"/>
      <c r="Z75" s="1657"/>
      <c r="AB75" s="4"/>
      <c r="AC75" s="355">
        <f t="shared" si="8"/>
        <v>0</v>
      </c>
    </row>
    <row r="76" spans="1:29" ht="20.100000000000001" customHeight="1" x14ac:dyDescent="0.35">
      <c r="B76" t="s">
        <v>1080</v>
      </c>
      <c r="C76" s="603" t="s">
        <v>1080</v>
      </c>
      <c r="D76" s="1696" t="s">
        <v>1081</v>
      </c>
      <c r="E76" s="1697"/>
      <c r="F76" s="1697"/>
      <c r="G76" s="1697"/>
      <c r="H76" s="1697"/>
      <c r="I76" s="1697"/>
      <c r="J76" s="1697"/>
      <c r="K76" s="1680"/>
      <c r="L76" s="1681"/>
      <c r="M76" s="1681"/>
      <c r="N76" s="1682"/>
      <c r="O76" s="1680"/>
      <c r="P76" s="1682"/>
      <c r="Q76" s="1635"/>
      <c r="R76" s="1635"/>
      <c r="S76" s="1658"/>
      <c r="T76" s="1659"/>
      <c r="U76" s="1659"/>
      <c r="V76" s="1659"/>
      <c r="W76" s="1659"/>
      <c r="X76" s="1659"/>
      <c r="Y76" s="1659"/>
      <c r="Z76" s="1660"/>
      <c r="AB76" s="4"/>
      <c r="AC76" s="355">
        <f t="shared" si="8"/>
        <v>0</v>
      </c>
    </row>
    <row r="77" spans="1:29" ht="20.100000000000001" customHeight="1" x14ac:dyDescent="0.35">
      <c r="B77" t="s">
        <v>1082</v>
      </c>
      <c r="C77" s="603" t="s">
        <v>1082</v>
      </c>
      <c r="D77" s="741" t="str">
        <f ca="1">CÁLCULOS!C287</f>
        <v>PESO TOTAL TRANSPORTADO</v>
      </c>
      <c r="E77" s="50"/>
      <c r="F77" s="1162"/>
      <c r="G77" s="50"/>
      <c r="H77" s="1163"/>
      <c r="I77" s="1163"/>
      <c r="J77" s="50"/>
      <c r="K77" s="1609">
        <f ca="1">CÁLCULOS!L287+LAJES!AR126</f>
        <v>2177.2752964250517</v>
      </c>
      <c r="L77" s="1609"/>
      <c r="M77" s="1609"/>
      <c r="N77" s="1609"/>
      <c r="O77" s="48" t="str">
        <f>CÁLCULOS!M287</f>
        <v>ton</v>
      </c>
      <c r="P77" s="49"/>
      <c r="Q77" s="79"/>
      <c r="R77" s="78"/>
      <c r="AB77" s="4"/>
      <c r="AC77" s="355">
        <f t="shared" si="8"/>
        <v>0</v>
      </c>
    </row>
    <row r="78" spans="1:29" ht="20.100000000000001" customHeight="1" x14ac:dyDescent="0.35">
      <c r="D78" s="1164"/>
      <c r="E78" s="46"/>
      <c r="F78" s="1165"/>
      <c r="G78" s="46"/>
      <c r="H78" s="1164"/>
      <c r="I78" s="1164"/>
      <c r="J78" s="46"/>
      <c r="K78" s="1603" t="s">
        <v>1083</v>
      </c>
      <c r="L78" s="1603"/>
      <c r="M78" s="1603"/>
      <c r="N78" s="1603"/>
      <c r="O78" s="1603"/>
      <c r="P78" s="1619"/>
      <c r="Q78" s="1664">
        <f ca="1">SUM(R40:R77)</f>
        <v>1430226.1088</v>
      </c>
      <c r="R78" s="1665"/>
      <c r="AB78" s="4"/>
      <c r="AC78" s="355">
        <f t="shared" ca="1" si="8"/>
        <v>1430226.1088</v>
      </c>
    </row>
    <row r="79" spans="1:29" ht="20.100000000000001" customHeight="1" x14ac:dyDescent="0.35">
      <c r="D79" s="1163"/>
      <c r="E79" s="50"/>
      <c r="F79" s="1162"/>
      <c r="G79" s="50"/>
      <c r="H79" s="1163"/>
      <c r="I79" s="1163"/>
      <c r="J79" s="50"/>
      <c r="K79" s="50"/>
      <c r="L79" s="50"/>
      <c r="M79" s="50"/>
      <c r="N79" s="1166"/>
      <c r="O79" s="51"/>
      <c r="P79" s="51"/>
      <c r="Q79" s="1167"/>
      <c r="R79" s="1167"/>
      <c r="AB79" s="4"/>
      <c r="AC79" s="355">
        <f t="shared" si="8"/>
        <v>0</v>
      </c>
    </row>
    <row r="80" spans="1:29" ht="20.100000000000001" customHeight="1" x14ac:dyDescent="0.35">
      <c r="C80" s="1079" t="s">
        <v>1020</v>
      </c>
      <c r="D80" s="1470" t="str">
        <f>CÁLCULOS!C338</f>
        <v>CABEAMENTOS E TENSIONAMENTOS - MATERIAIS, FERRAM., EQUIPAM. e LOCAÇÕES</v>
      </c>
      <c r="E80" s="1470">
        <f>CÁLCULOS!D338</f>
        <v>0</v>
      </c>
      <c r="F80" s="1470">
        <f>CÁLCULOS!E338</f>
        <v>0</v>
      </c>
      <c r="G80" s="1470">
        <f>CÁLCULOS!F338</f>
        <v>0</v>
      </c>
      <c r="H80" s="1470">
        <f>CÁLCULOS!G338</f>
        <v>0</v>
      </c>
      <c r="I80" s="1470">
        <f>CÁLCULOS!H338</f>
        <v>0</v>
      </c>
      <c r="J80" s="1470">
        <f>CÁLCULOS!I338</f>
        <v>0</v>
      </c>
      <c r="K80" s="1606" t="s">
        <v>275</v>
      </c>
      <c r="L80" s="1607"/>
      <c r="M80" s="1607"/>
      <c r="N80" s="1608"/>
      <c r="O80" s="1606" t="s">
        <v>891</v>
      </c>
      <c r="P80" s="1608"/>
      <c r="Q80" s="1168" t="s">
        <v>1022</v>
      </c>
      <c r="R80" s="1168" t="s">
        <v>1023</v>
      </c>
      <c r="AB80" s="4"/>
      <c r="AC80" s="355" t="str">
        <f t="shared" si="8"/>
        <v>Preço unit.</v>
      </c>
    </row>
    <row r="81" spans="1:29" ht="20.100000000000001" customHeight="1" x14ac:dyDescent="0.35">
      <c r="A81" t="s">
        <v>1084</v>
      </c>
      <c r="B81" t="s">
        <v>1085</v>
      </c>
      <c r="C81" s="603" t="s">
        <v>1085</v>
      </c>
      <c r="D81" s="223" t="str">
        <f>IF(ENTRADAS!I15=0,CÁLCULOS!S338,IF(ENTRADAS!G66="X",IF(CÁLCULOS!S325=15.2,CÁLCULOS!C339,0),CÁLCULOS!C339))</f>
        <v>CORDOALHA 7 Fios Revestida e Engraxada ArcelorMittal  CP190 RB --</v>
      </c>
      <c r="E81" s="224"/>
      <c r="F81" s="224"/>
      <c r="G81" s="224"/>
      <c r="H81" s="224"/>
      <c r="I81" s="224"/>
      <c r="J81" s="230" t="str">
        <f>IF(ENTRADAS!I15=0,0,IF(ENTRADAS!G66="X",IF(CÁLCULOS!S325=15.2,CÁLCULOS!I339,0),CÁLCULOS!I339))</f>
        <v>15,2 mm</v>
      </c>
      <c r="K81" s="1594">
        <f ca="1">IF(ENTRADAS!G66="X",IF(CÁLCULOS!S325=15.2,CÁLCULOS!J339,0),CÁLCULOS!J339-CÁLCULOS!J339*V82)</f>
        <v>30427.488000000001</v>
      </c>
      <c r="L81" s="1595"/>
      <c r="M81" s="1595"/>
      <c r="N81" s="1596"/>
      <c r="O81" s="223" t="s">
        <v>64</v>
      </c>
      <c r="P81" s="225"/>
      <c r="Q81" s="698">
        <v>14.15</v>
      </c>
      <c r="R81" s="226">
        <f ca="1">K81*Q81</f>
        <v>430548.95520000003</v>
      </c>
      <c r="S81" s="625"/>
      <c r="V81" t="s">
        <v>1086</v>
      </c>
      <c r="AB81" s="4"/>
      <c r="AC81" s="355">
        <f t="shared" si="8"/>
        <v>14.15</v>
      </c>
    </row>
    <row r="82" spans="1:29" ht="20.100000000000001" customHeight="1" x14ac:dyDescent="0.35">
      <c r="B82" t="s">
        <v>1087</v>
      </c>
      <c r="C82" s="603" t="s">
        <v>1088</v>
      </c>
      <c r="D82" s="223">
        <f>IF(ENTRADAS!I15=0,CÁLCULOS!S339,IF(ENTRADAS!G66="X",IF(CÁLCULOS!S325=15.2,0,CÁLCULOS!C339),0))</f>
        <v>0</v>
      </c>
      <c r="E82" s="224"/>
      <c r="F82" s="224"/>
      <c r="G82" s="224"/>
      <c r="H82" s="224"/>
      <c r="I82" s="224"/>
      <c r="J82" s="606">
        <f>IF(ENTRADAS!I15=0,0,IF(ENTRADAS!G66="X",IF(CÁLCULOS!S325=15.2,0,CÁLCULOS!I339),0))</f>
        <v>0</v>
      </c>
      <c r="K82" s="1594">
        <f>IF(ENTRADAS!G66="X",IF(CÁLCULOS!S325=15.2,0,CÁLCULOS!J339),0)</f>
        <v>0</v>
      </c>
      <c r="L82" s="1595"/>
      <c r="M82" s="1595"/>
      <c r="N82" s="1596"/>
      <c r="O82" s="223" t="s">
        <v>64</v>
      </c>
      <c r="P82" s="225"/>
      <c r="Q82" s="735">
        <v>15</v>
      </c>
      <c r="R82" s="226">
        <f>K82*Q82</f>
        <v>0</v>
      </c>
      <c r="S82" s="625"/>
      <c r="V82" s="910"/>
      <c r="AB82" s="4"/>
      <c r="AC82" s="355">
        <f t="shared" si="8"/>
        <v>15</v>
      </c>
    </row>
    <row r="83" spans="1:29" ht="20.100000000000001" customHeight="1" x14ac:dyDescent="0.35">
      <c r="B83" t="s">
        <v>1089</v>
      </c>
      <c r="C83" s="603" t="s">
        <v>1089</v>
      </c>
      <c r="D83" s="727"/>
      <c r="E83" s="35" t="str">
        <f ca="1">IF(ENTRADAS!G66="X",IF(K81+K82=0,0,CÁLCULOS!F15*CÁLCULOS!H321*(CÁLCULOS!G44+CÁLCULOS!G46)&amp;" pedaços com  "&amp;(CÁLCULOS!G50*2.1+(CÁLCULOS!G44+CÁLCULOS!G46)*2.5*2)/(CÁLCULOS!G44+CÁLCULOS!G46)&amp;" m"),IF(K81=0,0,CÁLCULOS!F15*CÁLCULOS!H321*(CÁLCULOS!G44+CÁLCULOS!G46)&amp;" pedaços com  "&amp;(CÁLCULOS!G50*2.4+(CÁLCULOS!G44+CÁLCULOS!G46)*2.7*2)/(CÁLCULOS!G44+CÁLCULOS!G46)&amp;" m"))</f>
        <v>312 pedaços com  77,4 m</v>
      </c>
      <c r="F83" s="996"/>
      <c r="G83" s="54" t="str">
        <f ca="1">IF(ENTRADAS!$F$22=1,IF(E83=0,0,"para "&amp;ENTRADAS!$F$22&amp;" tanque"),IF(E83=0,0,"para "&amp;ENTRADAS!$F$22&amp;" tanques"))</f>
        <v>para 4 tanques</v>
      </c>
      <c r="H83" s="35"/>
      <c r="I83" s="35"/>
      <c r="J83" s="52"/>
      <c r="K83" s="1661"/>
      <c r="L83" s="1662"/>
      <c r="M83" s="1662"/>
      <c r="N83" s="1663"/>
      <c r="O83" s="44"/>
      <c r="P83" s="45"/>
      <c r="Q83" s="45"/>
      <c r="R83" s="78"/>
      <c r="AB83" s="4"/>
      <c r="AC83" s="355">
        <f t="shared" si="8"/>
        <v>0</v>
      </c>
    </row>
    <row r="84" spans="1:29" ht="20.100000000000001" customHeight="1" x14ac:dyDescent="0.35">
      <c r="B84" t="s">
        <v>1090</v>
      </c>
      <c r="C84" s="603" t="s">
        <v>1090</v>
      </c>
      <c r="D84" s="727"/>
      <c r="E84" s="35">
        <f>IF(ENTRADAS!G66="X",IF(CÁLCULOS!C301="X",0,16*(CÁLCULOS!G44+CÁLCULOS!G46)*ENTRADAS!F22&amp;" pedaços com  ")&amp;IF(CÁLCULOS!C301="X",0,(CÁLCULOS!I11+(2))&amp;" m"),IF(CÁLCULOS!C301="X",0,(20*(CÁLCULOS!G44+CÁLCULOS!G46)*ENTRADAS!F22&amp;" pedaços com  ")&amp;IF(CÁLCULOS!C301="X",0,(CÁLCULOS!I11+(2))&amp;" m")))</f>
        <v>0</v>
      </c>
      <c r="F84" s="35"/>
      <c r="G84" s="54"/>
      <c r="H84" s="35"/>
      <c r="I84" s="35"/>
      <c r="J84" s="52"/>
      <c r="K84" s="1661"/>
      <c r="L84" s="1662"/>
      <c r="M84" s="1662"/>
      <c r="N84" s="1663"/>
      <c r="O84" s="44"/>
      <c r="P84" s="45"/>
      <c r="Q84" s="45"/>
      <c r="R84" s="78"/>
      <c r="AB84" s="4"/>
      <c r="AC84" s="355">
        <f t="shared" ref="AC84:AC115" si="11">Q84</f>
        <v>0</v>
      </c>
    </row>
    <row r="85" spans="1:29" ht="20.100000000000001" customHeight="1" x14ac:dyDescent="0.35">
      <c r="A85" t="s">
        <v>1091</v>
      </c>
      <c r="B85" t="s">
        <v>1092</v>
      </c>
      <c r="C85" s="603" t="s">
        <v>1092</v>
      </c>
      <c r="D85" s="727" t="str">
        <f>CÁLCULOS!C340</f>
        <v xml:space="preserve">CABEÇA de ANCORAGEM TRIPLA - ASTM A 572-GR50 (160X80X50 mm) </v>
      </c>
      <c r="E85" s="35"/>
      <c r="F85" s="35"/>
      <c r="G85" s="35"/>
      <c r="H85" s="35"/>
      <c r="I85" s="35"/>
      <c r="J85" s="52"/>
      <c r="K85" s="1616">
        <f ca="1">CÁLCULOS!J340-CÁLCULOS!J340*V86</f>
        <v>208</v>
      </c>
      <c r="L85" s="1617"/>
      <c r="M85" s="1617"/>
      <c r="N85" s="1618"/>
      <c r="O85" s="44" t="str">
        <f>CÁLCULOS!K340</f>
        <v>unid.</v>
      </c>
      <c r="P85" s="45"/>
      <c r="Q85" s="736">
        <v>175</v>
      </c>
      <c r="R85" s="78">
        <f ca="1">K85*Q85</f>
        <v>36400</v>
      </c>
      <c r="V85" t="s">
        <v>1093</v>
      </c>
      <c r="AB85" s="4"/>
      <c r="AC85" s="355">
        <f t="shared" si="11"/>
        <v>175</v>
      </c>
    </row>
    <row r="86" spans="1:29" ht="20.100000000000001" customHeight="1" x14ac:dyDescent="0.35">
      <c r="A86" t="s">
        <v>1091</v>
      </c>
      <c r="B86" t="s">
        <v>1094</v>
      </c>
      <c r="C86" s="603" t="s">
        <v>1094</v>
      </c>
      <c r="D86" s="727" t="str">
        <f>CÁLCULOS!C341</f>
        <v>PLACA DE ANCORAGEM ( AÇO ) 80 x 80 x 20 mm  com 1 furos  15,2  mm</v>
      </c>
      <c r="E86" s="35"/>
      <c r="F86" s="35"/>
      <c r="G86" s="35"/>
      <c r="H86" s="35"/>
      <c r="I86" s="35"/>
      <c r="J86" s="52"/>
      <c r="K86" s="1616">
        <f ca="1">CÁLCULOS!J341</f>
        <v>0</v>
      </c>
      <c r="L86" s="1617"/>
      <c r="M86" s="1617"/>
      <c r="N86" s="1618"/>
      <c r="O86" s="44" t="str">
        <f>CÁLCULOS!K341</f>
        <v>unid.</v>
      </c>
      <c r="P86" s="45"/>
      <c r="Q86" s="736">
        <v>70</v>
      </c>
      <c r="R86" s="78">
        <f t="shared" ref="R86:R98" ca="1" si="12">K86*Q86</f>
        <v>0</v>
      </c>
      <c r="V86" s="910"/>
      <c r="AB86" s="4"/>
      <c r="AC86" s="355">
        <f t="shared" si="11"/>
        <v>70</v>
      </c>
    </row>
    <row r="87" spans="1:29" ht="20.100000000000001" customHeight="1" x14ac:dyDescent="0.35">
      <c r="A87" t="s">
        <v>1095</v>
      </c>
      <c r="B87" t="s">
        <v>1096</v>
      </c>
      <c r="C87" s="603" t="s">
        <v>1096</v>
      </c>
      <c r="D87" s="727" t="str">
        <f>CÁLCULOS!C342</f>
        <v>CUNHA DE ANCORAGEM PARA CABO  15,2  mm</v>
      </c>
      <c r="E87" s="35"/>
      <c r="F87" s="35"/>
      <c r="G87" s="35"/>
      <c r="H87" s="35"/>
      <c r="I87" s="35"/>
      <c r="J87" s="52"/>
      <c r="K87" s="1616">
        <f ca="1">CÁLCULOS!J342-CÁLCULOS!J342*V86</f>
        <v>624</v>
      </c>
      <c r="L87" s="1617"/>
      <c r="M87" s="1617"/>
      <c r="N87" s="1618"/>
      <c r="O87" s="44" t="str">
        <f>CÁLCULOS!K342</f>
        <v>unid.</v>
      </c>
      <c r="P87" s="45"/>
      <c r="Q87" s="736">
        <f>4*1.25*G12</f>
        <v>30.75</v>
      </c>
      <c r="R87" s="78">
        <f t="shared" ca="1" si="12"/>
        <v>19188</v>
      </c>
      <c r="AB87" s="4"/>
      <c r="AC87" s="355">
        <f t="shared" si="11"/>
        <v>30.75</v>
      </c>
    </row>
    <row r="88" spans="1:29" ht="20.100000000000001" customHeight="1" x14ac:dyDescent="0.35">
      <c r="A88" t="s">
        <v>1097</v>
      </c>
      <c r="B88" t="s">
        <v>1098</v>
      </c>
      <c r="C88" s="603" t="s">
        <v>1098</v>
      </c>
      <c r="D88" s="727" t="str">
        <f>CÁLCULOS!C343</f>
        <v>PORTA CUNHA ABERTA de ANCORAGEM para 1 CABO  15,2  mm</v>
      </c>
      <c r="E88" s="35"/>
      <c r="F88" s="35"/>
      <c r="G88" s="35"/>
      <c r="H88" s="35"/>
      <c r="I88" s="35"/>
      <c r="J88" s="52"/>
      <c r="K88" s="1616">
        <f ca="1">CÁLCULOS!J343</f>
        <v>0</v>
      </c>
      <c r="L88" s="1617"/>
      <c r="M88" s="1617"/>
      <c r="N88" s="1618"/>
      <c r="O88" s="44" t="str">
        <f>CÁLCULOS!K343</f>
        <v>unid.</v>
      </c>
      <c r="P88" s="45"/>
      <c r="Q88" s="736">
        <f>8*1.25*G12</f>
        <v>61.5</v>
      </c>
      <c r="R88" s="78">
        <f t="shared" ca="1" si="12"/>
        <v>0</v>
      </c>
      <c r="AB88" s="4"/>
      <c r="AC88" s="355">
        <f t="shared" si="11"/>
        <v>61.5</v>
      </c>
    </row>
    <row r="89" spans="1:29" ht="20.100000000000001" customHeight="1" x14ac:dyDescent="0.35">
      <c r="A89" t="s">
        <v>1099</v>
      </c>
      <c r="B89" t="s">
        <v>1100</v>
      </c>
      <c r="C89" s="603" t="s">
        <v>1100</v>
      </c>
      <c r="D89" s="727" t="str">
        <f>CÁLCULOS!C344</f>
        <v>TAMPA PLÁSTICA PARA ANCORAGEM TRIPLA</v>
      </c>
      <c r="E89" s="35"/>
      <c r="F89" s="35"/>
      <c r="G89" s="35"/>
      <c r="H89" s="35"/>
      <c r="I89" s="35"/>
      <c r="J89" s="52"/>
      <c r="K89" s="1616">
        <f ca="1">CÁLCULOS!J344-CÁLCULOS!J344*V86</f>
        <v>208</v>
      </c>
      <c r="L89" s="1617"/>
      <c r="M89" s="1617"/>
      <c r="N89" s="1618"/>
      <c r="O89" s="44" t="str">
        <f>CÁLCULOS!K344</f>
        <v>unid.</v>
      </c>
      <c r="P89" s="45"/>
      <c r="Q89" s="736">
        <v>14</v>
      </c>
      <c r="R89" s="78">
        <f t="shared" ca="1" si="12"/>
        <v>2912</v>
      </c>
      <c r="AB89" s="4"/>
      <c r="AC89" s="355">
        <f t="shared" si="11"/>
        <v>14</v>
      </c>
    </row>
    <row r="90" spans="1:29" ht="20.100000000000001" customHeight="1" x14ac:dyDescent="0.35">
      <c r="A90" t="s">
        <v>1099</v>
      </c>
      <c r="B90" t="s">
        <v>1101</v>
      </c>
      <c r="C90" s="603" t="s">
        <v>1101</v>
      </c>
      <c r="D90" s="727" t="str">
        <f>CÁLCULOS!C345</f>
        <v>TAMPA PLÁSTICA PARA ANCORAGEM SIMPLES</v>
      </c>
      <c r="E90" s="35"/>
      <c r="F90" s="35"/>
      <c r="G90" s="35"/>
      <c r="H90" s="35"/>
      <c r="I90" s="35"/>
      <c r="J90" s="52"/>
      <c r="K90" s="1616">
        <f ca="1">CÁLCULOS!J345</f>
        <v>0</v>
      </c>
      <c r="L90" s="1617"/>
      <c r="M90" s="1617"/>
      <c r="N90" s="1618"/>
      <c r="O90" s="44" t="str">
        <f>CÁLCULOS!K345</f>
        <v>unid.</v>
      </c>
      <c r="P90" s="45"/>
      <c r="Q90" s="736">
        <f>1.5*1.25*G12</f>
        <v>11.53125</v>
      </c>
      <c r="R90" s="78">
        <f t="shared" ca="1" si="12"/>
        <v>0</v>
      </c>
      <c r="AB90" s="4"/>
      <c r="AC90" s="355">
        <f t="shared" si="11"/>
        <v>11.53125</v>
      </c>
    </row>
    <row r="91" spans="1:29" ht="20.100000000000001" customHeight="1" x14ac:dyDescent="0.35">
      <c r="A91" t="s">
        <v>1102</v>
      </c>
      <c r="B91" t="s">
        <v>1103</v>
      </c>
      <c r="C91" s="603" t="s">
        <v>1103</v>
      </c>
      <c r="D91" s="727" t="str">
        <f>CÁLCULOS!C346</f>
        <v>SABONETE LÍQUIDO GEL  PH NEUTRO</v>
      </c>
      <c r="E91" s="35"/>
      <c r="F91" s="35"/>
      <c r="G91" s="35"/>
      <c r="H91" s="35"/>
      <c r="I91" s="35"/>
      <c r="J91" s="52"/>
      <c r="K91" s="1616">
        <f ca="1">CÁLCULOS!J346</f>
        <v>19</v>
      </c>
      <c r="L91" s="1617"/>
      <c r="M91" s="1617"/>
      <c r="N91" s="1618"/>
      <c r="O91" s="44" t="str">
        <f ca="1">CÁLCULOS!K346</f>
        <v>litros</v>
      </c>
      <c r="P91" s="45"/>
      <c r="Q91" s="736">
        <v>5</v>
      </c>
      <c r="R91" s="78">
        <f t="shared" ca="1" si="12"/>
        <v>95</v>
      </c>
      <c r="AB91" s="4"/>
      <c r="AC91" s="355">
        <f t="shared" si="11"/>
        <v>5</v>
      </c>
    </row>
    <row r="92" spans="1:29" ht="20.100000000000001" customHeight="1" x14ac:dyDescent="0.35">
      <c r="A92" t="s">
        <v>1104</v>
      </c>
      <c r="B92" t="s">
        <v>1105</v>
      </c>
      <c r="C92" s="603" t="s">
        <v>1105</v>
      </c>
      <c r="D92" s="727" t="str">
        <f>CÁLCULOS!C347</f>
        <v>TRAPOS</v>
      </c>
      <c r="E92" s="35"/>
      <c r="F92" s="35"/>
      <c r="G92" s="35"/>
      <c r="H92" s="35"/>
      <c r="I92" s="35"/>
      <c r="J92" s="52"/>
      <c r="K92" s="1616">
        <f ca="1">CÁLCULOS!J347</f>
        <v>48</v>
      </c>
      <c r="L92" s="1617"/>
      <c r="M92" s="1617"/>
      <c r="N92" s="1618"/>
      <c r="O92" s="44" t="str">
        <f>CÁLCULOS!K347</f>
        <v>kg</v>
      </c>
      <c r="P92" s="45"/>
      <c r="Q92" s="736">
        <v>6.5</v>
      </c>
      <c r="R92" s="78">
        <f t="shared" ca="1" si="12"/>
        <v>312</v>
      </c>
      <c r="AB92" s="4"/>
      <c r="AC92" s="355">
        <f t="shared" si="11"/>
        <v>6.5</v>
      </c>
    </row>
    <row r="93" spans="1:29" ht="20.100000000000001" customHeight="1" x14ac:dyDescent="0.35">
      <c r="A93" t="s">
        <v>1106</v>
      </c>
      <c r="B93" t="s">
        <v>1107</v>
      </c>
      <c r="C93" s="603" t="s">
        <v>1107</v>
      </c>
      <c r="D93" s="727" t="str">
        <f>CÁLCULOS!C348</f>
        <v>GRAXA</v>
      </c>
      <c r="E93" s="35"/>
      <c r="F93" s="35"/>
      <c r="G93" s="35"/>
      <c r="H93" s="35"/>
      <c r="I93" s="35"/>
      <c r="J93" s="52"/>
      <c r="K93" s="1616">
        <f ca="1">CÁLCULOS!J348</f>
        <v>26</v>
      </c>
      <c r="L93" s="1617"/>
      <c r="M93" s="1617"/>
      <c r="N93" s="1618"/>
      <c r="O93" s="44" t="str">
        <f>CÁLCULOS!K348</f>
        <v>kg</v>
      </c>
      <c r="P93" s="45"/>
      <c r="Q93" s="736">
        <v>15</v>
      </c>
      <c r="R93" s="78">
        <f t="shared" ca="1" si="12"/>
        <v>390</v>
      </c>
      <c r="AB93" s="4"/>
      <c r="AC93" s="355">
        <f t="shared" si="11"/>
        <v>15</v>
      </c>
    </row>
    <row r="94" spans="1:29" ht="20.100000000000001" customHeight="1" x14ac:dyDescent="0.35">
      <c r="A94" t="s">
        <v>1108</v>
      </c>
      <c r="B94" t="s">
        <v>1109</v>
      </c>
      <c r="C94" s="603" t="s">
        <v>1109</v>
      </c>
      <c r="D94" s="727" t="str">
        <f>CÁLCULOS!C349</f>
        <v>DISCO DE CORTE PARA AÇO 4 1/2" X 1/8" X 7/8" MARCA STANLEY</v>
      </c>
      <c r="E94" s="35"/>
      <c r="F94" s="35"/>
      <c r="G94" s="35"/>
      <c r="H94" s="35"/>
      <c r="I94" s="35"/>
      <c r="J94" s="52"/>
      <c r="K94" s="1616">
        <f ca="1">CÁLCULOS!J349</f>
        <v>208</v>
      </c>
      <c r="L94" s="1617"/>
      <c r="M94" s="1617"/>
      <c r="N94" s="1618"/>
      <c r="O94" s="44" t="str">
        <f>CÁLCULOS!K349</f>
        <v>unid.</v>
      </c>
      <c r="P94" s="45"/>
      <c r="Q94" s="736">
        <v>4</v>
      </c>
      <c r="R94" s="78">
        <f t="shared" ca="1" si="12"/>
        <v>832</v>
      </c>
      <c r="AB94" s="4"/>
      <c r="AC94" s="355">
        <f t="shared" si="11"/>
        <v>4</v>
      </c>
    </row>
    <row r="95" spans="1:29" ht="20.100000000000001" customHeight="1" x14ac:dyDescent="0.35">
      <c r="A95" t="s">
        <v>1110</v>
      </c>
      <c r="B95" t="s">
        <v>1111</v>
      </c>
      <c r="C95" s="603" t="s">
        <v>1111</v>
      </c>
      <c r="D95" s="727" t="str">
        <f>CÁLCULOS!C350</f>
        <v>LÂMINA DE SERRA</v>
      </c>
      <c r="E95" s="35"/>
      <c r="F95" s="35"/>
      <c r="G95" s="35"/>
      <c r="H95" s="35"/>
      <c r="I95" s="35"/>
      <c r="J95" s="52"/>
      <c r="K95" s="1616">
        <f ca="1">CÁLCULOS!J350</f>
        <v>16</v>
      </c>
      <c r="L95" s="1617"/>
      <c r="M95" s="1617"/>
      <c r="N95" s="1618"/>
      <c r="O95" s="44" t="str">
        <f>CÁLCULOS!K350</f>
        <v>unid.</v>
      </c>
      <c r="P95" s="45"/>
      <c r="Q95" s="736">
        <v>4.2</v>
      </c>
      <c r="R95" s="78">
        <f t="shared" ca="1" si="12"/>
        <v>67.2</v>
      </c>
      <c r="AB95" s="4"/>
      <c r="AC95" s="355">
        <f t="shared" si="11"/>
        <v>4.2</v>
      </c>
    </row>
    <row r="96" spans="1:29" ht="20.100000000000001" customHeight="1" x14ac:dyDescent="0.35">
      <c r="A96" t="s">
        <v>1112</v>
      </c>
      <c r="B96" t="s">
        <v>1113</v>
      </c>
      <c r="C96" s="603" t="s">
        <v>1113</v>
      </c>
      <c r="D96" s="727" t="str">
        <f>CÁLCULOS!C351</f>
        <v>CUNHAS DE MADEIRA 8 X 8 X 30 cm para estabilidade painéis junto à base</v>
      </c>
      <c r="E96" s="35"/>
      <c r="F96" s="35"/>
      <c r="G96" s="35"/>
      <c r="H96" s="35"/>
      <c r="I96" s="35"/>
      <c r="J96" s="52"/>
      <c r="K96" s="1616">
        <f ca="1">CÁLCULOS!J351</f>
        <v>126</v>
      </c>
      <c r="L96" s="1617"/>
      <c r="M96" s="1617"/>
      <c r="N96" s="1618"/>
      <c r="O96" s="44" t="str">
        <f>CÁLCULOS!K351</f>
        <v>unid.</v>
      </c>
      <c r="P96" s="45"/>
      <c r="Q96" s="736">
        <v>1.9</v>
      </c>
      <c r="R96" s="78">
        <f t="shared" ca="1" si="12"/>
        <v>239.39999999999998</v>
      </c>
      <c r="AB96" s="4"/>
      <c r="AC96" s="355">
        <f t="shared" si="11"/>
        <v>1.9</v>
      </c>
    </row>
    <row r="97" spans="1:29" ht="20.100000000000001" customHeight="1" x14ac:dyDescent="0.35">
      <c r="A97" t="s">
        <v>1114</v>
      </c>
      <c r="B97" t="s">
        <v>1115</v>
      </c>
      <c r="C97" s="603" t="s">
        <v>1115</v>
      </c>
      <c r="D97" s="727" t="str">
        <f ca="1">CÁLCULOS!C352</f>
        <v>ANDAIME Painel Fecho: 8  unid.  2,5 X 1,0 X H=8  m (pisos a c/ 2 m) vol= 168 m³ durante 107 dias</v>
      </c>
      <c r="E97" s="727"/>
      <c r="F97" s="727"/>
      <c r="G97" s="995"/>
      <c r="H97" s="995"/>
      <c r="I97" s="35"/>
      <c r="J97" s="52"/>
      <c r="K97" s="1616">
        <f ca="1">CÁLCULOS!J352+LAJES!I265</f>
        <v>143808</v>
      </c>
      <c r="L97" s="1617"/>
      <c r="M97" s="1617"/>
      <c r="N97" s="1618"/>
      <c r="O97" s="44" t="str">
        <f>CÁLCULOS!K352</f>
        <v>m³xdia</v>
      </c>
      <c r="P97" s="45"/>
      <c r="Q97" s="736">
        <v>0.13</v>
      </c>
      <c r="R97" s="78">
        <f t="shared" ca="1" si="12"/>
        <v>18695.04</v>
      </c>
      <c r="U97" s="647" t="s">
        <v>1050</v>
      </c>
      <c r="V97" s="7">
        <f ca="1">LAJES!I265*INSUMOS!Q97+LAJES!I266*INSUMOS!Q98</f>
        <v>0</v>
      </c>
      <c r="X97" s="7">
        <f ca="1">SUM(R81:R96)+CÁLCULOS!J352*Q97+CÁLCULOS!J353*Q98</f>
        <v>509679.59520000004</v>
      </c>
      <c r="Y97" s="627" t="s">
        <v>1050</v>
      </c>
      <c r="AB97" s="4"/>
      <c r="AC97" s="355">
        <f t="shared" si="11"/>
        <v>0.13</v>
      </c>
    </row>
    <row r="98" spans="1:29" ht="20.100000000000001" customHeight="1" x14ac:dyDescent="0.35">
      <c r="A98" t="s">
        <v>1116</v>
      </c>
      <c r="B98" t="s">
        <v>1117</v>
      </c>
      <c r="C98" s="603" t="s">
        <v>1117</v>
      </c>
      <c r="D98" s="727" t="str">
        <f ca="1">CÁLCULOS!C353</f>
        <v>ESCADA de ACESSO: 2 unid. de  2,5 X 4,0 X H=8,3 m int/ext /// vol.= 637,44 m³ durante 107 dias</v>
      </c>
      <c r="E98" s="995"/>
      <c r="F98" s="995"/>
      <c r="G98" s="995"/>
      <c r="H98" s="995"/>
      <c r="I98" s="995"/>
      <c r="J98" s="997"/>
      <c r="K98" s="1616">
        <f ca="1">CÁLCULOS!J353+LAJES!I266</f>
        <v>272824.32000000001</v>
      </c>
      <c r="L98" s="1617"/>
      <c r="M98" s="1617"/>
      <c r="N98" s="1618"/>
      <c r="O98" s="44" t="str">
        <f>CÁLCULOS!K353</f>
        <v>m³xdia</v>
      </c>
      <c r="P98" s="45"/>
      <c r="Q98" s="736"/>
      <c r="R98" s="78">
        <f t="shared" ca="1" si="12"/>
        <v>0</v>
      </c>
      <c r="AB98" s="4"/>
      <c r="AC98" s="355">
        <f t="shared" si="11"/>
        <v>0</v>
      </c>
    </row>
    <row r="99" spans="1:29" ht="20.100000000000001" customHeight="1" x14ac:dyDescent="0.35">
      <c r="D99" s="1164"/>
      <c r="E99" s="46"/>
      <c r="F99" s="1165"/>
      <c r="G99" s="46"/>
      <c r="H99" s="1164"/>
      <c r="I99" s="1164"/>
      <c r="J99" s="46"/>
      <c r="K99" s="1603" t="s">
        <v>1118</v>
      </c>
      <c r="L99" s="1603"/>
      <c r="M99" s="1603"/>
      <c r="N99" s="1603"/>
      <c r="O99" s="1603"/>
      <c r="P99" s="1619"/>
      <c r="Q99" s="1664">
        <f ca="1">SUM(R81:R98)</f>
        <v>509679.59520000004</v>
      </c>
      <c r="R99" s="1665"/>
      <c r="AB99" s="4"/>
      <c r="AC99" s="355">
        <f t="shared" ca="1" si="11"/>
        <v>509679.59520000004</v>
      </c>
    </row>
    <row r="100" spans="1:29" ht="20.100000000000001" customHeight="1" x14ac:dyDescent="0.35">
      <c r="D100" s="1163"/>
      <c r="E100" s="50"/>
      <c r="F100" s="1162"/>
      <c r="G100" s="50"/>
      <c r="H100" s="1163"/>
      <c r="I100" s="1163"/>
      <c r="J100" s="50"/>
      <c r="K100" s="50"/>
      <c r="L100" s="50"/>
      <c r="M100" s="50"/>
      <c r="N100" s="1166"/>
      <c r="O100" s="51"/>
      <c r="P100" s="51"/>
      <c r="Q100" s="1167"/>
      <c r="R100" s="1167"/>
      <c r="AB100" s="4"/>
      <c r="AC100" s="355">
        <f t="shared" si="11"/>
        <v>0</v>
      </c>
    </row>
    <row r="101" spans="1:29" ht="20.100000000000001" customHeight="1" x14ac:dyDescent="0.35">
      <c r="C101" s="1079" t="s">
        <v>1020</v>
      </c>
      <c r="D101" s="1470" t="str">
        <f>CÁLCULOS!C368</f>
        <v>SOLIDARIZAÇÃO - MATERIAIS, FERRAM., EQUIPAM. e LOCAÇÕES</v>
      </c>
      <c r="E101" s="1470">
        <f>CÁLCULOS!D368</f>
        <v>0</v>
      </c>
      <c r="F101" s="1470">
        <f>CÁLCULOS!E368</f>
        <v>0</v>
      </c>
      <c r="G101" s="1470">
        <f>CÁLCULOS!F368</f>
        <v>0</v>
      </c>
      <c r="H101" s="1470">
        <f>CÁLCULOS!G368</f>
        <v>0</v>
      </c>
      <c r="I101" s="1470">
        <f>CÁLCULOS!H368</f>
        <v>0</v>
      </c>
      <c r="J101" s="1470">
        <f>CÁLCULOS!I368</f>
        <v>0</v>
      </c>
      <c r="K101" s="1606" t="s">
        <v>275</v>
      </c>
      <c r="L101" s="1607"/>
      <c r="M101" s="1607"/>
      <c r="N101" s="1608"/>
      <c r="O101" s="1606" t="s">
        <v>891</v>
      </c>
      <c r="P101" s="1608"/>
      <c r="Q101" s="1168" t="s">
        <v>1022</v>
      </c>
      <c r="R101" s="1168" t="s">
        <v>1023</v>
      </c>
      <c r="AB101" s="4"/>
      <c r="AC101" s="355" t="str">
        <f t="shared" si="11"/>
        <v>Preço unit.</v>
      </c>
    </row>
    <row r="102" spans="1:29" ht="20.100000000000001" customHeight="1" x14ac:dyDescent="0.35">
      <c r="A102" t="s">
        <v>1119</v>
      </c>
      <c r="B102" t="s">
        <v>1120</v>
      </c>
      <c r="C102" s="499">
        <v>53</v>
      </c>
      <c r="D102" s="44" t="str">
        <f>CÁLCULOS!C369</f>
        <v>FORMA de MADEIRA e MADEIRITE h=</v>
      </c>
      <c r="E102" s="35"/>
      <c r="F102" s="35"/>
      <c r="G102" s="53" t="str">
        <f>CÁLCULOS!F369</f>
        <v>0,4 m ( incluir material e m.o.)</v>
      </c>
      <c r="H102" s="35"/>
      <c r="I102" s="35"/>
      <c r="J102" s="52"/>
      <c r="K102" s="1616">
        <f ca="1">CÁLCULOS!J369</f>
        <v>61.70367206828071</v>
      </c>
      <c r="L102" s="1617"/>
      <c r="M102" s="1617"/>
      <c r="N102" s="1618"/>
      <c r="O102" s="44" t="str">
        <f>CÁLCULOS!K369</f>
        <v>m²</v>
      </c>
      <c r="P102" s="45"/>
      <c r="Q102" s="736">
        <v>1000</v>
      </c>
      <c r="R102" s="78">
        <f>IF(ENTRADAS!J844&lt;&gt;0,0,K102*Q102)</f>
        <v>0</v>
      </c>
      <c r="AB102" s="4"/>
      <c r="AC102" s="355">
        <f t="shared" si="11"/>
        <v>1000</v>
      </c>
    </row>
    <row r="103" spans="1:29" ht="20.100000000000001" customHeight="1" x14ac:dyDescent="0.35">
      <c r="A103" t="s">
        <v>1121</v>
      </c>
      <c r="B103" t="s">
        <v>1122</v>
      </c>
      <c r="C103" s="499">
        <v>54</v>
      </c>
      <c r="D103" s="223" t="str">
        <f>CÁLCULOS!C370</f>
        <v>CONCRETO fck 40 Mpa  - slump ( 12 ± 2 cm ) --- somente material</v>
      </c>
      <c r="E103" s="224"/>
      <c r="F103" s="224"/>
      <c r="G103" s="224"/>
      <c r="H103" s="224"/>
      <c r="I103" s="224"/>
      <c r="J103" s="230"/>
      <c r="K103" s="1594">
        <f ca="1">CÁLCULOS!J370+LAJES!I269</f>
        <v>119</v>
      </c>
      <c r="L103" s="1595"/>
      <c r="M103" s="1595"/>
      <c r="N103" s="1596"/>
      <c r="O103" s="223" t="str">
        <f>CÁLCULOS!K370</f>
        <v>m³</v>
      </c>
      <c r="P103" s="225"/>
      <c r="Q103" s="698">
        <v>700</v>
      </c>
      <c r="R103" s="226">
        <f>IF(ENTRADAS!J844&lt;&gt;0,0,K103*Q103)</f>
        <v>0</v>
      </c>
      <c r="AB103" s="4"/>
      <c r="AC103" s="355">
        <f t="shared" si="11"/>
        <v>700</v>
      </c>
    </row>
    <row r="104" spans="1:29" ht="20.100000000000001" customHeight="1" x14ac:dyDescent="0.35">
      <c r="A104" t="s">
        <v>1123</v>
      </c>
      <c r="B104" t="s">
        <v>1124</v>
      </c>
      <c r="C104" s="499">
        <v>55</v>
      </c>
      <c r="D104" s="223" t="str">
        <f>CÁLCULOS!C371</f>
        <v>BOMBEAMENTO DE CONCRETO</v>
      </c>
      <c r="E104" s="224"/>
      <c r="F104" s="224"/>
      <c r="G104" s="224"/>
      <c r="H104" s="224"/>
      <c r="I104" s="224"/>
      <c r="J104" s="230"/>
      <c r="K104" s="1594">
        <f ca="1">CÁLCULOS!J371+LAJES!I269</f>
        <v>119</v>
      </c>
      <c r="L104" s="1595"/>
      <c r="M104" s="1595"/>
      <c r="N104" s="1596"/>
      <c r="O104" s="223" t="str">
        <f>CÁLCULOS!K371</f>
        <v>m³</v>
      </c>
      <c r="P104" s="225"/>
      <c r="Q104" s="698">
        <v>200</v>
      </c>
      <c r="R104" s="226">
        <f>IF(ENTRADAS!J844&lt;&gt;0,0,K104*Q104)</f>
        <v>0</v>
      </c>
      <c r="U104" s="647" t="s">
        <v>1050</v>
      </c>
      <c r="V104" s="32">
        <f ca="1">LAJES!I269*INSUMOS!Q103+LAJES!I269*INSUMOS!Q104</f>
        <v>0</v>
      </c>
      <c r="X104" s="7">
        <f ca="1">R102+CÁLCULOS!J370*Q103+CÁLCULOS!J371*Q104+R105+R106</f>
        <v>150770</v>
      </c>
      <c r="Y104" s="627" t="s">
        <v>1050</v>
      </c>
      <c r="AB104" s="4"/>
      <c r="AC104" s="355">
        <f t="shared" si="11"/>
        <v>200</v>
      </c>
    </row>
    <row r="105" spans="1:29" ht="20.100000000000001" customHeight="1" x14ac:dyDescent="0.35">
      <c r="A105" t="s">
        <v>1125</v>
      </c>
      <c r="B105" t="s">
        <v>1126</v>
      </c>
      <c r="C105" s="499">
        <v>56</v>
      </c>
      <c r="D105" s="727" t="str">
        <f>CÁLCULOS!C372</f>
        <v>SIKASWELL-S2 SELANTE HIDROEXPANSÍVEL ( embalagem 300 ml )</v>
      </c>
      <c r="E105" s="35"/>
      <c r="F105" s="35"/>
      <c r="G105" s="35"/>
      <c r="H105" s="35"/>
      <c r="I105" s="35"/>
      <c r="J105" s="52"/>
      <c r="K105" s="1616">
        <f ca="1">CÁLCULOS!J372</f>
        <v>298</v>
      </c>
      <c r="L105" s="1617"/>
      <c r="M105" s="1617"/>
      <c r="N105" s="1618"/>
      <c r="O105" s="44" t="str">
        <f>CÁLCULOS!K372</f>
        <v>unid.</v>
      </c>
      <c r="P105" s="45"/>
      <c r="Q105" s="736">
        <v>140</v>
      </c>
      <c r="R105" s="78">
        <f ca="1">K105*Q105</f>
        <v>41720</v>
      </c>
      <c r="AB105" s="4"/>
      <c r="AC105" s="355">
        <f t="shared" si="11"/>
        <v>140</v>
      </c>
    </row>
    <row r="106" spans="1:29" ht="20.100000000000001" customHeight="1" x14ac:dyDescent="0.35">
      <c r="A106" t="s">
        <v>1127</v>
      </c>
      <c r="B106" t="s">
        <v>1128</v>
      </c>
      <c r="C106" s="499">
        <v>57</v>
      </c>
      <c r="D106" s="727" t="str">
        <f>CÁLCULOS!C373</f>
        <v>MURAFAN 39 RESINA  DE ADERÊNCIA (embalagm de 18 KG )</v>
      </c>
      <c r="E106" s="35"/>
      <c r="F106" s="35"/>
      <c r="G106" s="35"/>
      <c r="H106" s="35"/>
      <c r="I106" s="35"/>
      <c r="J106" s="52"/>
      <c r="K106" s="1616">
        <f ca="1">CÁLCULOS!J373</f>
        <v>13</v>
      </c>
      <c r="L106" s="1617"/>
      <c r="M106" s="1617"/>
      <c r="N106" s="1618"/>
      <c r="O106" s="44" t="str">
        <f>CÁLCULOS!K373</f>
        <v>unid.</v>
      </c>
      <c r="P106" s="45"/>
      <c r="Q106" s="736">
        <v>150</v>
      </c>
      <c r="R106" s="78">
        <f ca="1">K106*Q106</f>
        <v>1950</v>
      </c>
      <c r="AB106" s="4"/>
      <c r="AC106" s="355">
        <f t="shared" si="11"/>
        <v>150</v>
      </c>
    </row>
    <row r="107" spans="1:29" ht="20.100000000000001" customHeight="1" x14ac:dyDescent="0.35">
      <c r="D107" s="1164"/>
      <c r="E107" s="46"/>
      <c r="F107" s="1165"/>
      <c r="G107" s="46"/>
      <c r="H107" s="1164"/>
      <c r="I107" s="1164"/>
      <c r="J107" s="46"/>
      <c r="K107" s="1603" t="s">
        <v>1129</v>
      </c>
      <c r="L107" s="1603"/>
      <c r="M107" s="1603"/>
      <c r="N107" s="1603"/>
      <c r="O107" s="1603"/>
      <c r="P107" s="1619"/>
      <c r="Q107" s="1664">
        <f ca="1">SUM(R102:R106)</f>
        <v>43670</v>
      </c>
      <c r="R107" s="1665"/>
      <c r="AB107" s="4"/>
      <c r="AC107" s="355">
        <f t="shared" ca="1" si="11"/>
        <v>43670</v>
      </c>
    </row>
    <row r="108" spans="1:29" ht="20.100000000000001" customHeight="1" x14ac:dyDescent="0.35">
      <c r="D108" s="1163"/>
      <c r="E108" s="50"/>
      <c r="F108" s="1162"/>
      <c r="G108" s="50"/>
      <c r="H108" s="1163"/>
      <c r="I108" s="1163"/>
      <c r="J108" s="50"/>
      <c r="K108" s="50"/>
      <c r="L108" s="50"/>
      <c r="M108" s="50"/>
      <c r="N108" s="1166"/>
      <c r="O108" s="51"/>
      <c r="P108" s="51"/>
      <c r="Q108" s="1167"/>
      <c r="R108" s="1167"/>
      <c r="AB108" s="4"/>
      <c r="AC108" s="355">
        <f t="shared" si="11"/>
        <v>0</v>
      </c>
    </row>
    <row r="109" spans="1:29" ht="20.100000000000001" customHeight="1" x14ac:dyDescent="0.35">
      <c r="D109" s="1470" t="str">
        <f>CÁLCULOS!C396</f>
        <v>INJEÇÃO E ACABAMENTOS - MATERIAIS, FERRAM., EQUIPAM. e LOCAÇÕES</v>
      </c>
      <c r="E109" s="1470">
        <f>CÁLCULOS!D396</f>
        <v>0</v>
      </c>
      <c r="F109" s="1470">
        <f>CÁLCULOS!E396</f>
        <v>0</v>
      </c>
      <c r="G109" s="1470">
        <f>CÁLCULOS!F396</f>
        <v>0</v>
      </c>
      <c r="H109" s="1470">
        <f>CÁLCULOS!G396</f>
        <v>0</v>
      </c>
      <c r="I109" s="1470">
        <f>CÁLCULOS!H396</f>
        <v>0</v>
      </c>
      <c r="J109" s="1470">
        <f>CÁLCULOS!I396</f>
        <v>0</v>
      </c>
      <c r="K109" s="1606" t="s">
        <v>275</v>
      </c>
      <c r="L109" s="1607"/>
      <c r="M109" s="1607"/>
      <c r="N109" s="1608"/>
      <c r="O109" s="1606" t="s">
        <v>891</v>
      </c>
      <c r="P109" s="1608"/>
      <c r="Q109" s="1168" t="s">
        <v>1022</v>
      </c>
      <c r="R109" s="1168" t="s">
        <v>1023</v>
      </c>
      <c r="AB109" s="4"/>
      <c r="AC109" s="355" t="str">
        <f t="shared" si="11"/>
        <v>Preço unit.</v>
      </c>
    </row>
    <row r="110" spans="1:29" ht="20.100000000000001" customHeight="1" x14ac:dyDescent="0.35">
      <c r="A110" t="s">
        <v>1130</v>
      </c>
      <c r="B110" t="s">
        <v>1131</v>
      </c>
      <c r="C110" s="499" t="s">
        <v>1131</v>
      </c>
      <c r="D110" s="727" t="str">
        <f>CÁLCULOS!C399</f>
        <v>VALVULA ESFERA GALVANIZADA 1 1/4"</v>
      </c>
      <c r="E110" s="35"/>
      <c r="F110" s="35"/>
      <c r="G110" s="35"/>
      <c r="H110" s="35"/>
      <c r="I110" s="35"/>
      <c r="J110" s="35"/>
      <c r="K110" s="1609">
        <f ca="1">CÁLCULOS!L399*0.6</f>
        <v>6.6</v>
      </c>
      <c r="L110" s="1609"/>
      <c r="M110" s="1609"/>
      <c r="N110" s="1609"/>
      <c r="O110" s="44" t="str">
        <f>CÁLCULOS!M399</f>
        <v>unid.</v>
      </c>
      <c r="P110" s="45"/>
      <c r="Q110" s="736">
        <v>85</v>
      </c>
      <c r="R110" s="78">
        <f t="shared" ref="R110:R117" ca="1" si="13">K110*Q110</f>
        <v>561</v>
      </c>
      <c r="AB110" s="4"/>
      <c r="AC110" s="355">
        <f t="shared" si="11"/>
        <v>85</v>
      </c>
    </row>
    <row r="111" spans="1:29" ht="20.100000000000001" customHeight="1" x14ac:dyDescent="0.35">
      <c r="A111" t="s">
        <v>1132</v>
      </c>
      <c r="B111" t="s">
        <v>1133</v>
      </c>
      <c r="C111" s="499" t="s">
        <v>1133</v>
      </c>
      <c r="D111" s="727" t="str">
        <f>CÁLCULOS!C400</f>
        <v>NIPLE DULO GALVANIZADO 1 1/4"</v>
      </c>
      <c r="E111" s="35"/>
      <c r="F111" s="35"/>
      <c r="G111" s="35"/>
      <c r="H111" s="35"/>
      <c r="I111" s="35"/>
      <c r="J111" s="35"/>
      <c r="K111" s="1609">
        <f ca="1">CÁLCULOS!L400*0.6</f>
        <v>6.6</v>
      </c>
      <c r="L111" s="1609"/>
      <c r="M111" s="1609"/>
      <c r="N111" s="1609"/>
      <c r="O111" s="44" t="str">
        <f>CÁLCULOS!M400</f>
        <v>unid.</v>
      </c>
      <c r="P111" s="45"/>
      <c r="Q111" s="736">
        <v>10</v>
      </c>
      <c r="R111" s="78">
        <f t="shared" ca="1" si="13"/>
        <v>66</v>
      </c>
      <c r="AB111" s="4"/>
      <c r="AC111" s="355">
        <f t="shared" si="11"/>
        <v>10</v>
      </c>
    </row>
    <row r="112" spans="1:29" ht="20.100000000000001" customHeight="1" x14ac:dyDescent="0.35">
      <c r="A112" t="s">
        <v>1134</v>
      </c>
      <c r="B112" t="s">
        <v>1135</v>
      </c>
      <c r="C112" s="499" t="s">
        <v>1135</v>
      </c>
      <c r="D112" s="727" t="str">
        <f>CÁLCULOS!C401</f>
        <v>TAMPÃO ( CAP ) GALVANIZADO 1 1/4"</v>
      </c>
      <c r="E112" s="35"/>
      <c r="F112" s="35"/>
      <c r="G112" s="35"/>
      <c r="H112" s="35"/>
      <c r="I112" s="35"/>
      <c r="J112" s="35"/>
      <c r="K112" s="1609">
        <f ca="1">CÁLCULOS!L401*0.6</f>
        <v>6.6</v>
      </c>
      <c r="L112" s="1609"/>
      <c r="M112" s="1609"/>
      <c r="N112" s="1609"/>
      <c r="O112" s="44" t="str">
        <f>CÁLCULOS!M401</f>
        <v>unid.</v>
      </c>
      <c r="P112" s="45"/>
      <c r="Q112" s="736">
        <v>13</v>
      </c>
      <c r="R112" s="78">
        <f t="shared" ca="1" si="13"/>
        <v>85.8</v>
      </c>
      <c r="AB112" s="4"/>
      <c r="AC112" s="355">
        <f t="shared" si="11"/>
        <v>13</v>
      </c>
    </row>
    <row r="113" spans="1:29" ht="20.100000000000001" customHeight="1" x14ac:dyDescent="0.35">
      <c r="A113" t="s">
        <v>1136</v>
      </c>
      <c r="B113" t="s">
        <v>1137</v>
      </c>
      <c r="C113" s="499" t="s">
        <v>1137</v>
      </c>
      <c r="D113" s="727" t="str">
        <f>CÁLCULOS!C402</f>
        <v>FITA TEFLON</v>
      </c>
      <c r="E113" s="35"/>
      <c r="F113" s="35"/>
      <c r="G113" s="35"/>
      <c r="H113" s="35"/>
      <c r="I113" s="35"/>
      <c r="J113" s="35"/>
      <c r="K113" s="1609">
        <f ca="1">CÁLCULOS!L402</f>
        <v>13</v>
      </c>
      <c r="L113" s="1609"/>
      <c r="M113" s="1609"/>
      <c r="N113" s="1609"/>
      <c r="O113" s="44" t="str">
        <f>CÁLCULOS!M402</f>
        <v>unid.</v>
      </c>
      <c r="P113" s="45"/>
      <c r="Q113" s="736">
        <v>3.5</v>
      </c>
      <c r="R113" s="78">
        <f t="shared" ca="1" si="13"/>
        <v>45.5</v>
      </c>
      <c r="AB113" s="4"/>
      <c r="AC113" s="355">
        <f t="shared" si="11"/>
        <v>3.5</v>
      </c>
    </row>
    <row r="114" spans="1:29" ht="20.100000000000001" customHeight="1" x14ac:dyDescent="0.35">
      <c r="A114" t="s">
        <v>1138</v>
      </c>
      <c r="B114" t="s">
        <v>1139</v>
      </c>
      <c r="C114" s="499" t="s">
        <v>1139</v>
      </c>
      <c r="D114" s="727" t="str">
        <f>CÁLCULOS!C403</f>
        <v>ARGAMASSA DE INJEÇÃO ( saco 25 kg )</v>
      </c>
      <c r="E114" s="35"/>
      <c r="F114" s="35"/>
      <c r="G114" s="35"/>
      <c r="H114" s="35"/>
      <c r="I114" s="35"/>
      <c r="J114" s="35"/>
      <c r="K114" s="1609">
        <f ca="1">CÁLCULOS!L403</f>
        <v>33018</v>
      </c>
      <c r="L114" s="1609"/>
      <c r="M114" s="1609"/>
      <c r="N114" s="1609"/>
      <c r="O114" s="44" t="str">
        <f>CÁLCULOS!M403</f>
        <v>kg</v>
      </c>
      <c r="P114" s="45"/>
      <c r="Q114" s="736">
        <v>4.4000000000000004</v>
      </c>
      <c r="R114" s="78">
        <f t="shared" ca="1" si="13"/>
        <v>145279.20000000001</v>
      </c>
      <c r="AB114" s="4"/>
      <c r="AC114" s="355">
        <f t="shared" si="11"/>
        <v>4.4000000000000004</v>
      </c>
    </row>
    <row r="115" spans="1:29" ht="20.100000000000001" customHeight="1" x14ac:dyDescent="0.35">
      <c r="B115" t="s">
        <v>1140</v>
      </c>
      <c r="C115" s="499" t="s">
        <v>1140</v>
      </c>
      <c r="D115" s="727" t="str">
        <f>LAJES!B270</f>
        <v>GROUT</v>
      </c>
      <c r="E115" s="35"/>
      <c r="F115" s="35"/>
      <c r="G115" s="35"/>
      <c r="H115" s="35"/>
      <c r="I115" s="35"/>
      <c r="J115" s="35"/>
      <c r="K115" s="1609">
        <f ca="1">LAJES!I270*2200</f>
        <v>0</v>
      </c>
      <c r="L115" s="1609"/>
      <c r="M115" s="1609"/>
      <c r="N115" s="1609"/>
      <c r="O115" s="727" t="s">
        <v>64</v>
      </c>
      <c r="P115" s="45"/>
      <c r="Q115" s="736">
        <v>1.8</v>
      </c>
      <c r="R115" s="78">
        <f t="shared" ca="1" si="13"/>
        <v>0</v>
      </c>
      <c r="U115" s="647" t="s">
        <v>1050</v>
      </c>
      <c r="V115" s="154">
        <f ca="1">INSUMOS!R115+Q116*LAJES!I268</f>
        <v>0</v>
      </c>
      <c r="X115" s="154">
        <f ca="1">SUM(R110:R114)+CÁLCULOS!L404*Q116+R117+R118</f>
        <v>161462.5</v>
      </c>
      <c r="Y115" s="627" t="s">
        <v>1050</v>
      </c>
      <c r="AB115" s="4"/>
      <c r="AC115" s="355">
        <f t="shared" si="11"/>
        <v>1.8</v>
      </c>
    </row>
    <row r="116" spans="1:29" ht="30.75" customHeight="1" x14ac:dyDescent="0.35">
      <c r="A116" t="s">
        <v>1141</v>
      </c>
      <c r="B116" t="s">
        <v>1142</v>
      </c>
      <c r="C116" s="499" t="s">
        <v>1142</v>
      </c>
      <c r="D116" s="727" t="str">
        <f>CÁLCULOS!C404</f>
        <v>SIKATOP SEAL 107   embalagem: caixa 18 kg  ( A + B )</v>
      </c>
      <c r="E116" s="35"/>
      <c r="F116" s="35"/>
      <c r="G116" s="35"/>
      <c r="H116" s="35"/>
      <c r="I116" s="35"/>
      <c r="J116" s="35"/>
      <c r="K116" s="1609">
        <f ca="1">CÁLCULOS!L404+LAJES!I268</f>
        <v>50</v>
      </c>
      <c r="L116" s="1609"/>
      <c r="M116" s="1609"/>
      <c r="N116" s="1609"/>
      <c r="O116" s="1702" t="str">
        <f>CÁLCULOS!M404</f>
        <v>caixa de 18kg</v>
      </c>
      <c r="P116" s="1703"/>
      <c r="Q116" s="736">
        <v>280</v>
      </c>
      <c r="R116" s="78">
        <f t="shared" ca="1" si="13"/>
        <v>14000</v>
      </c>
      <c r="AB116" s="4"/>
      <c r="AC116" s="355">
        <f t="shared" ref="AC116:AC147" si="14">Q116</f>
        <v>280</v>
      </c>
    </row>
    <row r="117" spans="1:29" ht="30.75" customHeight="1" x14ac:dyDescent="0.35">
      <c r="C117" s="499" t="s">
        <v>1143</v>
      </c>
      <c r="D117" s="727" t="str">
        <f>CÁLCULOS!C405</f>
        <v>SIKATOP ARMATEC 108 (embalagem CAIXA 4 KG A+B)</v>
      </c>
      <c r="E117" s="46"/>
      <c r="F117" s="46"/>
      <c r="G117" s="46"/>
      <c r="H117" s="46"/>
      <c r="I117" s="46"/>
      <c r="J117" s="46"/>
      <c r="K117" s="1609">
        <f ca="1">CÁLCULOS!L405+LAJES!I269</f>
        <v>1</v>
      </c>
      <c r="L117" s="1609"/>
      <c r="M117" s="1609"/>
      <c r="N117" s="1609"/>
      <c r="O117" s="1702" t="str">
        <f>CÁLCULOS!M405</f>
        <v>unid.</v>
      </c>
      <c r="P117" s="1703"/>
      <c r="Q117" s="806">
        <v>255</v>
      </c>
      <c r="R117" s="78">
        <f t="shared" ca="1" si="13"/>
        <v>255</v>
      </c>
      <c r="AB117" s="4"/>
      <c r="AC117" s="355">
        <f t="shared" si="14"/>
        <v>255</v>
      </c>
    </row>
    <row r="118" spans="1:29" ht="30.75" customHeight="1" x14ac:dyDescent="0.35">
      <c r="C118" s="499" t="s">
        <v>1144</v>
      </c>
      <c r="D118" s="727" t="str">
        <f>CÁLCULOS!C406</f>
        <v>SIKA MONOTOP - 622 ( saco com 25 kg )</v>
      </c>
      <c r="E118" s="46"/>
      <c r="F118" s="46"/>
      <c r="G118" s="46"/>
      <c r="H118" s="46"/>
      <c r="I118" s="46"/>
      <c r="J118" s="46"/>
      <c r="K118" s="1609">
        <f ca="1">CÁLCULOS!L406+LAJES!I270</f>
        <v>15</v>
      </c>
      <c r="L118" s="1609"/>
      <c r="M118" s="1609"/>
      <c r="N118" s="1609"/>
      <c r="O118" s="1702" t="str">
        <f>CÁLCULOS!M406</f>
        <v>sacos</v>
      </c>
      <c r="P118" s="1703"/>
      <c r="Q118" s="806">
        <v>78</v>
      </c>
      <c r="R118" s="78">
        <f t="shared" ref="R118" ca="1" si="15">K118*Q118</f>
        <v>1170</v>
      </c>
      <c r="AB118" s="4"/>
      <c r="AC118" s="355">
        <f t="shared" si="14"/>
        <v>78</v>
      </c>
    </row>
    <row r="119" spans="1:29" ht="20.100000000000001" customHeight="1" x14ac:dyDescent="0.35">
      <c r="D119" s="1164"/>
      <c r="E119" s="46"/>
      <c r="F119" s="1165"/>
      <c r="G119" s="46"/>
      <c r="H119" s="1164"/>
      <c r="I119" s="1164"/>
      <c r="J119" s="46"/>
      <c r="K119" s="1603" t="s">
        <v>1145</v>
      </c>
      <c r="L119" s="1603"/>
      <c r="M119" s="1603"/>
      <c r="N119" s="1603"/>
      <c r="O119" s="1603"/>
      <c r="P119" s="1619"/>
      <c r="Q119" s="1664">
        <f ca="1">SUM(R110:R118)</f>
        <v>161462.5</v>
      </c>
      <c r="R119" s="1665"/>
      <c r="AB119" s="4"/>
      <c r="AC119" s="355">
        <f t="shared" ca="1" si="14"/>
        <v>161462.5</v>
      </c>
    </row>
    <row r="120" spans="1:29" ht="20.100000000000001" customHeight="1" x14ac:dyDescent="0.35">
      <c r="D120" s="1163"/>
      <c r="E120" s="50"/>
      <c r="F120" s="1162"/>
      <c r="G120" s="50"/>
      <c r="H120" s="1163"/>
      <c r="I120" s="1163"/>
      <c r="J120" s="50"/>
      <c r="K120" s="50"/>
      <c r="L120" s="50"/>
      <c r="M120" s="50"/>
      <c r="N120" s="1166"/>
      <c r="O120" s="51"/>
      <c r="P120" s="51"/>
      <c r="Q120" s="1167"/>
      <c r="R120" s="1167"/>
      <c r="AB120" s="4"/>
      <c r="AC120" s="355">
        <f t="shared" si="14"/>
        <v>0</v>
      </c>
    </row>
    <row r="121" spans="1:29" ht="20.100000000000001" customHeight="1" x14ac:dyDescent="0.35">
      <c r="C121" s="1079" t="s">
        <v>1020</v>
      </c>
      <c r="D121" s="1470" t="str">
        <f>CÁLCULOS!C507</f>
        <v>MONTAGEM COMPLETA  ( TRANSPORTE PESSOAL  / REFEIÇÕES / ALOJAMENTOS   )</v>
      </c>
      <c r="E121" s="1470">
        <f>CÁLCULOS!D507</f>
        <v>0</v>
      </c>
      <c r="F121" s="1470">
        <f>CÁLCULOS!E507</f>
        <v>0</v>
      </c>
      <c r="G121" s="1470">
        <f>CÁLCULOS!F507</f>
        <v>0</v>
      </c>
      <c r="H121" s="1470">
        <f>CÁLCULOS!G507</f>
        <v>0</v>
      </c>
      <c r="I121" s="1470">
        <f>CÁLCULOS!H507</f>
        <v>0</v>
      </c>
      <c r="J121" s="1470">
        <f>CÁLCULOS!I507</f>
        <v>0</v>
      </c>
      <c r="K121" s="1606" t="s">
        <v>275</v>
      </c>
      <c r="L121" s="1607"/>
      <c r="M121" s="1607"/>
      <c r="N121" s="1608"/>
      <c r="O121" s="1324" t="s">
        <v>891</v>
      </c>
      <c r="P121" s="1326"/>
      <c r="Q121" s="1168" t="s">
        <v>1022</v>
      </c>
      <c r="R121" s="1168" t="s">
        <v>1023</v>
      </c>
      <c r="AB121" s="4"/>
      <c r="AC121" s="355" t="str">
        <f t="shared" si="14"/>
        <v>Preço unit.</v>
      </c>
    </row>
    <row r="122" spans="1:29" ht="20.100000000000001" customHeight="1" x14ac:dyDescent="0.35">
      <c r="B122" t="s">
        <v>1010</v>
      </c>
      <c r="C122" s="603" t="s">
        <v>1010</v>
      </c>
      <c r="D122" s="223" t="s">
        <v>1146</v>
      </c>
      <c r="E122" s="224"/>
      <c r="F122" s="224"/>
      <c r="G122" s="224"/>
      <c r="H122" s="224"/>
      <c r="I122" s="224"/>
      <c r="J122" s="224"/>
      <c r="K122" s="1636">
        <f>CÁLCULOS!N482</f>
        <v>0</v>
      </c>
      <c r="L122" s="1636"/>
      <c r="M122" s="1636"/>
      <c r="N122" s="1636"/>
      <c r="O122" s="223">
        <f>CÁLCULOS!O482</f>
        <v>0</v>
      </c>
      <c r="P122" s="225"/>
      <c r="Q122" s="698">
        <v>4.8</v>
      </c>
      <c r="R122" s="226">
        <f>K122*Q122</f>
        <v>0</v>
      </c>
      <c r="AB122" s="4"/>
      <c r="AC122" s="355">
        <f t="shared" si="14"/>
        <v>4.8</v>
      </c>
    </row>
    <row r="123" spans="1:29" ht="20.100000000000001" customHeight="1" x14ac:dyDescent="0.35">
      <c r="B123" t="s">
        <v>1013</v>
      </c>
      <c r="C123" s="603" t="s">
        <v>1013</v>
      </c>
      <c r="D123" s="227" t="s">
        <v>1147</v>
      </c>
      <c r="E123" s="228"/>
      <c r="F123" s="228"/>
      <c r="G123" s="228"/>
      <c r="H123" s="228"/>
      <c r="I123" s="228"/>
      <c r="J123" s="228"/>
      <c r="K123" s="1636">
        <f>CÁLCULOS!N484</f>
        <v>0</v>
      </c>
      <c r="L123" s="1636"/>
      <c r="M123" s="1636"/>
      <c r="N123" s="1636"/>
      <c r="O123" s="227">
        <f>CÁLCULOS!O484</f>
        <v>0</v>
      </c>
      <c r="P123" s="229"/>
      <c r="Q123" s="698">
        <v>180</v>
      </c>
      <c r="R123" s="226">
        <f>K123*Q123</f>
        <v>0</v>
      </c>
      <c r="AB123" s="4"/>
      <c r="AC123" s="355">
        <f t="shared" si="14"/>
        <v>180</v>
      </c>
    </row>
    <row r="124" spans="1:29" ht="20.100000000000001" customHeight="1" x14ac:dyDescent="0.35">
      <c r="A124" t="s">
        <v>1148</v>
      </c>
      <c r="B124" t="s">
        <v>979</v>
      </c>
      <c r="C124" s="603" t="s">
        <v>979</v>
      </c>
      <c r="D124" s="227" t="str">
        <f ca="1">IF(K124=0,0,CÁLCULOS!C508)</f>
        <v>VIAGEM DE CASA X ALOJAMENTO X CASA ( IDA E VOLTA )</v>
      </c>
      <c r="E124" s="228"/>
      <c r="F124" s="228"/>
      <c r="G124" s="228"/>
      <c r="H124" s="228"/>
      <c r="I124" s="228"/>
      <c r="J124" s="338"/>
      <c r="K124" s="1620">
        <f ca="1">IF(J124&lt;&gt;0,J124,CÁLCULOS!L508+LAJES!L384)</f>
        <v>18</v>
      </c>
      <c r="L124" s="1621"/>
      <c r="M124" s="1621"/>
      <c r="N124" s="1622"/>
      <c r="O124" s="1694" t="str">
        <f>CÁLCULOS!M508</f>
        <v>dias (sem</v>
      </c>
      <c r="P124" s="1695"/>
      <c r="Q124" s="1670">
        <v>2300</v>
      </c>
      <c r="R124" s="1634">
        <f ca="1">K124*Q124</f>
        <v>41400</v>
      </c>
      <c r="AB124" s="4"/>
      <c r="AC124" s="355">
        <f t="shared" si="14"/>
        <v>2300</v>
      </c>
    </row>
    <row r="125" spans="1:29" ht="20.100000000000001" customHeight="1" x14ac:dyDescent="0.35">
      <c r="A125" t="s">
        <v>1148</v>
      </c>
      <c r="B125" t="s">
        <v>1149</v>
      </c>
      <c r="C125" s="603" t="s">
        <v>1149</v>
      </c>
      <c r="D125" s="233" t="str">
        <f>IF(O124=0,0,CÁLCULOS!C509)</f>
        <v>Carro comum   ( viagem casa x alojamento x casa)     2   veículos</v>
      </c>
      <c r="E125" s="234"/>
      <c r="F125" s="235"/>
      <c r="G125" s="234"/>
      <c r="H125" s="234"/>
      <c r="I125" s="234" t="str">
        <f ca="1">CÁLCULOS!H509</f>
        <v>( percorrendo total= 8000 km)</v>
      </c>
      <c r="J125" s="234"/>
      <c r="K125" s="1623"/>
      <c r="L125" s="1624"/>
      <c r="M125" s="1624"/>
      <c r="N125" s="1625"/>
      <c r="O125" s="1672" t="str">
        <f>CÁLCULOS!M509</f>
        <v>descanso)</v>
      </c>
      <c r="P125" s="1673"/>
      <c r="Q125" s="1671"/>
      <c r="R125" s="1635"/>
      <c r="AB125" s="4"/>
      <c r="AC125" s="355">
        <f t="shared" si="14"/>
        <v>0</v>
      </c>
    </row>
    <row r="126" spans="1:29" ht="20.100000000000001" customHeight="1" x14ac:dyDescent="0.35">
      <c r="A126" t="s">
        <v>1150</v>
      </c>
      <c r="B126" t="s">
        <v>981</v>
      </c>
      <c r="C126" s="603" t="s">
        <v>981</v>
      </c>
      <c r="D126" s="227" t="str">
        <f>CÁLCULOS!C510</f>
        <v>Carro comum ( viagem alojam. x obra x alojam. )   2 carros</v>
      </c>
      <c r="E126" s="228"/>
      <c r="F126" s="228"/>
      <c r="G126" s="228"/>
      <c r="H126" s="228"/>
      <c r="I126" s="228"/>
      <c r="J126" s="338"/>
      <c r="K126" s="702"/>
      <c r="L126" s="1621">
        <f ca="1">IF(J126="X",0,IF(J126:J1228,J126,CÁLCULOS!L510+LAJES!L386))</f>
        <v>202</v>
      </c>
      <c r="M126" s="1621"/>
      <c r="N126" s="1622"/>
      <c r="O126" s="1690" t="str">
        <f>CÁLCULOS!M510</f>
        <v xml:space="preserve">dias </v>
      </c>
      <c r="P126" s="1691"/>
      <c r="Q126" s="1670">
        <v>180</v>
      </c>
      <c r="R126" s="1634">
        <f ca="1">L126*Q126</f>
        <v>36360</v>
      </c>
      <c r="AB126" s="4"/>
      <c r="AC126" s="355">
        <f t="shared" si="14"/>
        <v>180</v>
      </c>
    </row>
    <row r="127" spans="1:29" ht="20.100000000000001" customHeight="1" x14ac:dyDescent="0.35">
      <c r="B127" t="s">
        <v>1151</v>
      </c>
      <c r="C127" s="603" t="s">
        <v>1151</v>
      </c>
      <c r="D127" s="233" t="str">
        <f ca="1">CÁLCULOS!C511</f>
        <v xml:space="preserve">2 veículos fazem 75 viagens de ida com 20 km   e 75 viagens de volta 20 km </v>
      </c>
      <c r="E127" s="234"/>
      <c r="F127" s="235"/>
      <c r="G127" s="234"/>
      <c r="H127" s="234"/>
      <c r="I127" s="234">
        <f>CÁLCULOS!H511</f>
        <v>0</v>
      </c>
      <c r="J127" s="704"/>
      <c r="K127" s="703"/>
      <c r="L127" s="1624"/>
      <c r="M127" s="1624"/>
      <c r="N127" s="1625"/>
      <c r="O127" s="1692"/>
      <c r="P127" s="1693"/>
      <c r="Q127" s="1671"/>
      <c r="R127" s="1635"/>
      <c r="AB127" s="4"/>
      <c r="AC127" s="355">
        <f t="shared" si="14"/>
        <v>0</v>
      </c>
    </row>
    <row r="128" spans="1:29" ht="20.100000000000001" customHeight="1" x14ac:dyDescent="0.35">
      <c r="A128" t="s">
        <v>1152</v>
      </c>
      <c r="B128" t="s">
        <v>983</v>
      </c>
      <c r="C128" s="603" t="s">
        <v>983</v>
      </c>
      <c r="D128" s="223" t="str">
        <f>CÁLCULOS!C512</f>
        <v>REFEIÇÕES NA OBRA</v>
      </c>
      <c r="E128" s="224"/>
      <c r="F128" s="224"/>
      <c r="G128" s="224"/>
      <c r="H128" s="224"/>
      <c r="I128" s="352"/>
      <c r="J128" s="224"/>
      <c r="K128" s="1594">
        <f ca="1">CÁLCULOS!L512+LAJES!L388</f>
        <v>1054.0999999999999</v>
      </c>
      <c r="L128" s="1595"/>
      <c r="M128" s="1595"/>
      <c r="N128" s="1596"/>
      <c r="O128" s="223" t="str">
        <f>CÁLCULOS!M512</f>
        <v>unid.</v>
      </c>
      <c r="P128" s="225"/>
      <c r="Q128" s="698">
        <v>30</v>
      </c>
      <c r="R128" s="226">
        <f t="shared" ref="R128:R135" ca="1" si="16">K128*Q128</f>
        <v>31622.999999999996</v>
      </c>
      <c r="AB128" s="4"/>
      <c r="AC128" s="355">
        <f t="shared" si="14"/>
        <v>30</v>
      </c>
    </row>
    <row r="129" spans="1:29" ht="20.100000000000001" customHeight="1" x14ac:dyDescent="0.35">
      <c r="A129" t="s">
        <v>1152</v>
      </c>
      <c r="B129" t="s">
        <v>985</v>
      </c>
      <c r="C129" s="603" t="s">
        <v>985</v>
      </c>
      <c r="D129" s="223" t="str">
        <f>CÁLCULOS!C513</f>
        <v>REFEIÇÕES NO ALOJAMENTO</v>
      </c>
      <c r="E129" s="224"/>
      <c r="F129" s="224"/>
      <c r="G129" s="224"/>
      <c r="H129" s="224"/>
      <c r="I129" s="224"/>
      <c r="J129" s="224"/>
      <c r="K129" s="1594">
        <f ca="1">CÁLCULOS!L513+LAJES!L389</f>
        <v>1831</v>
      </c>
      <c r="L129" s="1595"/>
      <c r="M129" s="1595"/>
      <c r="N129" s="1596"/>
      <c r="O129" s="223" t="str">
        <f>CÁLCULOS!M513</f>
        <v>unid.</v>
      </c>
      <c r="P129" s="225"/>
      <c r="Q129" s="698">
        <v>35</v>
      </c>
      <c r="R129" s="226">
        <f t="shared" ca="1" si="16"/>
        <v>64085</v>
      </c>
      <c r="U129" s="647" t="s">
        <v>1050</v>
      </c>
      <c r="V129" s="154">
        <f ca="1">LAJES!L384*Q124+LAJES!L386*Q126+LAJES!L388*Q128+LAJES!L389*Q129+LAJES!L390*Q130+LAJES!L391*Q131+LAJES!L392*Q132+LAJES!L394*Q134+LAJES!L395*Q135</f>
        <v>0</v>
      </c>
      <c r="X129" s="154">
        <f ca="1">R122+R123+CÁLCULOS!L508*Q124+CÁLCULOS!L510*Q126+CÁLCULOS!L512*Q128+CÁLCULOS!L513*Q129+CÁLCULOS!L514*Q130+CÁLCULOS!L515*Q131+CÁLCULOS!L516*Q132+CÁLCULOS!L518*Q134+CÁLCULOS!L519*Q135</f>
        <v>258466.25</v>
      </c>
      <c r="Y129" s="627" t="s">
        <v>1050</v>
      </c>
      <c r="AB129" s="4"/>
      <c r="AC129" s="355">
        <f t="shared" si="14"/>
        <v>35</v>
      </c>
    </row>
    <row r="130" spans="1:29" ht="20.100000000000001" customHeight="1" x14ac:dyDescent="0.35">
      <c r="A130" t="s">
        <v>1152</v>
      </c>
      <c r="B130" t="s">
        <v>987</v>
      </c>
      <c r="C130" s="603" t="s">
        <v>987</v>
      </c>
      <c r="D130" s="223" t="str">
        <f>CÁLCULOS!C514</f>
        <v>REFEIÇÕES NA VIAGEM</v>
      </c>
      <c r="E130" s="224"/>
      <c r="F130" s="224"/>
      <c r="G130" s="224"/>
      <c r="H130" s="224"/>
      <c r="I130" s="224"/>
      <c r="J130" s="224"/>
      <c r="K130" s="1594">
        <f ca="1">CÁLCULOS!L514+LAJES!L390</f>
        <v>51</v>
      </c>
      <c r="L130" s="1595"/>
      <c r="M130" s="1595"/>
      <c r="N130" s="1596"/>
      <c r="O130" s="223" t="str">
        <f>CÁLCULOS!M514</f>
        <v>unid.</v>
      </c>
      <c r="P130" s="225"/>
      <c r="Q130" s="698">
        <v>35</v>
      </c>
      <c r="R130" s="226">
        <f t="shared" ca="1" si="16"/>
        <v>1785</v>
      </c>
      <c r="AB130" s="4"/>
      <c r="AC130" s="355">
        <f t="shared" si="14"/>
        <v>35</v>
      </c>
    </row>
    <row r="131" spans="1:29" ht="20.100000000000001" customHeight="1" x14ac:dyDescent="0.35">
      <c r="A131" t="s">
        <v>1153</v>
      </c>
      <c r="B131" t="s">
        <v>989</v>
      </c>
      <c r="C131" s="603" t="s">
        <v>989</v>
      </c>
      <c r="D131" s="223" t="str">
        <f>CÁLCULOS!C515</f>
        <v>CAFÉ DA MANHÃ NA OBRA</v>
      </c>
      <c r="E131" s="224"/>
      <c r="F131" s="224"/>
      <c r="G131" s="224"/>
      <c r="H131" s="224"/>
      <c r="I131" s="224"/>
      <c r="J131" s="224"/>
      <c r="K131" s="1594">
        <f ca="1">CÁLCULOS!L515+LAJES!L391</f>
        <v>1054.0999999999999</v>
      </c>
      <c r="L131" s="1595"/>
      <c r="M131" s="1595"/>
      <c r="N131" s="1596"/>
      <c r="O131" s="223" t="str">
        <f>CÁLCULOS!M515</f>
        <v>unid.</v>
      </c>
      <c r="P131" s="225"/>
      <c r="Q131" s="698">
        <v>7.5</v>
      </c>
      <c r="R131" s="226">
        <f t="shared" ca="1" si="16"/>
        <v>7905.7499999999991</v>
      </c>
      <c r="AB131" s="4"/>
      <c r="AC131" s="355">
        <f t="shared" si="14"/>
        <v>7.5</v>
      </c>
    </row>
    <row r="132" spans="1:29" ht="20.100000000000001" customHeight="1" x14ac:dyDescent="0.35">
      <c r="A132" t="s">
        <v>1153</v>
      </c>
      <c r="B132" t="s">
        <v>991</v>
      </c>
      <c r="C132" s="603" t="s">
        <v>991</v>
      </c>
      <c r="D132" s="223" t="str">
        <f>CÁLCULOS!C516</f>
        <v>CAFÉ DA MANHÃ NO ALOJAMENTO</v>
      </c>
      <c r="E132" s="224"/>
      <c r="F132" s="224"/>
      <c r="G132" s="224"/>
      <c r="H132" s="224"/>
      <c r="I132" s="224"/>
      <c r="J132" s="224"/>
      <c r="K132" s="1594">
        <f ca="1">CÁLCULOS!L516+LAJES!L392</f>
        <v>389</v>
      </c>
      <c r="L132" s="1595"/>
      <c r="M132" s="1595"/>
      <c r="N132" s="1596"/>
      <c r="O132" s="223" t="str">
        <f>CÁLCULOS!M516</f>
        <v>unid.</v>
      </c>
      <c r="P132" s="225"/>
      <c r="Q132" s="698">
        <v>7.5</v>
      </c>
      <c r="R132" s="226">
        <f t="shared" ca="1" si="16"/>
        <v>2917.5</v>
      </c>
      <c r="AB132" s="4"/>
      <c r="AC132" s="355">
        <f t="shared" si="14"/>
        <v>7.5</v>
      </c>
    </row>
    <row r="133" spans="1:29" ht="20.100000000000001" customHeight="1" x14ac:dyDescent="0.35">
      <c r="C133" s="603" t="s">
        <v>1154</v>
      </c>
      <c r="D133" s="223" t="str">
        <f>CÁLCULOS!C517</f>
        <v>TÍQUETE REFEIÇÃO</v>
      </c>
      <c r="E133" s="224"/>
      <c r="F133" s="224"/>
      <c r="G133" s="224"/>
      <c r="H133" s="224"/>
      <c r="I133" s="224"/>
      <c r="J133" s="224"/>
      <c r="K133" s="1594">
        <f ca="1">CÁLCULOS!L517+LAJES!L393</f>
        <v>1443.1</v>
      </c>
      <c r="L133" s="1595"/>
      <c r="M133" s="1595"/>
      <c r="N133" s="1596"/>
      <c r="O133" s="223" t="str">
        <f>CÁLCULOS!M517</f>
        <v>unid.</v>
      </c>
      <c r="P133" s="225"/>
      <c r="Q133" s="698">
        <v>41</v>
      </c>
      <c r="R133" s="226">
        <f t="shared" ca="1" si="16"/>
        <v>59167.1</v>
      </c>
      <c r="AB133" s="4"/>
      <c r="AC133" s="355">
        <f t="shared" si="14"/>
        <v>41</v>
      </c>
    </row>
    <row r="134" spans="1:29" ht="20.100000000000001" customHeight="1" x14ac:dyDescent="0.35">
      <c r="A134" t="s">
        <v>1155</v>
      </c>
      <c r="B134" t="s">
        <v>1156</v>
      </c>
      <c r="C134" s="603" t="s">
        <v>1156</v>
      </c>
      <c r="D134" s="223" t="str">
        <f>CÁLCULOS!C518</f>
        <v xml:space="preserve">ALOJAMENTO PARA </v>
      </c>
      <c r="E134" s="224"/>
      <c r="F134" s="236">
        <f>CÁLCULOS!E518</f>
        <v>12.7</v>
      </c>
      <c r="G134" s="224" t="str">
        <f>CÁLCULOS!F518</f>
        <v>PESSOAS</v>
      </c>
      <c r="H134" s="224"/>
      <c r="I134" s="224"/>
      <c r="J134" s="338"/>
      <c r="K134" s="1594">
        <f ca="1">IF(J134&lt;&gt;0,J134,CÁLCULOS!L518+LAJES!L394)</f>
        <v>114</v>
      </c>
      <c r="L134" s="1595"/>
      <c r="M134" s="1595"/>
      <c r="N134" s="1596"/>
      <c r="O134" s="223" t="str">
        <f>CÁLCULOS!M518</f>
        <v>dias</v>
      </c>
      <c r="P134" s="225"/>
      <c r="Q134" s="698">
        <f>F134*50</f>
        <v>635</v>
      </c>
      <c r="R134" s="226">
        <f t="shared" ca="1" si="16"/>
        <v>72390</v>
      </c>
      <c r="AB134" s="4"/>
      <c r="AC134" s="355">
        <f t="shared" si="14"/>
        <v>635</v>
      </c>
    </row>
    <row r="135" spans="1:29" ht="20.100000000000001" customHeight="1" x14ac:dyDescent="0.35">
      <c r="A135" t="s">
        <v>1157</v>
      </c>
      <c r="B135" t="s">
        <v>1158</v>
      </c>
      <c r="C135" s="603" t="s">
        <v>1158</v>
      </c>
      <c r="D135" s="223" t="str">
        <f>CÁLCULOS!C519</f>
        <v xml:space="preserve">ESTADIA NA VIAGEM </v>
      </c>
      <c r="E135" s="224"/>
      <c r="F135" s="236">
        <f>CÁLCULOS!E519</f>
        <v>0</v>
      </c>
      <c r="G135" s="224">
        <f>CÁLCULOS!F519</f>
        <v>0</v>
      </c>
      <c r="H135" s="224"/>
      <c r="I135" s="224"/>
      <c r="J135" s="224"/>
      <c r="K135" s="1594">
        <f ca="1">CÁLCULOS!L519+LAJES!L395</f>
        <v>0</v>
      </c>
      <c r="L135" s="1595"/>
      <c r="M135" s="1595"/>
      <c r="N135" s="1596"/>
      <c r="O135" s="223" t="str">
        <f>CÁLCULOS!M519</f>
        <v>pernoites</v>
      </c>
      <c r="P135" s="229"/>
      <c r="Q135" s="807">
        <v>130</v>
      </c>
      <c r="R135" s="226">
        <f t="shared" ca="1" si="16"/>
        <v>0</v>
      </c>
      <c r="AB135" s="4"/>
      <c r="AC135" s="355">
        <f t="shared" si="14"/>
        <v>130</v>
      </c>
    </row>
    <row r="136" spans="1:29" ht="20.100000000000001" customHeight="1" x14ac:dyDescent="0.35">
      <c r="C136" s="603" t="s">
        <v>1159</v>
      </c>
      <c r="D136" s="223" t="str">
        <f>CÁLCULOS!C520</f>
        <v>VALE TRANSPORTE LOCAL ( CONSIDERADO MESMO VALOR DA GRANDE VITÓRIA)</v>
      </c>
      <c r="E136" s="228"/>
      <c r="F136" s="710"/>
      <c r="G136" s="228"/>
      <c r="H136" s="228"/>
      <c r="I136" s="228"/>
      <c r="J136" s="228"/>
      <c r="K136" s="1594">
        <f>CÁLCULOS!L520+LAJES!L396</f>
        <v>0</v>
      </c>
      <c r="L136" s="1595"/>
      <c r="M136" s="1595"/>
      <c r="N136" s="1596"/>
      <c r="O136" s="223" t="str">
        <f>CÁLCULOS!M520</f>
        <v>unid.</v>
      </c>
      <c r="P136" s="229"/>
      <c r="Q136" s="807">
        <f>Q122</f>
        <v>4.8</v>
      </c>
      <c r="R136" s="226">
        <f>K136*Q136</f>
        <v>0</v>
      </c>
      <c r="AB136" s="4"/>
      <c r="AC136" s="355">
        <f t="shared" si="14"/>
        <v>4.8</v>
      </c>
    </row>
    <row r="137" spans="1:29" ht="19.5" customHeight="1" x14ac:dyDescent="0.35">
      <c r="D137" s="1164"/>
      <c r="E137" s="46"/>
      <c r="F137" s="1165"/>
      <c r="G137" s="46"/>
      <c r="H137" s="1164"/>
      <c r="I137" s="1164"/>
      <c r="J137" s="46"/>
      <c r="K137" s="1603" t="s">
        <v>1160</v>
      </c>
      <c r="L137" s="1603"/>
      <c r="M137" s="1603"/>
      <c r="N137" s="1603"/>
      <c r="O137" s="1603"/>
      <c r="P137" s="1619"/>
      <c r="Q137" s="1664">
        <f ca="1">SUM(R122:R136)</f>
        <v>317633.34999999998</v>
      </c>
      <c r="R137" s="1665"/>
      <c r="AB137" s="4"/>
      <c r="AC137" s="355">
        <f t="shared" ca="1" si="14"/>
        <v>317633.34999999998</v>
      </c>
    </row>
    <row r="138" spans="1:29" ht="20.100000000000001" customHeight="1" thickBot="1" x14ac:dyDescent="0.4">
      <c r="D138" s="55"/>
      <c r="E138" s="25"/>
      <c r="F138" s="1169"/>
      <c r="G138" s="25"/>
      <c r="H138" s="1010"/>
      <c r="I138" s="1010"/>
      <c r="J138" s="25"/>
      <c r="K138" s="25"/>
      <c r="L138" s="25"/>
      <c r="M138" s="25"/>
      <c r="N138" s="1133"/>
      <c r="O138" s="56"/>
      <c r="P138" s="56"/>
      <c r="Q138" s="1170"/>
      <c r="R138" s="1170"/>
      <c r="AB138" s="4"/>
      <c r="AC138" s="355">
        <f t="shared" si="14"/>
        <v>0</v>
      </c>
    </row>
    <row r="139" spans="1:29" ht="20.100000000000001" customHeight="1" x14ac:dyDescent="0.35">
      <c r="C139" s="1079" t="s">
        <v>1020</v>
      </c>
      <c r="D139" s="1470" t="s">
        <v>1161</v>
      </c>
      <c r="E139" s="1470">
        <f>CÁLCULOS!D605</f>
        <v>0</v>
      </c>
      <c r="F139" s="1470">
        <f>CÁLCULOS!E605</f>
        <v>0</v>
      </c>
      <c r="G139" s="1470">
        <f>CÁLCULOS!F605</f>
        <v>0</v>
      </c>
      <c r="H139" s="1470">
        <f>CÁLCULOS!G605</f>
        <v>0</v>
      </c>
      <c r="I139" s="1470">
        <f>CÁLCULOS!H605</f>
        <v>0</v>
      </c>
      <c r="J139" s="1470">
        <f>CÁLCULOS!I605</f>
        <v>0</v>
      </c>
      <c r="K139" s="1606" t="s">
        <v>275</v>
      </c>
      <c r="L139" s="1607"/>
      <c r="M139" s="1607"/>
      <c r="N139" s="1608"/>
      <c r="O139" s="1606" t="s">
        <v>891</v>
      </c>
      <c r="P139" s="1608"/>
      <c r="Q139" s="1168" t="s">
        <v>1022</v>
      </c>
      <c r="R139" s="1168" t="s">
        <v>1023</v>
      </c>
      <c r="V139" s="1157" t="s">
        <v>1162</v>
      </c>
      <c r="W139" s="172" t="s">
        <v>907</v>
      </c>
      <c r="X139" s="734"/>
      <c r="Y139" s="131"/>
      <c r="AB139" s="4"/>
      <c r="AC139" s="355" t="str">
        <f t="shared" si="14"/>
        <v>Preço unit.</v>
      </c>
    </row>
    <row r="140" spans="1:29" ht="20.100000000000001" customHeight="1" x14ac:dyDescent="0.35">
      <c r="A140" t="s">
        <v>1163</v>
      </c>
      <c r="B140" t="s">
        <v>1164</v>
      </c>
      <c r="C140" s="603" t="s">
        <v>1164</v>
      </c>
      <c r="D140" s="727" t="str">
        <f>CÁLCULOS!C606</f>
        <v>A- PINO PARA MONTAGEM ( no topo do painel ) -----------</v>
      </c>
      <c r="E140" s="35"/>
      <c r="F140" s="35"/>
      <c r="G140" s="35"/>
      <c r="H140" s="35" t="str">
        <f ca="1">CÁLCULOS!G606</f>
        <v>TIPO: TES 7,5 tf /300</v>
      </c>
      <c r="I140" s="35"/>
      <c r="J140" s="35" t="str">
        <f ca="1">CÁLCULOS!I606</f>
        <v>para PN</v>
      </c>
      <c r="K140" s="1616">
        <f ca="1">CÁLCULOS!L606</f>
        <v>480</v>
      </c>
      <c r="L140" s="1617"/>
      <c r="M140" s="1617"/>
      <c r="N140" s="1618"/>
      <c r="O140" s="44" t="str">
        <f>CÁLCULOS!M606</f>
        <v>unid.</v>
      </c>
      <c r="P140" s="45"/>
      <c r="Q140" s="181">
        <f ca="1">IF(H140=0,0,VLOOKUP(H140,V140:W143,2,0))</f>
        <v>73</v>
      </c>
      <c r="R140" s="78">
        <f t="shared" ref="R140:R155" ca="1" si="17">K140*Q140</f>
        <v>35040</v>
      </c>
      <c r="V140" s="722" t="str">
        <f>"TIPO: TES "&amp;5&amp;" tf /180"</f>
        <v>TIPO: TES 5 tf /180</v>
      </c>
      <c r="W140" s="752">
        <f>38.3+2</f>
        <v>40.299999999999997</v>
      </c>
      <c r="X140" s="734"/>
      <c r="Y140" s="131"/>
      <c r="AB140" s="4"/>
      <c r="AC140" s="355">
        <f t="shared" ca="1" si="14"/>
        <v>73</v>
      </c>
    </row>
    <row r="141" spans="1:29" ht="20.100000000000001" customHeight="1" x14ac:dyDescent="0.35">
      <c r="A141" t="s">
        <v>1163</v>
      </c>
      <c r="B141" t="s">
        <v>1165</v>
      </c>
      <c r="C141" s="603" t="s">
        <v>1165</v>
      </c>
      <c r="D141" s="727" t="str">
        <f>CÁLCULOS!C607</f>
        <v>B- PINO PARA MONTAGEM ( no topo do painel ) ---------</v>
      </c>
      <c r="E141" s="35"/>
      <c r="F141" s="35"/>
      <c r="G141" s="35"/>
      <c r="H141" s="35" t="str">
        <f ca="1">CÁLCULOS!G607</f>
        <v>TIPO: TES 10 tf /340</v>
      </c>
      <c r="I141" s="35"/>
      <c r="J141" s="35" t="str">
        <f ca="1">CÁLCULOS!I607</f>
        <v>para PF</v>
      </c>
      <c r="K141" s="1616">
        <f ca="1">CÁLCULOS!L607</f>
        <v>16</v>
      </c>
      <c r="L141" s="1617"/>
      <c r="M141" s="1617"/>
      <c r="N141" s="1618"/>
      <c r="O141" s="44" t="str">
        <f>CÁLCULOS!M607</f>
        <v>unid.</v>
      </c>
      <c r="P141" s="45"/>
      <c r="Q141" s="181">
        <f ca="1">IF(H141=0,0,VLOOKUP(H141,V140:W143,2,0))</f>
        <v>118</v>
      </c>
      <c r="R141" s="78">
        <f t="shared" ca="1" si="17"/>
        <v>1888</v>
      </c>
      <c r="V141" s="722" t="str">
        <f>"TIPO: TES "&amp;7.5&amp;" tf /300"</f>
        <v>TIPO: TES 7,5 tf /300</v>
      </c>
      <c r="W141" s="752">
        <f>(71)+2</f>
        <v>73</v>
      </c>
      <c r="X141" s="734"/>
      <c r="Y141" s="131"/>
      <c r="AB141" s="4"/>
      <c r="AC141" s="355">
        <f t="shared" ca="1" si="14"/>
        <v>118</v>
      </c>
    </row>
    <row r="142" spans="1:29" ht="20.100000000000001" customHeight="1" x14ac:dyDescent="0.35">
      <c r="A142" t="s">
        <v>1163</v>
      </c>
      <c r="B142" t="s">
        <v>1166</v>
      </c>
      <c r="C142" s="603" t="s">
        <v>1166</v>
      </c>
      <c r="D142" s="727" t="str">
        <f>CÁLCULOS!C608</f>
        <v>C- PINO PARA MOVIMENTAÇÃO ( na face do painel ) ---</v>
      </c>
      <c r="E142" s="35"/>
      <c r="F142" s="35"/>
      <c r="G142" s="35"/>
      <c r="H142" s="35" t="str">
        <f ca="1">CÁLCULOS!G608</f>
        <v>TIPO: TES 5 tf cb/125</v>
      </c>
      <c r="I142" s="35"/>
      <c r="J142" s="35" t="str">
        <f ca="1">CÁLCULOS!I608</f>
        <v xml:space="preserve">   para PN</v>
      </c>
      <c r="K142" s="1616">
        <f ca="1">CÁLCULOS!L608</f>
        <v>960</v>
      </c>
      <c r="L142" s="1617"/>
      <c r="M142" s="1617"/>
      <c r="N142" s="1618"/>
      <c r="O142" s="44" t="str">
        <f>CÁLCULOS!M608</f>
        <v>unid.</v>
      </c>
      <c r="P142" s="45"/>
      <c r="Q142" s="181">
        <f ca="1">IF(H142=0,0,VLOOKUP(H142,V148:W156,2,0))</f>
        <v>55</v>
      </c>
      <c r="R142" s="78">
        <f t="shared" ca="1" si="17"/>
        <v>52800</v>
      </c>
      <c r="V142" s="722" t="str">
        <f>"TIPO: TES "&amp;10&amp;" tf /340"</f>
        <v>TIPO: TES 10 tf /340</v>
      </c>
      <c r="W142" s="752">
        <f>(116)+2</f>
        <v>118</v>
      </c>
      <c r="X142" s="734"/>
      <c r="Y142" s="131"/>
      <c r="AB142" s="4"/>
      <c r="AC142" s="355">
        <f t="shared" ca="1" si="14"/>
        <v>55</v>
      </c>
    </row>
    <row r="143" spans="1:29" ht="20.100000000000001" customHeight="1" thickBot="1" x14ac:dyDescent="0.4">
      <c r="A143" t="s">
        <v>1163</v>
      </c>
      <c r="B143" t="s">
        <v>1167</v>
      </c>
      <c r="C143" s="603" t="s">
        <v>1167</v>
      </c>
      <c r="D143" s="727" t="str">
        <f>CÁLCULOS!C609</f>
        <v>D- PINO PARA MOVIMENTAÇÃO ( na face do painel ) ---</v>
      </c>
      <c r="E143" s="35"/>
      <c r="F143" s="35"/>
      <c r="G143" s="35"/>
      <c r="H143" s="35" t="str">
        <f ca="1">CÁLCULOS!G609</f>
        <v>TIPO: TES 7,5 tf cb/125</v>
      </c>
      <c r="I143" s="35"/>
      <c r="J143" s="35" t="str">
        <f ca="1">CÁLCULOS!I609</f>
        <v xml:space="preserve">    para PF</v>
      </c>
      <c r="K143" s="1616">
        <f ca="1">CÁLCULOS!L609</f>
        <v>32</v>
      </c>
      <c r="L143" s="1617"/>
      <c r="M143" s="1617"/>
      <c r="N143" s="1618"/>
      <c r="O143" s="44" t="str">
        <f>CÁLCULOS!M609</f>
        <v>unid.</v>
      </c>
      <c r="P143" s="45"/>
      <c r="Q143" s="181">
        <f ca="1">IF(H143=0,0,VLOOKUP(H143,V148:W156,2,0))</f>
        <v>79</v>
      </c>
      <c r="R143" s="78">
        <f t="shared" ca="1" si="17"/>
        <v>2528</v>
      </c>
      <c r="V143" s="723" t="str">
        <f>"TIPO: TES "&amp;15&amp;" tf /400"</f>
        <v>TIPO: TES 15 tf /400</v>
      </c>
      <c r="W143" s="753">
        <f>(201)+2</f>
        <v>203</v>
      </c>
      <c r="X143" s="734"/>
      <c r="Y143" s="131"/>
      <c r="AB143" s="4"/>
      <c r="AC143" s="355">
        <f t="shared" ca="1" si="14"/>
        <v>79</v>
      </c>
    </row>
    <row r="144" spans="1:29" ht="20.100000000000001" customHeight="1" x14ac:dyDescent="0.35">
      <c r="B144" t="s">
        <v>1168</v>
      </c>
      <c r="C144" s="603" t="s">
        <v>1168</v>
      </c>
      <c r="D144" s="727" t="str">
        <f>LAJES!B526</f>
        <v>PINO DE MOVIMENTAÇÃO  5  tf /125</v>
      </c>
      <c r="E144" s="35"/>
      <c r="F144" s="35"/>
      <c r="G144" s="995" t="s">
        <v>1169</v>
      </c>
      <c r="H144" s="35"/>
      <c r="I144" s="35"/>
      <c r="J144" s="35"/>
      <c r="K144" s="1616">
        <f ca="1">LAJES!I526</f>
        <v>0</v>
      </c>
      <c r="L144" s="1617"/>
      <c r="M144" s="1617"/>
      <c r="N144" s="1618"/>
      <c r="O144" s="727" t="s">
        <v>46</v>
      </c>
      <c r="P144" s="45"/>
      <c r="Q144" s="181">
        <f>W148</f>
        <v>34.06</v>
      </c>
      <c r="R144" s="78">
        <f t="shared" ca="1" si="17"/>
        <v>0</v>
      </c>
      <c r="V144" s="734"/>
      <c r="W144" s="734"/>
      <c r="X144" s="734"/>
      <c r="Y144" s="131"/>
      <c r="AB144" s="4"/>
      <c r="AC144" s="355">
        <f t="shared" si="14"/>
        <v>34.06</v>
      </c>
    </row>
    <row r="145" spans="1:29" ht="20.100000000000001" customHeight="1" x14ac:dyDescent="0.35">
      <c r="A145" t="s">
        <v>1170</v>
      </c>
      <c r="B145" t="s">
        <v>1171</v>
      </c>
      <c r="C145" s="603" t="s">
        <v>1171</v>
      </c>
      <c r="D145" s="727" t="str">
        <f ca="1">CÁLCULOS!C610</f>
        <v>LUVA de Nivelamento M30 x 70 ( no pé do painel ) -----------</v>
      </c>
      <c r="E145" s="35"/>
      <c r="F145" s="35"/>
      <c r="G145" s="35"/>
      <c r="H145" s="54">
        <f ca="1">IF(Y159="X",#REF!,CÁLCULOS!G610)</f>
        <v>6</v>
      </c>
      <c r="I145" s="35" t="str">
        <f ca="1">CÁLCULOS!H610</f>
        <v>ton p/ PN</v>
      </c>
      <c r="J145" s="281">
        <f ca="1">CÁLCULOS!J610</f>
        <v>6</v>
      </c>
      <c r="K145" s="1616">
        <f ca="1">CÁLCULOS!L610</f>
        <v>480</v>
      </c>
      <c r="L145" s="1617"/>
      <c r="M145" s="1617"/>
      <c r="N145" s="1618"/>
      <c r="O145" s="44" t="str">
        <f>CÁLCULOS!M610</f>
        <v>unid.</v>
      </c>
      <c r="P145" s="45"/>
      <c r="Q145" s="181">
        <f ca="1">IF(H145=0,0,VLOOKUP(J145,V158:W161,2,0))</f>
        <v>46</v>
      </c>
      <c r="R145" s="78">
        <f t="shared" ca="1" si="17"/>
        <v>22080</v>
      </c>
      <c r="U145" s="647" t="s">
        <v>1047</v>
      </c>
      <c r="V145" s="353">
        <f ca="1">R144+(IF(ENTRADAS!L1060=0,LAJES!I525*Q159,(LAJES!I525*Q159+LAJES!I525*J159*ENTRADAS!L1060/100)))+LAJES!I529*Q161+LAJES!I530*Q162+LAJES!I527*Q164+LAJES!I528*Q165</f>
        <v>0</v>
      </c>
      <c r="X145" s="154">
        <f ca="1">SUM(R140:R143)+SUM(R145:R158)+CÁLCULOS!L621*Q159+R160+CÁLCULOS!L623*Q161+CÁLCULOS!L624*Q162+R163+CÁLCULOS!L626*Q164+CÁLCULOS!L627*Q165+R166</f>
        <v>1778361.4352635946</v>
      </c>
      <c r="Y145" s="667" t="s">
        <v>1047</v>
      </c>
      <c r="Z145" s="355"/>
      <c r="AB145" s="4"/>
      <c r="AC145" s="355">
        <f t="shared" ca="1" si="14"/>
        <v>46</v>
      </c>
    </row>
    <row r="146" spans="1:29" ht="20.100000000000001" customHeight="1" thickBot="1" x14ac:dyDescent="0.4">
      <c r="A146" t="s">
        <v>1170</v>
      </c>
      <c r="B146" t="s">
        <v>1172</v>
      </c>
      <c r="C146" s="603" t="s">
        <v>1172</v>
      </c>
      <c r="D146" s="727" t="str">
        <f ca="1">CÁLCULOS!C611</f>
        <v>LUVA de Nivelamento M30 x 70 ( no pé do painel ) -----------</v>
      </c>
      <c r="E146" s="35"/>
      <c r="F146" s="35"/>
      <c r="G146" s="35"/>
      <c r="H146" s="54">
        <f ca="1">IF(Y160="X",V157,CÁLCULOS!G611)</f>
        <v>6</v>
      </c>
      <c r="I146" s="35" t="str">
        <f ca="1">CÁLCULOS!H611</f>
        <v>ton p/ PF</v>
      </c>
      <c r="J146" s="281">
        <f ca="1">CÁLCULOS!J611</f>
        <v>6</v>
      </c>
      <c r="K146" s="1616">
        <f>CÁLCULOS!L611</f>
        <v>16</v>
      </c>
      <c r="L146" s="1617"/>
      <c r="M146" s="1617"/>
      <c r="N146" s="1618"/>
      <c r="O146" s="44" t="str">
        <f>CÁLCULOS!M611</f>
        <v>unid.</v>
      </c>
      <c r="P146" s="45"/>
      <c r="Q146" s="181">
        <f ca="1">IF(H146=0,0,VLOOKUP(J146,V158:W161,2,0))</f>
        <v>46</v>
      </c>
      <c r="R146" s="78">
        <f t="shared" ca="1" si="17"/>
        <v>736</v>
      </c>
      <c r="V146" s="734"/>
      <c r="W146" s="734"/>
      <c r="X146" s="734"/>
      <c r="Y146" s="131"/>
      <c r="AB146" s="4"/>
      <c r="AC146" s="355">
        <f t="shared" ca="1" si="14"/>
        <v>46</v>
      </c>
    </row>
    <row r="147" spans="1:29" ht="20.100000000000001" customHeight="1" x14ac:dyDescent="0.35">
      <c r="A147" t="s">
        <v>1173</v>
      </c>
      <c r="B147" t="s">
        <v>1174</v>
      </c>
      <c r="C147" s="603" t="s">
        <v>1174</v>
      </c>
      <c r="D147" s="727" t="str">
        <f>CÁLCULOS!C612</f>
        <v>LUVA para flutuadores TSB-M12 x 50</v>
      </c>
      <c r="E147" s="35"/>
      <c r="F147" s="35"/>
      <c r="G147" s="35"/>
      <c r="H147" s="35"/>
      <c r="I147" s="35"/>
      <c r="J147" s="35"/>
      <c r="K147" s="1616">
        <f ca="1">CÁLCULOS!L612</f>
        <v>496</v>
      </c>
      <c r="L147" s="1617"/>
      <c r="M147" s="1617"/>
      <c r="N147" s="1618"/>
      <c r="O147" s="44" t="str">
        <f>CÁLCULOS!M612</f>
        <v>unid.</v>
      </c>
      <c r="P147" s="45"/>
      <c r="Q147" s="736">
        <v>12.7</v>
      </c>
      <c r="R147" s="78">
        <f t="shared" ca="1" si="17"/>
        <v>6299.2</v>
      </c>
      <c r="V147" s="1157" t="s">
        <v>1175</v>
      </c>
      <c r="W147" s="174" t="s">
        <v>907</v>
      </c>
      <c r="X147" s="734"/>
      <c r="Y147" s="131"/>
      <c r="AB147" s="4"/>
      <c r="AC147" s="355">
        <f t="shared" si="14"/>
        <v>12.7</v>
      </c>
    </row>
    <row r="148" spans="1:29" ht="20.100000000000001" customHeight="1" x14ac:dyDescent="0.35">
      <c r="A148" t="s">
        <v>1176</v>
      </c>
      <c r="B148" t="s">
        <v>1177</v>
      </c>
      <c r="C148" s="603" t="s">
        <v>1177</v>
      </c>
      <c r="D148" s="727" t="str">
        <f ca="1">CÁLCULOS!C613</f>
        <v>LUVA p/ escora  TSB-M16 x 100</v>
      </c>
      <c r="E148" s="35"/>
      <c r="F148" s="35"/>
      <c r="G148" s="35"/>
      <c r="H148" s="35"/>
      <c r="I148" s="35"/>
      <c r="J148" s="35"/>
      <c r="K148" s="1616">
        <f ca="1">CÁLCULOS!L613</f>
        <v>496</v>
      </c>
      <c r="L148" s="1617"/>
      <c r="M148" s="1617"/>
      <c r="N148" s="1618"/>
      <c r="O148" s="44" t="str">
        <f>CÁLCULOS!M613</f>
        <v>unid.</v>
      </c>
      <c r="P148" s="45"/>
      <c r="Q148" s="181">
        <f ca="1">IF(D148="LUVA p/ escora  TSB-M16 x 80",W163,IF(D148="LUVA p/ escora  TSB-M16 x 100",W164,0))</f>
        <v>30</v>
      </c>
      <c r="R148" s="78">
        <f t="shared" ca="1" si="17"/>
        <v>14880</v>
      </c>
      <c r="V148" s="724" t="str">
        <f>"TIPO: TES "&amp;5&amp;" tf /125"</f>
        <v>TIPO: TES 5 tf /125</v>
      </c>
      <c r="W148" s="752">
        <f>32.06+2</f>
        <v>34.06</v>
      </c>
      <c r="X148" s="734"/>
      <c r="Y148" s="131"/>
      <c r="AB148" s="4"/>
      <c r="AC148" s="355">
        <f t="shared" ref="AC148:AC176" ca="1" si="18">Q148</f>
        <v>30</v>
      </c>
    </row>
    <row r="149" spans="1:29" ht="20.100000000000001" customHeight="1" x14ac:dyDescent="0.35">
      <c r="A149" t="s">
        <v>1178</v>
      </c>
      <c r="B149" t="s">
        <v>1179</v>
      </c>
      <c r="C149" s="603" t="s">
        <v>1179</v>
      </c>
      <c r="D149" s="727" t="str">
        <f>CÁLCULOS!C614</f>
        <v xml:space="preserve">CURVA 90° GALVANIZADA 1 1/4" </v>
      </c>
      <c r="E149" s="35"/>
      <c r="F149" s="35"/>
      <c r="G149" s="35"/>
      <c r="H149" s="35"/>
      <c r="I149" s="35"/>
      <c r="J149" s="35"/>
      <c r="K149" s="1616">
        <f ca="1">CÁLCULOS!L614</f>
        <v>248</v>
      </c>
      <c r="L149" s="1617"/>
      <c r="M149" s="1617"/>
      <c r="N149" s="1618"/>
      <c r="O149" s="44" t="str">
        <f>CÁLCULOS!M614</f>
        <v>unid.</v>
      </c>
      <c r="P149" s="45"/>
      <c r="Q149" s="1171">
        <v>30</v>
      </c>
      <c r="R149" s="78">
        <f t="shared" ca="1" si="17"/>
        <v>7440</v>
      </c>
      <c r="V149" s="724" t="str">
        <f>"TIPO: TES "&amp;5&amp;" tf cb/125"</f>
        <v>TIPO: TES 5 tf cb/125</v>
      </c>
      <c r="W149" s="752">
        <v>55</v>
      </c>
      <c r="X149" s="734"/>
      <c r="Y149" s="131"/>
      <c r="AB149" s="4"/>
      <c r="AC149" s="355">
        <f t="shared" si="18"/>
        <v>30</v>
      </c>
    </row>
    <row r="150" spans="1:29" ht="20.100000000000001" customHeight="1" x14ac:dyDescent="0.35">
      <c r="A150" t="s">
        <v>1180</v>
      </c>
      <c r="B150" t="s">
        <v>1181</v>
      </c>
      <c r="C150" s="603" t="s">
        <v>1181</v>
      </c>
      <c r="D150" s="727" t="str">
        <f>CÁLCULOS!C615</f>
        <v xml:space="preserve">TUBO 2,50 m para BAINHA 3 CABOS </v>
      </c>
      <c r="E150" s="35"/>
      <c r="F150" s="35"/>
      <c r="G150" s="35"/>
      <c r="H150" s="35"/>
      <c r="I150" s="35"/>
      <c r="J150" s="35"/>
      <c r="K150" s="1616">
        <f ca="1">CÁLCULOS!L615-CÁLCULOS!L615*V86</f>
        <v>3328</v>
      </c>
      <c r="L150" s="1617"/>
      <c r="M150" s="1617"/>
      <c r="N150" s="1618"/>
      <c r="O150" s="44" t="str">
        <f>CÁLCULOS!M615</f>
        <v>unid.</v>
      </c>
      <c r="P150" s="45"/>
      <c r="Q150" s="1171">
        <v>28</v>
      </c>
      <c r="R150" s="78">
        <f ca="1">K150*Q150</f>
        <v>93184</v>
      </c>
      <c r="V150" s="724" t="str">
        <f>"TIPO: TES "&amp;7.5&amp;" tf cb/125"</f>
        <v>TIPO: TES 7,5 tf cb/125</v>
      </c>
      <c r="W150" s="752">
        <f>77+2</f>
        <v>79</v>
      </c>
      <c r="X150" s="734"/>
      <c r="Y150" s="131"/>
      <c r="AB150" s="4"/>
      <c r="AC150" s="355">
        <f t="shared" si="18"/>
        <v>28</v>
      </c>
    </row>
    <row r="151" spans="1:29" ht="20.100000000000001" customHeight="1" x14ac:dyDescent="0.35">
      <c r="A151" t="s">
        <v>1180</v>
      </c>
      <c r="B151" t="s">
        <v>1182</v>
      </c>
      <c r="C151" s="603" t="s">
        <v>1182</v>
      </c>
      <c r="D151" s="727" t="str">
        <f>CÁLCULOS!C616</f>
        <v>TUBO 2,50 m para BAINHA 1 CABO</v>
      </c>
      <c r="E151" s="35"/>
      <c r="F151" s="35"/>
      <c r="G151" s="35"/>
      <c r="H151" s="35"/>
      <c r="I151" s="35"/>
      <c r="J151" s="35"/>
      <c r="K151" s="1616">
        <f ca="1">CÁLCULOS!L616</f>
        <v>0</v>
      </c>
      <c r="L151" s="1617"/>
      <c r="M151" s="1617"/>
      <c r="N151" s="1618"/>
      <c r="O151" s="44" t="str">
        <f>CÁLCULOS!M616</f>
        <v>unid.</v>
      </c>
      <c r="P151" s="45"/>
      <c r="Q151" s="1171">
        <f>1.5*1.25*G12</f>
        <v>11.53125</v>
      </c>
      <c r="R151" s="78">
        <f t="shared" ca="1" si="17"/>
        <v>0</v>
      </c>
      <c r="V151" s="724" t="str">
        <f>"TIPO: TES "&amp;10&amp;" tf cb/125"</f>
        <v>TIPO: TES 10 tf cb/125</v>
      </c>
      <c r="W151" s="752">
        <v>97</v>
      </c>
      <c r="X151" s="734"/>
      <c r="Y151" s="131"/>
      <c r="AB151" s="4"/>
      <c r="AC151" s="355">
        <f t="shared" si="18"/>
        <v>11.53125</v>
      </c>
    </row>
    <row r="152" spans="1:29" ht="20.100000000000001" customHeight="1" x14ac:dyDescent="0.35">
      <c r="A152" t="s">
        <v>1183</v>
      </c>
      <c r="B152" t="s">
        <v>1184</v>
      </c>
      <c r="C152" s="603" t="s">
        <v>1184</v>
      </c>
      <c r="D152" s="727" t="str">
        <f>CÁLCULOS!C617</f>
        <v>CONE PARA TUBO 3 CABOS</v>
      </c>
      <c r="E152" s="35"/>
      <c r="F152" s="35"/>
      <c r="G152" s="35"/>
      <c r="H152" s="35"/>
      <c r="I152" s="35"/>
      <c r="J152" s="35"/>
      <c r="K152" s="1616">
        <f ca="1">CÁLCULOS!L617</f>
        <v>3289</v>
      </c>
      <c r="L152" s="1617"/>
      <c r="M152" s="1617"/>
      <c r="N152" s="1618"/>
      <c r="O152" s="44" t="str">
        <f>CÁLCULOS!M617</f>
        <v>unid.</v>
      </c>
      <c r="P152" s="45"/>
      <c r="Q152" s="1171"/>
      <c r="R152" s="78">
        <f t="shared" ca="1" si="17"/>
        <v>0</v>
      </c>
      <c r="V152" s="724" t="str">
        <f>"TIPO: TES "&amp;10&amp;" tf cb/175"</f>
        <v>TIPO: TES 10 tf cb/175</v>
      </c>
      <c r="W152" s="752">
        <f>106+2</f>
        <v>108</v>
      </c>
      <c r="X152" s="734"/>
      <c r="AB152" s="4"/>
      <c r="AC152" s="355">
        <f t="shared" si="18"/>
        <v>0</v>
      </c>
    </row>
    <row r="153" spans="1:29" ht="20.100000000000001" customHeight="1" x14ac:dyDescent="0.35">
      <c r="A153" t="s">
        <v>1183</v>
      </c>
      <c r="B153" t="s">
        <v>1185</v>
      </c>
      <c r="C153" s="603" t="s">
        <v>1185</v>
      </c>
      <c r="D153" s="727" t="str">
        <f>CÁLCULOS!C618</f>
        <v>CONE PARA TUBO 1 CABO</v>
      </c>
      <c r="E153" s="35"/>
      <c r="F153" s="35"/>
      <c r="G153" s="35"/>
      <c r="H153" s="35"/>
      <c r="I153" s="35"/>
      <c r="J153" s="35"/>
      <c r="K153" s="1616">
        <f ca="1">CÁLCULOS!L618</f>
        <v>0</v>
      </c>
      <c r="L153" s="1617"/>
      <c r="M153" s="1617"/>
      <c r="N153" s="1618"/>
      <c r="O153" s="44" t="str">
        <f>CÁLCULOS!M618</f>
        <v>unid.</v>
      </c>
      <c r="P153" s="45"/>
      <c r="Q153" s="1171">
        <f>0.5*1.25*G12</f>
        <v>3.84375</v>
      </c>
      <c r="R153" s="78">
        <f t="shared" ca="1" si="17"/>
        <v>0</v>
      </c>
      <c r="V153" s="724" t="str">
        <f>"TIPO: TES "&amp;7.5&amp;" tf /175"</f>
        <v>TIPO: TES 7,5 tf /175</v>
      </c>
      <c r="W153" s="752">
        <f>60+2</f>
        <v>62</v>
      </c>
      <c r="X153" s="734"/>
      <c r="AB153" s="4"/>
      <c r="AC153" s="355">
        <f t="shared" si="18"/>
        <v>3.84375</v>
      </c>
    </row>
    <row r="154" spans="1:29" ht="20.100000000000001" customHeight="1" thickBot="1" x14ac:dyDescent="0.4">
      <c r="A154" t="s">
        <v>1186</v>
      </c>
      <c r="B154" t="s">
        <v>1187</v>
      </c>
      <c r="C154" s="603" t="s">
        <v>1187</v>
      </c>
      <c r="D154" s="223" t="s">
        <v>1188</v>
      </c>
      <c r="E154" s="224"/>
      <c r="F154" s="224"/>
      <c r="G154" s="224"/>
      <c r="H154" s="224"/>
      <c r="I154" s="224"/>
      <c r="J154" s="224"/>
      <c r="K154" s="1594">
        <f ca="1">CÁLCULOS!L619</f>
        <v>892.68287153427104</v>
      </c>
      <c r="L154" s="1595"/>
      <c r="M154" s="1595"/>
      <c r="N154" s="1596"/>
      <c r="O154" s="223" t="str">
        <f>CÁLCULOS!M619</f>
        <v>m³</v>
      </c>
      <c r="P154" s="225"/>
      <c r="Q154" s="239">
        <f>'X MPa '!I81+'X MPa '!I83</f>
        <v>191.25</v>
      </c>
      <c r="R154" s="226">
        <f t="shared" ca="1" si="17"/>
        <v>170725.59918092933</v>
      </c>
      <c r="V154" s="725" t="str">
        <f>"TIPO: TES "&amp;7.5&amp;" tf cb/175"</f>
        <v>TIPO: TES 7,5 tf cb/175</v>
      </c>
      <c r="W154" s="753">
        <f>78+2</f>
        <v>80</v>
      </c>
      <c r="X154" s="734"/>
      <c r="AB154" s="4"/>
      <c r="AC154" s="355">
        <f t="shared" si="18"/>
        <v>191.25</v>
      </c>
    </row>
    <row r="155" spans="1:29" ht="20.100000000000001" customHeight="1" x14ac:dyDescent="0.35">
      <c r="C155" s="603" t="s">
        <v>1189</v>
      </c>
      <c r="D155" s="223" t="s">
        <v>1190</v>
      </c>
      <c r="E155" s="224"/>
      <c r="F155" s="224"/>
      <c r="G155" s="224"/>
      <c r="H155" s="224"/>
      <c r="I155" s="224"/>
      <c r="J155" s="224"/>
      <c r="K155" s="1594">
        <f ca="1">K154</f>
        <v>892.68287153427104</v>
      </c>
      <c r="L155" s="1595"/>
      <c r="M155" s="1595"/>
      <c r="N155" s="1596"/>
      <c r="O155" s="223" t="str">
        <f>CÁLCULOS!M619</f>
        <v>m³</v>
      </c>
      <c r="P155" s="225"/>
      <c r="Q155" s="239">
        <f>'X MPa '!I79</f>
        <v>651.59062499999993</v>
      </c>
      <c r="R155" s="226">
        <f t="shared" ca="1" si="17"/>
        <v>581663.79018981033</v>
      </c>
      <c r="V155" s="814"/>
      <c r="W155" s="815"/>
      <c r="X155" s="734"/>
      <c r="AB155" s="4"/>
      <c r="AC155" s="355">
        <f t="shared" si="18"/>
        <v>651.59062499999993</v>
      </c>
    </row>
    <row r="156" spans="1:29" ht="20.100000000000001" customHeight="1" thickBot="1" x14ac:dyDescent="0.4">
      <c r="B156" t="s">
        <v>1191</v>
      </c>
      <c r="C156" s="603" t="s">
        <v>1191</v>
      </c>
      <c r="D156" s="727" t="s">
        <v>1192</v>
      </c>
      <c r="E156" s="35"/>
      <c r="F156" s="35"/>
      <c r="G156" s="35"/>
      <c r="H156" s="35"/>
      <c r="I156" s="35"/>
      <c r="J156" s="35"/>
      <c r="K156" s="1616">
        <f ca="1">K85</f>
        <v>208</v>
      </c>
      <c r="L156" s="1617"/>
      <c r="M156" s="1617"/>
      <c r="N156" s="1618"/>
      <c r="O156" s="223" t="str">
        <f>O85</f>
        <v>unid.</v>
      </c>
      <c r="P156" s="45"/>
      <c r="Q156" s="736">
        <v>140</v>
      </c>
      <c r="R156" s="78">
        <f ca="1">K156*Q156</f>
        <v>29120</v>
      </c>
      <c r="V156" s="734"/>
      <c r="W156" s="734"/>
      <c r="X156" s="734"/>
      <c r="AB156" s="4"/>
      <c r="AC156" s="355">
        <f t="shared" si="18"/>
        <v>140</v>
      </c>
    </row>
    <row r="157" spans="1:29" ht="20.100000000000001" customHeight="1" x14ac:dyDescent="0.35">
      <c r="B157" t="s">
        <v>1193</v>
      </c>
      <c r="C157" s="603" t="s">
        <v>1193</v>
      </c>
      <c r="D157" s="727" t="s">
        <v>1194</v>
      </c>
      <c r="E157" s="35"/>
      <c r="F157" s="35"/>
      <c r="G157" s="35"/>
      <c r="H157" s="35"/>
      <c r="I157" s="35"/>
      <c r="J157" s="35"/>
      <c r="K157" s="1616">
        <f ca="1">K86</f>
        <v>0</v>
      </c>
      <c r="L157" s="1617"/>
      <c r="M157" s="1617"/>
      <c r="N157" s="1618"/>
      <c r="O157" s="223" t="str">
        <f>O86</f>
        <v>unid.</v>
      </c>
      <c r="P157" s="45"/>
      <c r="Q157" s="736">
        <v>70</v>
      </c>
      <c r="R157" s="78">
        <f ca="1">K157*Q157</f>
        <v>0</v>
      </c>
      <c r="V157" s="1157" t="s">
        <v>1195</v>
      </c>
      <c r="W157" s="174" t="s">
        <v>907</v>
      </c>
      <c r="X157" s="734"/>
      <c r="AB157" s="4"/>
      <c r="AC157" s="355">
        <f t="shared" si="18"/>
        <v>70</v>
      </c>
    </row>
    <row r="158" spans="1:29" ht="20.100000000000001" customHeight="1" x14ac:dyDescent="0.35">
      <c r="A158" t="s">
        <v>1196</v>
      </c>
      <c r="B158" t="s">
        <v>1197</v>
      </c>
      <c r="C158" s="603" t="s">
        <v>1197</v>
      </c>
      <c r="D158" s="223" t="s">
        <v>168</v>
      </c>
      <c r="E158" s="224"/>
      <c r="F158" s="224"/>
      <c r="G158" s="224"/>
      <c r="H158" s="224"/>
      <c r="I158" s="224"/>
      <c r="J158" s="224"/>
      <c r="K158" s="1594">
        <f>CÁLCULOS!L620</f>
        <v>0</v>
      </c>
      <c r="L158" s="1595"/>
      <c r="M158" s="1595"/>
      <c r="N158" s="1596"/>
      <c r="O158" s="223" t="s">
        <v>64</v>
      </c>
      <c r="P158" s="225"/>
      <c r="Q158" s="698">
        <v>4.9000000000000004</v>
      </c>
      <c r="R158" s="226">
        <f>K158*Q158</f>
        <v>0</v>
      </c>
      <c r="V158" s="726">
        <f>CÁLCULOS!Z648/1000</f>
        <v>0</v>
      </c>
      <c r="W158" s="173">
        <v>25</v>
      </c>
      <c r="X158" s="734" t="s">
        <v>1198</v>
      </c>
      <c r="AB158" s="4"/>
      <c r="AC158" s="355">
        <f t="shared" si="18"/>
        <v>4.9000000000000004</v>
      </c>
    </row>
    <row r="159" spans="1:29" ht="20.100000000000001" customHeight="1" x14ac:dyDescent="0.35">
      <c r="A159" t="s">
        <v>1199</v>
      </c>
      <c r="B159" t="s">
        <v>1200</v>
      </c>
      <c r="C159" s="603" t="s">
        <v>1200</v>
      </c>
      <c r="D159" s="223" t="str">
        <f>CÁLCULOS!C621</f>
        <v>AÇO CA-50</v>
      </c>
      <c r="E159" s="224" t="s">
        <v>1201</v>
      </c>
      <c r="F159" s="771"/>
      <c r="G159" s="1735" t="s">
        <v>1202</v>
      </c>
      <c r="H159" s="1735"/>
      <c r="I159" s="1736"/>
      <c r="J159" s="311">
        <v>0.8</v>
      </c>
      <c r="K159" s="1594">
        <f ca="1">IF(F159&lt;&gt;0,F159,CÁLCULOS!L621+LAJES!I525)</f>
        <v>71066.265675313669</v>
      </c>
      <c r="L159" s="1595"/>
      <c r="M159" s="1595"/>
      <c r="N159" s="1596"/>
      <c r="O159" s="223" t="str">
        <f>CÁLCULOS!M621</f>
        <v>kg</v>
      </c>
      <c r="P159" s="225"/>
      <c r="Q159" s="698">
        <f>5.6+0.3</f>
        <v>5.8999999999999995</v>
      </c>
      <c r="R159" s="226">
        <f ca="1">IF(ENTRADAS!L1060=0,K159*Q159,(K159*Q159)+(LAJES!I525*J159*ENTRADAS!L1060/100))</f>
        <v>419290.96748435061</v>
      </c>
      <c r="V159" s="726">
        <f>CÁLCULOS!Z649/1000</f>
        <v>6</v>
      </c>
      <c r="W159" s="752">
        <f>(44)+2</f>
        <v>46</v>
      </c>
      <c r="X159" s="734" t="s">
        <v>1203</v>
      </c>
      <c r="AB159" s="4"/>
      <c r="AC159" s="355">
        <f t="shared" si="18"/>
        <v>5.8999999999999995</v>
      </c>
    </row>
    <row r="160" spans="1:29" ht="20.100000000000001" customHeight="1" x14ac:dyDescent="0.35">
      <c r="A160" t="s">
        <v>1204</v>
      </c>
      <c r="B160" t="s">
        <v>1205</v>
      </c>
      <c r="C160" s="603" t="s">
        <v>1205</v>
      </c>
      <c r="D160" s="223" t="str">
        <f>CÁLCULOS!C622</f>
        <v>CORDOALHA 7 fios Arcellor Mittal  CP 190 RB 12,70 mm</v>
      </c>
      <c r="E160" s="224"/>
      <c r="F160" s="224"/>
      <c r="G160" s="224"/>
      <c r="H160" s="760"/>
      <c r="I160" s="224" t="str">
        <f>IF(ENTRADAS!D1227&gt;0,"condição específica",IF(CÁLCULOS!S615="X","taxa= Soplacas + 3 %","conforme disposição na mesa"))</f>
        <v>taxa= Soplacas + 3 %</v>
      </c>
      <c r="J160" s="224"/>
      <c r="K160" s="1594">
        <f ca="1">IF(H160&lt;&gt;0,H160,CÁLCULOS!L622)</f>
        <v>26955.974534919995</v>
      </c>
      <c r="L160" s="1595"/>
      <c r="M160" s="1595"/>
      <c r="N160" s="1596"/>
      <c r="O160" s="223" t="str">
        <f>CÁLCULOS!M622</f>
        <v>kg</v>
      </c>
      <c r="P160" s="225"/>
      <c r="Q160" s="698">
        <v>10.8</v>
      </c>
      <c r="R160" s="226">
        <f t="shared" ref="R160:R173" ca="1" si="19">K160*Q160</f>
        <v>291124.52497713594</v>
      </c>
      <c r="V160" s="726">
        <f>CÁLCULOS!Z652/1000</f>
        <v>10</v>
      </c>
      <c r="W160" s="752">
        <v>76</v>
      </c>
      <c r="X160" s="734" t="s">
        <v>1206</v>
      </c>
      <c r="Y160" s="131"/>
      <c r="AB160" s="4"/>
      <c r="AC160" s="355">
        <f t="shared" si="18"/>
        <v>10.8</v>
      </c>
    </row>
    <row r="161" spans="1:29" ht="20.100000000000001" customHeight="1" thickBot="1" x14ac:dyDescent="0.4">
      <c r="A161" t="s">
        <v>1207</v>
      </c>
      <c r="B161" t="s">
        <v>1208</v>
      </c>
      <c r="C161" s="603" t="s">
        <v>1208</v>
      </c>
      <c r="D161" s="721" t="str">
        <f>CÁLCULOS!C623</f>
        <v>DISTANCIADOR PLÁSTICO COPLAS cadeirinha  SCP-45/30</v>
      </c>
      <c r="E161" s="35"/>
      <c r="F161" s="35"/>
      <c r="G161" s="995"/>
      <c r="H161" s="1662" t="str">
        <f>CÁLCULOS!G623</f>
        <v>RECOBRIM.=</v>
      </c>
      <c r="I161" s="1662"/>
      <c r="J161" s="995" t="str">
        <f>CÁLCULOS!I623&amp;" cm"</f>
        <v>4,5 cm</v>
      </c>
      <c r="K161" s="1616">
        <f ca="1">CÁLCULOS!L623+LAJES!I529</f>
        <v>13034.880000000001</v>
      </c>
      <c r="L161" s="1617"/>
      <c r="M161" s="1617"/>
      <c r="N161" s="1618"/>
      <c r="O161" s="44" t="str">
        <f>CÁLCULOS!M623</f>
        <v>unid.</v>
      </c>
      <c r="P161" s="45"/>
      <c r="Q161" s="736">
        <v>0.45</v>
      </c>
      <c r="R161" s="78">
        <f t="shared" ca="1" si="19"/>
        <v>5865.6960000000008</v>
      </c>
      <c r="V161" s="726">
        <f>CÁLCULOS!Z653/1000</f>
        <v>15</v>
      </c>
      <c r="W161" s="752">
        <f>(95)+2</f>
        <v>97</v>
      </c>
      <c r="X161" s="734" t="s">
        <v>1209</v>
      </c>
      <c r="Y161" s="131"/>
      <c r="AB161" s="4"/>
      <c r="AC161" s="355">
        <f t="shared" si="18"/>
        <v>0.45</v>
      </c>
    </row>
    <row r="162" spans="1:29" ht="20.100000000000001" customHeight="1" x14ac:dyDescent="0.35">
      <c r="A162" t="s">
        <v>1210</v>
      </c>
      <c r="B162" t="s">
        <v>1211</v>
      </c>
      <c r="C162" s="603" t="s">
        <v>1211</v>
      </c>
      <c r="D162" s="223" t="str">
        <f>CÁLCULOS!C624</f>
        <v>ARAME RECOZIDO TORCIDO</v>
      </c>
      <c r="E162" s="224"/>
      <c r="F162" s="224"/>
      <c r="G162" s="224"/>
      <c r="H162" s="224"/>
      <c r="I162" s="224"/>
      <c r="J162" s="224"/>
      <c r="K162" s="1594">
        <f ca="1">CÁLCULOS!L624+LAJES!I530</f>
        <v>1065.9939851297049</v>
      </c>
      <c r="L162" s="1595"/>
      <c r="M162" s="1595"/>
      <c r="N162" s="1596"/>
      <c r="O162" s="223" t="str">
        <f>CÁLCULOS!M624</f>
        <v>kg</v>
      </c>
      <c r="P162" s="225"/>
      <c r="Q162" s="698">
        <v>16.72</v>
      </c>
      <c r="R162" s="226">
        <f t="shared" ca="1" si="19"/>
        <v>17823.419431368664</v>
      </c>
      <c r="V162" s="1157" t="s">
        <v>1212</v>
      </c>
      <c r="W162" s="174" t="s">
        <v>907</v>
      </c>
      <c r="Y162" s="131"/>
      <c r="AB162" s="4"/>
      <c r="AC162" s="355">
        <f t="shared" si="18"/>
        <v>16.72</v>
      </c>
    </row>
    <row r="163" spans="1:29" ht="20.100000000000001" customHeight="1" x14ac:dyDescent="0.35">
      <c r="A163" t="s">
        <v>1213</v>
      </c>
      <c r="B163" t="s">
        <v>1214</v>
      </c>
      <c r="C163" s="603" t="s">
        <v>1214</v>
      </c>
      <c r="D163" s="727" t="str">
        <f>CÁLCULOS!C625</f>
        <v>ISOPOR 3 cm ( folha 50x100 cm)</v>
      </c>
      <c r="E163" s="35"/>
      <c r="F163" s="35"/>
      <c r="G163" s="35"/>
      <c r="H163" s="35"/>
      <c r="I163" s="35"/>
      <c r="J163" s="35"/>
      <c r="K163" s="1616">
        <f ca="1">CÁLCULOS!L625</f>
        <v>52</v>
      </c>
      <c r="L163" s="1617"/>
      <c r="M163" s="1617"/>
      <c r="N163" s="1618"/>
      <c r="O163" s="44" t="str">
        <f>CÁLCULOS!M625</f>
        <v>unid.</v>
      </c>
      <c r="P163" s="45"/>
      <c r="Q163" s="736">
        <v>2.87</v>
      </c>
      <c r="R163" s="78">
        <f t="shared" ca="1" si="19"/>
        <v>149.24</v>
      </c>
      <c r="V163" s="726" t="s">
        <v>1215</v>
      </c>
      <c r="W163" s="752">
        <v>25</v>
      </c>
      <c r="Y163" s="131"/>
      <c r="AB163" s="4"/>
      <c r="AC163" s="355">
        <f t="shared" si="18"/>
        <v>2.87</v>
      </c>
    </row>
    <row r="164" spans="1:29" ht="20.100000000000001" customHeight="1" x14ac:dyDescent="0.35">
      <c r="A164" t="s">
        <v>1216</v>
      </c>
      <c r="B164" t="s">
        <v>1217</v>
      </c>
      <c r="C164" s="603" t="s">
        <v>1217</v>
      </c>
      <c r="D164" s="727" t="str">
        <f>CÁLCULOS!C626</f>
        <v xml:space="preserve">DESMOLDANTE DENVER SM ECO </v>
      </c>
      <c r="E164" s="35"/>
      <c r="F164" s="35"/>
      <c r="G164" s="35"/>
      <c r="H164" s="35"/>
      <c r="I164" s="35"/>
      <c r="J164" s="35"/>
      <c r="K164" s="1616">
        <f ca="1">CÁLCULOS!L626+LAJES!I527</f>
        <v>869</v>
      </c>
      <c r="L164" s="1617"/>
      <c r="M164" s="1617"/>
      <c r="N164" s="1618"/>
      <c r="O164" s="44" t="str">
        <f>CÁLCULOS!M626</f>
        <v>litros</v>
      </c>
      <c r="P164" s="45"/>
      <c r="Q164" s="736">
        <v>19.55</v>
      </c>
      <c r="R164" s="78">
        <f t="shared" ca="1" si="19"/>
        <v>16988.95</v>
      </c>
      <c r="V164" s="726" t="s">
        <v>1218</v>
      </c>
      <c r="W164" s="752">
        <v>30</v>
      </c>
      <c r="Y164" s="131"/>
      <c r="AB164" s="4"/>
      <c r="AC164" s="355">
        <f t="shared" si="18"/>
        <v>19.55</v>
      </c>
    </row>
    <row r="165" spans="1:29" ht="20.100000000000001" customHeight="1" x14ac:dyDescent="0.35">
      <c r="A165" t="s">
        <v>1219</v>
      </c>
      <c r="B165" t="s">
        <v>1220</v>
      </c>
      <c r="C165" s="603" t="s">
        <v>1220</v>
      </c>
      <c r="D165" s="727" t="str">
        <f>CÁLCULOS!C627</f>
        <v>AGENTE DE CURA hidrocarbonetos parafínicos ( CURING )</v>
      </c>
      <c r="E165" s="46"/>
      <c r="F165" s="46"/>
      <c r="G165" s="46"/>
      <c r="H165" s="46"/>
      <c r="I165" s="46"/>
      <c r="J165" s="46"/>
      <c r="K165" s="1616">
        <f ca="1">CÁLCULOS!L627+LAJES!I528</f>
        <v>869</v>
      </c>
      <c r="L165" s="1617"/>
      <c r="M165" s="1617"/>
      <c r="N165" s="1618"/>
      <c r="O165" s="44" t="str">
        <f>CÁLCULOS!M627</f>
        <v>litros</v>
      </c>
      <c r="P165" s="45"/>
      <c r="Q165" s="736">
        <v>8</v>
      </c>
      <c r="R165" s="78">
        <f t="shared" ca="1" si="19"/>
        <v>6952</v>
      </c>
      <c r="Y165" s="131"/>
      <c r="AB165" s="4"/>
      <c r="AC165" s="355">
        <f t="shared" si="18"/>
        <v>8</v>
      </c>
    </row>
    <row r="166" spans="1:29" ht="25.5" customHeight="1" x14ac:dyDescent="0.35">
      <c r="C166" s="603" t="s">
        <v>1221</v>
      </c>
      <c r="D166" s="727" t="str">
        <f>CÁLCULOS!C628</f>
        <v>D11 ( MC-BAUCHIMIE ) - primer para substrados absorventes ( embalagem: galão de 4 litros )</v>
      </c>
      <c r="E166" s="46"/>
      <c r="F166" s="46"/>
      <c r="G166" s="46"/>
      <c r="H166" s="46"/>
      <c r="I166" s="46"/>
      <c r="J166" s="46"/>
      <c r="K166" s="1616">
        <f ca="1">CÁLCULOS!L628</f>
        <v>19</v>
      </c>
      <c r="L166" s="1617"/>
      <c r="M166" s="1617"/>
      <c r="N166" s="1618"/>
      <c r="O166" s="1702" t="str">
        <f>CÁLCULOS!M628</f>
        <v>galão de 4 litros</v>
      </c>
      <c r="P166" s="1703"/>
      <c r="Q166" s="736">
        <v>93.792000000000002</v>
      </c>
      <c r="R166" s="78">
        <f t="shared" ca="1" si="19"/>
        <v>1782.048</v>
      </c>
      <c r="Y166" s="131"/>
      <c r="AB166" s="4"/>
      <c r="AC166" s="355">
        <f t="shared" si="18"/>
        <v>93.792000000000002</v>
      </c>
    </row>
    <row r="167" spans="1:29" ht="25.5" customHeight="1" x14ac:dyDescent="0.35">
      <c r="C167" s="603" t="s">
        <v>1222</v>
      </c>
      <c r="D167" s="727" t="str">
        <f>CÁLCULOS!C629</f>
        <v xml:space="preserve">MAQUINA DE SOLDA MIG EUTECTIC ARC 6200 </v>
      </c>
      <c r="E167" s="46"/>
      <c r="F167" s="46"/>
      <c r="G167" s="46"/>
      <c r="H167" s="46"/>
      <c r="I167" s="46"/>
      <c r="J167" s="46"/>
      <c r="K167" s="1616">
        <f ca="1">CÁLCULOS!L629</f>
        <v>3.3333333333333335</v>
      </c>
      <c r="L167" s="1617"/>
      <c r="M167" s="1617"/>
      <c r="N167" s="1618"/>
      <c r="O167" s="1738" t="str">
        <f>CÁLCULOS!M629</f>
        <v>mês</v>
      </c>
      <c r="P167" s="1739"/>
      <c r="Q167" s="736">
        <v>837</v>
      </c>
      <c r="R167" s="78">
        <f t="shared" ca="1" si="19"/>
        <v>2790</v>
      </c>
      <c r="Y167" s="131"/>
      <c r="AB167" s="4"/>
      <c r="AC167" s="355">
        <f t="shared" si="18"/>
        <v>837</v>
      </c>
    </row>
    <row r="168" spans="1:29" ht="25.5" customHeight="1" x14ac:dyDescent="0.35">
      <c r="C168" s="603" t="s">
        <v>1223</v>
      </c>
      <c r="D168" s="727" t="str">
        <f>CÁLCULOS!C630</f>
        <v>ARAME PARA SOLDA MIG/MAG 1,2mm</v>
      </c>
      <c r="E168" s="46"/>
      <c r="F168" s="46"/>
      <c r="G168" s="46"/>
      <c r="H168" s="46"/>
      <c r="I168" s="46"/>
      <c r="J168" s="46"/>
      <c r="K168" s="1616">
        <f ca="1">CÁLCULOS!L630</f>
        <v>163</v>
      </c>
      <c r="L168" s="1617"/>
      <c r="M168" s="1617"/>
      <c r="N168" s="1618"/>
      <c r="O168" s="1738" t="str">
        <f>CÁLCULOS!M630</f>
        <v>kg</v>
      </c>
      <c r="P168" s="1739"/>
      <c r="Q168" s="736">
        <v>20.149999999999999</v>
      </c>
      <c r="R168" s="78">
        <f t="shared" ca="1" si="19"/>
        <v>3284.45</v>
      </c>
      <c r="Y168" s="131"/>
      <c r="AB168" s="4"/>
      <c r="AC168" s="355">
        <f t="shared" si="18"/>
        <v>20.149999999999999</v>
      </c>
    </row>
    <row r="169" spans="1:29" ht="25.5" customHeight="1" x14ac:dyDescent="0.35">
      <c r="C169" s="603" t="s">
        <v>1224</v>
      </c>
      <c r="D169" s="727" t="str">
        <f>CÁLCULOS!C631</f>
        <v>GÁS MISTURA (cilindro com 6 m³)</v>
      </c>
      <c r="E169" s="46"/>
      <c r="F169" s="46"/>
      <c r="G169" s="46"/>
      <c r="H169" s="46"/>
      <c r="I169" s="46"/>
      <c r="J169" s="46"/>
      <c r="K169" s="1616">
        <f ca="1">CÁLCULOS!L631</f>
        <v>15</v>
      </c>
      <c r="L169" s="1617"/>
      <c r="M169" s="1617"/>
      <c r="N169" s="1618"/>
      <c r="O169" s="1738" t="str">
        <f>CÁLCULOS!M631</f>
        <v>cilindro</v>
      </c>
      <c r="P169" s="1739"/>
      <c r="Q169" s="736">
        <v>195</v>
      </c>
      <c r="R169" s="78">
        <f t="shared" ca="1" si="19"/>
        <v>2925</v>
      </c>
      <c r="Y169" s="131"/>
      <c r="AB169" s="4"/>
      <c r="AC169" s="355">
        <f t="shared" si="18"/>
        <v>195</v>
      </c>
    </row>
    <row r="170" spans="1:29" ht="25.5" customHeight="1" x14ac:dyDescent="0.35">
      <c r="C170" s="603" t="s">
        <v>1225</v>
      </c>
      <c r="D170" s="727" t="str">
        <f>CÁLCULOS!C632</f>
        <v>LOCAÇÃO DO CILINDRO de 6 m³ para GÁS MISTURA</v>
      </c>
      <c r="E170" s="46"/>
      <c r="F170" s="46"/>
      <c r="G170" s="46"/>
      <c r="H170" s="46"/>
      <c r="I170" s="46"/>
      <c r="J170" s="46"/>
      <c r="K170" s="1616">
        <f ca="1">CÁLCULOS!L632</f>
        <v>3.3333333333333335</v>
      </c>
      <c r="L170" s="1617"/>
      <c r="M170" s="1617"/>
      <c r="N170" s="1618"/>
      <c r="O170" s="1738" t="str">
        <f>CÁLCULOS!M632</f>
        <v>mês</v>
      </c>
      <c r="P170" s="1739"/>
      <c r="Q170" s="736">
        <v>75</v>
      </c>
      <c r="R170" s="78">
        <f t="shared" ca="1" si="19"/>
        <v>250</v>
      </c>
      <c r="Y170" s="131"/>
      <c r="AB170" s="4"/>
      <c r="AC170" s="355">
        <f t="shared" si="18"/>
        <v>75</v>
      </c>
    </row>
    <row r="171" spans="1:29" ht="20.100000000000001" hidden="1" customHeight="1" x14ac:dyDescent="0.35">
      <c r="A171" t="s">
        <v>1226</v>
      </c>
      <c r="D171" s="727" t="str">
        <f>CÁLCULOS!C633</f>
        <v>INSERTOS METÁLICOS AÇO CARBONO</v>
      </c>
      <c r="E171" s="46"/>
      <c r="F171" s="46"/>
      <c r="G171" s="46"/>
      <c r="H171" s="46"/>
      <c r="I171" s="46"/>
      <c r="J171" s="46"/>
      <c r="K171" s="46"/>
      <c r="L171" s="46"/>
      <c r="M171" s="46"/>
      <c r="N171" s="43">
        <f>CÁLCULOS!L633</f>
        <v>0</v>
      </c>
      <c r="O171" s="44" t="str">
        <f>CÁLCULOS!M633</f>
        <v>kg</v>
      </c>
      <c r="P171" s="45"/>
      <c r="Q171" s="1171"/>
      <c r="R171" s="78">
        <f t="shared" si="19"/>
        <v>0</v>
      </c>
      <c r="Y171" s="131"/>
      <c r="AB171" s="4"/>
      <c r="AC171" s="355">
        <f t="shared" si="18"/>
        <v>0</v>
      </c>
    </row>
    <row r="172" spans="1:29" hidden="1" x14ac:dyDescent="0.35">
      <c r="A172" t="s">
        <v>1227</v>
      </c>
      <c r="D172" s="727" t="str">
        <f>CÁLCULOS!C634</f>
        <v>INSERTOS METÁLICOS INOX</v>
      </c>
      <c r="E172" s="46"/>
      <c r="F172" s="46"/>
      <c r="G172" s="46"/>
      <c r="H172" s="46"/>
      <c r="I172" s="46"/>
      <c r="J172" s="46"/>
      <c r="K172" s="46"/>
      <c r="L172" s="46"/>
      <c r="M172" s="46"/>
      <c r="N172" s="43">
        <f>CÁLCULOS!L634</f>
        <v>0</v>
      </c>
      <c r="O172" s="44" t="str">
        <f>CÁLCULOS!M634</f>
        <v>kg</v>
      </c>
      <c r="P172" s="45"/>
      <c r="Q172" s="1171"/>
      <c r="R172" s="78">
        <f t="shared" si="19"/>
        <v>0</v>
      </c>
      <c r="Y172" s="131"/>
      <c r="AB172" s="4"/>
      <c r="AC172" s="355">
        <f t="shared" si="18"/>
        <v>0</v>
      </c>
    </row>
    <row r="173" spans="1:29" hidden="1" x14ac:dyDescent="0.35">
      <c r="A173" t="s">
        <v>1228</v>
      </c>
      <c r="D173" s="727" t="str">
        <f>CÁLCULOS!C635</f>
        <v>CONJUNTO DE BOCA DE VISITA  INOX</v>
      </c>
      <c r="E173" s="46"/>
      <c r="F173" s="46"/>
      <c r="G173" s="46"/>
      <c r="H173" s="46"/>
      <c r="I173" s="46"/>
      <c r="J173" s="46"/>
      <c r="K173" s="46"/>
      <c r="L173" s="46"/>
      <c r="M173" s="46"/>
      <c r="N173" s="43">
        <f>CÁLCULOS!L635</f>
        <v>0</v>
      </c>
      <c r="O173" s="44" t="str">
        <f>CÁLCULOS!M635</f>
        <v>m²</v>
      </c>
      <c r="P173" s="45"/>
      <c r="Q173" s="1171"/>
      <c r="R173" s="78">
        <f t="shared" si="19"/>
        <v>0</v>
      </c>
      <c r="Y173" s="131"/>
      <c r="AB173" s="4"/>
      <c r="AC173" s="355">
        <f t="shared" si="18"/>
        <v>0</v>
      </c>
    </row>
    <row r="174" spans="1:29" ht="20.100000000000001" customHeight="1" x14ac:dyDescent="0.35">
      <c r="D174" s="1164"/>
      <c r="E174" s="46"/>
      <c r="F174" s="1165"/>
      <c r="G174" s="46"/>
      <c r="H174" s="1164"/>
      <c r="I174" s="1164"/>
      <c r="J174" s="46"/>
      <c r="K174" s="1603" t="s">
        <v>1229</v>
      </c>
      <c r="L174" s="1603"/>
      <c r="M174" s="1603"/>
      <c r="N174" s="1603"/>
      <c r="O174" s="1603"/>
      <c r="P174" s="1619"/>
      <c r="Q174" s="1664">
        <f ca="1">SUM(R140:R173)</f>
        <v>1787610.8852635946</v>
      </c>
      <c r="R174" s="1665"/>
      <c r="AB174" s="4"/>
      <c r="AC174" s="355">
        <f t="shared" ca="1" si="18"/>
        <v>1787610.8852635946</v>
      </c>
    </row>
    <row r="175" spans="1:29" ht="20.100000000000001" customHeight="1" x14ac:dyDescent="0.35">
      <c r="D175" s="25"/>
      <c r="E175" s="25"/>
      <c r="F175" s="25"/>
      <c r="G175" s="25"/>
      <c r="H175" s="25"/>
      <c r="I175" s="25"/>
      <c r="J175" s="25"/>
      <c r="K175" s="25"/>
      <c r="L175" s="25"/>
      <c r="M175" s="25"/>
      <c r="N175" s="25"/>
      <c r="O175" s="25"/>
      <c r="P175" s="25"/>
      <c r="Q175" s="79"/>
      <c r="R175" s="79"/>
      <c r="AB175" s="4"/>
      <c r="AC175" s="355">
        <f t="shared" si="18"/>
        <v>0</v>
      </c>
    </row>
    <row r="176" spans="1:29" ht="20.100000000000001" customHeight="1" x14ac:dyDescent="0.35">
      <c r="C176" s="1079" t="s">
        <v>1020</v>
      </c>
      <c r="D176" s="1606" t="str">
        <f>CÁLCULOS!C556</f>
        <v>INSUMOS DE M.O. ( MONTAGEM - TOTAL COM MOBILIZAÇÃO - PARA CUSTO )</v>
      </c>
      <c r="E176" s="1607"/>
      <c r="F176" s="1607"/>
      <c r="G176" s="1607"/>
      <c r="H176" s="1607"/>
      <c r="I176" s="1607"/>
      <c r="J176" s="1608"/>
      <c r="K176" s="1606" t="s">
        <v>275</v>
      </c>
      <c r="L176" s="1607"/>
      <c r="M176" s="1607"/>
      <c r="N176" s="1608"/>
      <c r="O176" s="1324" t="s">
        <v>891</v>
      </c>
      <c r="P176" s="1326"/>
      <c r="Q176" s="1172" t="s">
        <v>1022</v>
      </c>
      <c r="R176" s="1172" t="s">
        <v>1023</v>
      </c>
      <c r="AB176" s="4"/>
      <c r="AC176" s="355" t="str">
        <f t="shared" si="18"/>
        <v>Preço unit.</v>
      </c>
    </row>
    <row r="177" spans="1:29" ht="20.100000000000001" customHeight="1" x14ac:dyDescent="0.35">
      <c r="C177" s="603" t="s">
        <v>1230</v>
      </c>
      <c r="D177" s="1173" t="str">
        <f>CÁLCULOS!C558</f>
        <v>GESTOR DE CONTRATOS NA MONTAGEM</v>
      </c>
      <c r="E177" s="75"/>
      <c r="F177" s="1174"/>
      <c r="G177" s="75"/>
      <c r="H177" s="1175"/>
      <c r="I177" s="1175"/>
      <c r="J177" s="75"/>
      <c r="K177" s="1737">
        <f ca="1">ROUNDUP(CÁLCULOS!L558+LAJES!H137,0)</f>
        <v>114</v>
      </c>
      <c r="L177" s="1737"/>
      <c r="M177" s="1737"/>
      <c r="N177" s="1737"/>
      <c r="O177" s="803" t="s">
        <v>101</v>
      </c>
      <c r="P177" s="71"/>
      <c r="Q177" s="1176">
        <f>IF(CÁLCULOS!$F$444="X",(CÁLCULOS!F441*1.25)*2.26/30,(CÁLCULOS!F441)*2.26/30)</f>
        <v>1271.25</v>
      </c>
      <c r="R177" s="1176">
        <f t="shared" ref="R177:R182" ca="1" si="20">K177*Q177</f>
        <v>144922.5</v>
      </c>
      <c r="AB177" s="4"/>
      <c r="AC177" s="355"/>
    </row>
    <row r="178" spans="1:29" ht="20.100000000000001" customHeight="1" x14ac:dyDescent="0.35">
      <c r="A178" t="s">
        <v>1231</v>
      </c>
      <c r="B178" t="s">
        <v>1232</v>
      </c>
      <c r="C178" s="603" t="s">
        <v>1232</v>
      </c>
      <c r="D178" s="1173" t="str">
        <f>CÁLCULOS!C559</f>
        <v>ENCARREGADO NA MONTAGEM</v>
      </c>
      <c r="E178" s="75"/>
      <c r="F178" s="1174"/>
      <c r="G178" s="75"/>
      <c r="H178" s="1175"/>
      <c r="I178" s="1175"/>
      <c r="J178" s="75"/>
      <c r="K178" s="1737">
        <f ca="1">ROUNDUP(CÁLCULOS!L559+LAJES!H138,0)</f>
        <v>215</v>
      </c>
      <c r="L178" s="1737"/>
      <c r="M178" s="1737"/>
      <c r="N178" s="1737"/>
      <c r="O178" s="803" t="s">
        <v>101</v>
      </c>
      <c r="P178" s="71"/>
      <c r="Q178" s="1176">
        <f>IF(CÁLCULOS!$F$444="X",(CÁLCULOS!F438*1.25)*2.26/30,(CÁLCULOS!F438)*2.26/30)</f>
        <v>536.74999999999989</v>
      </c>
      <c r="R178" s="1176">
        <f t="shared" ca="1" si="20"/>
        <v>115401.24999999997</v>
      </c>
      <c r="AB178" s="4"/>
      <c r="AC178" s="355">
        <f t="shared" ref="AC178:AC187" si="21">Q178</f>
        <v>536.74999999999989</v>
      </c>
    </row>
    <row r="179" spans="1:29" ht="20.100000000000001" customHeight="1" x14ac:dyDescent="0.35">
      <c r="A179" t="s">
        <v>1233</v>
      </c>
      <c r="B179" t="s">
        <v>1234</v>
      </c>
      <c r="C179" s="603" t="s">
        <v>1234</v>
      </c>
      <c r="D179" s="1173" t="str">
        <f>CÁLCULOS!C560</f>
        <v>TECNICO DE EDIFICAÇÕES NA MONTAGEM</v>
      </c>
      <c r="E179" s="75"/>
      <c r="F179" s="1174"/>
      <c r="G179" s="75"/>
      <c r="H179" s="1175"/>
      <c r="I179" s="1175"/>
      <c r="J179" s="75"/>
      <c r="K179" s="1737">
        <f ca="1">ROUNDUP(CÁLCULOS!L560+LAJES!H139,0)</f>
        <v>126</v>
      </c>
      <c r="L179" s="1737"/>
      <c r="M179" s="1737"/>
      <c r="N179" s="1737"/>
      <c r="O179" s="803" t="s">
        <v>101</v>
      </c>
      <c r="P179" s="71"/>
      <c r="Q179" s="1176">
        <f>IF(CÁLCULOS!$F$444="X",(CÁLCULOS!F440*1.25)*2.26/30,(CÁLCULOS!F440)*2.26/30)</f>
        <v>609.35249999999985</v>
      </c>
      <c r="R179" s="1176">
        <f t="shared" ca="1" si="20"/>
        <v>76778.414999999979</v>
      </c>
      <c r="U179" s="647" t="s">
        <v>1050</v>
      </c>
      <c r="V179" s="7">
        <f ca="1">ROUNDUP(LAJES!H138,0)*Q178+ROUNDUP(LAJES!H139,0)*Q179+ROUNDUP(LAJES!H140,0)*Q180+ROUNDUP(LAJES!H141,0)*Q181+ROUNDUP(LAJES!H142,0)*Q182+ROUNDUP(LAJES!H137,0)*Q177</f>
        <v>0</v>
      </c>
      <c r="X179" s="154">
        <f ca="1">ROUNDUP(CÁLCULOS!L559,0)*Q178+ROUNDUP(CÁLCULOS!L560,0)*Q179+ROUNDUP(CÁLCULOS!L561,0)*Q180+ROUNDUP(CÁLCULOS!L562,0)*Q181+ROUNDUP(CÁLCULOS!L563,0)*Q182+ROUNDUP(CÁLCULOS!L558,0)*Q177</f>
        <v>585460.34499999997</v>
      </c>
      <c r="Y179" s="627" t="s">
        <v>1050</v>
      </c>
      <c r="AB179" s="4"/>
      <c r="AC179" s="355">
        <f t="shared" si="21"/>
        <v>609.35249999999985</v>
      </c>
    </row>
    <row r="180" spans="1:29" ht="20.100000000000001" customHeight="1" x14ac:dyDescent="0.35">
      <c r="A180" t="s">
        <v>1235</v>
      </c>
      <c r="B180" t="s">
        <v>1236</v>
      </c>
      <c r="C180" s="603" t="s">
        <v>1236</v>
      </c>
      <c r="D180" s="1173" t="str">
        <f>CÁLCULOS!C561</f>
        <v>TÉCNICO DE SEGURANÇA NA MONTAGEM</v>
      </c>
      <c r="E180" s="75"/>
      <c r="F180" s="1174"/>
      <c r="G180" s="75"/>
      <c r="H180" s="1175"/>
      <c r="I180" s="1175"/>
      <c r="J180" s="75"/>
      <c r="K180" s="1674">
        <f ca="1">ROUNDUP(CÁLCULOS!L561+LAJES!H140,0)</f>
        <v>0</v>
      </c>
      <c r="L180" s="1675"/>
      <c r="M180" s="1675"/>
      <c r="N180" s="1676"/>
      <c r="O180" s="803" t="s">
        <v>101</v>
      </c>
      <c r="P180" s="71"/>
      <c r="Q180" s="1176">
        <f>IF(CÁLCULOS!$F$444="X",(CÁLCULOS!F439*1.25)*2.26/30,(CÁLCULOS!F439)*2.26/30)</f>
        <v>399.26666666666659</v>
      </c>
      <c r="R180" s="1176">
        <f t="shared" ca="1" si="20"/>
        <v>0</v>
      </c>
      <c r="AB180" s="4"/>
      <c r="AC180" s="355">
        <f t="shared" si="21"/>
        <v>399.26666666666659</v>
      </c>
    </row>
    <row r="181" spans="1:29" ht="20.100000000000001" customHeight="1" x14ac:dyDescent="0.35">
      <c r="A181" t="s">
        <v>1237</v>
      </c>
      <c r="B181" t="s">
        <v>1238</v>
      </c>
      <c r="C181" s="603" t="s">
        <v>1238</v>
      </c>
      <c r="D181" s="1173" t="str">
        <f>CÁLCULOS!C562</f>
        <v>OFICIAL POLIVALENTE NA MONTAGEM</v>
      </c>
      <c r="E181" s="75"/>
      <c r="F181" s="1174"/>
      <c r="G181" s="75"/>
      <c r="H181" s="1175"/>
      <c r="I181" s="1175"/>
      <c r="J181" s="75"/>
      <c r="K181" s="1674">
        <f ca="1">ROUNDUP(CÁLCULOS!L562+LAJES!H141,0)</f>
        <v>1008</v>
      </c>
      <c r="L181" s="1675"/>
      <c r="M181" s="1675"/>
      <c r="N181" s="1676"/>
      <c r="O181" s="803" t="s">
        <v>101</v>
      </c>
      <c r="P181" s="71"/>
      <c r="Q181" s="1176">
        <f>IF(CÁLCULOS!$F$444="X",(CÁLCULOS!F436*1.25)*2.26/30,(CÁLCULOS!F436)*2.26/30)</f>
        <v>228.73083333333332</v>
      </c>
      <c r="R181" s="1176">
        <f t="shared" ca="1" si="20"/>
        <v>230560.68</v>
      </c>
      <c r="AB181" s="4"/>
      <c r="AC181" s="355">
        <f t="shared" si="21"/>
        <v>228.73083333333332</v>
      </c>
    </row>
    <row r="182" spans="1:29" ht="20.100000000000001" customHeight="1" x14ac:dyDescent="0.35">
      <c r="A182" t="s">
        <v>1239</v>
      </c>
      <c r="B182" t="s">
        <v>1240</v>
      </c>
      <c r="C182" s="603" t="s">
        <v>1240</v>
      </c>
      <c r="D182" s="1173" t="str">
        <f>CÁLCULOS!C563</f>
        <v>AUXILIAR DE OBRAS NA MONTAGEM</v>
      </c>
      <c r="E182" s="75"/>
      <c r="F182" s="1174"/>
      <c r="G182" s="75"/>
      <c r="H182" s="1175"/>
      <c r="I182" s="1175"/>
      <c r="J182" s="75"/>
      <c r="K182" s="1674">
        <f ca="1">ROUNDUP(CÁLCULOS!L563+LAJES!H142,0)</f>
        <v>126</v>
      </c>
      <c r="L182" s="1675"/>
      <c r="M182" s="1675"/>
      <c r="N182" s="1676"/>
      <c r="O182" s="803" t="s">
        <v>101</v>
      </c>
      <c r="P182" s="71"/>
      <c r="Q182" s="1176">
        <f>IF(CÁLCULOS!F433&gt;0,(CÁLCULOS!F435)*2.26/30,IF(CÁLCULOS!$F$444="X",(CÁLCULOS!F435*1.25)*2.26/30,(CÁLCULOS!F435)*2.26/30))</f>
        <v>141.25</v>
      </c>
      <c r="R182" s="1176">
        <f t="shared" ca="1" si="20"/>
        <v>17797.5</v>
      </c>
      <c r="AB182" s="4"/>
      <c r="AC182" s="355">
        <f t="shared" si="21"/>
        <v>141.25</v>
      </c>
    </row>
    <row r="183" spans="1:29" ht="20.100000000000001" customHeight="1" x14ac:dyDescent="0.35">
      <c r="D183" s="55"/>
      <c r="E183" s="25"/>
      <c r="F183" s="1169"/>
      <c r="G183" s="25"/>
      <c r="H183" s="1010"/>
      <c r="I183" s="1010"/>
      <c r="J183" s="25"/>
      <c r="K183" s="1603" t="s">
        <v>1241</v>
      </c>
      <c r="L183" s="1603"/>
      <c r="M183" s="1603"/>
      <c r="N183" s="1603"/>
      <c r="O183" s="1603"/>
      <c r="P183" s="1619"/>
      <c r="Q183" s="1666">
        <f ca="1">SUM(R177:R182)</f>
        <v>585460.34499999997</v>
      </c>
      <c r="R183" s="1667"/>
      <c r="AB183" s="4"/>
      <c r="AC183" s="355">
        <f t="shared" ca="1" si="21"/>
        <v>585460.34499999997</v>
      </c>
    </row>
    <row r="184" spans="1:29" ht="20.100000000000001" customHeight="1" x14ac:dyDescent="0.35">
      <c r="D184" s="25"/>
      <c r="E184" s="25"/>
      <c r="F184" s="25"/>
      <c r="G184" s="25"/>
      <c r="H184" s="25"/>
      <c r="I184" s="25"/>
      <c r="J184" s="25"/>
      <c r="K184" s="25"/>
      <c r="L184" s="25"/>
      <c r="M184" s="25"/>
      <c r="N184" s="25"/>
      <c r="O184" s="25"/>
      <c r="P184" s="25"/>
      <c r="Q184" s="76"/>
      <c r="R184" s="76"/>
      <c r="AB184" s="4"/>
      <c r="AC184" s="355">
        <f t="shared" si="21"/>
        <v>0</v>
      </c>
    </row>
    <row r="185" spans="1:29" ht="20.100000000000001" customHeight="1" x14ac:dyDescent="0.35">
      <c r="C185" s="1079" t="s">
        <v>1020</v>
      </c>
      <c r="D185" s="1606" t="str">
        <f>CÁLCULOS!C766</f>
        <v>INSUMOS DE M.O. ( TOTAL CONFECÇÃO - PARA CUSTO  )</v>
      </c>
      <c r="E185" s="1607"/>
      <c r="F185" s="1607"/>
      <c r="G185" s="1607"/>
      <c r="H185" s="1607"/>
      <c r="I185" s="1607"/>
      <c r="J185" s="1608"/>
      <c r="K185" s="1606" t="s">
        <v>275</v>
      </c>
      <c r="L185" s="1607"/>
      <c r="M185" s="1607"/>
      <c r="N185" s="1608"/>
      <c r="O185" s="1324" t="s">
        <v>891</v>
      </c>
      <c r="P185" s="1326"/>
      <c r="Q185" s="1172" t="s">
        <v>1022</v>
      </c>
      <c r="R185" s="1172" t="s">
        <v>1023</v>
      </c>
      <c r="AB185" s="4"/>
      <c r="AC185" s="355" t="str">
        <f t="shared" si="21"/>
        <v>Preço unit.</v>
      </c>
    </row>
    <row r="186" spans="1:29" ht="20.100000000000001" customHeight="1" x14ac:dyDescent="0.35">
      <c r="A186" t="s">
        <v>1242</v>
      </c>
      <c r="B186" t="s">
        <v>1243</v>
      </c>
      <c r="C186" s="603" t="s">
        <v>1243</v>
      </c>
      <c r="D186" s="1173" t="str">
        <f>CÁLCULOS!C767</f>
        <v>ENCARREGADO NA FABRICAÇÃO</v>
      </c>
      <c r="E186" s="75"/>
      <c r="F186" s="1174"/>
      <c r="G186" s="75"/>
      <c r="H186" s="1175"/>
      <c r="I186" s="1175"/>
      <c r="J186" s="75"/>
      <c r="K186" s="1674">
        <f ca="1">ROUNDUP(CÁLCULOS!L767+ROUNDUP(LAJES!H499,0),0)</f>
        <v>60</v>
      </c>
      <c r="L186" s="1675"/>
      <c r="M186" s="1675"/>
      <c r="N186" s="1676"/>
      <c r="O186" s="803" t="s">
        <v>101</v>
      </c>
      <c r="P186" s="71"/>
      <c r="Q186" s="1177">
        <f>IF(CÁLCULOS!$G$637="X",(CÁLCULOS!F438*1.25)*2.26/30,(CÁLCULOS!F438)*2.26/30)</f>
        <v>429.39999999999992</v>
      </c>
      <c r="R186" s="1177">
        <f t="shared" ref="R186:R194" ca="1" si="22">K186*Q186</f>
        <v>25763.999999999996</v>
      </c>
      <c r="V186" s="4"/>
      <c r="AB186" s="4"/>
      <c r="AC186" s="355">
        <f t="shared" si="21"/>
        <v>429.39999999999992</v>
      </c>
    </row>
    <row r="187" spans="1:29" ht="20.100000000000001" customHeight="1" x14ac:dyDescent="0.35">
      <c r="A187" t="s">
        <v>1244</v>
      </c>
      <c r="B187" t="s">
        <v>1245</v>
      </c>
      <c r="C187" s="603" t="s">
        <v>1245</v>
      </c>
      <c r="D187" s="1173" t="str">
        <f>CÁLCULOS!C768</f>
        <v>OFICIAL POLIVALENTE NA FABRICAÇÃO</v>
      </c>
      <c r="E187" s="75"/>
      <c r="F187" s="1174"/>
      <c r="G187" s="75"/>
      <c r="H187" s="1175"/>
      <c r="I187" s="1175"/>
      <c r="J187" s="75"/>
      <c r="K187" s="1674">
        <f ca="1">ROUNDUP(CÁLCULOS!L768+LAJES!H502,0)</f>
        <v>833</v>
      </c>
      <c r="L187" s="1675"/>
      <c r="M187" s="1675"/>
      <c r="N187" s="1676"/>
      <c r="O187" s="803" t="s">
        <v>101</v>
      </c>
      <c r="P187" s="71"/>
      <c r="Q187" s="1177">
        <f>IF(CÁLCULOS!$G$637="X",(CÁLCULOS!F436*1.25)*2.26/30,(CÁLCULOS!F436)*2.26/30)</f>
        <v>182.98466666666664</v>
      </c>
      <c r="R187" s="1177">
        <f t="shared" ca="1" si="22"/>
        <v>152426.22733333331</v>
      </c>
      <c r="AB187" s="4"/>
      <c r="AC187" s="355">
        <f t="shared" si="21"/>
        <v>182.98466666666664</v>
      </c>
    </row>
    <row r="188" spans="1:29" ht="20.100000000000001" customHeight="1" x14ac:dyDescent="0.35">
      <c r="C188" s="603" t="s">
        <v>1246</v>
      </c>
      <c r="D188" s="1173" t="str">
        <f>CÁLCULOS!C773</f>
        <v>ARMADOR ( polivalente ) NA FABRICAÇÃO</v>
      </c>
      <c r="E188" s="75"/>
      <c r="F188" s="1174"/>
      <c r="G188" s="75"/>
      <c r="H188" s="1175"/>
      <c r="I188" s="1175"/>
      <c r="J188" s="75"/>
      <c r="K188" s="1674">
        <f ca="1">ROUNDUP(CÁLCULOS!L773+LAJES!H505,0)</f>
        <v>95</v>
      </c>
      <c r="L188" s="1675"/>
      <c r="M188" s="1675"/>
      <c r="N188" s="1676"/>
      <c r="O188" s="803" t="s">
        <v>101</v>
      </c>
      <c r="P188" s="71"/>
      <c r="Q188" s="1177">
        <f>IF(CÁLCULOS!$G$637="X",(CÁLCULOS!F436*1.25)*2.26/30,(CÁLCULOS!F436)*2.26/30)</f>
        <v>182.98466666666664</v>
      </c>
      <c r="R188" s="1177">
        <f t="shared" ca="1" si="22"/>
        <v>17383.543333333331</v>
      </c>
      <c r="AB188" s="4"/>
      <c r="AC188" s="355"/>
    </row>
    <row r="189" spans="1:29" ht="20.100000000000001" customHeight="1" x14ac:dyDescent="0.35">
      <c r="A189" t="s">
        <v>1247</v>
      </c>
      <c r="B189" t="s">
        <v>1248</v>
      </c>
      <c r="C189" s="603" t="s">
        <v>1248</v>
      </c>
      <c r="D189" s="1173" t="str">
        <f>CÁLCULOS!C769</f>
        <v>AUXILIAR DE OBRAS NA FABRICAÇÃO</v>
      </c>
      <c r="E189" s="75"/>
      <c r="F189" s="1174"/>
      <c r="G189" s="75"/>
      <c r="H189" s="1175"/>
      <c r="I189" s="1175"/>
      <c r="J189" s="75"/>
      <c r="K189" s="1674">
        <f ca="1">ROUNDUP(CÁLCULOS!L769+LAJES!H503,0)</f>
        <v>119</v>
      </c>
      <c r="L189" s="1675"/>
      <c r="M189" s="1675"/>
      <c r="N189" s="1676"/>
      <c r="O189" s="803" t="s">
        <v>101</v>
      </c>
      <c r="P189" s="71"/>
      <c r="Q189" s="1177">
        <f>IF(CÁLCULOS!$G$637="X",(CÁLCULOS!F435*1.25)*2.26/30,(CÁLCULOS!F435)*2.26/30)</f>
        <v>112.99999999999999</v>
      </c>
      <c r="R189" s="1177">
        <f t="shared" ca="1" si="22"/>
        <v>13446.999999999998</v>
      </c>
      <c r="U189" s="647" t="s">
        <v>1047</v>
      </c>
      <c r="V189" s="7">
        <f ca="1">ROUNDUP(ROUNDUP(LAJES!H499,0),0)*Q186+ROUNDUP(LAJES!H502,0)*Q187+ROUNDUP(LAJES!H503,0)*Q189+ROUNDUP(LAJES!H504,0)*Q190+ROUNDUP(LAJES!H500,0)*Q191+ROUNDUP(LAJES!H501,0)*Q192+ROUNDUP(LAJES!H506,0)*Q193+ROUNDUP(LAJES!H507,0)*Q194+ROUNDUP(LAJES!H505,0)*Q188</f>
        <v>0</v>
      </c>
      <c r="X189" s="154">
        <f ca="1">ROUNDUP(ROUNDUP(CÁLCULOS!L767,0),0)*Q186+ROUNDUP(CÁLCULOS!L768,0)*Q187+ROUNDUP(CÁLCULOS!L769,0)*Q189+ROUNDUP(CÁLCULOS!L770,0)*Q190+ROUNDUP(CÁLCULOS!L771,0)*Q191+ROUNDUP(CÁLCULOS!L772,0)*Q192+ROUNDUP(CÁLCULOS!L773,0)*Q188+ROUNDUP(CÁLCULOS!L774,0)*Q193+ROUNDUP(CÁLCULOS!L775,0)*Q194</f>
        <v>452191.72333333327</v>
      </c>
      <c r="Y189" s="627" t="s">
        <v>1047</v>
      </c>
      <c r="AB189" s="4"/>
      <c r="AC189" s="355">
        <f t="shared" ref="AC189:AC220" si="23">Q189</f>
        <v>112.99999999999999</v>
      </c>
    </row>
    <row r="190" spans="1:29" ht="20.100000000000001" customHeight="1" x14ac:dyDescent="0.35">
      <c r="A190" t="s">
        <v>1249</v>
      </c>
      <c r="B190" t="s">
        <v>1250</v>
      </c>
      <c r="C190" s="603" t="s">
        <v>1250</v>
      </c>
      <c r="D190" s="1173" t="str">
        <f>CÁLCULOS!C770</f>
        <v>SOLDADOR NA FABRICAÇÃO</v>
      </c>
      <c r="E190" s="75"/>
      <c r="F190" s="1174"/>
      <c r="G190" s="75"/>
      <c r="H190" s="1175"/>
      <c r="I190" s="1175"/>
      <c r="J190" s="75"/>
      <c r="K190" s="1674">
        <f ca="1">ROUNDUP(CÁLCULOS!L770+LAJES!H504,0)</f>
        <v>437</v>
      </c>
      <c r="L190" s="1675"/>
      <c r="M190" s="1675"/>
      <c r="N190" s="1676"/>
      <c r="O190" s="803" t="s">
        <v>101</v>
      </c>
      <c r="P190" s="71"/>
      <c r="Q190" s="1177">
        <f>IF(CÁLCULOS!$G$637="X",(CÁLCULOS!F437*1.25)*2.26/30,(CÁLCULOS!F437)*2.26/30)</f>
        <v>182.98466666666664</v>
      </c>
      <c r="R190" s="1177">
        <f t="shared" ca="1" si="22"/>
        <v>79964.299333333329</v>
      </c>
      <c r="AB190" s="4"/>
      <c r="AC190" s="355">
        <f t="shared" si="23"/>
        <v>182.98466666666664</v>
      </c>
    </row>
    <row r="191" spans="1:29" ht="20.100000000000001" customHeight="1" x14ac:dyDescent="0.35">
      <c r="A191" t="s">
        <v>1251</v>
      </c>
      <c r="B191" t="s">
        <v>1252</v>
      </c>
      <c r="C191" s="603" t="s">
        <v>1252</v>
      </c>
      <c r="D191" s="1173" t="str">
        <f>CÁLCULOS!C771</f>
        <v>TÉCNICO EM EDIFICAÇÕES NA FABRICAÇÃO</v>
      </c>
      <c r="E191" s="75"/>
      <c r="F191" s="1174"/>
      <c r="G191" s="75"/>
      <c r="H191" s="1175"/>
      <c r="I191" s="1175"/>
      <c r="J191" s="75"/>
      <c r="K191" s="1674">
        <f ca="1">ROUNDUP(CÁLCULOS!L771+LAJES!H500,0)</f>
        <v>60</v>
      </c>
      <c r="L191" s="1675"/>
      <c r="M191" s="1675"/>
      <c r="N191" s="1676"/>
      <c r="O191" s="803" t="s">
        <v>101</v>
      </c>
      <c r="P191" s="71"/>
      <c r="Q191" s="1177">
        <f>IF(CÁLCULOS!$G$637="X",(CÁLCULOS!F440*1.25)*2.26/30,(CÁLCULOS!F440)*2.26/30)</f>
        <v>487.48199999999997</v>
      </c>
      <c r="R191" s="1177">
        <f t="shared" ca="1" si="22"/>
        <v>29248.92</v>
      </c>
      <c r="AB191" s="4"/>
      <c r="AC191" s="355">
        <f t="shared" si="23"/>
        <v>487.48199999999997</v>
      </c>
    </row>
    <row r="192" spans="1:29" ht="20.100000000000001" customHeight="1" x14ac:dyDescent="0.35">
      <c r="A192" t="s">
        <v>1253</v>
      </c>
      <c r="B192" t="s">
        <v>1254</v>
      </c>
      <c r="C192" s="603" t="s">
        <v>1254</v>
      </c>
      <c r="D192" s="1173" t="str">
        <f>CÁLCULOS!C772</f>
        <v>TÉCNICO DE SEGURANÇA NA FABRICAÇÃO</v>
      </c>
      <c r="E192" s="75"/>
      <c r="F192" s="1174"/>
      <c r="G192" s="75"/>
      <c r="H192" s="1175"/>
      <c r="I192" s="1175"/>
      <c r="J192" s="75"/>
      <c r="K192" s="1674">
        <f ca="1">ROUNDUP(CÁLCULOS!L772+LAJES!H501,0)</f>
        <v>55</v>
      </c>
      <c r="L192" s="1675"/>
      <c r="M192" s="1675"/>
      <c r="N192" s="1676"/>
      <c r="O192" s="803" t="s">
        <v>101</v>
      </c>
      <c r="P192" s="71"/>
      <c r="Q192" s="1177">
        <f>IF(CÁLCULOS!$G$637="X",(CÁLCULOS!F439*1.25)*2.26/30,(CÁLCULOS!F439)*2.26/30)</f>
        <v>319.4133333333333</v>
      </c>
      <c r="R192" s="1177">
        <f t="shared" ca="1" si="22"/>
        <v>17567.73333333333</v>
      </c>
      <c r="AB192" s="4"/>
      <c r="AC192" s="355">
        <f t="shared" si="23"/>
        <v>319.4133333333333</v>
      </c>
    </row>
    <row r="193" spans="1:29" ht="20.100000000000001" customHeight="1" x14ac:dyDescent="0.35">
      <c r="C193" s="603" t="s">
        <v>1255</v>
      </c>
      <c r="D193" s="1173" t="str">
        <f>CÁLCULOS!C774</f>
        <v>GESTOR DE FÁBRICA NA FABRICAÇÃO</v>
      </c>
      <c r="E193" s="75"/>
      <c r="F193" s="1174"/>
      <c r="G193" s="75"/>
      <c r="H193" s="1175"/>
      <c r="I193" s="1175"/>
      <c r="J193" s="75"/>
      <c r="K193" s="1674">
        <f ca="1">ROUNDUP(CÁLCULOS!L774+LAJES!H506,0)</f>
        <v>101</v>
      </c>
      <c r="L193" s="1675"/>
      <c r="M193" s="1675"/>
      <c r="N193" s="1676"/>
      <c r="O193" s="803" t="s">
        <v>101</v>
      </c>
      <c r="P193" s="71"/>
      <c r="Q193" s="1177">
        <f>IF(CÁLCULOS!$G$637="X",(CÁLCULOS!F441*1.25)*2.26/30,(CÁLCULOS!F441)*2.26/30)</f>
        <v>1016.9999999999999</v>
      </c>
      <c r="R193" s="1177">
        <f t="shared" ca="1" si="22"/>
        <v>102716.99999999999</v>
      </c>
      <c r="AB193" s="4"/>
      <c r="AC193" s="355">
        <f t="shared" si="23"/>
        <v>1016.9999999999999</v>
      </c>
    </row>
    <row r="194" spans="1:29" ht="20.100000000000001" customHeight="1" x14ac:dyDescent="0.35">
      <c r="C194" s="603" t="s">
        <v>1256</v>
      </c>
      <c r="D194" s="1173" t="str">
        <f>CÁLCULOS!C775</f>
        <v>ADM NA FABRICAÇÃO</v>
      </c>
      <c r="E194" s="75"/>
      <c r="F194" s="1174"/>
      <c r="G194" s="75"/>
      <c r="H194" s="1175"/>
      <c r="I194" s="1175"/>
      <c r="J194" s="75"/>
      <c r="K194" s="1674">
        <f ca="1">ROUNDUP(CÁLCULOS!L775+LAJES!H507,0)</f>
        <v>55</v>
      </c>
      <c r="L194" s="1675"/>
      <c r="M194" s="1675"/>
      <c r="N194" s="1676"/>
      <c r="O194" s="803" t="s">
        <v>101</v>
      </c>
      <c r="P194" s="71"/>
      <c r="Q194" s="1177">
        <f>IF(CÁLCULOS!$G$637="X",(CÁLCULOS!F442*1.25)*2.26/30,(CÁLCULOS!F442)*2.26/30)</f>
        <v>248.59999999999997</v>
      </c>
      <c r="R194" s="1177">
        <f t="shared" ca="1" si="22"/>
        <v>13672.999999999998</v>
      </c>
      <c r="AB194" s="4"/>
      <c r="AC194" s="355">
        <f t="shared" si="23"/>
        <v>248.59999999999997</v>
      </c>
    </row>
    <row r="195" spans="1:29" ht="20.100000000000001" customHeight="1" x14ac:dyDescent="0.35">
      <c r="D195" s="55"/>
      <c r="E195" s="25"/>
      <c r="F195" s="1169"/>
      <c r="G195" s="25"/>
      <c r="H195" s="1010"/>
      <c r="I195" s="1010"/>
      <c r="J195" s="25"/>
      <c r="K195" s="1603" t="s">
        <v>1257</v>
      </c>
      <c r="L195" s="1603"/>
      <c r="M195" s="1603"/>
      <c r="N195" s="1603"/>
      <c r="O195" s="1603"/>
      <c r="P195" s="1619"/>
      <c r="Q195" s="1668">
        <f ca="1">SUM(R186:R194)</f>
        <v>452191.72333333327</v>
      </c>
      <c r="R195" s="1669"/>
      <c r="AB195" s="4"/>
      <c r="AC195" s="355">
        <f t="shared" ca="1" si="23"/>
        <v>452191.72333333327</v>
      </c>
    </row>
    <row r="196" spans="1:29" ht="20.100000000000001" customHeight="1" x14ac:dyDescent="0.35">
      <c r="D196" s="25"/>
      <c r="E196" s="25"/>
      <c r="F196" s="25"/>
      <c r="G196" s="25"/>
      <c r="H196" s="25"/>
      <c r="I196" s="25"/>
      <c r="J196" s="25"/>
      <c r="K196" s="25"/>
      <c r="L196" s="25"/>
      <c r="M196" s="25"/>
      <c r="N196" s="25"/>
      <c r="O196" s="25"/>
      <c r="P196" s="25"/>
      <c r="Q196" s="76"/>
      <c r="R196" s="76"/>
      <c r="AB196" s="4"/>
      <c r="AC196" s="355">
        <f t="shared" si="23"/>
        <v>0</v>
      </c>
    </row>
    <row r="197" spans="1:29" ht="20.100000000000001" customHeight="1" x14ac:dyDescent="0.35">
      <c r="D197" s="1470" t="str">
        <f>CÁLCULOS!C565</f>
        <v xml:space="preserve">MONTAGEM COMPLETA - MATERIAIS E EQUIPAMENTOS DE SEGURANÇA </v>
      </c>
      <c r="E197" s="1470">
        <f>CÁLCULOS!D565</f>
        <v>0</v>
      </c>
      <c r="F197" s="1470">
        <f>CÁLCULOS!E565</f>
        <v>0</v>
      </c>
      <c r="G197" s="1470">
        <f>CÁLCULOS!F565</f>
        <v>0</v>
      </c>
      <c r="H197" s="1470">
        <f>CÁLCULOS!G565</f>
        <v>0</v>
      </c>
      <c r="I197" s="1470">
        <f>CÁLCULOS!H565</f>
        <v>0</v>
      </c>
      <c r="J197" s="1470">
        <f>CÁLCULOS!I565</f>
        <v>0</v>
      </c>
      <c r="K197" s="1606" t="s">
        <v>275</v>
      </c>
      <c r="L197" s="1607"/>
      <c r="M197" s="1607"/>
      <c r="N197" s="1608"/>
      <c r="O197" s="1324" t="s">
        <v>891</v>
      </c>
      <c r="P197" s="1326"/>
      <c r="Q197" s="1172" t="s">
        <v>1022</v>
      </c>
      <c r="R197" s="1172" t="s">
        <v>1023</v>
      </c>
      <c r="AB197" s="4"/>
      <c r="AC197" s="355" t="str">
        <f t="shared" si="23"/>
        <v>Preço unit.</v>
      </c>
    </row>
    <row r="198" spans="1:29" ht="20.100000000000001" customHeight="1" x14ac:dyDescent="0.35">
      <c r="A198" t="s">
        <v>1258</v>
      </c>
      <c r="B198" t="s">
        <v>1259</v>
      </c>
      <c r="C198" s="603" t="s">
        <v>1259</v>
      </c>
      <c r="D198" s="1178" t="str">
        <f>CÁLCULOS!C566</f>
        <v>CALÇA UNIFORME NA MONTAGEM</v>
      </c>
      <c r="E198" s="68"/>
      <c r="F198" s="68"/>
      <c r="G198" s="68"/>
      <c r="H198" s="68"/>
      <c r="I198" s="68"/>
      <c r="J198" s="68"/>
      <c r="K198" s="1737">
        <f ca="1">CÁLCULOS!L566+LAJES!K274</f>
        <v>15</v>
      </c>
      <c r="L198" s="1737"/>
      <c r="M198" s="1737"/>
      <c r="N198" s="1737"/>
      <c r="O198" s="70" t="str">
        <f>CÁLCULOS!M566</f>
        <v>unid.</v>
      </c>
      <c r="P198" s="71"/>
      <c r="Q198" s="808">
        <v>55</v>
      </c>
      <c r="R198" s="1177">
        <f t="shared" ref="R198:R213" ca="1" si="24">K198*Q198</f>
        <v>825</v>
      </c>
      <c r="AB198" s="4"/>
      <c r="AC198" s="355">
        <f t="shared" si="23"/>
        <v>55</v>
      </c>
    </row>
    <row r="199" spans="1:29" ht="20.100000000000001" customHeight="1" x14ac:dyDescent="0.35">
      <c r="A199" t="s">
        <v>1258</v>
      </c>
      <c r="B199" t="s">
        <v>1260</v>
      </c>
      <c r="C199" s="603" t="s">
        <v>1260</v>
      </c>
      <c r="D199" s="1178" t="str">
        <f>CÁLCULOS!C567</f>
        <v>CAMISA UNIFORME NA MONTAGEM</v>
      </c>
      <c r="E199" s="68"/>
      <c r="F199" s="68"/>
      <c r="G199" s="68"/>
      <c r="H199" s="68"/>
      <c r="I199" s="68"/>
      <c r="J199" s="68"/>
      <c r="K199" s="1737">
        <f ca="1">CÁLCULOS!L567+LAJES!K275</f>
        <v>16</v>
      </c>
      <c r="L199" s="1737"/>
      <c r="M199" s="1737"/>
      <c r="N199" s="1737"/>
      <c r="O199" s="70" t="str">
        <f>CÁLCULOS!M567</f>
        <v>unid.</v>
      </c>
      <c r="P199" s="71"/>
      <c r="Q199" s="808">
        <v>55</v>
      </c>
      <c r="R199" s="1177">
        <f t="shared" ca="1" si="24"/>
        <v>880</v>
      </c>
      <c r="AB199" s="4"/>
      <c r="AC199" s="355">
        <f t="shared" si="23"/>
        <v>55</v>
      </c>
    </row>
    <row r="200" spans="1:29" ht="20.100000000000001" customHeight="1" x14ac:dyDescent="0.35">
      <c r="A200" t="s">
        <v>1261</v>
      </c>
      <c r="B200" t="s">
        <v>1262</v>
      </c>
      <c r="C200" s="603" t="s">
        <v>1262</v>
      </c>
      <c r="D200" s="1178" t="str">
        <f>CÁLCULOS!C568</f>
        <v>BOTA DE BORRACHA NA MONTAGEM</v>
      </c>
      <c r="E200" s="68"/>
      <c r="F200" s="68"/>
      <c r="G200" s="68"/>
      <c r="H200" s="68"/>
      <c r="I200" s="68"/>
      <c r="J200" s="68"/>
      <c r="K200" s="1674">
        <f ca="1">CÁLCULOS!L568+LAJES!K276</f>
        <v>21</v>
      </c>
      <c r="L200" s="1675"/>
      <c r="M200" s="1675"/>
      <c r="N200" s="1676"/>
      <c r="O200" s="70" t="str">
        <f>CÁLCULOS!M568</f>
        <v>unid.</v>
      </c>
      <c r="P200" s="71"/>
      <c r="Q200" s="808">
        <v>57</v>
      </c>
      <c r="R200" s="1177">
        <f t="shared" ca="1" si="24"/>
        <v>1197</v>
      </c>
      <c r="AB200" s="4"/>
      <c r="AC200" s="355">
        <f t="shared" si="23"/>
        <v>57</v>
      </c>
    </row>
    <row r="201" spans="1:29" ht="20.100000000000001" customHeight="1" x14ac:dyDescent="0.35">
      <c r="A201" t="s">
        <v>1261</v>
      </c>
      <c r="B201" t="s">
        <v>1263</v>
      </c>
      <c r="C201" s="603" t="s">
        <v>1263</v>
      </c>
      <c r="D201" s="1178" t="str">
        <f>CÁLCULOS!C569</f>
        <v>BOTA DE COURO NA MONTAGEM</v>
      </c>
      <c r="E201" s="68"/>
      <c r="F201" s="68"/>
      <c r="G201" s="68"/>
      <c r="H201" s="68"/>
      <c r="I201" s="68"/>
      <c r="J201" s="68"/>
      <c r="K201" s="1674">
        <f ca="1">CÁLCULOS!L569+LAJES!K277</f>
        <v>31</v>
      </c>
      <c r="L201" s="1675"/>
      <c r="M201" s="1675"/>
      <c r="N201" s="1676"/>
      <c r="O201" s="70" t="str">
        <f>CÁLCULOS!M569</f>
        <v>unid.</v>
      </c>
      <c r="P201" s="71"/>
      <c r="Q201" s="808">
        <v>130</v>
      </c>
      <c r="R201" s="1177">
        <f t="shared" ca="1" si="24"/>
        <v>4030</v>
      </c>
      <c r="AB201" s="4"/>
      <c r="AC201" s="355">
        <f t="shared" si="23"/>
        <v>130</v>
      </c>
    </row>
    <row r="202" spans="1:29" ht="20.100000000000001" customHeight="1" x14ac:dyDescent="0.35">
      <c r="A202" t="s">
        <v>1264</v>
      </c>
      <c r="B202" t="s">
        <v>1265</v>
      </c>
      <c r="C202" s="603" t="s">
        <v>1265</v>
      </c>
      <c r="D202" s="1178" t="str">
        <f>CÁLCULOS!C570</f>
        <v>CAPACETE NA MONTAGEM</v>
      </c>
      <c r="E202" s="68"/>
      <c r="F202" s="68"/>
      <c r="G202" s="68"/>
      <c r="H202" s="68"/>
      <c r="I202" s="68"/>
      <c r="J202" s="68"/>
      <c r="K202" s="1674">
        <f ca="1">CÁLCULOS!L570+LAJES!K278</f>
        <v>8</v>
      </c>
      <c r="L202" s="1675"/>
      <c r="M202" s="1675"/>
      <c r="N202" s="1676"/>
      <c r="O202" s="70" t="str">
        <f>CÁLCULOS!M570</f>
        <v>unid.</v>
      </c>
      <c r="P202" s="71"/>
      <c r="Q202" s="808">
        <v>70</v>
      </c>
      <c r="R202" s="1177">
        <f t="shared" ca="1" si="24"/>
        <v>560</v>
      </c>
      <c r="AB202" s="4"/>
      <c r="AC202" s="355">
        <f t="shared" si="23"/>
        <v>70</v>
      </c>
    </row>
    <row r="203" spans="1:29" ht="20.100000000000001" customHeight="1" x14ac:dyDescent="0.35">
      <c r="A203" t="s">
        <v>1266</v>
      </c>
      <c r="B203" t="s">
        <v>1267</v>
      </c>
      <c r="C203" s="603" t="s">
        <v>1267</v>
      </c>
      <c r="D203" s="1178" t="str">
        <f>CÁLCULOS!C571</f>
        <v>PROTETOR AURICULA NA MONTAGEM</v>
      </c>
      <c r="E203" s="68"/>
      <c r="F203" s="68"/>
      <c r="G203" s="68"/>
      <c r="H203" s="68"/>
      <c r="I203" s="68"/>
      <c r="J203" s="68"/>
      <c r="K203" s="1674">
        <f ca="1">CÁLCULOS!L571+LAJES!K279</f>
        <v>52</v>
      </c>
      <c r="L203" s="1675"/>
      <c r="M203" s="1675"/>
      <c r="N203" s="1676"/>
      <c r="O203" s="70" t="str">
        <f>CÁLCULOS!M571</f>
        <v>unid.</v>
      </c>
      <c r="P203" s="71"/>
      <c r="Q203" s="808">
        <v>4</v>
      </c>
      <c r="R203" s="1177">
        <f t="shared" ca="1" si="24"/>
        <v>208</v>
      </c>
      <c r="AB203" s="4"/>
      <c r="AC203" s="355">
        <f t="shared" si="23"/>
        <v>4</v>
      </c>
    </row>
    <row r="204" spans="1:29" ht="20.100000000000001" customHeight="1" x14ac:dyDescent="0.35">
      <c r="A204" t="s">
        <v>1268</v>
      </c>
      <c r="B204" t="s">
        <v>1269</v>
      </c>
      <c r="C204" s="603" t="s">
        <v>1269</v>
      </c>
      <c r="D204" s="1178" t="str">
        <f>CÁLCULOS!C572</f>
        <v>ÓCULOS DE SEGURANÇA NA MONTAGEM</v>
      </c>
      <c r="E204" s="68"/>
      <c r="F204" s="68"/>
      <c r="G204" s="68"/>
      <c r="H204" s="68"/>
      <c r="I204" s="68"/>
      <c r="J204" s="68"/>
      <c r="K204" s="1674">
        <f ca="1">CÁLCULOS!L572+LAJES!K280</f>
        <v>52</v>
      </c>
      <c r="L204" s="1675"/>
      <c r="M204" s="1675"/>
      <c r="N204" s="1676"/>
      <c r="O204" s="70" t="str">
        <f>CÁLCULOS!M572</f>
        <v>unid.</v>
      </c>
      <c r="P204" s="71"/>
      <c r="Q204" s="808">
        <v>4.5</v>
      </c>
      <c r="R204" s="1177">
        <f t="shared" ca="1" si="24"/>
        <v>234</v>
      </c>
      <c r="AB204" s="4"/>
      <c r="AC204" s="355">
        <f t="shared" si="23"/>
        <v>4.5</v>
      </c>
    </row>
    <row r="205" spans="1:29" ht="20.100000000000001" customHeight="1" x14ac:dyDescent="0.35">
      <c r="A205" t="s">
        <v>1270</v>
      </c>
      <c r="B205" t="s">
        <v>1271</v>
      </c>
      <c r="C205" s="603" t="s">
        <v>1271</v>
      </c>
      <c r="D205" s="1178" t="str">
        <f>CÁLCULOS!C573</f>
        <v>LUVA DE PIGMENTO NA MONTAGEM</v>
      </c>
      <c r="E205" s="68"/>
      <c r="F205" s="68"/>
      <c r="G205" s="68"/>
      <c r="H205" s="68"/>
      <c r="I205" s="68"/>
      <c r="J205" s="68"/>
      <c r="K205" s="1674">
        <f ca="1">CÁLCULOS!L573+LAJES!K281</f>
        <v>31</v>
      </c>
      <c r="L205" s="1675"/>
      <c r="M205" s="1675"/>
      <c r="N205" s="1676"/>
      <c r="O205" s="70" t="str">
        <f>CÁLCULOS!M573</f>
        <v>unid.</v>
      </c>
      <c r="P205" s="71"/>
      <c r="Q205" s="808">
        <v>5</v>
      </c>
      <c r="R205" s="1177">
        <f t="shared" ca="1" si="24"/>
        <v>155</v>
      </c>
      <c r="AB205" s="4"/>
      <c r="AC205" s="355">
        <f t="shared" si="23"/>
        <v>5</v>
      </c>
    </row>
    <row r="206" spans="1:29" ht="20.100000000000001" customHeight="1" x14ac:dyDescent="0.35">
      <c r="A206" t="s">
        <v>1272</v>
      </c>
      <c r="B206" t="s">
        <v>1273</v>
      </c>
      <c r="C206" s="603" t="s">
        <v>1273</v>
      </c>
      <c r="D206" s="1178" t="str">
        <f>CÁLCULOS!C574</f>
        <v>LUVA DE RASPA NA MONTAGEM</v>
      </c>
      <c r="E206" s="68"/>
      <c r="F206" s="68"/>
      <c r="G206" s="68"/>
      <c r="H206" s="68"/>
      <c r="I206" s="68"/>
      <c r="J206" s="68"/>
      <c r="K206" s="1674">
        <f ca="1">CÁLCULOS!L574+LAJES!K282</f>
        <v>31</v>
      </c>
      <c r="L206" s="1675"/>
      <c r="M206" s="1675"/>
      <c r="N206" s="1676"/>
      <c r="O206" s="70" t="str">
        <f>CÁLCULOS!M574</f>
        <v>unid.</v>
      </c>
      <c r="P206" s="71"/>
      <c r="Q206" s="808">
        <v>13</v>
      </c>
      <c r="R206" s="1177">
        <f t="shared" ca="1" si="24"/>
        <v>403</v>
      </c>
      <c r="AB206" s="4"/>
      <c r="AC206" s="355">
        <f t="shared" si="23"/>
        <v>13</v>
      </c>
    </row>
    <row r="207" spans="1:29" ht="20.100000000000001" customHeight="1" x14ac:dyDescent="0.35">
      <c r="A207" t="s">
        <v>1274</v>
      </c>
      <c r="B207" t="s">
        <v>1275</v>
      </c>
      <c r="C207" s="603" t="s">
        <v>1275</v>
      </c>
      <c r="D207" s="1178" t="str">
        <f>CÁLCULOS!C575</f>
        <v>LUVA DE PVC NA MONTAGEM</v>
      </c>
      <c r="E207" s="68"/>
      <c r="F207" s="68"/>
      <c r="G207" s="68"/>
      <c r="H207" s="68"/>
      <c r="I207" s="68"/>
      <c r="J207" s="68"/>
      <c r="K207" s="1674">
        <f ca="1">CÁLCULOS!L575+LAJES!K283</f>
        <v>31</v>
      </c>
      <c r="L207" s="1675"/>
      <c r="M207" s="1675"/>
      <c r="N207" s="1676"/>
      <c r="O207" s="70" t="str">
        <f>CÁLCULOS!M575</f>
        <v>unid.</v>
      </c>
      <c r="P207" s="71"/>
      <c r="Q207" s="808">
        <v>10</v>
      </c>
      <c r="R207" s="1177">
        <f t="shared" ca="1" si="24"/>
        <v>310</v>
      </c>
      <c r="U207" s="647" t="s">
        <v>1050</v>
      </c>
      <c r="V207" s="7">
        <f ca="1">LAJES!K274*Q198+LAJES!K275*Q199+LAJES!K276*Q200+LAJES!K277*Q201+LAJES!K278*Q202+LAJES!K279*Q203+LAJES!K280*Q204+LAJES!K281*Q205+LAJES!K282*Q206+LAJES!K283*Q207+LAJES!K284*Q208+LAJES!K285*Q209+LAJES!K286*Q210+LAJES!K287*Q211+LAJES!K288*Q212+LAJES!K289*Q213</f>
        <v>0</v>
      </c>
      <c r="X207" s="7">
        <f ca="1">CÁLCULOS!L566*Q198+CÁLCULOS!L567*Q199+CÁLCULOS!L568*Q200+CÁLCULOS!L569*Q201+CÁLCULOS!L570*Q202+CÁLCULOS!L571*Q203+CÁLCULOS!L572*Q204+CÁLCULOS!L573*Q205+CÁLCULOS!L574*Q206+CÁLCULOS!L575*Q207+CÁLCULOS!L576*Q208+CÁLCULOS!L577*Q209+CÁLCULOS!L578*Q210+CÁLCULOS!L579*Q211+CÁLCULOS!L580*Q212+CÁLCULOS!L581*Q213</f>
        <v>14639.6</v>
      </c>
      <c r="Y207" s="627" t="s">
        <v>1050</v>
      </c>
      <c r="AB207" s="4"/>
      <c r="AC207" s="355">
        <f t="shared" si="23"/>
        <v>10</v>
      </c>
    </row>
    <row r="208" spans="1:29" ht="20.100000000000001" customHeight="1" x14ac:dyDescent="0.35">
      <c r="A208" t="s">
        <v>1276</v>
      </c>
      <c r="B208" t="s">
        <v>1277</v>
      </c>
      <c r="C208" s="603" t="s">
        <v>1277</v>
      </c>
      <c r="D208" s="1178" t="str">
        <f>CÁLCULOS!C576</f>
        <v>AVENTAL DE SEGURANÇA NA MONTAGEM</v>
      </c>
      <c r="E208" s="68"/>
      <c r="F208" s="68"/>
      <c r="G208" s="68"/>
      <c r="H208" s="68"/>
      <c r="I208" s="68"/>
      <c r="J208" s="68"/>
      <c r="K208" s="1674">
        <f ca="1">CÁLCULOS!L576+LAJES!K284</f>
        <v>16</v>
      </c>
      <c r="L208" s="1675"/>
      <c r="M208" s="1675"/>
      <c r="N208" s="1676"/>
      <c r="O208" s="70" t="str">
        <f>CÁLCULOS!M576</f>
        <v>unid.</v>
      </c>
      <c r="P208" s="71"/>
      <c r="Q208" s="808">
        <v>30</v>
      </c>
      <c r="R208" s="1177">
        <f t="shared" ca="1" si="24"/>
        <v>480</v>
      </c>
      <c r="AB208" s="4"/>
      <c r="AC208" s="355">
        <f t="shared" si="23"/>
        <v>30</v>
      </c>
    </row>
    <row r="209" spans="1:29" ht="20.100000000000001" customHeight="1" x14ac:dyDescent="0.35">
      <c r="A209" t="s">
        <v>1278</v>
      </c>
      <c r="B209" t="s">
        <v>1279</v>
      </c>
      <c r="C209" s="603" t="s">
        <v>1279</v>
      </c>
      <c r="D209" s="1178" t="str">
        <f>CÁLCULOS!C577</f>
        <v>MASCARA PARA PÓ NA MONTAGEM</v>
      </c>
      <c r="E209" s="68"/>
      <c r="F209" s="68"/>
      <c r="G209" s="68"/>
      <c r="H209" s="68"/>
      <c r="I209" s="68"/>
      <c r="J209" s="68"/>
      <c r="K209" s="1674">
        <f ca="1">CÁLCULOS!L577+LAJES!K285</f>
        <v>105</v>
      </c>
      <c r="L209" s="1675"/>
      <c r="M209" s="1675"/>
      <c r="N209" s="1676"/>
      <c r="O209" s="70" t="str">
        <f>CÁLCULOS!M577</f>
        <v>unid.</v>
      </c>
      <c r="P209" s="71"/>
      <c r="Q209" s="808">
        <v>4</v>
      </c>
      <c r="R209" s="1177">
        <f t="shared" ca="1" si="24"/>
        <v>420</v>
      </c>
      <c r="AB209" s="4"/>
      <c r="AC209" s="355">
        <f t="shared" si="23"/>
        <v>4</v>
      </c>
    </row>
    <row r="210" spans="1:29" ht="20.100000000000001" customHeight="1" x14ac:dyDescent="0.35">
      <c r="A210" t="s">
        <v>1280</v>
      </c>
      <c r="B210" t="s">
        <v>1281</v>
      </c>
      <c r="C210" s="603" t="s">
        <v>1281</v>
      </c>
      <c r="D210" s="1178" t="str">
        <f>CÁLCULOS!C578</f>
        <v>PROTETOR FACIAL NA MONTAGEM</v>
      </c>
      <c r="E210" s="68"/>
      <c r="F210" s="68"/>
      <c r="G210" s="68"/>
      <c r="H210" s="68"/>
      <c r="I210" s="68"/>
      <c r="J210" s="68"/>
      <c r="K210" s="1674">
        <f ca="1">CÁLCULOS!L578+LAJES!K286</f>
        <v>16</v>
      </c>
      <c r="L210" s="1675"/>
      <c r="M210" s="1675"/>
      <c r="N210" s="1676"/>
      <c r="O210" s="70" t="str">
        <f>CÁLCULOS!M578</f>
        <v>unid.</v>
      </c>
      <c r="P210" s="71"/>
      <c r="Q210" s="808">
        <v>80</v>
      </c>
      <c r="R210" s="1177">
        <f t="shared" ca="1" si="24"/>
        <v>1280</v>
      </c>
      <c r="AB210" s="4"/>
      <c r="AC210" s="355">
        <f t="shared" si="23"/>
        <v>80</v>
      </c>
    </row>
    <row r="211" spans="1:29" ht="20.100000000000001" customHeight="1" x14ac:dyDescent="0.35">
      <c r="A211" t="s">
        <v>1282</v>
      </c>
      <c r="B211" t="s">
        <v>1283</v>
      </c>
      <c r="C211" s="603" t="s">
        <v>1283</v>
      </c>
      <c r="D211" s="1178" t="str">
        <f>CÁLCULOS!C579</f>
        <v>CINTO DE SEGURANÇA NA MONTAGEM</v>
      </c>
      <c r="E211" s="68"/>
      <c r="F211" s="68"/>
      <c r="G211" s="68"/>
      <c r="H211" s="68"/>
      <c r="I211" s="68"/>
      <c r="J211" s="68"/>
      <c r="K211" s="1674">
        <f ca="1">CÁLCULOS!L579+LAJES!K287</f>
        <v>8</v>
      </c>
      <c r="L211" s="1675"/>
      <c r="M211" s="1675"/>
      <c r="N211" s="1676"/>
      <c r="O211" s="70" t="str">
        <f>CÁLCULOS!M579</f>
        <v>unid.</v>
      </c>
      <c r="P211" s="71"/>
      <c r="Q211" s="808">
        <v>190</v>
      </c>
      <c r="R211" s="1177">
        <f t="shared" ca="1" si="24"/>
        <v>1520</v>
      </c>
      <c r="AB211" s="4"/>
      <c r="AC211" s="355">
        <f t="shared" si="23"/>
        <v>190</v>
      </c>
    </row>
    <row r="212" spans="1:29" ht="20.100000000000001" customHeight="1" x14ac:dyDescent="0.35">
      <c r="A212" t="s">
        <v>1284</v>
      </c>
      <c r="B212" t="s">
        <v>1285</v>
      </c>
      <c r="C212" s="603" t="s">
        <v>1285</v>
      </c>
      <c r="D212" s="1178" t="str">
        <f>CÁLCULOS!C580</f>
        <v>TRAVA QUEDA NA MONTAGEM</v>
      </c>
      <c r="E212" s="68"/>
      <c r="F212" s="68"/>
      <c r="G212" s="68"/>
      <c r="H212" s="68"/>
      <c r="I212" s="68"/>
      <c r="J212" s="68"/>
      <c r="K212" s="1674">
        <f ca="1">CÁLCULOS!L580+LAJES!K288</f>
        <v>4</v>
      </c>
      <c r="L212" s="1675"/>
      <c r="M212" s="1675"/>
      <c r="N212" s="1676"/>
      <c r="O212" s="70" t="str">
        <f>CÁLCULOS!M580</f>
        <v>unid.</v>
      </c>
      <c r="P212" s="71"/>
      <c r="Q212" s="808">
        <v>88</v>
      </c>
      <c r="R212" s="1177">
        <f t="shared" ca="1" si="24"/>
        <v>352</v>
      </c>
      <c r="AB212" s="4"/>
      <c r="AC212" s="355">
        <f t="shared" si="23"/>
        <v>88</v>
      </c>
    </row>
    <row r="213" spans="1:29" ht="20.100000000000001" customHeight="1" x14ac:dyDescent="0.35">
      <c r="A213" t="s">
        <v>1286</v>
      </c>
      <c r="B213" t="s">
        <v>1287</v>
      </c>
      <c r="C213" s="603" t="s">
        <v>1287</v>
      </c>
      <c r="D213" s="1178" t="str">
        <f>CÁLCULOS!C581</f>
        <v>CERQUITE H=1,20m NA MONTAGEM</v>
      </c>
      <c r="E213" s="68"/>
      <c r="F213" s="68"/>
      <c r="G213" s="68"/>
      <c r="H213" s="68"/>
      <c r="I213" s="68"/>
      <c r="J213" s="68"/>
      <c r="K213" s="1674">
        <f ca="1">CÁLCULOS!L581+LAJES!K289</f>
        <v>1190.3999999999999</v>
      </c>
      <c r="L213" s="1675"/>
      <c r="M213" s="1675"/>
      <c r="N213" s="1676"/>
      <c r="O213" s="70" t="str">
        <f>CÁLCULOS!M581</f>
        <v>m²</v>
      </c>
      <c r="P213" s="71"/>
      <c r="Q213" s="808">
        <v>1.5</v>
      </c>
      <c r="R213" s="1177">
        <f t="shared" ca="1" si="24"/>
        <v>1785.6</v>
      </c>
      <c r="AB213" s="4"/>
      <c r="AC213" s="355">
        <f t="shared" si="23"/>
        <v>1.5</v>
      </c>
    </row>
    <row r="214" spans="1:29" ht="20.100000000000001" customHeight="1" x14ac:dyDescent="0.35">
      <c r="D214" s="25"/>
      <c r="E214" s="25"/>
      <c r="F214" s="25"/>
      <c r="G214" s="25"/>
      <c r="H214" s="25"/>
      <c r="I214" s="25"/>
      <c r="J214" s="25"/>
      <c r="K214" s="1603" t="s">
        <v>1288</v>
      </c>
      <c r="L214" s="1603"/>
      <c r="M214" s="1603"/>
      <c r="N214" s="1603"/>
      <c r="O214" s="1603"/>
      <c r="P214" s="1619"/>
      <c r="Q214" s="1668">
        <f ca="1">SUM(R198:R213)</f>
        <v>14639.6</v>
      </c>
      <c r="R214" s="1669"/>
      <c r="AB214" s="4"/>
      <c r="AC214" s="355">
        <f t="shared" ca="1" si="23"/>
        <v>14639.6</v>
      </c>
    </row>
    <row r="215" spans="1:29" ht="20.100000000000001" customHeight="1" x14ac:dyDescent="0.35">
      <c r="D215" s="25"/>
      <c r="E215" s="25"/>
      <c r="F215" s="25"/>
      <c r="G215" s="25"/>
      <c r="H215" s="25"/>
      <c r="I215" s="25"/>
      <c r="J215" s="25"/>
      <c r="K215" s="25"/>
      <c r="L215" s="25"/>
      <c r="M215" s="25"/>
      <c r="N215" s="25"/>
      <c r="O215" s="25"/>
      <c r="P215" s="25"/>
      <c r="Q215" s="76"/>
      <c r="R215" s="76"/>
      <c r="AB215" s="4"/>
      <c r="AC215" s="355">
        <f t="shared" si="23"/>
        <v>0</v>
      </c>
    </row>
    <row r="216" spans="1:29" ht="20.100000000000001" customHeight="1" x14ac:dyDescent="0.35">
      <c r="C216" s="1079" t="s">
        <v>1020</v>
      </c>
      <c r="D216" s="1470" t="s">
        <v>628</v>
      </c>
      <c r="E216" s="1470"/>
      <c r="F216" s="1470"/>
      <c r="G216" s="1470"/>
      <c r="H216" s="1470"/>
      <c r="I216" s="1470"/>
      <c r="J216" s="1470"/>
      <c r="K216" s="1606" t="s">
        <v>275</v>
      </c>
      <c r="L216" s="1607"/>
      <c r="M216" s="1607"/>
      <c r="N216" s="1608"/>
      <c r="O216" s="1324" t="s">
        <v>891</v>
      </c>
      <c r="P216" s="1326"/>
      <c r="Q216" s="1172" t="s">
        <v>1022</v>
      </c>
      <c r="R216" s="1172" t="s">
        <v>1023</v>
      </c>
      <c r="AB216" s="4"/>
      <c r="AC216" s="355" t="str">
        <f t="shared" si="23"/>
        <v>Preço unit.</v>
      </c>
    </row>
    <row r="217" spans="1:29" ht="20.100000000000001" customHeight="1" x14ac:dyDescent="0.35">
      <c r="A217" t="s">
        <v>1289</v>
      </c>
      <c r="B217" t="s">
        <v>1290</v>
      </c>
      <c r="C217" s="603" t="s">
        <v>1290</v>
      </c>
      <c r="D217" s="1178" t="str">
        <f>CÁLCULOS!C778</f>
        <v>CALÇA UNIFORME NA FABRICAÇÃO</v>
      </c>
      <c r="E217" s="68"/>
      <c r="F217" s="68"/>
      <c r="G217" s="68"/>
      <c r="H217" s="68"/>
      <c r="I217" s="68"/>
      <c r="J217" s="68"/>
      <c r="K217" s="1613">
        <f ca="1">CÁLCULOS!L778+LAJES!K541</f>
        <v>8</v>
      </c>
      <c r="L217" s="1614"/>
      <c r="M217" s="1614"/>
      <c r="N217" s="1615"/>
      <c r="O217" s="1626" t="str">
        <f>CÁLCULOS!M778</f>
        <v>unid.</v>
      </c>
      <c r="P217" s="1627"/>
      <c r="Q217" s="808">
        <f>Q198</f>
        <v>55</v>
      </c>
      <c r="R217" s="1177">
        <f ca="1">K217*Q217</f>
        <v>440</v>
      </c>
      <c r="AB217" s="4"/>
      <c r="AC217" s="355">
        <f t="shared" si="23"/>
        <v>55</v>
      </c>
    </row>
    <row r="218" spans="1:29" ht="20.100000000000001" customHeight="1" x14ac:dyDescent="0.35">
      <c r="A218" t="s">
        <v>1291</v>
      </c>
      <c r="B218" t="s">
        <v>1292</v>
      </c>
      <c r="C218" s="603" t="s">
        <v>1292</v>
      </c>
      <c r="D218" s="1178" t="str">
        <f>CÁLCULOS!C779</f>
        <v>CAMISA UNIFORME NA FABRICAÇÃO</v>
      </c>
      <c r="E218" s="68"/>
      <c r="F218" s="68"/>
      <c r="G218" s="68"/>
      <c r="H218" s="68"/>
      <c r="I218" s="68"/>
      <c r="J218" s="68"/>
      <c r="K218" s="1613">
        <f ca="1">CÁLCULOS!L779+LAJES!K542</f>
        <v>8</v>
      </c>
      <c r="L218" s="1614"/>
      <c r="M218" s="1614"/>
      <c r="N218" s="1615"/>
      <c r="O218" s="1626" t="str">
        <f>CÁLCULOS!M779</f>
        <v>unid.</v>
      </c>
      <c r="P218" s="1627"/>
      <c r="Q218" s="808">
        <f t="shared" ref="Q218:Q226" si="25">Q199</f>
        <v>55</v>
      </c>
      <c r="R218" s="1177">
        <f ca="1">K218*Q218</f>
        <v>440</v>
      </c>
      <c r="AB218" s="4"/>
      <c r="AC218" s="355">
        <f t="shared" si="23"/>
        <v>55</v>
      </c>
    </row>
    <row r="219" spans="1:29" ht="20.100000000000001" customHeight="1" x14ac:dyDescent="0.35">
      <c r="A219" t="s">
        <v>1293</v>
      </c>
      <c r="B219" t="s">
        <v>1294</v>
      </c>
      <c r="C219" s="603" t="s">
        <v>1294</v>
      </c>
      <c r="D219" s="1178" t="str">
        <f>CÁLCULOS!C780</f>
        <v>BOTA DE BORRACHA NA FABRICAÇÃO</v>
      </c>
      <c r="E219" s="68"/>
      <c r="F219" s="68"/>
      <c r="G219" s="68"/>
      <c r="H219" s="68"/>
      <c r="I219" s="68"/>
      <c r="J219" s="68"/>
      <c r="K219" s="1613">
        <f ca="1">CÁLCULOS!L780+LAJES!K543</f>
        <v>9</v>
      </c>
      <c r="L219" s="1614"/>
      <c r="M219" s="1614"/>
      <c r="N219" s="1615"/>
      <c r="O219" s="1626" t="str">
        <f>CÁLCULOS!M780</f>
        <v>unid.</v>
      </c>
      <c r="P219" s="1627"/>
      <c r="Q219" s="808">
        <f t="shared" si="25"/>
        <v>57</v>
      </c>
      <c r="R219" s="1177">
        <f ca="1">K219*Q219</f>
        <v>513</v>
      </c>
      <c r="AB219" s="4"/>
      <c r="AC219" s="355">
        <f t="shared" si="23"/>
        <v>57</v>
      </c>
    </row>
    <row r="220" spans="1:29" ht="20.100000000000001" customHeight="1" x14ac:dyDescent="0.35">
      <c r="A220" t="s">
        <v>1293</v>
      </c>
      <c r="B220" t="s">
        <v>1295</v>
      </c>
      <c r="C220" s="603" t="s">
        <v>1295</v>
      </c>
      <c r="D220" s="1178" t="str">
        <f>CÁLCULOS!C781</f>
        <v>BOTA DE COURO NA FABRICAÇÃO</v>
      </c>
      <c r="E220" s="68"/>
      <c r="F220" s="68"/>
      <c r="G220" s="68"/>
      <c r="H220" s="68"/>
      <c r="I220" s="68"/>
      <c r="J220" s="68"/>
      <c r="K220" s="1613">
        <f ca="1">CÁLCULOS!L781+LAJES!K544</f>
        <v>15</v>
      </c>
      <c r="L220" s="1614"/>
      <c r="M220" s="1614"/>
      <c r="N220" s="1615"/>
      <c r="O220" s="1626" t="str">
        <f>CÁLCULOS!M781</f>
        <v>unid.</v>
      </c>
      <c r="P220" s="1627"/>
      <c r="Q220" s="808">
        <f t="shared" si="25"/>
        <v>130</v>
      </c>
      <c r="R220" s="1177">
        <f t="shared" ref="R220:R229" ca="1" si="26">K220*Q220</f>
        <v>1950</v>
      </c>
      <c r="AB220" s="4"/>
      <c r="AC220" s="355">
        <f t="shared" si="23"/>
        <v>130</v>
      </c>
    </row>
    <row r="221" spans="1:29" ht="20.100000000000001" customHeight="1" x14ac:dyDescent="0.35">
      <c r="A221" t="s">
        <v>1296</v>
      </c>
      <c r="B221" t="s">
        <v>1297</v>
      </c>
      <c r="C221" s="603" t="s">
        <v>1297</v>
      </c>
      <c r="D221" s="1178" t="str">
        <f>CÁLCULOS!C782</f>
        <v>CAPACETE NA FABRICAÇÃO</v>
      </c>
      <c r="E221" s="68"/>
      <c r="F221" s="68"/>
      <c r="G221" s="68"/>
      <c r="H221" s="68"/>
      <c r="I221" s="68"/>
      <c r="J221" s="68"/>
      <c r="K221" s="1613">
        <f ca="1">CÁLCULOS!L782+LAJES!K545</f>
        <v>4</v>
      </c>
      <c r="L221" s="1614"/>
      <c r="M221" s="1614"/>
      <c r="N221" s="1615"/>
      <c r="O221" s="1626" t="str">
        <f>CÁLCULOS!M782</f>
        <v>unid.</v>
      </c>
      <c r="P221" s="1627"/>
      <c r="Q221" s="808">
        <f>Q202</f>
        <v>70</v>
      </c>
      <c r="R221" s="1177">
        <f t="shared" ca="1" si="26"/>
        <v>280</v>
      </c>
      <c r="AB221" s="4"/>
      <c r="AC221" s="355">
        <f t="shared" ref="AC221:AC249" si="27">Q221</f>
        <v>70</v>
      </c>
    </row>
    <row r="222" spans="1:29" ht="20.100000000000001" customHeight="1" x14ac:dyDescent="0.35">
      <c r="A222" t="s">
        <v>1298</v>
      </c>
      <c r="B222" t="s">
        <v>1299</v>
      </c>
      <c r="C222" s="603" t="s">
        <v>1299</v>
      </c>
      <c r="D222" s="1178" t="str">
        <f>CÁLCULOS!C783</f>
        <v>PROTETOR AURICULA NA FABRICAÇÃO</v>
      </c>
      <c r="E222" s="68"/>
      <c r="F222" s="68"/>
      <c r="G222" s="68"/>
      <c r="H222" s="68"/>
      <c r="I222" s="68"/>
      <c r="J222" s="68"/>
      <c r="K222" s="1613">
        <f ca="1">CÁLCULOS!L783+LAJES!K546</f>
        <v>46</v>
      </c>
      <c r="L222" s="1614"/>
      <c r="M222" s="1614"/>
      <c r="N222" s="1615"/>
      <c r="O222" s="1626" t="str">
        <f>CÁLCULOS!M783</f>
        <v>unid.</v>
      </c>
      <c r="P222" s="1627"/>
      <c r="Q222" s="808">
        <f t="shared" si="25"/>
        <v>4</v>
      </c>
      <c r="R222" s="1177">
        <f t="shared" ca="1" si="26"/>
        <v>184</v>
      </c>
      <c r="AB222" s="4"/>
      <c r="AC222" s="355">
        <f t="shared" si="27"/>
        <v>4</v>
      </c>
    </row>
    <row r="223" spans="1:29" ht="20.100000000000001" customHeight="1" x14ac:dyDescent="0.35">
      <c r="A223" t="s">
        <v>1300</v>
      </c>
      <c r="B223" t="s">
        <v>1301</v>
      </c>
      <c r="C223" s="603" t="s">
        <v>1301</v>
      </c>
      <c r="D223" s="1178" t="str">
        <f>CÁLCULOS!C784</f>
        <v>ÓCULOS DE SEGURANÇA NA FABRICAÇÃO</v>
      </c>
      <c r="E223" s="68"/>
      <c r="F223" s="68"/>
      <c r="G223" s="68"/>
      <c r="H223" s="68"/>
      <c r="I223" s="68"/>
      <c r="J223" s="68"/>
      <c r="K223" s="1613">
        <f ca="1">CÁLCULOS!L784+LAJES!K547</f>
        <v>46</v>
      </c>
      <c r="L223" s="1614"/>
      <c r="M223" s="1614"/>
      <c r="N223" s="1615"/>
      <c r="O223" s="1626" t="str">
        <f>CÁLCULOS!M784</f>
        <v>unid.</v>
      </c>
      <c r="P223" s="1627"/>
      <c r="Q223" s="808">
        <f t="shared" si="25"/>
        <v>4.5</v>
      </c>
      <c r="R223" s="1177">
        <f t="shared" ca="1" si="26"/>
        <v>207</v>
      </c>
      <c r="AB223" s="4"/>
      <c r="AC223" s="355">
        <f t="shared" si="27"/>
        <v>4.5</v>
      </c>
    </row>
    <row r="224" spans="1:29" ht="20.100000000000001" customHeight="1" x14ac:dyDescent="0.35">
      <c r="A224" t="s">
        <v>1302</v>
      </c>
      <c r="B224" t="s">
        <v>1303</v>
      </c>
      <c r="C224" s="603" t="s">
        <v>1303</v>
      </c>
      <c r="D224" s="1178" t="str">
        <f>CÁLCULOS!C785</f>
        <v>LUVA DE PIGMENTO NA FABRICAÇÃO</v>
      </c>
      <c r="E224" s="68"/>
      <c r="F224" s="68"/>
      <c r="G224" s="68"/>
      <c r="H224" s="68"/>
      <c r="I224" s="68"/>
      <c r="J224" s="68"/>
      <c r="K224" s="1613">
        <f ca="1">CÁLCULOS!L785+LAJES!K548</f>
        <v>31</v>
      </c>
      <c r="L224" s="1614"/>
      <c r="M224" s="1614"/>
      <c r="N224" s="1615"/>
      <c r="O224" s="1626" t="str">
        <f>CÁLCULOS!M785</f>
        <v>unid.</v>
      </c>
      <c r="P224" s="1627"/>
      <c r="Q224" s="808">
        <f>Q205</f>
        <v>5</v>
      </c>
      <c r="R224" s="1177">
        <f t="shared" ca="1" si="26"/>
        <v>155</v>
      </c>
      <c r="AB224" s="4"/>
      <c r="AC224" s="355">
        <f t="shared" si="27"/>
        <v>5</v>
      </c>
    </row>
    <row r="225" spans="1:34" ht="20.100000000000001" customHeight="1" x14ac:dyDescent="0.35">
      <c r="A225" t="s">
        <v>1304</v>
      </c>
      <c r="B225" t="s">
        <v>1305</v>
      </c>
      <c r="C225" s="603" t="s">
        <v>1305</v>
      </c>
      <c r="D225" s="1178" t="str">
        <f>CÁLCULOS!C786</f>
        <v>LUVA DE RASPA NA FABRICAÇÃO</v>
      </c>
      <c r="E225" s="68"/>
      <c r="F225" s="68"/>
      <c r="G225" s="68"/>
      <c r="H225" s="68"/>
      <c r="I225" s="68"/>
      <c r="J225" s="68"/>
      <c r="K225" s="1613">
        <f ca="1">CÁLCULOS!L786+LAJES!K549</f>
        <v>31</v>
      </c>
      <c r="L225" s="1614"/>
      <c r="M225" s="1614"/>
      <c r="N225" s="1615"/>
      <c r="O225" s="1626" t="str">
        <f>CÁLCULOS!M786</f>
        <v>unid.</v>
      </c>
      <c r="P225" s="1627"/>
      <c r="Q225" s="808">
        <f t="shared" si="25"/>
        <v>13</v>
      </c>
      <c r="R225" s="1177">
        <f t="shared" ca="1" si="26"/>
        <v>403</v>
      </c>
      <c r="U225" s="647" t="s">
        <v>1047</v>
      </c>
      <c r="V225" s="1179">
        <f ca="1">LAJES!K541*Q217+LAJES!K542*Q218+LAJES!K543*Q219+LAJES!K544*Q220+LAJES!K545*Q221+LAJES!K546*Q222+LAJES!K547*Q223+LAJES!K548*Q224+LAJES!K549*Q225+LAJES!K550*Q226+LAJES!K551*Q227+LAJES!K552*Q228+LAJES!K553*Q229</f>
        <v>0</v>
      </c>
      <c r="X225" s="1179">
        <f ca="1">CÁLCULOS!L778*Q217+CÁLCULOS!L779*Q218+CÁLCULOS!L780*Q219+CÁLCULOS!L781*Q220+CÁLCULOS!L782*Q221+CÁLCULOS!L783*Q222+CÁLCULOS!L784*Q223+CÁLCULOS!L785*Q224+CÁLCULOS!L786*Q225+CÁLCULOS!L787*Q226+CÁLCULOS!L788*Q227+CÁLCULOS!L789*Q228+CÁLCULOS!L790*Q229</f>
        <v>6340</v>
      </c>
      <c r="Y225" s="627" t="s">
        <v>1047</v>
      </c>
      <c r="AB225" s="4"/>
      <c r="AC225" s="355">
        <f t="shared" si="27"/>
        <v>13</v>
      </c>
    </row>
    <row r="226" spans="1:34" ht="20.100000000000001" customHeight="1" x14ac:dyDescent="0.35">
      <c r="A226" t="s">
        <v>1306</v>
      </c>
      <c r="B226" t="s">
        <v>1307</v>
      </c>
      <c r="C226" s="603" t="s">
        <v>1307</v>
      </c>
      <c r="D226" s="1178" t="str">
        <f>CÁLCULOS!C787</f>
        <v>LUVA DE PVC NA FABRICAÇÃO</v>
      </c>
      <c r="E226" s="68"/>
      <c r="F226" s="68"/>
      <c r="G226" s="68"/>
      <c r="H226" s="68"/>
      <c r="I226" s="68"/>
      <c r="J226" s="68"/>
      <c r="K226" s="1613">
        <f ca="1">CÁLCULOS!L787+LAJES!K550</f>
        <v>31</v>
      </c>
      <c r="L226" s="1614"/>
      <c r="M226" s="1614"/>
      <c r="N226" s="1615"/>
      <c r="O226" s="1626" t="str">
        <f>CÁLCULOS!M787</f>
        <v>unid.</v>
      </c>
      <c r="P226" s="1627"/>
      <c r="Q226" s="808">
        <f t="shared" si="25"/>
        <v>10</v>
      </c>
      <c r="R226" s="1177">
        <f t="shared" ca="1" si="26"/>
        <v>310</v>
      </c>
      <c r="AB226" s="4"/>
      <c r="AC226" s="355">
        <f t="shared" si="27"/>
        <v>10</v>
      </c>
    </row>
    <row r="227" spans="1:34" ht="20.100000000000001" customHeight="1" x14ac:dyDescent="0.35">
      <c r="A227" t="s">
        <v>1308</v>
      </c>
      <c r="B227" t="s">
        <v>1309</v>
      </c>
      <c r="C227" s="603" t="s">
        <v>1309</v>
      </c>
      <c r="D227" s="1178" t="str">
        <f>CÁLCULOS!C788</f>
        <v>AVENTAL DE SEGURANÇA NA FABRICAÇÃO</v>
      </c>
      <c r="E227" s="68"/>
      <c r="F227" s="68"/>
      <c r="G227" s="68"/>
      <c r="H227" s="68"/>
      <c r="I227" s="68"/>
      <c r="J227" s="68"/>
      <c r="K227" s="1613">
        <f ca="1">CÁLCULOS!L788+LAJES!K551</f>
        <v>15</v>
      </c>
      <c r="L227" s="1614"/>
      <c r="M227" s="1614"/>
      <c r="N227" s="1615"/>
      <c r="O227" s="1626" t="str">
        <f>CÁLCULOS!M788</f>
        <v>unid.</v>
      </c>
      <c r="P227" s="1627"/>
      <c r="Q227" s="808">
        <f>Q208</f>
        <v>30</v>
      </c>
      <c r="R227" s="1177">
        <f t="shared" ca="1" si="26"/>
        <v>450</v>
      </c>
      <c r="AB227" s="4"/>
      <c r="AC227" s="355">
        <f t="shared" si="27"/>
        <v>30</v>
      </c>
    </row>
    <row r="228" spans="1:34" ht="20.100000000000001" customHeight="1" x14ac:dyDescent="0.35">
      <c r="A228" t="s">
        <v>1310</v>
      </c>
      <c r="B228" t="s">
        <v>1311</v>
      </c>
      <c r="C228" s="603" t="s">
        <v>1311</v>
      </c>
      <c r="D228" s="1178" t="str">
        <f>CÁLCULOS!C789</f>
        <v>MASCARA PARA PÓ NA FABRICAÇÃO</v>
      </c>
      <c r="E228" s="68"/>
      <c r="F228" s="68"/>
      <c r="G228" s="68"/>
      <c r="H228" s="68"/>
      <c r="I228" s="68"/>
      <c r="J228" s="68"/>
      <c r="K228" s="1613">
        <f ca="1">CÁLCULOS!L789+LAJES!K552</f>
        <v>92</v>
      </c>
      <c r="L228" s="1614"/>
      <c r="M228" s="1614"/>
      <c r="N228" s="1615"/>
      <c r="O228" s="1626" t="str">
        <f>CÁLCULOS!M789</f>
        <v>unid.</v>
      </c>
      <c r="P228" s="1627"/>
      <c r="Q228" s="808">
        <f>Q209</f>
        <v>4</v>
      </c>
      <c r="R228" s="1177">
        <f t="shared" ca="1" si="26"/>
        <v>368</v>
      </c>
      <c r="AB228" s="4"/>
      <c r="AC228" s="355">
        <f t="shared" si="27"/>
        <v>4</v>
      </c>
    </row>
    <row r="229" spans="1:34" ht="20.100000000000001" customHeight="1" x14ac:dyDescent="0.35">
      <c r="A229" t="s">
        <v>1312</v>
      </c>
      <c r="B229" t="s">
        <v>1313</v>
      </c>
      <c r="C229" s="603" t="s">
        <v>1313</v>
      </c>
      <c r="D229" s="1178" t="str">
        <f>CÁLCULOS!C790</f>
        <v>PROTETOR FACIAL NA FABRICAÇÃO</v>
      </c>
      <c r="E229" s="68"/>
      <c r="F229" s="68"/>
      <c r="G229" s="68"/>
      <c r="H229" s="68"/>
      <c r="I229" s="68"/>
      <c r="J229" s="68"/>
      <c r="K229" s="1613">
        <f ca="1">CÁLCULOS!L790+LAJES!K553</f>
        <v>8</v>
      </c>
      <c r="L229" s="1614"/>
      <c r="M229" s="1614"/>
      <c r="N229" s="1615"/>
      <c r="O229" s="1626" t="str">
        <f>CÁLCULOS!M790</f>
        <v>unid.</v>
      </c>
      <c r="P229" s="1627"/>
      <c r="Q229" s="808">
        <f t="shared" ref="Q229" si="28">Q210</f>
        <v>80</v>
      </c>
      <c r="R229" s="1177">
        <f t="shared" ca="1" si="26"/>
        <v>640</v>
      </c>
      <c r="AB229" s="4"/>
      <c r="AC229" s="355">
        <f t="shared" si="27"/>
        <v>80</v>
      </c>
    </row>
    <row r="230" spans="1:34" ht="20.100000000000001" customHeight="1" x14ac:dyDescent="0.35">
      <c r="D230" s="25"/>
      <c r="E230" s="25"/>
      <c r="F230" s="25"/>
      <c r="G230" s="25"/>
      <c r="H230" s="25"/>
      <c r="I230" s="25"/>
      <c r="J230" s="25"/>
      <c r="K230" s="1603" t="s">
        <v>1314</v>
      </c>
      <c r="L230" s="1603"/>
      <c r="M230" s="1603"/>
      <c r="N230" s="1603"/>
      <c r="O230" s="1603"/>
      <c r="P230" s="1619"/>
      <c r="Q230" s="1668">
        <f ca="1">SUM(R217:R229)</f>
        <v>6340</v>
      </c>
      <c r="R230" s="1669"/>
      <c r="AB230" s="4"/>
      <c r="AC230" s="355">
        <f t="shared" ca="1" si="27"/>
        <v>6340</v>
      </c>
    </row>
    <row r="231" spans="1:34" ht="20.100000000000001" customHeight="1" x14ac:dyDescent="0.35">
      <c r="D231" s="25"/>
      <c r="E231" s="25"/>
      <c r="F231" s="25"/>
      <c r="G231" s="25"/>
      <c r="H231" s="25"/>
      <c r="I231" s="25"/>
      <c r="J231" s="25"/>
      <c r="K231" s="25"/>
      <c r="L231" s="25"/>
      <c r="M231" s="25"/>
      <c r="N231" s="25"/>
      <c r="O231" s="25"/>
      <c r="P231" s="25"/>
      <c r="Q231" s="76"/>
      <c r="R231" s="76"/>
      <c r="AB231" s="4"/>
      <c r="AC231" s="355">
        <f t="shared" si="27"/>
        <v>0</v>
      </c>
    </row>
    <row r="232" spans="1:34" ht="20.100000000000001" customHeight="1" x14ac:dyDescent="0.35">
      <c r="C232" s="1079" t="s">
        <v>1020</v>
      </c>
      <c r="D232" s="1606" t="s">
        <v>629</v>
      </c>
      <c r="E232" s="1607"/>
      <c r="F232" s="1607"/>
      <c r="G232" s="1607"/>
      <c r="H232" s="1607"/>
      <c r="I232" s="1607"/>
      <c r="J232" s="1607"/>
      <c r="K232" s="1470" t="s">
        <v>275</v>
      </c>
      <c r="L232" s="1470"/>
      <c r="M232" s="1470"/>
      <c r="N232" s="1470"/>
      <c r="O232" s="1324" t="s">
        <v>891</v>
      </c>
      <c r="P232" s="1326"/>
      <c r="Q232" s="1172" t="s">
        <v>1022</v>
      </c>
      <c r="R232" s="1172" t="s">
        <v>1023</v>
      </c>
      <c r="AB232" s="4"/>
      <c r="AC232" s="355" t="str">
        <f t="shared" si="27"/>
        <v>Preço unit.</v>
      </c>
    </row>
    <row r="233" spans="1:34" ht="20.100000000000001" customHeight="1" x14ac:dyDescent="0.35">
      <c r="A233" t="s">
        <v>1153</v>
      </c>
      <c r="B233" t="s">
        <v>993</v>
      </c>
      <c r="C233" s="603" t="s">
        <v>993</v>
      </c>
      <c r="D233" s="237" t="str">
        <f>CÁLCULOS!C793</f>
        <v>CAFÉ DA MANHÂ</v>
      </c>
      <c r="E233" s="238"/>
      <c r="F233" s="238"/>
      <c r="G233" s="238"/>
      <c r="H233" s="238"/>
      <c r="I233" s="238"/>
      <c r="J233" s="238"/>
      <c r="K233" s="1610">
        <f ca="1">CÁLCULOS!L793+LAJES!K556</f>
        <v>1261.4985590778097</v>
      </c>
      <c r="L233" s="1611"/>
      <c r="M233" s="1611"/>
      <c r="N233" s="1612"/>
      <c r="O233" s="1712" t="str">
        <f>CÁLCULOS!M793</f>
        <v>unid.</v>
      </c>
      <c r="P233" s="1713"/>
      <c r="Q233" s="239">
        <v>4</v>
      </c>
      <c r="R233" s="239">
        <f ca="1">K233*Q233</f>
        <v>5045.9942363112386</v>
      </c>
      <c r="AB233" s="4"/>
      <c r="AC233" s="355">
        <f t="shared" si="27"/>
        <v>4</v>
      </c>
    </row>
    <row r="234" spans="1:34" ht="20.100000000000001" customHeight="1" x14ac:dyDescent="0.35">
      <c r="A234" t="s">
        <v>1315</v>
      </c>
      <c r="B234" t="s">
        <v>995</v>
      </c>
      <c r="C234" s="603" t="s">
        <v>995</v>
      </c>
      <c r="D234" s="237" t="str">
        <f>CÁLCULOS!C794</f>
        <v>ALMOÇO</v>
      </c>
      <c r="E234" s="238"/>
      <c r="F234" s="238"/>
      <c r="G234" s="238"/>
      <c r="H234" s="238"/>
      <c r="I234" s="238"/>
      <c r="J234" s="238"/>
      <c r="K234" s="1610">
        <f ca="1">CÁLCULOS!L794+LAJES!K557</f>
        <v>1261.4985590778097</v>
      </c>
      <c r="L234" s="1611"/>
      <c r="M234" s="1611"/>
      <c r="N234" s="1612"/>
      <c r="O234" s="1712" t="str">
        <f>CÁLCULOS!M794</f>
        <v>unid.</v>
      </c>
      <c r="P234" s="1713"/>
      <c r="Q234" s="239">
        <v>41</v>
      </c>
      <c r="R234" s="239">
        <f ca="1">K234*Q234</f>
        <v>51721.440922190195</v>
      </c>
      <c r="U234" s="647" t="s">
        <v>1047</v>
      </c>
      <c r="V234" s="154">
        <f ca="1">LAJES!K556*Q233+LAJES!K557*Q234+LAJES!K558*Q235</f>
        <v>0</v>
      </c>
      <c r="X234" s="154">
        <f ca="1">CÁLCULOS!L793*Q233+CÁLCULOS!L794*Q234+CÁLCULOS!L795*Q235</f>
        <v>68877.821325648416</v>
      </c>
      <c r="Y234" s="627" t="s">
        <v>1047</v>
      </c>
      <c r="AB234" s="4"/>
      <c r="AC234" s="355">
        <f t="shared" si="27"/>
        <v>41</v>
      </c>
    </row>
    <row r="235" spans="1:34" ht="20.100000000000001" customHeight="1" x14ac:dyDescent="0.35">
      <c r="A235" t="s">
        <v>1316</v>
      </c>
      <c r="B235" t="s">
        <v>997</v>
      </c>
      <c r="C235" s="603" t="s">
        <v>997</v>
      </c>
      <c r="D235" s="237" t="str">
        <f>CÁLCULOS!C795</f>
        <v>VALE TRANSPORTE</v>
      </c>
      <c r="E235" s="238"/>
      <c r="F235" s="238"/>
      <c r="G235" s="238"/>
      <c r="H235" s="238"/>
      <c r="I235" s="238"/>
      <c r="J235" s="238"/>
      <c r="K235" s="1610">
        <f ca="1">CÁLCULOS!L795+LAJES!K558</f>
        <v>2522.9971181556193</v>
      </c>
      <c r="L235" s="1611"/>
      <c r="M235" s="1611"/>
      <c r="N235" s="1612"/>
      <c r="O235" s="1712" t="str">
        <f>CÁLCULOS!M795</f>
        <v>unid.</v>
      </c>
      <c r="P235" s="1713"/>
      <c r="Q235" s="239">
        <v>4.8</v>
      </c>
      <c r="R235" s="239">
        <f ca="1">K235*Q235</f>
        <v>12110.386167146973</v>
      </c>
      <c r="AB235" s="4"/>
      <c r="AC235" s="355">
        <f t="shared" si="27"/>
        <v>4.8</v>
      </c>
    </row>
    <row r="236" spans="1:34" ht="20.100000000000001" customHeight="1" thickBot="1" x14ac:dyDescent="0.4">
      <c r="D236" s="25"/>
      <c r="E236" s="25"/>
      <c r="F236" s="25"/>
      <c r="G236" s="25"/>
      <c r="H236" s="25"/>
      <c r="I236" s="25"/>
      <c r="J236" s="25"/>
      <c r="K236" s="1603" t="s">
        <v>1317</v>
      </c>
      <c r="L236" s="1603"/>
      <c r="M236" s="1603"/>
      <c r="N236" s="1603"/>
      <c r="O236" s="1603"/>
      <c r="P236" s="1619"/>
      <c r="Q236" s="1668">
        <f ca="1">SUM(R233:R235)</f>
        <v>68877.821325648416</v>
      </c>
      <c r="R236" s="1669"/>
      <c r="X236" s="627"/>
      <c r="AB236" s="4"/>
      <c r="AC236" s="355">
        <f t="shared" ca="1" si="27"/>
        <v>68877.821325648416</v>
      </c>
    </row>
    <row r="237" spans="1:34" ht="13.9" thickBot="1" x14ac:dyDescent="0.45">
      <c r="D237" s="25"/>
      <c r="E237" s="25"/>
      <c r="F237" s="25"/>
      <c r="G237" s="25"/>
      <c r="H237" s="25"/>
      <c r="I237" s="25"/>
      <c r="J237" s="25"/>
      <c r="K237" s="25"/>
      <c r="L237" s="25"/>
      <c r="M237" s="25"/>
      <c r="N237" s="62"/>
      <c r="O237" s="62"/>
      <c r="P237" s="62"/>
      <c r="Q237" s="77"/>
      <c r="R237" s="77"/>
      <c r="V237" s="755" t="s">
        <v>1318</v>
      </c>
      <c r="W237" s="21"/>
      <c r="X237" s="903" t="s">
        <v>1319</v>
      </c>
      <c r="Y237" s="897">
        <f>8881*1.04</f>
        <v>9236.24</v>
      </c>
      <c r="AB237" s="4"/>
      <c r="AC237" s="355">
        <f t="shared" si="27"/>
        <v>0</v>
      </c>
      <c r="AH237" s="330"/>
    </row>
    <row r="238" spans="1:34" ht="23.45" customHeight="1" thickBot="1" x14ac:dyDescent="0.4">
      <c r="C238" s="1079" t="s">
        <v>1020</v>
      </c>
      <c r="D238" s="1606" t="s">
        <v>1318</v>
      </c>
      <c r="E238" s="1607"/>
      <c r="F238" s="1607"/>
      <c r="G238" s="1607"/>
      <c r="H238" s="1607"/>
      <c r="I238" s="1607"/>
      <c r="J238" s="1608"/>
      <c r="K238" s="1606" t="s">
        <v>275</v>
      </c>
      <c r="L238" s="1607"/>
      <c r="M238" s="1607"/>
      <c r="N238" s="1608"/>
      <c r="O238" s="1606" t="s">
        <v>891</v>
      </c>
      <c r="P238" s="1608"/>
      <c r="Q238" s="1168" t="s">
        <v>1022</v>
      </c>
      <c r="R238" s="1168" t="s">
        <v>1023</v>
      </c>
      <c r="W238" s="899" t="s">
        <v>1320</v>
      </c>
      <c r="X238" s="904" t="s">
        <v>1321</v>
      </c>
      <c r="Y238" s="752">
        <f>11535*1.04</f>
        <v>11996.4</v>
      </c>
      <c r="AB238" s="4"/>
      <c r="AC238" s="355" t="str">
        <f t="shared" si="27"/>
        <v>Preço unit.</v>
      </c>
      <c r="AH238" s="330"/>
    </row>
    <row r="239" spans="1:34" ht="20.100000000000001" customHeight="1" x14ac:dyDescent="0.35">
      <c r="A239" t="s">
        <v>1322</v>
      </c>
      <c r="B239" t="s">
        <v>999</v>
      </c>
      <c r="C239" s="603" t="s">
        <v>999</v>
      </c>
      <c r="D239" s="1180" t="s">
        <v>1323</v>
      </c>
      <c r="E239" s="47"/>
      <c r="F239" s="1181"/>
      <c r="G239" s="47"/>
      <c r="H239" s="1182"/>
      <c r="I239" s="1182"/>
      <c r="J239" s="47"/>
      <c r="K239" s="1616">
        <f ca="1">IF(LAJES!$D$464="X",(CÁLCULOS!M679+LAJES!$H$493)/30,(CÁLCULOS!M679+LAJES!$H$486)/30)</f>
        <v>3.3666666666666667</v>
      </c>
      <c r="L239" s="1617"/>
      <c r="M239" s="1617"/>
      <c r="N239" s="1618"/>
      <c r="O239" s="727" t="s">
        <v>1324</v>
      </c>
      <c r="P239" s="45"/>
      <c r="Q239" s="754">
        <f>IF(ENTRADAS!$L$241&gt;0,W239*(1-(ENTRADAS!$L$241)/100),W239)</f>
        <v>999.99799999999993</v>
      </c>
      <c r="R239" s="1177">
        <f ca="1">K239*Q239</f>
        <v>3366.6599333333334</v>
      </c>
      <c r="W239" s="900">
        <v>2000</v>
      </c>
      <c r="X239" s="904" t="s">
        <v>1325</v>
      </c>
      <c r="Y239" s="752">
        <f>12112*1.04</f>
        <v>12596.48</v>
      </c>
      <c r="AB239" s="4"/>
      <c r="AC239" s="355">
        <f t="shared" si="27"/>
        <v>999.99799999999993</v>
      </c>
      <c r="AH239" s="330"/>
    </row>
    <row r="240" spans="1:34" ht="20.100000000000001" customHeight="1" x14ac:dyDescent="0.35">
      <c r="A240" t="s">
        <v>1326</v>
      </c>
      <c r="B240" t="s">
        <v>1327</v>
      </c>
      <c r="C240" s="603" t="s">
        <v>1327</v>
      </c>
      <c r="D240" s="1180" t="s">
        <v>1328</v>
      </c>
      <c r="E240" s="47"/>
      <c r="F240" s="1181"/>
      <c r="G240" s="47"/>
      <c r="H240" s="1182"/>
      <c r="I240" s="1182"/>
      <c r="J240" s="47"/>
      <c r="K240" s="1616">
        <f ca="1">IF(LAJES!$D$464="X",(CÁLCULOS!M679+LAJES!$H$493)/30,(CÁLCULOS!M679+LAJES!$H$486)/30)</f>
        <v>3.3666666666666667</v>
      </c>
      <c r="L240" s="1617"/>
      <c r="M240" s="1617"/>
      <c r="N240" s="1618"/>
      <c r="O240" s="727" t="s">
        <v>1324</v>
      </c>
      <c r="P240" s="45"/>
      <c r="Q240" s="754">
        <f>IF(ENTRADAS!$L$241&gt;0,W240*(1-(ENTRADAS!$L$241)/100),W240)</f>
        <v>1199.9975999999999</v>
      </c>
      <c r="R240" s="1177">
        <f ca="1">K240*Q240</f>
        <v>4039.9919199999999</v>
      </c>
      <c r="W240" s="901">
        <v>2400</v>
      </c>
      <c r="X240" s="904" t="s">
        <v>1329</v>
      </c>
      <c r="Y240" s="752">
        <f>9281*1.04</f>
        <v>9652.24</v>
      </c>
      <c r="AB240" s="4"/>
      <c r="AC240" s="355">
        <f t="shared" si="27"/>
        <v>1199.9975999999999</v>
      </c>
      <c r="AH240" s="330"/>
    </row>
    <row r="241" spans="1:34" ht="20.100000000000001" customHeight="1" x14ac:dyDescent="0.35">
      <c r="A241" t="s">
        <v>1330</v>
      </c>
      <c r="B241" t="s">
        <v>1331</v>
      </c>
      <c r="C241" s="603" t="s">
        <v>1331</v>
      </c>
      <c r="D241" s="1180" t="s">
        <v>1332</v>
      </c>
      <c r="E241" s="47"/>
      <c r="F241" s="1181"/>
      <c r="G241" s="47"/>
      <c r="H241" s="1182"/>
      <c r="I241" s="1182"/>
      <c r="J241" s="47"/>
      <c r="K241" s="1616">
        <f ca="1">IF(LAJES!$D$464="X",(CÁLCULOS!M679+LAJES!$H$493)/30,(CÁLCULOS!M679+LAJES!$H$486)/30)</f>
        <v>3.3666666666666667</v>
      </c>
      <c r="L241" s="1617"/>
      <c r="M241" s="1617"/>
      <c r="N241" s="1618"/>
      <c r="O241" s="727" t="s">
        <v>1324</v>
      </c>
      <c r="P241" s="45"/>
      <c r="Q241" s="754">
        <f>IF(ENTRADAS!$L$241&gt;0,W241*(1-(ENTRADAS!$L$241)/100),W241)</f>
        <v>65808.668382399977</v>
      </c>
      <c r="R241" s="1177">
        <f ca="1">K241*Q241</f>
        <v>221555.85022074659</v>
      </c>
      <c r="W241" s="906">
        <f>SUM(Y237:Y243)</f>
        <v>131617.59999999998</v>
      </c>
      <c r="X241" s="904" t="s">
        <v>1333</v>
      </c>
      <c r="Y241" s="752">
        <f>34325*1.04</f>
        <v>35698</v>
      </c>
      <c r="AB241" s="4"/>
      <c r="AC241" s="355">
        <f t="shared" si="27"/>
        <v>65808.668382399977</v>
      </c>
      <c r="AH241" s="330"/>
    </row>
    <row r="242" spans="1:34" ht="20.100000000000001" customHeight="1" thickBot="1" x14ac:dyDescent="0.4">
      <c r="A242" t="s">
        <v>1334</v>
      </c>
      <c r="B242" t="s">
        <v>1335</v>
      </c>
      <c r="C242" s="603" t="s">
        <v>1335</v>
      </c>
      <c r="D242" s="1180" t="s">
        <v>1336</v>
      </c>
      <c r="E242" s="47"/>
      <c r="F242" s="1181"/>
      <c r="G242" s="47"/>
      <c r="H242" s="1182"/>
      <c r="I242" s="1182"/>
      <c r="J242" s="47"/>
      <c r="K242" s="1616">
        <f ca="1">IF(LAJES!$D$464="X",(CÁLCULOS!M679+LAJES!$H$493)/30,(CÁLCULOS!M679+LAJES!$H$486)/30)</f>
        <v>3.3666666666666667</v>
      </c>
      <c r="L242" s="1617"/>
      <c r="M242" s="1617"/>
      <c r="N242" s="1618"/>
      <c r="O242" s="727" t="s">
        <v>1324</v>
      </c>
      <c r="P242" s="45"/>
      <c r="Q242" s="754">
        <f>IF(ENTRADAS!$L$241&gt;0,W242*(1-(ENTRADAS!$L$241)/100),W242)</f>
        <v>3499.9929999999999</v>
      </c>
      <c r="R242" s="1177">
        <f ca="1">K242*Q242</f>
        <v>11783.309766666667</v>
      </c>
      <c r="W242" s="902">
        <v>7000</v>
      </c>
      <c r="X242" s="905" t="s">
        <v>1337</v>
      </c>
      <c r="Y242" s="753">
        <f>49556*1.04</f>
        <v>51538.240000000005</v>
      </c>
      <c r="AB242" s="4"/>
      <c r="AC242" s="355">
        <f t="shared" si="27"/>
        <v>3499.9929999999999</v>
      </c>
      <c r="AH242" s="330"/>
    </row>
    <row r="243" spans="1:34" ht="20.100000000000001" customHeight="1" thickBot="1" x14ac:dyDescent="0.4">
      <c r="D243" s="25"/>
      <c r="E243" s="25"/>
      <c r="F243" s="25"/>
      <c r="G243" s="25"/>
      <c r="H243" s="25"/>
      <c r="I243" s="25"/>
      <c r="J243" s="25"/>
      <c r="K243" s="1603" t="s">
        <v>1338</v>
      </c>
      <c r="L243" s="1603"/>
      <c r="M243" s="1603"/>
      <c r="N243" s="1603"/>
      <c r="O243" s="1603"/>
      <c r="P243" s="1619"/>
      <c r="Q243" s="1664">
        <f ca="1">SUM(R239:R242)</f>
        <v>240745.81184074661</v>
      </c>
      <c r="R243" s="1665"/>
      <c r="W243" s="627"/>
      <c r="X243" s="905" t="s">
        <v>1339</v>
      </c>
      <c r="Y243" s="753">
        <f>700+150+50</f>
        <v>900</v>
      </c>
      <c r="AB243" s="4"/>
      <c r="AC243" s="355">
        <f t="shared" ca="1" si="27"/>
        <v>240745.81184074661</v>
      </c>
    </row>
    <row r="244" spans="1:34" ht="13.5" x14ac:dyDescent="0.35">
      <c r="D244" s="25"/>
      <c r="E244" s="25"/>
      <c r="F244" s="25"/>
      <c r="G244" s="25"/>
      <c r="H244" s="25"/>
      <c r="I244" s="25"/>
      <c r="J244" s="25"/>
      <c r="K244" s="25"/>
      <c r="L244" s="25"/>
      <c r="M244" s="25"/>
      <c r="N244" s="62"/>
      <c r="O244" s="62"/>
      <c r="P244" s="62"/>
      <c r="Q244" s="77"/>
      <c r="R244" s="77"/>
      <c r="W244" s="627"/>
      <c r="X244" s="627"/>
      <c r="AB244" s="4"/>
      <c r="AC244" s="355">
        <f t="shared" si="27"/>
        <v>0</v>
      </c>
    </row>
    <row r="245" spans="1:34" x14ac:dyDescent="0.35">
      <c r="C245" s="1079" t="s">
        <v>1020</v>
      </c>
      <c r="D245" s="1606" t="s">
        <v>1340</v>
      </c>
      <c r="E245" s="1607"/>
      <c r="F245" s="1607"/>
      <c r="G245" s="1607"/>
      <c r="H245" s="1607"/>
      <c r="I245" s="1607"/>
      <c r="J245" s="1608"/>
      <c r="K245" s="1606" t="s">
        <v>275</v>
      </c>
      <c r="L245" s="1607"/>
      <c r="M245" s="1607"/>
      <c r="N245" s="1608"/>
      <c r="O245" s="1606" t="s">
        <v>891</v>
      </c>
      <c r="P245" s="1608"/>
      <c r="Q245" s="1168" t="s">
        <v>1022</v>
      </c>
      <c r="R245" s="1168" t="s">
        <v>1023</v>
      </c>
      <c r="V245" s="299"/>
      <c r="W245" s="627"/>
      <c r="X245" s="627"/>
      <c r="AB245" s="4"/>
      <c r="AC245" s="355" t="str">
        <f t="shared" si="27"/>
        <v>Preço unit.</v>
      </c>
    </row>
    <row r="246" spans="1:34" ht="19.5" customHeight="1" x14ac:dyDescent="0.35">
      <c r="B246" t="s">
        <v>1341</v>
      </c>
      <c r="C246" s="603" t="s">
        <v>1341</v>
      </c>
      <c r="D246" s="1180" t="str">
        <f>LAJES!B521</f>
        <v>FORMA PARA LAJE</v>
      </c>
      <c r="E246" s="47"/>
      <c r="F246" s="1181"/>
      <c r="G246" s="47"/>
      <c r="H246" s="1182"/>
      <c r="I246" s="1182"/>
      <c r="J246" s="47"/>
      <c r="K246" s="1609">
        <f>LAJES!I521</f>
        <v>4</v>
      </c>
      <c r="L246" s="1609"/>
      <c r="M246" s="1609"/>
      <c r="N246" s="1609"/>
      <c r="O246" s="727" t="s">
        <v>46</v>
      </c>
      <c r="P246" s="1130"/>
      <c r="Q246" s="152">
        <f ca="1">INSUMOS!K363</f>
        <v>0</v>
      </c>
      <c r="R246" s="1177">
        <f t="shared" ref="R246:R250" ca="1" si="29">K246*Q246</f>
        <v>0</v>
      </c>
      <c r="W246" s="627"/>
      <c r="X246" s="627"/>
      <c r="AB246" s="4"/>
      <c r="AC246" s="355">
        <f t="shared" ca="1" si="27"/>
        <v>0</v>
      </c>
    </row>
    <row r="247" spans="1:34" ht="19.5" customHeight="1" x14ac:dyDescent="0.35">
      <c r="B247" t="s">
        <v>1342</v>
      </c>
      <c r="C247" s="603" t="s">
        <v>1342</v>
      </c>
      <c r="D247" s="1180" t="str">
        <f>LAJES!B522</f>
        <v>FORMA PARA PILAR</v>
      </c>
      <c r="E247" s="47"/>
      <c r="F247" s="1181"/>
      <c r="G247" s="47"/>
      <c r="H247" s="1182"/>
      <c r="I247" s="1182"/>
      <c r="J247" s="47"/>
      <c r="K247" s="1616">
        <f>LAJES!I522</f>
        <v>1</v>
      </c>
      <c r="L247" s="1617"/>
      <c r="M247" s="1617"/>
      <c r="N247" s="1618"/>
      <c r="O247" s="727" t="s">
        <v>46</v>
      </c>
      <c r="P247" s="45"/>
      <c r="Q247" s="152">
        <f ca="1">INSUMOS!K364</f>
        <v>0</v>
      </c>
      <c r="R247" s="1177">
        <f t="shared" ca="1" si="29"/>
        <v>0</v>
      </c>
      <c r="U247" s="647" t="s">
        <v>1047</v>
      </c>
      <c r="V247" s="154">
        <f ca="1">IF(LAJES!$D$464="X",(LAJES!$H$493)/30*(Q239+Q240+Q241+Q242),(LAJES!$H$486)/30*(Q239+Q240+Q241+Q242))</f>
        <v>0</v>
      </c>
      <c r="X247" s="154">
        <f ca="1">(CÁLCULOS!$I$675)/30*(Q239+Q240+Q241+Q242)</f>
        <v>240745.81184074658</v>
      </c>
      <c r="Y247" s="627" t="s">
        <v>1047</v>
      </c>
      <c r="AB247" s="4"/>
      <c r="AC247" s="355">
        <f t="shared" ca="1" si="27"/>
        <v>0</v>
      </c>
    </row>
    <row r="248" spans="1:34" ht="19.5" customHeight="1" x14ac:dyDescent="0.35">
      <c r="B248" t="s">
        <v>1343</v>
      </c>
      <c r="C248" s="603" t="s">
        <v>1343</v>
      </c>
      <c r="D248" s="1180" t="str">
        <f>LAJES!B523</f>
        <v>FORMA PARA VIGA</v>
      </c>
      <c r="E248" s="47"/>
      <c r="F248" s="1181"/>
      <c r="G248" s="47"/>
      <c r="H248" s="1182"/>
      <c r="I248" s="1182"/>
      <c r="J248" s="47"/>
      <c r="K248" s="1616">
        <f>LAJES!I523</f>
        <v>1</v>
      </c>
      <c r="L248" s="1617"/>
      <c r="M248" s="1617"/>
      <c r="N248" s="1618"/>
      <c r="O248" s="727" t="s">
        <v>46</v>
      </c>
      <c r="P248" s="45"/>
      <c r="Q248" s="152">
        <f ca="1">INSUMOS!K365</f>
        <v>0</v>
      </c>
      <c r="R248" s="1177">
        <f t="shared" ca="1" si="29"/>
        <v>0</v>
      </c>
      <c r="AB248" s="4"/>
      <c r="AC248" s="355">
        <f t="shared" ca="1" si="27"/>
        <v>0</v>
      </c>
    </row>
    <row r="249" spans="1:34" ht="19.5" customHeight="1" x14ac:dyDescent="0.35">
      <c r="B249" t="s">
        <v>1344</v>
      </c>
      <c r="C249" s="603" t="s">
        <v>1344</v>
      </c>
      <c r="D249" s="223" t="s">
        <v>1188</v>
      </c>
      <c r="E249" s="607"/>
      <c r="F249" s="608"/>
      <c r="G249" s="607"/>
      <c r="H249" s="607"/>
      <c r="I249" s="607"/>
      <c r="J249" s="607"/>
      <c r="K249" s="1594">
        <f ca="1">LAJES!I524</f>
        <v>0</v>
      </c>
      <c r="L249" s="1595"/>
      <c r="M249" s="1595"/>
      <c r="N249" s="1596"/>
      <c r="O249" s="223" t="s">
        <v>46</v>
      </c>
      <c r="P249" s="225"/>
      <c r="Q249" s="239">
        <f>Q154</f>
        <v>191.25</v>
      </c>
      <c r="R249" s="239">
        <f t="shared" ca="1" si="29"/>
        <v>0</v>
      </c>
      <c r="W249" s="627"/>
      <c r="X249" s="627"/>
      <c r="AB249" s="4"/>
      <c r="AC249" s="355">
        <f t="shared" si="27"/>
        <v>191.25</v>
      </c>
    </row>
    <row r="250" spans="1:34" ht="19.5" customHeight="1" x14ac:dyDescent="0.35">
      <c r="C250" s="603" t="s">
        <v>1345</v>
      </c>
      <c r="D250" s="223" t="s">
        <v>1346</v>
      </c>
      <c r="E250" s="607"/>
      <c r="F250" s="608"/>
      <c r="G250" s="607"/>
      <c r="H250" s="607"/>
      <c r="I250" s="607"/>
      <c r="J250" s="607"/>
      <c r="K250" s="1594">
        <f ca="1">K249</f>
        <v>0</v>
      </c>
      <c r="L250" s="1595"/>
      <c r="M250" s="1595"/>
      <c r="N250" s="1596"/>
      <c r="O250" s="223"/>
      <c r="P250" s="225"/>
      <c r="Q250" s="239">
        <f>Q155</f>
        <v>651.59062499999993</v>
      </c>
      <c r="R250" s="239">
        <f t="shared" ca="1" si="29"/>
        <v>0</v>
      </c>
      <c r="W250" s="627"/>
      <c r="X250" s="627"/>
      <c r="AB250" s="4"/>
      <c r="AC250" s="355"/>
    </row>
    <row r="251" spans="1:34" ht="19.5" customHeight="1" x14ac:dyDescent="0.35">
      <c r="C251" s="603" t="s">
        <v>1347</v>
      </c>
      <c r="D251" s="1180" t="str">
        <f>LAJES!B531</f>
        <v>CORDOALHA 7 Fios Revestida e Engraxada ArcelorMittal  CP190 RB -- 12,7 mm EM LAJES</v>
      </c>
      <c r="E251" s="47"/>
      <c r="F251" s="1181"/>
      <c r="G251" s="47"/>
      <c r="H251" s="1182"/>
      <c r="I251" s="1182"/>
      <c r="J251" s="910" t="s">
        <v>35</v>
      </c>
      <c r="K251" s="1616">
        <f>LAJES!I531</f>
        <v>0</v>
      </c>
      <c r="L251" s="1617"/>
      <c r="M251" s="1617"/>
      <c r="N251" s="1618"/>
      <c r="O251" s="727" t="s">
        <v>64</v>
      </c>
      <c r="P251" s="45"/>
      <c r="Q251" s="609">
        <f>Q82</f>
        <v>15</v>
      </c>
      <c r="R251" s="1177">
        <f>IF(J251="X",0,IF(J251&gt;0,K251*Q251*J251,K251*Q251))</f>
        <v>0</v>
      </c>
      <c r="W251" s="627"/>
      <c r="X251" s="627"/>
      <c r="AB251" s="4"/>
      <c r="AC251" s="355">
        <f t="shared" ref="AC251:AC277" si="30">Q251</f>
        <v>15</v>
      </c>
    </row>
    <row r="252" spans="1:34" ht="19.5" customHeight="1" x14ac:dyDescent="0.35">
      <c r="C252" s="603" t="s">
        <v>1348</v>
      </c>
      <c r="D252" s="1183" t="str">
        <f>LAJES!B532</f>
        <v>ANCORAGENS PARA PÓS-TENSÃO EM LAJES</v>
      </c>
      <c r="E252" s="47"/>
      <c r="F252" s="1181"/>
      <c r="G252" s="47"/>
      <c r="H252" s="1182"/>
      <c r="I252" s="1182"/>
      <c r="J252" s="910" t="s">
        <v>35</v>
      </c>
      <c r="K252" s="1616">
        <f>LAJES!I532</f>
        <v>0</v>
      </c>
      <c r="L252" s="1617"/>
      <c r="M252" s="1617"/>
      <c r="N252" s="1618"/>
      <c r="O252" s="727" t="s">
        <v>1349</v>
      </c>
      <c r="P252" s="45"/>
      <c r="Q252" s="609">
        <f>Q86+Q87+Q88</f>
        <v>162.25</v>
      </c>
      <c r="R252" s="1177">
        <f>IF(J252="X",0,IF(J252&gt;0,K252*Q252*J252,K252*Q252))</f>
        <v>0</v>
      </c>
      <c r="U252" s="647" t="s">
        <v>1047</v>
      </c>
      <c r="V252" s="154">
        <f ca="1">R246+R247+R248+R249+R250+R251+R252</f>
        <v>0</v>
      </c>
      <c r="W252" s="627"/>
      <c r="X252" s="154"/>
      <c r="Y252" s="627" t="s">
        <v>1047</v>
      </c>
      <c r="AB252" s="4"/>
      <c r="AC252" s="355">
        <f t="shared" si="30"/>
        <v>162.25</v>
      </c>
    </row>
    <row r="253" spans="1:34" ht="19.5" customHeight="1" x14ac:dyDescent="0.35">
      <c r="D253" s="25"/>
      <c r="E253" s="25"/>
      <c r="F253" s="25"/>
      <c r="G253" s="25"/>
      <c r="H253" s="25"/>
      <c r="I253" s="25"/>
      <c r="J253" s="25"/>
      <c r="K253" s="1603" t="s">
        <v>1350</v>
      </c>
      <c r="L253" s="1603"/>
      <c r="M253" s="1603"/>
      <c r="N253" s="1603"/>
      <c r="O253" s="1603"/>
      <c r="P253" s="1619"/>
      <c r="Q253" s="1664">
        <f ca="1">SUM(R246:R252)</f>
        <v>0</v>
      </c>
      <c r="R253" s="1665"/>
      <c r="W253" s="627"/>
      <c r="X253" s="627"/>
      <c r="AB253" s="4"/>
      <c r="AC253" s="355">
        <f t="shared" ca="1" si="30"/>
        <v>0</v>
      </c>
    </row>
    <row r="254" spans="1:34" ht="19.5" customHeight="1" x14ac:dyDescent="0.35">
      <c r="D254" s="25"/>
      <c r="E254" s="25"/>
      <c r="F254" s="25"/>
      <c r="G254" s="25"/>
      <c r="H254" s="25"/>
      <c r="I254" s="25"/>
      <c r="J254" s="25"/>
      <c r="K254" s="1133"/>
      <c r="L254" s="1133"/>
      <c r="M254" s="1133"/>
      <c r="N254" s="1133"/>
      <c r="O254" s="1133"/>
      <c r="P254" s="1133"/>
      <c r="Q254" s="1184"/>
      <c r="R254" s="1184"/>
      <c r="W254" s="627"/>
      <c r="X254" s="627"/>
      <c r="AB254" s="4"/>
      <c r="AC254" s="355">
        <f t="shared" si="30"/>
        <v>0</v>
      </c>
    </row>
    <row r="255" spans="1:34" ht="50.45" customHeight="1" x14ac:dyDescent="0.35">
      <c r="C255" s="1746" t="s">
        <v>1020</v>
      </c>
      <c r="D255" s="1719" t="s">
        <v>1351</v>
      </c>
      <c r="E255" s="1733"/>
      <c r="F255" s="1733"/>
      <c r="G255" s="1733"/>
      <c r="H255" s="1733"/>
      <c r="I255" s="1733"/>
      <c r="J255" s="1720"/>
      <c r="K255" s="1726" t="s">
        <v>1352</v>
      </c>
      <c r="L255" s="1727"/>
      <c r="M255" s="1727"/>
      <c r="N255" s="1728"/>
      <c r="O255" s="1719" t="s">
        <v>891</v>
      </c>
      <c r="P255" s="1720"/>
      <c r="Q255" s="1717" t="s">
        <v>1353</v>
      </c>
      <c r="R255" s="1717" t="s">
        <v>1354</v>
      </c>
      <c r="W255" s="627"/>
      <c r="X255" s="627"/>
      <c r="AB255" s="4"/>
      <c r="AC255" s="355" t="str">
        <f t="shared" si="30"/>
        <v>VALOR DO RATEIO</v>
      </c>
    </row>
    <row r="256" spans="1:34" ht="15.6" customHeight="1" x14ac:dyDescent="0.35">
      <c r="C256" s="1747"/>
      <c r="D256" s="1721"/>
      <c r="E256" s="1734"/>
      <c r="F256" s="1734"/>
      <c r="G256" s="1734"/>
      <c r="H256" s="1734"/>
      <c r="I256" s="1734"/>
      <c r="J256" s="1722"/>
      <c r="K256" s="1185">
        <f>IF(ENTRADAS!$F$22=0,0,IF(ENTRADAS!$F$22&lt;=4,1,0))</f>
        <v>1</v>
      </c>
      <c r="L256" s="1185">
        <f>IF(ENTRADAS!$F$22&lt;=1,0,IF(ENTRADAS!$F$22&lt;=4,2,0))</f>
        <v>2</v>
      </c>
      <c r="M256" s="1185">
        <f>IF(ENTRADAS!$F$22&lt;=2,0,IF(ENTRADAS!$F$22&lt;=4,3,0))</f>
        <v>3</v>
      </c>
      <c r="N256" s="1185">
        <f>IF(ENTRADAS!$F$22&lt;=3,0,IF(ENTRADAS!$F$22&lt;=4,4,0))</f>
        <v>4</v>
      </c>
      <c r="O256" s="1721"/>
      <c r="P256" s="1722"/>
      <c r="Q256" s="1718"/>
      <c r="R256" s="1718"/>
      <c r="W256" s="627"/>
      <c r="X256" s="627"/>
      <c r="AB256" s="4"/>
      <c r="AC256" s="355">
        <f t="shared" si="30"/>
        <v>0</v>
      </c>
    </row>
    <row r="257" spans="1:29" ht="19.5" customHeight="1" x14ac:dyDescent="0.35">
      <c r="C257" s="603" t="s">
        <v>1355</v>
      </c>
      <c r="D257" s="693" t="s">
        <v>1356</v>
      </c>
      <c r="E257" s="35">
        <f>E58</f>
        <v>0</v>
      </c>
      <c r="F257" s="35">
        <f>F58</f>
        <v>0</v>
      </c>
      <c r="G257" s="35">
        <f>G58</f>
        <v>0</v>
      </c>
      <c r="H257" s="35" t="str">
        <f>H58</f>
        <v>70 toneladas</v>
      </c>
      <c r="I257" s="35">
        <f>I58</f>
        <v>0</v>
      </c>
      <c r="J257" s="52"/>
      <c r="K257" s="700"/>
      <c r="L257" s="700"/>
      <c r="M257" s="700"/>
      <c r="N257" s="700"/>
      <c r="O257" s="1731"/>
      <c r="P257" s="1732"/>
      <c r="Q257" s="701"/>
      <c r="R257" s="1177">
        <f>IF(Q257=0,0,(Q257*COUNTIF(K257:N257,"X"))-R58)</f>
        <v>0</v>
      </c>
      <c r="U257" s="647" t="s">
        <v>1050</v>
      </c>
      <c r="V257" s="154">
        <f>R258</f>
        <v>0</v>
      </c>
      <c r="W257" s="647" t="s">
        <v>1050</v>
      </c>
      <c r="X257" s="154">
        <f>R257</f>
        <v>0</v>
      </c>
      <c r="AB257" s="4"/>
      <c r="AC257" s="355">
        <f t="shared" si="30"/>
        <v>0</v>
      </c>
    </row>
    <row r="258" spans="1:29" ht="19.5" customHeight="1" x14ac:dyDescent="0.35">
      <c r="C258" s="603" t="s">
        <v>1357</v>
      </c>
      <c r="D258" s="44" t="str">
        <f>D60</f>
        <v>GUINDASTE PARA LAJES</v>
      </c>
      <c r="E258" s="35">
        <f>E60</f>
        <v>0</v>
      </c>
      <c r="F258" s="35">
        <f>F60</f>
        <v>0</v>
      </c>
      <c r="G258" s="35" t="str">
        <f>G60</f>
        <v>toneladas</v>
      </c>
      <c r="H258" s="35">
        <f>H60</f>
        <v>0</v>
      </c>
      <c r="I258" s="35"/>
      <c r="J258" s="52"/>
      <c r="K258" s="664"/>
      <c r="L258" s="664"/>
      <c r="M258" s="664"/>
      <c r="N258" s="664"/>
      <c r="O258" s="1715"/>
      <c r="P258" s="1715"/>
      <c r="Q258" s="665"/>
      <c r="R258" s="1177">
        <f>IF(Q258=0,0,(Q258*COUNTIF(K258:N258,"X"))-R60)</f>
        <v>0</v>
      </c>
      <c r="W258" s="627"/>
      <c r="X258" s="627"/>
      <c r="AB258" s="4"/>
      <c r="AC258" s="355">
        <f t="shared" si="30"/>
        <v>0</v>
      </c>
    </row>
    <row r="259" spans="1:29" ht="13.5" x14ac:dyDescent="0.35">
      <c r="D259" s="336" t="s">
        <v>1050</v>
      </c>
      <c r="E259" s="336" t="s">
        <v>1047</v>
      </c>
      <c r="F259" s="25"/>
      <c r="G259" s="25"/>
      <c r="H259" s="25"/>
      <c r="I259" s="25"/>
      <c r="J259" s="25"/>
      <c r="K259" s="25"/>
      <c r="L259" s="25"/>
      <c r="M259" s="25"/>
      <c r="N259" s="62"/>
      <c r="O259" s="62"/>
      <c r="P259" s="62"/>
      <c r="Q259" s="77"/>
      <c r="R259" s="77"/>
      <c r="S259" s="669"/>
      <c r="T259" s="669"/>
      <c r="U259" s="669"/>
      <c r="W259" s="627"/>
      <c r="X259" s="627"/>
      <c r="AB259" s="4"/>
      <c r="AC259" s="355">
        <f t="shared" si="30"/>
        <v>0</v>
      </c>
    </row>
    <row r="260" spans="1:29" ht="53.25" customHeight="1" x14ac:dyDescent="0.35">
      <c r="C260" s="1746" t="s">
        <v>1020</v>
      </c>
      <c r="D260" s="1719" t="s">
        <v>1358</v>
      </c>
      <c r="E260" s="1733"/>
      <c r="F260" s="1733"/>
      <c r="G260" s="1733"/>
      <c r="H260" s="1720"/>
      <c r="I260" s="1748" t="s">
        <v>1359</v>
      </c>
      <c r="J260" s="1748" t="s">
        <v>1360</v>
      </c>
      <c r="K260" s="1726" t="s">
        <v>1352</v>
      </c>
      <c r="L260" s="1727"/>
      <c r="M260" s="1727"/>
      <c r="N260" s="1728"/>
      <c r="O260" s="1719" t="s">
        <v>891</v>
      </c>
      <c r="P260" s="1720"/>
      <c r="Q260" s="1750" t="s">
        <v>1022</v>
      </c>
      <c r="R260" s="1717" t="str">
        <f>IF(ENTRADAS!F22=1,"Preço Total para "&amp;ENTRADAS!F22&amp;" tanque","Preço Total para "&amp;ENTRADAS!F22&amp;" tanques")</f>
        <v>Preço Total para 4 tanques</v>
      </c>
      <c r="S260" s="1740" t="s">
        <v>1361</v>
      </c>
      <c r="T260" s="1741"/>
      <c r="U260" s="1742"/>
      <c r="W260" s="627"/>
      <c r="X260" s="627"/>
      <c r="Z260" s="1337" t="s">
        <v>1362</v>
      </c>
      <c r="AA260" s="1337"/>
      <c r="AB260" s="4"/>
      <c r="AC260" s="355" t="str">
        <f t="shared" si="30"/>
        <v>Preço unit.</v>
      </c>
    </row>
    <row r="261" spans="1:29" ht="15.75" customHeight="1" x14ac:dyDescent="0.35">
      <c r="C261" s="1747"/>
      <c r="D261" s="1721"/>
      <c r="E261" s="1734"/>
      <c r="F261" s="1734"/>
      <c r="G261" s="1734"/>
      <c r="H261" s="1722"/>
      <c r="I261" s="1749"/>
      <c r="J261" s="1749"/>
      <c r="K261" s="1185">
        <f>IF(ENTRADAS!$F$22=0,0,IF(ENTRADAS!$F$22&lt;=4,1,0))</f>
        <v>1</v>
      </c>
      <c r="L261" s="1185">
        <f>IF(ENTRADAS!$F$22&lt;=1,0,IF(ENTRADAS!$F$22&lt;=4,2,0))</f>
        <v>2</v>
      </c>
      <c r="M261" s="1185">
        <f>IF(ENTRADAS!$F$22&lt;=2,0,IF(ENTRADAS!$F$22&lt;=4,3,0))</f>
        <v>3</v>
      </c>
      <c r="N261" s="1185">
        <f>IF(ENTRADAS!$F$22&lt;=3,0,IF(ENTRADAS!$F$22&lt;=4,4,0))</f>
        <v>4</v>
      </c>
      <c r="O261" s="1721"/>
      <c r="P261" s="1722"/>
      <c r="Q261" s="1751"/>
      <c r="R261" s="1718"/>
      <c r="S261" s="1743"/>
      <c r="T261" s="1744"/>
      <c r="U261" s="1745"/>
      <c r="W261" s="627"/>
      <c r="X261" s="627"/>
      <c r="Z261" s="630" t="s">
        <v>1363</v>
      </c>
      <c r="AA261" s="630" t="s">
        <v>1364</v>
      </c>
      <c r="AB261" s="4"/>
      <c r="AC261" s="355">
        <f t="shared" si="30"/>
        <v>0</v>
      </c>
    </row>
    <row r="262" spans="1:29" ht="29.25" customHeight="1" x14ac:dyDescent="0.35">
      <c r="A262" s="500"/>
      <c r="B262" s="500" t="s">
        <v>1347</v>
      </c>
      <c r="C262" s="603" t="s">
        <v>1365</v>
      </c>
      <c r="D262" s="1709" t="s">
        <v>1366</v>
      </c>
      <c r="E262" s="1710"/>
      <c r="F262" s="1710"/>
      <c r="G262" s="1710"/>
      <c r="H262" s="1711"/>
      <c r="I262" s="907" t="s">
        <v>1047</v>
      </c>
      <c r="J262" s="908">
        <v>1</v>
      </c>
      <c r="K262" s="700" t="s">
        <v>10</v>
      </c>
      <c r="L262" s="700" t="s">
        <v>35</v>
      </c>
      <c r="M262" s="700" t="s">
        <v>35</v>
      </c>
      <c r="N262" s="700" t="s">
        <v>35</v>
      </c>
      <c r="O262" s="1714" t="s">
        <v>891</v>
      </c>
      <c r="P262" s="1714"/>
      <c r="Q262" s="701">
        <f>(1*1.315*1.315*0.01+1*1.215*1.215*0.01+1.62*1.62*0.01)*7850*70.671488</f>
        <v>32342.3276838688</v>
      </c>
      <c r="R262" s="1177">
        <f>J262*Q262*COUNTIF(K262:N262,"X")</f>
        <v>129369.3107354752</v>
      </c>
      <c r="S262" s="671"/>
      <c r="W262" s="627"/>
      <c r="X262" s="627"/>
      <c r="Z262" s="32">
        <f t="shared" ref="Z262:Z274" si="31">IF(AND(S262="x",I262="f"),R262,0)</f>
        <v>0</v>
      </c>
      <c r="AA262" s="32">
        <f t="shared" ref="AA262:AA274" si="32">IF(AND(S262="x",I262="M"),R262,0)</f>
        <v>0</v>
      </c>
      <c r="AB262" s="4"/>
      <c r="AC262" s="355">
        <f t="shared" si="30"/>
        <v>32342.3276838688</v>
      </c>
    </row>
    <row r="263" spans="1:29" ht="29.25" customHeight="1" x14ac:dyDescent="0.35">
      <c r="A263" s="500"/>
      <c r="B263" s="500" t="s">
        <v>1348</v>
      </c>
      <c r="C263" s="603" t="s">
        <v>1367</v>
      </c>
      <c r="D263" s="1709" t="s">
        <v>1368</v>
      </c>
      <c r="E263" s="1710"/>
      <c r="F263" s="1710"/>
      <c r="G263" s="1710"/>
      <c r="H263" s="1711"/>
      <c r="I263" s="907" t="s">
        <v>1050</v>
      </c>
      <c r="J263" s="908">
        <v>1</v>
      </c>
      <c r="K263" s="700"/>
      <c r="L263" s="700"/>
      <c r="M263" s="700"/>
      <c r="N263" s="700"/>
      <c r="O263" s="1714" t="s">
        <v>1369</v>
      </c>
      <c r="P263" s="1714"/>
      <c r="Q263" s="701">
        <v>5000</v>
      </c>
      <c r="R263" s="1177">
        <f>J263*Q263*COUNTIF(K263:N263,"X")</f>
        <v>0</v>
      </c>
      <c r="S263" s="670"/>
      <c r="U263" s="647" t="s">
        <v>1047</v>
      </c>
      <c r="V263" s="154"/>
      <c r="W263" s="627"/>
      <c r="X263" s="1186">
        <f>Q275</f>
        <v>149369.31073547521</v>
      </c>
      <c r="Y263" s="627" t="s">
        <v>1047</v>
      </c>
      <c r="Z263" s="32">
        <f t="shared" si="31"/>
        <v>0</v>
      </c>
      <c r="AA263" s="32">
        <f t="shared" si="32"/>
        <v>0</v>
      </c>
      <c r="AB263" s="4"/>
      <c r="AC263" s="355">
        <f t="shared" si="30"/>
        <v>5000</v>
      </c>
    </row>
    <row r="264" spans="1:29" ht="29.25" customHeight="1" x14ac:dyDescent="0.35">
      <c r="A264" s="500"/>
      <c r="B264" s="500" t="s">
        <v>1355</v>
      </c>
      <c r="C264" s="603" t="s">
        <v>1370</v>
      </c>
      <c r="D264" s="1709" t="s">
        <v>1371</v>
      </c>
      <c r="E264" s="1710"/>
      <c r="F264" s="1710"/>
      <c r="G264" s="1710"/>
      <c r="H264" s="1711"/>
      <c r="I264" s="907" t="s">
        <v>1047</v>
      </c>
      <c r="J264" s="908">
        <v>1</v>
      </c>
      <c r="K264" s="700" t="s">
        <v>10</v>
      </c>
      <c r="L264" s="700" t="s">
        <v>35</v>
      </c>
      <c r="M264" s="700" t="s">
        <v>35</v>
      </c>
      <c r="N264" s="700" t="s">
        <v>35</v>
      </c>
      <c r="O264" s="1714" t="s">
        <v>1372</v>
      </c>
      <c r="P264" s="1714"/>
      <c r="Q264" s="701">
        <v>1000</v>
      </c>
      <c r="R264" s="1177">
        <f t="shared" ref="R264:R274" si="33">J264*Q264*COUNTIF(K264:N264,"X")</f>
        <v>4000</v>
      </c>
      <c r="S264" s="670"/>
      <c r="U264" s="647" t="s">
        <v>1050</v>
      </c>
      <c r="V264" s="32"/>
      <c r="W264" s="627"/>
      <c r="X264" s="1186">
        <f ca="1">Q276</f>
        <v>4802025.5284799999</v>
      </c>
      <c r="Y264" s="627" t="s">
        <v>1050</v>
      </c>
      <c r="Z264" s="32">
        <f t="shared" si="31"/>
        <v>0</v>
      </c>
      <c r="AA264" s="32">
        <f t="shared" si="32"/>
        <v>0</v>
      </c>
      <c r="AB264" s="4"/>
      <c r="AC264" s="355">
        <f t="shared" si="30"/>
        <v>1000</v>
      </c>
    </row>
    <row r="265" spans="1:29" ht="29.25" customHeight="1" x14ac:dyDescent="0.35">
      <c r="A265" s="500"/>
      <c r="B265" s="500" t="s">
        <v>1357</v>
      </c>
      <c r="C265" s="603" t="s">
        <v>1373</v>
      </c>
      <c r="D265" s="1709" t="s">
        <v>1371</v>
      </c>
      <c r="E265" s="1710"/>
      <c r="F265" s="1710"/>
      <c r="G265" s="1710"/>
      <c r="H265" s="1711"/>
      <c r="I265" s="907" t="s">
        <v>1050</v>
      </c>
      <c r="J265" s="908">
        <v>1</v>
      </c>
      <c r="K265" s="700" t="s">
        <v>10</v>
      </c>
      <c r="L265" s="700" t="s">
        <v>35</v>
      </c>
      <c r="M265" s="700" t="s">
        <v>35</v>
      </c>
      <c r="N265" s="700" t="s">
        <v>35</v>
      </c>
      <c r="O265" s="1714" t="s">
        <v>1372</v>
      </c>
      <c r="P265" s="1714"/>
      <c r="Q265" s="701">
        <f>10*700</f>
        <v>7000</v>
      </c>
      <c r="R265" s="1177">
        <f t="shared" si="33"/>
        <v>28000</v>
      </c>
      <c r="S265" s="671"/>
      <c r="W265" s="627"/>
      <c r="X265" s="627"/>
      <c r="Z265" s="32">
        <f t="shared" si="31"/>
        <v>0</v>
      </c>
      <c r="AA265" s="32">
        <f t="shared" si="32"/>
        <v>0</v>
      </c>
      <c r="AB265" s="4"/>
      <c r="AC265" s="355">
        <f t="shared" si="30"/>
        <v>7000</v>
      </c>
    </row>
    <row r="266" spans="1:29" ht="29.25" customHeight="1" x14ac:dyDescent="0.35">
      <c r="A266" s="500"/>
      <c r="B266" s="500" t="s">
        <v>1365</v>
      </c>
      <c r="C266" s="603" t="s">
        <v>1374</v>
      </c>
      <c r="D266" s="1709" t="s">
        <v>1375</v>
      </c>
      <c r="E266" s="1710"/>
      <c r="F266" s="1710"/>
      <c r="G266" s="1710"/>
      <c r="H266" s="1711"/>
      <c r="I266" s="907" t="s">
        <v>1047</v>
      </c>
      <c r="J266" s="908">
        <v>4</v>
      </c>
      <c r="K266" s="700" t="s">
        <v>10</v>
      </c>
      <c r="L266" s="700" t="s">
        <v>35</v>
      </c>
      <c r="M266" s="700" t="s">
        <v>35</v>
      </c>
      <c r="N266" s="700" t="s">
        <v>35</v>
      </c>
      <c r="O266" s="1714" t="s">
        <v>1372</v>
      </c>
      <c r="P266" s="1714"/>
      <c r="Q266" s="701">
        <v>1000</v>
      </c>
      <c r="R266" s="1177">
        <f t="shared" si="33"/>
        <v>16000</v>
      </c>
      <c r="S266" s="671"/>
      <c r="W266" s="627"/>
      <c r="X266" s="627"/>
      <c r="Z266" s="32">
        <f t="shared" si="31"/>
        <v>0</v>
      </c>
      <c r="AA266" s="32">
        <f t="shared" si="32"/>
        <v>0</v>
      </c>
      <c r="AB266" s="4"/>
      <c r="AC266" s="355">
        <f t="shared" si="30"/>
        <v>1000</v>
      </c>
    </row>
    <row r="267" spans="1:29" ht="29.25" customHeight="1" x14ac:dyDescent="0.35">
      <c r="A267" s="500"/>
      <c r="B267" s="500" t="s">
        <v>1367</v>
      </c>
      <c r="C267" s="603" t="s">
        <v>1376</v>
      </c>
      <c r="D267" s="1709" t="s">
        <v>1375</v>
      </c>
      <c r="E267" s="1710"/>
      <c r="F267" s="1710"/>
      <c r="G267" s="1710"/>
      <c r="H267" s="1711"/>
      <c r="I267" s="907" t="s">
        <v>1050</v>
      </c>
      <c r="J267" s="908">
        <v>4</v>
      </c>
      <c r="K267" s="700" t="s">
        <v>10</v>
      </c>
      <c r="L267" s="700" t="s">
        <v>35</v>
      </c>
      <c r="M267" s="700" t="s">
        <v>35</v>
      </c>
      <c r="N267" s="700" t="s">
        <v>35</v>
      </c>
      <c r="O267" s="1714" t="s">
        <v>1372</v>
      </c>
      <c r="P267" s="1714"/>
      <c r="Q267" s="701">
        <v>1000</v>
      </c>
      <c r="R267" s="1177">
        <f t="shared" si="33"/>
        <v>16000</v>
      </c>
      <c r="S267" s="671"/>
      <c r="W267" s="627"/>
      <c r="X267" s="627"/>
      <c r="Z267" s="32">
        <f t="shared" si="31"/>
        <v>0</v>
      </c>
      <c r="AA267" s="32">
        <f t="shared" si="32"/>
        <v>0</v>
      </c>
      <c r="AB267" s="4"/>
      <c r="AC267" s="355">
        <f t="shared" si="30"/>
        <v>1000</v>
      </c>
    </row>
    <row r="268" spans="1:29" ht="29.25" customHeight="1" x14ac:dyDescent="0.35">
      <c r="A268" s="500"/>
      <c r="B268" s="500" t="s">
        <v>1370</v>
      </c>
      <c r="C268" s="603" t="s">
        <v>1377</v>
      </c>
      <c r="D268" s="1709" t="s">
        <v>1378</v>
      </c>
      <c r="E268" s="1710"/>
      <c r="F268" s="1710"/>
      <c r="G268" s="1710"/>
      <c r="H268" s="1711"/>
      <c r="I268" s="907" t="s">
        <v>1050</v>
      </c>
      <c r="J268" s="908">
        <v>1</v>
      </c>
      <c r="K268" s="700" t="s">
        <v>10</v>
      </c>
      <c r="L268" s="700" t="s">
        <v>35</v>
      </c>
      <c r="M268" s="700" t="s">
        <v>35</v>
      </c>
      <c r="N268" s="700" t="s">
        <v>35</v>
      </c>
      <c r="O268" s="1714" t="s">
        <v>1372</v>
      </c>
      <c r="P268" s="1714"/>
      <c r="Q268" s="701">
        <v>300</v>
      </c>
      <c r="R268" s="1177">
        <f t="shared" si="33"/>
        <v>1200</v>
      </c>
      <c r="S268" s="670"/>
      <c r="W268" s="627"/>
      <c r="X268" s="627"/>
      <c r="Z268" s="32">
        <f t="shared" si="31"/>
        <v>0</v>
      </c>
      <c r="AA268" s="32">
        <f t="shared" si="32"/>
        <v>0</v>
      </c>
      <c r="AB268" s="4"/>
      <c r="AC268" s="355">
        <f t="shared" si="30"/>
        <v>300</v>
      </c>
    </row>
    <row r="269" spans="1:29" ht="29.25" customHeight="1" x14ac:dyDescent="0.35">
      <c r="A269" s="500"/>
      <c r="B269" s="500" t="s">
        <v>1373</v>
      </c>
      <c r="C269" s="603" t="s">
        <v>1379</v>
      </c>
      <c r="D269" s="1709" t="s">
        <v>1380</v>
      </c>
      <c r="E269" s="1710"/>
      <c r="F269" s="1710"/>
      <c r="G269" s="1710"/>
      <c r="H269" s="1711"/>
      <c r="I269" s="907" t="s">
        <v>1050</v>
      </c>
      <c r="J269" s="908">
        <v>1</v>
      </c>
      <c r="K269" s="700" t="s">
        <v>10</v>
      </c>
      <c r="L269" s="700"/>
      <c r="M269" s="700"/>
      <c r="N269" s="700"/>
      <c r="O269" s="1714" t="s">
        <v>1372</v>
      </c>
      <c r="P269" s="1714"/>
      <c r="Q269" s="701">
        <f>10*4*200</f>
        <v>8000</v>
      </c>
      <c r="R269" s="1177">
        <f t="shared" si="33"/>
        <v>8000</v>
      </c>
      <c r="S269" s="671"/>
      <c r="W269" s="627"/>
      <c r="X269" s="627"/>
      <c r="Z269" s="32">
        <f t="shared" si="31"/>
        <v>0</v>
      </c>
      <c r="AA269" s="32">
        <f t="shared" si="32"/>
        <v>0</v>
      </c>
      <c r="AB269" s="4"/>
      <c r="AC269" s="355">
        <f t="shared" si="30"/>
        <v>8000</v>
      </c>
    </row>
    <row r="270" spans="1:29" ht="29.25" customHeight="1" x14ac:dyDescent="0.35">
      <c r="A270" s="500"/>
      <c r="B270" s="500" t="s">
        <v>1374</v>
      </c>
      <c r="C270" s="603" t="s">
        <v>1381</v>
      </c>
      <c r="D270" s="1709" t="s">
        <v>1382</v>
      </c>
      <c r="E270" s="1710"/>
      <c r="F270" s="1710"/>
      <c r="G270" s="1710"/>
      <c r="H270" s="1711"/>
      <c r="I270" s="907" t="s">
        <v>1050</v>
      </c>
      <c r="J270" s="908">
        <v>1</v>
      </c>
      <c r="K270" s="700" t="s">
        <v>35</v>
      </c>
      <c r="L270" s="700"/>
      <c r="M270" s="700"/>
      <c r="N270" s="700"/>
      <c r="O270" s="1714" t="s">
        <v>1372</v>
      </c>
      <c r="P270" s="1714"/>
      <c r="Q270" s="701">
        <f ca="1">-((K81*Q81*0.1)+(K85*Q85*0.2)+(K87*Q87*0)+(K89*Q89*0.2)+(K114*Q114*0.03)+(K150*Q150*0.2))</f>
        <v>-73912.471520000006</v>
      </c>
      <c r="R270" s="1177">
        <f t="shared" ca="1" si="33"/>
        <v>-73912.471520000006</v>
      </c>
      <c r="S270" s="670"/>
      <c r="W270" s="627"/>
      <c r="X270" s="627"/>
      <c r="Z270" s="32">
        <f t="shared" si="31"/>
        <v>0</v>
      </c>
      <c r="AA270" s="32">
        <f t="shared" si="32"/>
        <v>0</v>
      </c>
      <c r="AB270" s="4"/>
      <c r="AC270" s="355">
        <f t="shared" ca="1" si="30"/>
        <v>-73912.471520000006</v>
      </c>
    </row>
    <row r="271" spans="1:29" ht="29.25" customHeight="1" x14ac:dyDescent="0.35">
      <c r="A271" s="500"/>
      <c r="B271" s="500" t="s">
        <v>1376</v>
      </c>
      <c r="C271" s="603" t="s">
        <v>1383</v>
      </c>
      <c r="D271" s="1709" t="s">
        <v>1384</v>
      </c>
      <c r="E271" s="1710"/>
      <c r="F271" s="1710"/>
      <c r="G271" s="1710"/>
      <c r="H271" s="1711"/>
      <c r="I271" s="907" t="s">
        <v>1050</v>
      </c>
      <c r="J271" s="908">
        <v>25</v>
      </c>
      <c r="K271" s="700" t="s">
        <v>10</v>
      </c>
      <c r="L271" s="700"/>
      <c r="M271" s="700"/>
      <c r="N271" s="700"/>
      <c r="O271" s="1714" t="s">
        <v>891</v>
      </c>
      <c r="P271" s="1714"/>
      <c r="Q271" s="701">
        <v>3500</v>
      </c>
      <c r="R271" s="1177">
        <f t="shared" si="33"/>
        <v>87500</v>
      </c>
      <c r="S271" s="670"/>
      <c r="W271" s="627"/>
      <c r="X271" s="627"/>
      <c r="Z271" s="32">
        <f t="shared" si="31"/>
        <v>0</v>
      </c>
      <c r="AA271" s="32">
        <f t="shared" si="32"/>
        <v>0</v>
      </c>
      <c r="AB271" s="4"/>
      <c r="AC271" s="355">
        <f t="shared" si="30"/>
        <v>3500</v>
      </c>
    </row>
    <row r="272" spans="1:29" ht="29.25" customHeight="1" x14ac:dyDescent="0.35">
      <c r="A272" s="500"/>
      <c r="B272" s="500" t="s">
        <v>1377</v>
      </c>
      <c r="C272" s="603" t="s">
        <v>1385</v>
      </c>
      <c r="D272" s="1709" t="s">
        <v>1386</v>
      </c>
      <c r="E272" s="1710"/>
      <c r="F272" s="1710"/>
      <c r="G272" s="1710"/>
      <c r="H272" s="1711"/>
      <c r="I272" s="907" t="s">
        <v>1050</v>
      </c>
      <c r="J272" s="908">
        <v>60</v>
      </c>
      <c r="K272" s="700" t="s">
        <v>35</v>
      </c>
      <c r="L272" s="700"/>
      <c r="M272" s="700"/>
      <c r="N272" s="700"/>
      <c r="O272" s="1714" t="s">
        <v>1387</v>
      </c>
      <c r="P272" s="1714"/>
      <c r="Q272" s="701">
        <v>3000</v>
      </c>
      <c r="R272" s="1177">
        <f t="shared" si="33"/>
        <v>180000</v>
      </c>
      <c r="S272" s="671"/>
      <c r="W272" s="627"/>
      <c r="X272" s="627"/>
      <c r="Z272" s="32">
        <f t="shared" si="31"/>
        <v>0</v>
      </c>
      <c r="AA272" s="32">
        <f t="shared" si="32"/>
        <v>0</v>
      </c>
      <c r="AB272" s="4"/>
      <c r="AC272" s="355">
        <f t="shared" si="30"/>
        <v>3000</v>
      </c>
    </row>
    <row r="273" spans="1:29" ht="29.25" customHeight="1" x14ac:dyDescent="0.35">
      <c r="A273" s="500"/>
      <c r="B273" s="500" t="s">
        <v>1379</v>
      </c>
      <c r="C273" s="603" t="s">
        <v>1388</v>
      </c>
      <c r="D273" s="1709" t="s">
        <v>1389</v>
      </c>
      <c r="E273" s="1710"/>
      <c r="F273" s="1710"/>
      <c r="G273" s="1710"/>
      <c r="H273" s="1711"/>
      <c r="I273" s="907" t="s">
        <v>1050</v>
      </c>
      <c r="J273" s="908">
        <v>30</v>
      </c>
      <c r="K273" s="700" t="s">
        <v>35</v>
      </c>
      <c r="L273" s="700"/>
      <c r="M273" s="700"/>
      <c r="N273" s="700"/>
      <c r="O273" s="1714" t="s">
        <v>1387</v>
      </c>
      <c r="P273" s="1714"/>
      <c r="Q273" s="701">
        <v>2000</v>
      </c>
      <c r="R273" s="1177">
        <f t="shared" si="33"/>
        <v>60000</v>
      </c>
      <c r="S273" s="670"/>
      <c r="W273" s="627"/>
      <c r="X273" s="627"/>
      <c r="Z273" s="32">
        <f t="shared" si="31"/>
        <v>0</v>
      </c>
      <c r="AA273" s="32">
        <f t="shared" si="32"/>
        <v>0</v>
      </c>
      <c r="AB273" s="4"/>
      <c r="AC273" s="355">
        <f t="shared" si="30"/>
        <v>2000</v>
      </c>
    </row>
    <row r="274" spans="1:29" ht="29.25" customHeight="1" x14ac:dyDescent="0.35">
      <c r="A274" s="500"/>
      <c r="B274" s="500" t="s">
        <v>1381</v>
      </c>
      <c r="C274" s="603" t="s">
        <v>1390</v>
      </c>
      <c r="D274" s="1709" t="s">
        <v>1391</v>
      </c>
      <c r="E274" s="1710"/>
      <c r="F274" s="1710"/>
      <c r="G274" s="1710"/>
      <c r="H274" s="1711"/>
      <c r="I274" s="662" t="s">
        <v>1050</v>
      </c>
      <c r="J274" s="663">
        <v>1</v>
      </c>
      <c r="K274" s="664" t="s">
        <v>35</v>
      </c>
      <c r="L274" s="664" t="s">
        <v>35</v>
      </c>
      <c r="M274" s="664" t="s">
        <v>35</v>
      </c>
      <c r="N274" s="664" t="s">
        <v>35</v>
      </c>
      <c r="O274" s="1715" t="s">
        <v>1372</v>
      </c>
      <c r="P274" s="1715"/>
      <c r="Q274" s="701">
        <f>13485714/12</f>
        <v>1123809.5</v>
      </c>
      <c r="R274" s="1177">
        <f t="shared" si="33"/>
        <v>4495238</v>
      </c>
      <c r="S274" s="670"/>
      <c r="W274" s="627"/>
      <c r="X274" s="627"/>
      <c r="Z274" s="32">
        <f t="shared" si="31"/>
        <v>0</v>
      </c>
      <c r="AA274" s="32">
        <f t="shared" si="32"/>
        <v>0</v>
      </c>
      <c r="AB274" s="4"/>
      <c r="AC274" s="355">
        <f t="shared" si="30"/>
        <v>1123809.5</v>
      </c>
    </row>
    <row r="275" spans="1:29" ht="19.5" customHeight="1" x14ac:dyDescent="0.35">
      <c r="D275" s="1187"/>
      <c r="E275" s="1187"/>
      <c r="F275" s="1187"/>
      <c r="G275" s="1187"/>
      <c r="H275" s="1187"/>
      <c r="I275" s="1729" t="s">
        <v>1392</v>
      </c>
      <c r="J275" s="1730"/>
      <c r="K275" s="1730"/>
      <c r="L275" s="1730"/>
      <c r="M275" s="1730"/>
      <c r="N275" s="1730"/>
      <c r="O275" s="1730"/>
      <c r="P275" s="1730"/>
      <c r="Q275" s="1716">
        <f>IF(I262="F",R262,0)+IF(I263="F",R263,0)+IF(I264="F",R264,0)+IF(I265="F",R265,0)+IF(I266="F",R266,0)+IF(I267="F",R267,0)+IF(I268="F",R268)+IF(I269="F",R269)+IF(I270="F",R270)+IF(I271="F",R271)+IF(I272="F",R272)+IF(I273="F",R273)+IF(I274="F",R274,0)</f>
        <v>149369.31073547521</v>
      </c>
      <c r="R275" s="1665"/>
      <c r="W275" s="627"/>
      <c r="X275" s="627"/>
      <c r="Y275" s="630" t="s">
        <v>240</v>
      </c>
      <c r="Z275" s="32">
        <f>SUM(Z262:Z274)</f>
        <v>0</v>
      </c>
      <c r="AA275" s="32">
        <f>SUM(AA262:AA274)</f>
        <v>0</v>
      </c>
      <c r="AB275" s="4"/>
      <c r="AC275" s="355">
        <f t="shared" si="30"/>
        <v>149369.31073547521</v>
      </c>
    </row>
    <row r="276" spans="1:29" ht="19.5" customHeight="1" x14ac:dyDescent="0.35">
      <c r="D276" s="1187"/>
      <c r="E276" s="1187"/>
      <c r="F276" s="1187"/>
      <c r="G276" s="1187"/>
      <c r="H276" s="1187"/>
      <c r="I276" s="1729" t="s">
        <v>1393</v>
      </c>
      <c r="J276" s="1730"/>
      <c r="K276" s="1730"/>
      <c r="L276" s="1730"/>
      <c r="M276" s="1730"/>
      <c r="N276" s="1730"/>
      <c r="O276" s="1730"/>
      <c r="P276" s="1730"/>
      <c r="Q276" s="1716">
        <f ca="1">IF(I262="M",R262,0)+IF(I263="M",R263,0)+IF(I264="M",R264,0)+IF(I265="M",R265,0)+IF(I266="M",R266,0)+IF(I267="M",R267,0)+IF(I268="M",R268)+IF(I269="M",R269)+IF(I270="M",R270)+IF(I271="M",R271)+IF(I272="M",R272)+IF(I273="M",R273)+IF(I274="M",R274,0)</f>
        <v>4802025.5284799999</v>
      </c>
      <c r="R276" s="1665"/>
      <c r="W276" s="627"/>
      <c r="X276" s="627"/>
      <c r="AB276" s="4"/>
      <c r="AC276" s="355">
        <f t="shared" ca="1" si="30"/>
        <v>4802025.5284799999</v>
      </c>
    </row>
    <row r="277" spans="1:29" ht="13.5" x14ac:dyDescent="0.35">
      <c r="D277" s="25"/>
      <c r="E277" s="25"/>
      <c r="F277" s="25"/>
      <c r="G277" s="25"/>
      <c r="H277" s="25"/>
      <c r="I277" s="25"/>
      <c r="J277" s="25"/>
      <c r="K277" s="25"/>
      <c r="L277" s="25"/>
      <c r="M277" s="25"/>
      <c r="N277" s="62"/>
      <c r="O277" s="62"/>
      <c r="P277" s="62"/>
      <c r="Q277" s="77"/>
      <c r="R277" s="77"/>
      <c r="W277" s="627"/>
      <c r="X277" s="627"/>
      <c r="Z277" s="4"/>
      <c r="AC277" s="355">
        <f t="shared" si="30"/>
        <v>0</v>
      </c>
    </row>
    <row r="278" spans="1:29" ht="20.100000000000001" customHeight="1" x14ac:dyDescent="0.35">
      <c r="D278" s="1706" t="s">
        <v>1394</v>
      </c>
      <c r="E278" s="1707"/>
      <c r="F278" s="1707"/>
      <c r="G278" s="1707"/>
      <c r="H278" s="1707"/>
      <c r="I278" s="1707"/>
      <c r="J278" s="1707"/>
      <c r="K278" s="1707"/>
      <c r="L278" s="1707"/>
      <c r="M278" s="1707"/>
      <c r="N278" s="1707"/>
      <c r="O278" s="1707"/>
      <c r="P278" s="1707"/>
      <c r="Q278" s="1707"/>
      <c r="R278" s="1708"/>
      <c r="U278" s="647" t="s">
        <v>1047</v>
      </c>
      <c r="V278" s="1179">
        <f ca="1">V51+V145+V189+V225+V234+V247+V252</f>
        <v>0</v>
      </c>
      <c r="W278" s="627"/>
      <c r="X278" s="1179">
        <f ca="1">X145+X189+X225+X234+X247+X252+X263</f>
        <v>2695886.1024987982</v>
      </c>
      <c r="Y278" s="627" t="s">
        <v>1047</v>
      </c>
      <c r="Z278" s="4"/>
    </row>
    <row r="279" spans="1:29" x14ac:dyDescent="0.35">
      <c r="D279" s="25"/>
      <c r="E279" s="25"/>
      <c r="F279" s="25"/>
      <c r="G279" s="25"/>
      <c r="H279" s="25"/>
      <c r="I279" s="25"/>
      <c r="J279" s="25"/>
      <c r="K279" s="25"/>
      <c r="L279" s="25"/>
      <c r="M279" s="25"/>
      <c r="N279" s="25"/>
      <c r="O279" s="25"/>
      <c r="P279" s="25"/>
      <c r="Q279" s="76"/>
      <c r="R279" s="76"/>
      <c r="W279" s="627"/>
      <c r="X279" s="627"/>
    </row>
    <row r="280" spans="1:29" ht="24" customHeight="1" x14ac:dyDescent="0.35">
      <c r="D280" s="1470" t="s">
        <v>1395</v>
      </c>
      <c r="E280" s="1470">
        <f>CÁLCULOS!D510</f>
        <v>0</v>
      </c>
      <c r="F280" s="1470">
        <f>CÁLCULOS!E510</f>
        <v>0</v>
      </c>
      <c r="G280" s="1470">
        <f>CÁLCULOS!F510</f>
        <v>0</v>
      </c>
      <c r="H280" s="1470">
        <f>CÁLCULOS!G510</f>
        <v>0</v>
      </c>
      <c r="I280" s="1470">
        <f>CÁLCULOS!H510</f>
        <v>0</v>
      </c>
      <c r="J280" s="1470">
        <f>CÁLCULOS!I510</f>
        <v>0</v>
      </c>
      <c r="K280" s="1606" t="s">
        <v>275</v>
      </c>
      <c r="L280" s="1607"/>
      <c r="M280" s="1607"/>
      <c r="N280" s="1608"/>
      <c r="O280" s="1324" t="s">
        <v>891</v>
      </c>
      <c r="P280" s="1326"/>
      <c r="Q280" s="1172" t="s">
        <v>1022</v>
      </c>
      <c r="R280" s="1172" t="s">
        <v>1023</v>
      </c>
      <c r="U280" s="647" t="s">
        <v>1050</v>
      </c>
      <c r="V280" s="154">
        <f ca="1">V52+V97+V104+V115+V129+V179+V207+V257</f>
        <v>0</v>
      </c>
      <c r="X280" s="154">
        <f ca="1">X52+X97+X104+X115+X129+X179+X207+X264+X257</f>
        <v>7912554.9274799991</v>
      </c>
      <c r="Y280" s="627" t="s">
        <v>1050</v>
      </c>
    </row>
    <row r="281" spans="1:29" ht="20.100000000000001" customHeight="1" x14ac:dyDescent="0.35">
      <c r="D281" s="1188" t="str">
        <f>CÁLCULOS!C247</f>
        <v>CORDA DE POLIAMIDA 1/2"</v>
      </c>
      <c r="E281" s="57"/>
      <c r="F281" s="57"/>
      <c r="G281" s="57"/>
      <c r="H281" s="57"/>
      <c r="I281" s="57"/>
      <c r="J281" s="57"/>
      <c r="K281" s="1599">
        <f>CÁLCULOS!L247</f>
        <v>100</v>
      </c>
      <c r="L281" s="1599"/>
      <c r="M281" s="1599"/>
      <c r="N281" s="1599"/>
      <c r="O281" s="59" t="str">
        <f>CÁLCULOS!M247</f>
        <v>m</v>
      </c>
      <c r="P281" s="60"/>
      <c r="Q281" s="1189">
        <v>1.8</v>
      </c>
      <c r="R281" s="1189">
        <f>K281*Q281</f>
        <v>180</v>
      </c>
    </row>
    <row r="282" spans="1:29" ht="20.100000000000001" customHeight="1" x14ac:dyDescent="0.35">
      <c r="D282" s="1188" t="str">
        <f>CÁLCULOS!C248</f>
        <v>BROCA SDS Plus  DIÂMETRO 16 mm x 250 mm</v>
      </c>
      <c r="E282" s="57"/>
      <c r="F282" s="57"/>
      <c r="G282" s="57"/>
      <c r="H282" s="57"/>
      <c r="I282" s="57"/>
      <c r="J282" s="57"/>
      <c r="K282" s="1599">
        <f>CÁLCULOS!L248</f>
        <v>5</v>
      </c>
      <c r="L282" s="1599"/>
      <c r="M282" s="1599"/>
      <c r="N282" s="1599"/>
      <c r="O282" s="59" t="str">
        <f>CÁLCULOS!M248</f>
        <v>unid.</v>
      </c>
      <c r="P282" s="60"/>
      <c r="Q282" s="1189">
        <v>20.9</v>
      </c>
      <c r="R282" s="1189">
        <f t="shared" ref="R282:R303" si="34">N282*Q282</f>
        <v>0</v>
      </c>
      <c r="V282" s="299"/>
    </row>
    <row r="283" spans="1:29" ht="20.100000000000001" customHeight="1" x14ac:dyDescent="0.35">
      <c r="D283" s="1188" t="str">
        <f>CÁLCULOS!C249</f>
        <v>BROCA MISTURADORA PARA PRODUTOS BICOMPONENTES</v>
      </c>
      <c r="E283" s="57"/>
      <c r="F283" s="57"/>
      <c r="G283" s="57"/>
      <c r="H283" s="57"/>
      <c r="I283" s="57"/>
      <c r="J283" s="57"/>
      <c r="K283" s="1599">
        <f>CÁLCULOS!L249</f>
        <v>1</v>
      </c>
      <c r="L283" s="1599"/>
      <c r="M283" s="1599"/>
      <c r="N283" s="1599"/>
      <c r="O283" s="59" t="str">
        <f>CÁLCULOS!M249</f>
        <v>unid.</v>
      </c>
      <c r="P283" s="60"/>
      <c r="Q283" s="1189">
        <v>40</v>
      </c>
      <c r="R283" s="1189">
        <f t="shared" si="34"/>
        <v>0</v>
      </c>
    </row>
    <row r="284" spans="1:29" ht="20.100000000000001" customHeight="1" x14ac:dyDescent="0.35">
      <c r="D284" s="1188" t="str">
        <f>CÁLCULOS!C250</f>
        <v>JOGO DE CHAVE COMBINADA 1/4" à 2"</v>
      </c>
      <c r="E284" s="57"/>
      <c r="F284" s="57"/>
      <c r="G284" s="57"/>
      <c r="H284" s="57"/>
      <c r="I284" s="57"/>
      <c r="J284" s="57"/>
      <c r="K284" s="1599">
        <f>CÁLCULOS!L250</f>
        <v>2</v>
      </c>
      <c r="L284" s="1599"/>
      <c r="M284" s="1599"/>
      <c r="N284" s="1599"/>
      <c r="O284" s="59" t="str">
        <f>CÁLCULOS!M250</f>
        <v>unid.</v>
      </c>
      <c r="P284" s="60"/>
      <c r="Q284" s="1189">
        <v>290</v>
      </c>
      <c r="R284" s="1189">
        <f t="shared" si="34"/>
        <v>0</v>
      </c>
    </row>
    <row r="285" spans="1:29" ht="20.100000000000001" customHeight="1" x14ac:dyDescent="0.35">
      <c r="D285" s="1188" t="str">
        <f>CÁLCULOS!C251</f>
        <v>CHAVE DE BOCA INGLESA 2 1/2"</v>
      </c>
      <c r="E285" s="57"/>
      <c r="F285" s="57"/>
      <c r="G285" s="57"/>
      <c r="H285" s="57"/>
      <c r="I285" s="57"/>
      <c r="J285" s="57"/>
      <c r="K285" s="1599">
        <f>CÁLCULOS!L251</f>
        <v>1</v>
      </c>
      <c r="L285" s="1599"/>
      <c r="M285" s="1599"/>
      <c r="N285" s="1599"/>
      <c r="O285" s="59" t="str">
        <f>CÁLCULOS!M251</f>
        <v>unid.</v>
      </c>
      <c r="P285" s="60"/>
      <c r="Q285" s="1189">
        <v>22.76</v>
      </c>
      <c r="R285" s="1189">
        <f t="shared" si="34"/>
        <v>0</v>
      </c>
    </row>
    <row r="286" spans="1:29" ht="20.100000000000001" customHeight="1" x14ac:dyDescent="0.35">
      <c r="D286" s="1188" t="str">
        <f>CÁLCULOS!C252</f>
        <v>ALAVANCA DE FERRO 1" x 2 m</v>
      </c>
      <c r="E286" s="57"/>
      <c r="F286" s="57"/>
      <c r="G286" s="57"/>
      <c r="H286" s="57"/>
      <c r="I286" s="57"/>
      <c r="J286" s="57"/>
      <c r="K286" s="1599">
        <f>CÁLCULOS!L252</f>
        <v>2</v>
      </c>
      <c r="L286" s="1599"/>
      <c r="M286" s="1599"/>
      <c r="N286" s="1599"/>
      <c r="O286" s="59" t="str">
        <f>CÁLCULOS!M252</f>
        <v>unid.</v>
      </c>
      <c r="P286" s="60"/>
      <c r="Q286" s="1189">
        <v>47</v>
      </c>
      <c r="R286" s="1189">
        <f t="shared" si="34"/>
        <v>0</v>
      </c>
    </row>
    <row r="287" spans="1:29" ht="20.100000000000001" customHeight="1" x14ac:dyDescent="0.35">
      <c r="D287" s="1188" t="str">
        <f>CÁLCULOS!C253</f>
        <v>TRENA METÁLICA DE 30 m</v>
      </c>
      <c r="E287" s="57"/>
      <c r="F287" s="57"/>
      <c r="G287" s="57"/>
      <c r="H287" s="57"/>
      <c r="I287" s="57"/>
      <c r="J287" s="57"/>
      <c r="K287" s="1599">
        <f>CÁLCULOS!L253</f>
        <v>1</v>
      </c>
      <c r="L287" s="1599"/>
      <c r="M287" s="1599"/>
      <c r="N287" s="1599"/>
      <c r="O287" s="59" t="str">
        <f>CÁLCULOS!M253</f>
        <v>unid.</v>
      </c>
      <c r="P287" s="60"/>
      <c r="Q287" s="1189">
        <v>89</v>
      </c>
      <c r="R287" s="1189">
        <f t="shared" si="34"/>
        <v>0</v>
      </c>
    </row>
    <row r="288" spans="1:29" ht="20.100000000000001" customHeight="1" x14ac:dyDescent="0.35">
      <c r="D288" s="1188" t="str">
        <f>CÁLCULOS!C254</f>
        <v>TRENA METÁLICA DE 5 m</v>
      </c>
      <c r="E288" s="57"/>
      <c r="F288" s="57"/>
      <c r="G288" s="57"/>
      <c r="H288" s="57"/>
      <c r="I288" s="57"/>
      <c r="J288" s="57"/>
      <c r="K288" s="1599">
        <f>CÁLCULOS!L254</f>
        <v>3</v>
      </c>
      <c r="L288" s="1599"/>
      <c r="M288" s="1599"/>
      <c r="N288" s="1599"/>
      <c r="O288" s="59" t="str">
        <f>CÁLCULOS!M254</f>
        <v>unid.</v>
      </c>
      <c r="P288" s="60"/>
      <c r="Q288" s="1189">
        <v>11</v>
      </c>
      <c r="R288" s="1189">
        <f t="shared" si="34"/>
        <v>0</v>
      </c>
    </row>
    <row r="289" spans="4:18" ht="20.100000000000001" customHeight="1" x14ac:dyDescent="0.35">
      <c r="D289" s="1188" t="str">
        <f>CÁLCULOS!C255</f>
        <v>CHAVE DE GRIFO 2 1/2"</v>
      </c>
      <c r="E289" s="57"/>
      <c r="F289" s="57"/>
      <c r="G289" s="57"/>
      <c r="H289" s="57"/>
      <c r="I289" s="57"/>
      <c r="J289" s="57"/>
      <c r="K289" s="1599">
        <f>CÁLCULOS!L255</f>
        <v>1</v>
      </c>
      <c r="L289" s="1599"/>
      <c r="M289" s="1599"/>
      <c r="N289" s="1599"/>
      <c r="O289" s="59" t="str">
        <f>CÁLCULOS!M255</f>
        <v>unid.</v>
      </c>
      <c r="P289" s="60"/>
      <c r="Q289" s="1189">
        <v>399</v>
      </c>
      <c r="R289" s="1189">
        <f t="shared" si="34"/>
        <v>0</v>
      </c>
    </row>
    <row r="290" spans="4:18" ht="20.100000000000001" customHeight="1" x14ac:dyDescent="0.35">
      <c r="D290" s="1188" t="str">
        <f>CÁLCULOS!C256</f>
        <v>ALICATE DE PRESSÃO 2"</v>
      </c>
      <c r="E290" s="57"/>
      <c r="F290" s="57"/>
      <c r="G290" s="57"/>
      <c r="H290" s="57"/>
      <c r="I290" s="57"/>
      <c r="J290" s="57"/>
      <c r="K290" s="1599">
        <f>CÁLCULOS!L256</f>
        <v>1</v>
      </c>
      <c r="L290" s="1599"/>
      <c r="M290" s="1599"/>
      <c r="N290" s="1599"/>
      <c r="O290" s="59" t="str">
        <f>CÁLCULOS!M256</f>
        <v>unid.</v>
      </c>
      <c r="P290" s="60"/>
      <c r="Q290" s="1189">
        <v>25</v>
      </c>
      <c r="R290" s="1189">
        <f t="shared" si="34"/>
        <v>0</v>
      </c>
    </row>
    <row r="291" spans="4:18" ht="20.100000000000001" customHeight="1" x14ac:dyDescent="0.35">
      <c r="D291" s="1188" t="str">
        <f>CÁLCULOS!C257</f>
        <v>ROLDANA DE 150mm</v>
      </c>
      <c r="E291" s="57"/>
      <c r="F291" s="57"/>
      <c r="G291" s="57"/>
      <c r="H291" s="57"/>
      <c r="I291" s="57"/>
      <c r="J291" s="57"/>
      <c r="K291" s="1599">
        <f>CÁLCULOS!L257</f>
        <v>2</v>
      </c>
      <c r="L291" s="1599"/>
      <c r="M291" s="1599"/>
      <c r="N291" s="1599"/>
      <c r="O291" s="59" t="str">
        <f>CÁLCULOS!M257</f>
        <v>unid.</v>
      </c>
      <c r="P291" s="60"/>
      <c r="Q291" s="1189">
        <v>65</v>
      </c>
      <c r="R291" s="1189">
        <f t="shared" si="34"/>
        <v>0</v>
      </c>
    </row>
    <row r="292" spans="4:18" ht="20.100000000000001" customHeight="1" x14ac:dyDescent="0.35">
      <c r="D292" s="1188" t="str">
        <f>CÁLCULOS!C258</f>
        <v>ALICATE COMUM</v>
      </c>
      <c r="E292" s="57"/>
      <c r="F292" s="57"/>
      <c r="G292" s="57"/>
      <c r="H292" s="57"/>
      <c r="I292" s="57"/>
      <c r="J292" s="57"/>
      <c r="K292" s="1599">
        <f>CÁLCULOS!L258</f>
        <v>2</v>
      </c>
      <c r="L292" s="1599"/>
      <c r="M292" s="1599"/>
      <c r="N292" s="1599"/>
      <c r="O292" s="59" t="str">
        <f>CÁLCULOS!M258</f>
        <v>unid.</v>
      </c>
      <c r="P292" s="60"/>
      <c r="Q292" s="1189">
        <v>18.899999999999999</v>
      </c>
      <c r="R292" s="1189">
        <f t="shared" si="34"/>
        <v>0</v>
      </c>
    </row>
    <row r="293" spans="4:18" ht="20.100000000000001" customHeight="1" x14ac:dyDescent="0.35">
      <c r="D293" s="1188" t="str">
        <f>CÁLCULOS!C259</f>
        <v>JOGO DE CHAVE DE FENDA ( com 10 unid.)</v>
      </c>
      <c r="E293" s="57"/>
      <c r="F293" s="57"/>
      <c r="G293" s="57"/>
      <c r="H293" s="57"/>
      <c r="I293" s="57"/>
      <c r="J293" s="57"/>
      <c r="K293" s="1599">
        <f>CÁLCULOS!L259</f>
        <v>2</v>
      </c>
      <c r="L293" s="1599"/>
      <c r="M293" s="1599"/>
      <c r="N293" s="1599"/>
      <c r="O293" s="59" t="str">
        <f>CÁLCULOS!M259</f>
        <v>unid.</v>
      </c>
      <c r="P293" s="60"/>
      <c r="Q293" s="1189">
        <v>28.25</v>
      </c>
      <c r="R293" s="1189">
        <f t="shared" si="34"/>
        <v>0</v>
      </c>
    </row>
    <row r="294" spans="4:18" ht="20.100000000000001" customHeight="1" x14ac:dyDescent="0.35">
      <c r="D294" s="1188" t="str">
        <f>CÁLCULOS!C260</f>
        <v>JOGO DE CHAVE CACHIMBO 1/4" à 1"</v>
      </c>
      <c r="E294" s="57"/>
      <c r="F294" s="57"/>
      <c r="G294" s="57"/>
      <c r="H294" s="57"/>
      <c r="I294" s="57"/>
      <c r="J294" s="57"/>
      <c r="K294" s="1599">
        <f>CÁLCULOS!L260</f>
        <v>1</v>
      </c>
      <c r="L294" s="1599"/>
      <c r="M294" s="1599"/>
      <c r="N294" s="1599"/>
      <c r="O294" s="59" t="str">
        <f>CÁLCULOS!M260</f>
        <v>unid.</v>
      </c>
      <c r="P294" s="60"/>
      <c r="Q294" s="1189">
        <v>461</v>
      </c>
      <c r="R294" s="1189">
        <f t="shared" si="34"/>
        <v>0</v>
      </c>
    </row>
    <row r="295" spans="4:18" ht="20.100000000000001" customHeight="1" x14ac:dyDescent="0.35">
      <c r="D295" s="1188" t="str">
        <f>CÁLCULOS!C261</f>
        <v>ESCADA EXTENSIVA DE ALUMÍNIO 10m</v>
      </c>
      <c r="E295" s="57"/>
      <c r="F295" s="57"/>
      <c r="G295" s="57"/>
      <c r="H295" s="57"/>
      <c r="I295" s="57"/>
      <c r="J295" s="57"/>
      <c r="K295" s="1599">
        <f>CÁLCULOS!L261</f>
        <v>1</v>
      </c>
      <c r="L295" s="1599"/>
      <c r="M295" s="1599"/>
      <c r="N295" s="1599"/>
      <c r="O295" s="59" t="str">
        <f>CÁLCULOS!M261</f>
        <v>unid.</v>
      </c>
      <c r="P295" s="60"/>
      <c r="Q295" s="1189">
        <v>650</v>
      </c>
      <c r="R295" s="1189">
        <f t="shared" si="34"/>
        <v>0</v>
      </c>
    </row>
    <row r="296" spans="4:18" ht="20.100000000000001" customHeight="1" x14ac:dyDescent="0.35">
      <c r="D296" s="1188" t="str">
        <f>CÁLCULOS!C262</f>
        <v>ESCADA ABRIR DE ALUMÍNIO 2m</v>
      </c>
      <c r="E296" s="57"/>
      <c r="F296" s="57"/>
      <c r="G296" s="57"/>
      <c r="H296" s="57"/>
      <c r="I296" s="57"/>
      <c r="J296" s="57"/>
      <c r="K296" s="1599">
        <f>CÁLCULOS!L262</f>
        <v>2</v>
      </c>
      <c r="L296" s="1599"/>
      <c r="M296" s="1599"/>
      <c r="N296" s="1599"/>
      <c r="O296" s="59" t="str">
        <f>CÁLCULOS!M262</f>
        <v>unid.</v>
      </c>
      <c r="P296" s="60"/>
      <c r="Q296" s="1189">
        <v>182</v>
      </c>
      <c r="R296" s="1189">
        <f t="shared" si="34"/>
        <v>0</v>
      </c>
    </row>
    <row r="297" spans="4:18" ht="20.100000000000001" customHeight="1" x14ac:dyDescent="0.35">
      <c r="D297" s="1188" t="str">
        <f>CÁLCULOS!C263</f>
        <v>MALÃO METÁLICO 2 x 1,2 x 1m</v>
      </c>
      <c r="E297" s="57"/>
      <c r="F297" s="57"/>
      <c r="G297" s="57"/>
      <c r="H297" s="57"/>
      <c r="I297" s="57"/>
      <c r="J297" s="57"/>
      <c r="K297" s="1599">
        <f>CÁLCULOS!L263</f>
        <v>1</v>
      </c>
      <c r="L297" s="1599"/>
      <c r="M297" s="1599"/>
      <c r="N297" s="1599"/>
      <c r="O297" s="59" t="str">
        <f>CÁLCULOS!M263</f>
        <v>unid.</v>
      </c>
      <c r="P297" s="60"/>
      <c r="Q297" s="1189">
        <v>1000</v>
      </c>
      <c r="R297" s="1189">
        <f t="shared" si="34"/>
        <v>0</v>
      </c>
    </row>
    <row r="298" spans="4:18" ht="20.100000000000001" customHeight="1" x14ac:dyDescent="0.35">
      <c r="D298" s="1188" t="str">
        <f>CÁLCULOS!C264</f>
        <v>ESTROPO DE AÇO 1/2"</v>
      </c>
      <c r="E298" s="57"/>
      <c r="F298" s="57"/>
      <c r="G298" s="57"/>
      <c r="H298" s="57"/>
      <c r="I298" s="57"/>
      <c r="J298" s="57"/>
      <c r="K298" s="1599">
        <f>CÁLCULOS!L264</f>
        <v>4</v>
      </c>
      <c r="L298" s="1599"/>
      <c r="M298" s="1599"/>
      <c r="N298" s="1599"/>
      <c r="O298" s="59" t="str">
        <f>CÁLCULOS!M264</f>
        <v>unid.</v>
      </c>
      <c r="P298" s="60"/>
      <c r="Q298" s="1189">
        <v>66</v>
      </c>
      <c r="R298" s="1189">
        <f t="shared" si="34"/>
        <v>0</v>
      </c>
    </row>
    <row r="299" spans="4:18" ht="20.100000000000001" customHeight="1" x14ac:dyDescent="0.35">
      <c r="D299" s="1188" t="str">
        <f>CÁLCULOS!C265</f>
        <v>CINTA DE 5 ton</v>
      </c>
      <c r="E299" s="57"/>
      <c r="F299" s="57"/>
      <c r="G299" s="57"/>
      <c r="H299" s="57"/>
      <c r="I299" s="57"/>
      <c r="J299" s="57"/>
      <c r="K299" s="1599">
        <f>CÁLCULOS!L265</f>
        <v>8</v>
      </c>
      <c r="L299" s="1599"/>
      <c r="M299" s="1599"/>
      <c r="N299" s="1599"/>
      <c r="O299" s="59" t="str">
        <f>CÁLCULOS!M265</f>
        <v>unid.</v>
      </c>
      <c r="P299" s="60"/>
      <c r="Q299" s="1189">
        <v>181</v>
      </c>
      <c r="R299" s="1189">
        <f t="shared" si="34"/>
        <v>0</v>
      </c>
    </row>
    <row r="300" spans="4:18" ht="20.100000000000001" customHeight="1" x14ac:dyDescent="0.35">
      <c r="D300" s="1188" t="str">
        <f>CÁLCULOS!C266</f>
        <v>MANILHA 1"</v>
      </c>
      <c r="E300" s="57"/>
      <c r="F300" s="57"/>
      <c r="G300" s="57"/>
      <c r="H300" s="57"/>
      <c r="I300" s="57"/>
      <c r="J300" s="57"/>
      <c r="K300" s="1599">
        <f>CÁLCULOS!L266</f>
        <v>8</v>
      </c>
      <c r="L300" s="1599"/>
      <c r="M300" s="1599"/>
      <c r="N300" s="1599"/>
      <c r="O300" s="59" t="str">
        <f>CÁLCULOS!M266</f>
        <v>unid.</v>
      </c>
      <c r="P300" s="60"/>
      <c r="Q300" s="1189">
        <v>55.13</v>
      </c>
      <c r="R300" s="1189">
        <f t="shared" si="34"/>
        <v>0</v>
      </c>
    </row>
    <row r="301" spans="4:18" ht="20.100000000000001" customHeight="1" x14ac:dyDescent="0.35">
      <c r="D301" s="1188" t="str">
        <f>CÁLCULOS!C267</f>
        <v>MANILHA 5/8"</v>
      </c>
      <c r="E301" s="57"/>
      <c r="F301" s="57"/>
      <c r="G301" s="57"/>
      <c r="H301" s="57"/>
      <c r="I301" s="57"/>
      <c r="J301" s="57"/>
      <c r="K301" s="1599">
        <f>CÁLCULOS!L267</f>
        <v>8</v>
      </c>
      <c r="L301" s="1599"/>
      <c r="M301" s="1599"/>
      <c r="N301" s="1599"/>
      <c r="O301" s="59" t="str">
        <f>CÁLCULOS!M267</f>
        <v>unid.</v>
      </c>
      <c r="P301" s="60"/>
      <c r="Q301" s="1189">
        <v>18.13</v>
      </c>
      <c r="R301" s="1189">
        <f t="shared" si="34"/>
        <v>0</v>
      </c>
    </row>
    <row r="302" spans="4:18" ht="20.100000000000001" customHeight="1" x14ac:dyDescent="0.35">
      <c r="D302" s="1188" t="str">
        <f>CÁLCULOS!C268</f>
        <v>MARTELO ELÉTRICO 5 kg</v>
      </c>
      <c r="E302" s="57"/>
      <c r="F302" s="57"/>
      <c r="G302" s="57"/>
      <c r="H302" s="57"/>
      <c r="I302" s="57"/>
      <c r="J302" s="57"/>
      <c r="K302" s="1599">
        <f>CÁLCULOS!L268</f>
        <v>1</v>
      </c>
      <c r="L302" s="1599"/>
      <c r="M302" s="1599"/>
      <c r="N302" s="1599"/>
      <c r="O302" s="59" t="str">
        <f>CÁLCULOS!M268</f>
        <v>unid.</v>
      </c>
      <c r="P302" s="60"/>
      <c r="Q302" s="1189">
        <v>2180</v>
      </c>
      <c r="R302" s="1189">
        <f t="shared" si="34"/>
        <v>0</v>
      </c>
    </row>
    <row r="303" spans="4:18" ht="20.100000000000001" customHeight="1" x14ac:dyDescent="0.35">
      <c r="D303" s="1188" t="str">
        <f>CÁLCULOS!C269</f>
        <v>FURADEIRA SDS PLUS</v>
      </c>
      <c r="E303" s="57"/>
      <c r="F303" s="57"/>
      <c r="G303" s="57"/>
      <c r="H303" s="57"/>
      <c r="I303" s="57"/>
      <c r="J303" s="57"/>
      <c r="K303" s="1599">
        <f>CÁLCULOS!L269</f>
        <v>2</v>
      </c>
      <c r="L303" s="1599"/>
      <c r="M303" s="1599"/>
      <c r="N303" s="1599"/>
      <c r="O303" s="59" t="str">
        <f>CÁLCULOS!M269</f>
        <v>unid.</v>
      </c>
      <c r="P303" s="60"/>
      <c r="Q303" s="1189">
        <v>480</v>
      </c>
      <c r="R303" s="1189">
        <f t="shared" si="34"/>
        <v>0</v>
      </c>
    </row>
    <row r="304" spans="4:18" ht="20.100000000000001" customHeight="1" x14ac:dyDescent="0.35">
      <c r="D304" s="1188" t="str">
        <f>CÁLCULOS!C270</f>
        <v>PISTOLA DE CALAFETAGEM MAKITA Modelo - DCG180ZB completa com tubo 600 ml</v>
      </c>
      <c r="E304" s="57"/>
      <c r="F304" s="57"/>
      <c r="G304" s="57"/>
      <c r="H304" s="57"/>
      <c r="I304" s="57"/>
      <c r="J304" s="57"/>
      <c r="K304" s="1599">
        <v>2</v>
      </c>
      <c r="L304" s="1599"/>
      <c r="M304" s="1599"/>
      <c r="N304" s="1599"/>
      <c r="O304" s="59" t="str">
        <f>CÁLCULOS!M270</f>
        <v>unid.</v>
      </c>
      <c r="P304" s="60"/>
      <c r="Q304" s="1189">
        <v>1100</v>
      </c>
      <c r="R304" s="1189">
        <f>K304*Q304</f>
        <v>2200</v>
      </c>
    </row>
    <row r="305" spans="4:18" ht="20.100000000000001" customHeight="1" x14ac:dyDescent="0.35">
      <c r="D305" s="1188" t="str">
        <f>CÁLCULOS!C271</f>
        <v>KIT COM 2 BATERIAS E CARREGADOR ( 18V BI 1830 + DC18rc) MAKITA 220V</v>
      </c>
      <c r="E305" s="57"/>
      <c r="F305" s="57"/>
      <c r="G305" s="57"/>
      <c r="H305" s="57"/>
      <c r="I305" s="57"/>
      <c r="J305" s="57"/>
      <c r="K305" s="1599">
        <v>2</v>
      </c>
      <c r="L305" s="1599"/>
      <c r="M305" s="1599"/>
      <c r="N305" s="1599"/>
      <c r="O305" s="59" t="str">
        <f>CÁLCULOS!M271</f>
        <v>unid.</v>
      </c>
      <c r="P305" s="60"/>
      <c r="Q305" s="1189">
        <v>800</v>
      </c>
      <c r="R305" s="1189">
        <f>K305*Q305</f>
        <v>1600</v>
      </c>
    </row>
    <row r="306" spans="4:18" ht="20.100000000000001" customHeight="1" x14ac:dyDescent="0.35">
      <c r="D306" s="1188" t="str">
        <f>CÁLCULOS!C272</f>
        <v>TALHA ALAVANCA 3 ton</v>
      </c>
      <c r="E306" s="57"/>
      <c r="F306" s="57"/>
      <c r="G306" s="57"/>
      <c r="H306" s="57"/>
      <c r="I306" s="57"/>
      <c r="J306" s="57"/>
      <c r="K306" s="1599">
        <f>CÁLCULOS!L272</f>
        <v>1</v>
      </c>
      <c r="L306" s="1599"/>
      <c r="M306" s="1599"/>
      <c r="N306" s="1599"/>
      <c r="O306" s="59" t="str">
        <f>CÁLCULOS!M272</f>
        <v>unid.</v>
      </c>
      <c r="P306" s="60"/>
      <c r="Q306" s="1189">
        <v>700</v>
      </c>
      <c r="R306" s="1189">
        <f>K306*Q306</f>
        <v>700</v>
      </c>
    </row>
    <row r="307" spans="4:18" ht="20.100000000000001" customHeight="1" x14ac:dyDescent="0.35">
      <c r="D307" s="1188" t="str">
        <f>CÁLCULOS!C273</f>
        <v>CARRINHO TIPO GIRICO</v>
      </c>
      <c r="E307" s="57"/>
      <c r="F307" s="57"/>
      <c r="G307" s="57"/>
      <c r="H307" s="57"/>
      <c r="I307" s="57"/>
      <c r="J307" s="57"/>
      <c r="K307" s="1599">
        <f>CÁLCULOS!L273</f>
        <v>1</v>
      </c>
      <c r="L307" s="1599"/>
      <c r="M307" s="1599"/>
      <c r="N307" s="1599"/>
      <c r="O307" s="59" t="str">
        <f>CÁLCULOS!M273</f>
        <v>unid.</v>
      </c>
      <c r="P307" s="60"/>
      <c r="Q307" s="1189">
        <v>390</v>
      </c>
      <c r="R307" s="1189">
        <f>K307*Q307</f>
        <v>390</v>
      </c>
    </row>
    <row r="308" spans="4:18" ht="20.100000000000001" customHeight="1" x14ac:dyDescent="0.35">
      <c r="D308" s="1188" t="str">
        <f>CÁLCULOS!C274</f>
        <v>CARRINHO 4 RODAS</v>
      </c>
      <c r="E308" s="57"/>
      <c r="F308" s="57"/>
      <c r="G308" s="57"/>
      <c r="H308" s="57"/>
      <c r="I308" s="57"/>
      <c r="J308" s="57"/>
      <c r="K308" s="1599">
        <f>CÁLCULOS!L274</f>
        <v>1</v>
      </c>
      <c r="L308" s="1599"/>
      <c r="M308" s="1599"/>
      <c r="N308" s="1599"/>
      <c r="O308" s="59" t="str">
        <f>CÁLCULOS!M274</f>
        <v>unid.</v>
      </c>
      <c r="P308" s="60"/>
      <c r="Q308" s="1189">
        <v>900</v>
      </c>
      <c r="R308" s="1189">
        <f>K308*Q308</f>
        <v>900</v>
      </c>
    </row>
    <row r="309" spans="4:18" ht="26.25" hidden="1" customHeight="1" x14ac:dyDescent="0.35">
      <c r="D309" s="1188" t="str">
        <f>CÁLCULOS!C275</f>
        <v>ESCORA METÁLICA   comprimento =</v>
      </c>
      <c r="E309" s="57"/>
      <c r="F309" s="64"/>
      <c r="G309" s="1190" t="str">
        <f ca="1">CÁLCULOS!F275</f>
        <v>5,8 m</v>
      </c>
      <c r="H309" s="1190" t="str">
        <f ca="1">CÁLCULOS!G275</f>
        <v>62 unid. durante 75 dias</v>
      </c>
      <c r="I309" s="1190"/>
      <c r="J309" s="1190"/>
      <c r="K309" s="1190"/>
      <c r="L309" s="1190"/>
      <c r="M309" s="1190"/>
      <c r="N309" s="58">
        <f ca="1">CÁLCULOS!L275</f>
        <v>62</v>
      </c>
      <c r="O309" s="59" t="str">
        <f>CÁLCULOS!M275</f>
        <v>unid.</v>
      </c>
      <c r="P309" s="60"/>
      <c r="Q309" s="1189"/>
      <c r="R309" s="1191">
        <f ca="1">N309*Q309</f>
        <v>0</v>
      </c>
    </row>
    <row r="310" spans="4:18" ht="6" customHeight="1" x14ac:dyDescent="0.35">
      <c r="D310" s="25"/>
      <c r="E310" s="25"/>
      <c r="F310" s="25"/>
      <c r="G310" s="25"/>
      <c r="H310" s="25"/>
      <c r="I310" s="25"/>
      <c r="J310" s="25"/>
      <c r="K310" s="25"/>
      <c r="L310" s="25"/>
      <c r="M310" s="25"/>
      <c r="N310" s="25"/>
      <c r="O310" s="25"/>
      <c r="P310" s="25"/>
      <c r="Q310" s="76"/>
      <c r="R310" s="76"/>
    </row>
    <row r="311" spans="4:18" ht="20.100000000000001" customHeight="1" x14ac:dyDescent="0.35">
      <c r="D311" s="1188" t="str">
        <f>CÁLCULOS!C374</f>
        <v>COLHER DE PEDREIRO</v>
      </c>
      <c r="E311" s="57"/>
      <c r="F311" s="57"/>
      <c r="G311" s="57"/>
      <c r="H311" s="57"/>
      <c r="I311" s="57"/>
      <c r="J311" s="61"/>
      <c r="K311" s="1600">
        <f>CÁLCULOS!J374</f>
        <v>3</v>
      </c>
      <c r="L311" s="1601"/>
      <c r="M311" s="1601"/>
      <c r="N311" s="1602"/>
      <c r="O311" s="59" t="str">
        <f>CÁLCULOS!K374</f>
        <v>unid.</v>
      </c>
      <c r="P311" s="60"/>
      <c r="Q311" s="1189">
        <v>11.4</v>
      </c>
      <c r="R311" s="1189">
        <f>K311*Q311</f>
        <v>34.200000000000003</v>
      </c>
    </row>
    <row r="312" spans="4:18" ht="20.100000000000001" customHeight="1" x14ac:dyDescent="0.35">
      <c r="D312" s="1188" t="str">
        <f>CÁLCULOS!C375</f>
        <v>DESEMPENADEIRA DE AÇO</v>
      </c>
      <c r="E312" s="57"/>
      <c r="F312" s="57"/>
      <c r="G312" s="57"/>
      <c r="H312" s="57"/>
      <c r="I312" s="57"/>
      <c r="J312" s="61"/>
      <c r="K312" s="1600">
        <f>CÁLCULOS!J375</f>
        <v>3</v>
      </c>
      <c r="L312" s="1601"/>
      <c r="M312" s="1601"/>
      <c r="N312" s="1602"/>
      <c r="O312" s="59" t="str">
        <f>CÁLCULOS!K375</f>
        <v>unid.</v>
      </c>
      <c r="P312" s="60"/>
      <c r="Q312" s="1189">
        <v>11</v>
      </c>
      <c r="R312" s="1189">
        <f>N312*Q312</f>
        <v>0</v>
      </c>
    </row>
    <row r="313" spans="4:18" ht="20.100000000000001" customHeight="1" x14ac:dyDescent="0.35">
      <c r="D313" s="1188" t="str">
        <f>CÁLCULOS!C376</f>
        <v>RÉGUA DE ALUMÍNIO 5 cm  comprimento= 2,00 m</v>
      </c>
      <c r="E313" s="57"/>
      <c r="F313" s="57"/>
      <c r="G313" s="57"/>
      <c r="H313" s="57"/>
      <c r="I313" s="57"/>
      <c r="J313" s="61"/>
      <c r="K313" s="1600">
        <f>CÁLCULOS!J376</f>
        <v>3</v>
      </c>
      <c r="L313" s="1601"/>
      <c r="M313" s="1601"/>
      <c r="N313" s="1602"/>
      <c r="O313" s="59" t="str">
        <f>CÁLCULOS!K376</f>
        <v>unid.</v>
      </c>
      <c r="P313" s="60"/>
      <c r="Q313" s="1189">
        <v>24</v>
      </c>
      <c r="R313" s="1189">
        <f>N313*Q313</f>
        <v>0</v>
      </c>
    </row>
    <row r="314" spans="4:18" ht="20.100000000000001" customHeight="1" x14ac:dyDescent="0.35">
      <c r="D314" s="1188" t="str">
        <f>CÁLCULOS!C377</f>
        <v>ESPONJA ( CAMURÇA) 15x20 cm</v>
      </c>
      <c r="E314" s="57"/>
      <c r="F314" s="57"/>
      <c r="G314" s="57"/>
      <c r="H314" s="57"/>
      <c r="I314" s="57"/>
      <c r="J314" s="61"/>
      <c r="K314" s="1600">
        <f>CÁLCULOS!J377</f>
        <v>10</v>
      </c>
      <c r="L314" s="1601"/>
      <c r="M314" s="1601"/>
      <c r="N314" s="1602"/>
      <c r="O314" s="59" t="str">
        <f>CÁLCULOS!K377</f>
        <v>unid.</v>
      </c>
      <c r="P314" s="60"/>
      <c r="Q314" s="1189">
        <v>25</v>
      </c>
      <c r="R314" s="1189">
        <f>N314*Q314</f>
        <v>0</v>
      </c>
    </row>
    <row r="315" spans="4:18" ht="20.100000000000001" customHeight="1" x14ac:dyDescent="0.35">
      <c r="D315" s="1188" t="str">
        <f>CÁLCULOS!C378</f>
        <v>MOTOR VIBRADOR À GASOLINA</v>
      </c>
      <c r="E315" s="57"/>
      <c r="F315" s="57"/>
      <c r="G315" s="57"/>
      <c r="H315" s="57"/>
      <c r="I315" s="57"/>
      <c r="J315" s="61"/>
      <c r="K315" s="1600">
        <f>CÁLCULOS!J378</f>
        <v>2</v>
      </c>
      <c r="L315" s="1601"/>
      <c r="M315" s="1601"/>
      <c r="N315" s="1602"/>
      <c r="O315" s="59" t="str">
        <f>CÁLCULOS!K378</f>
        <v>unid.</v>
      </c>
      <c r="P315" s="60"/>
      <c r="Q315" s="1189">
        <v>1250</v>
      </c>
      <c r="R315" s="1189">
        <f>N315*Q315</f>
        <v>0</v>
      </c>
    </row>
    <row r="316" spans="4:18" ht="20.100000000000001" customHeight="1" x14ac:dyDescent="0.35">
      <c r="D316" s="1188" t="str">
        <f>CÁLCULOS!C379</f>
        <v>MANGOTE VIBRADOR 40 mm</v>
      </c>
      <c r="E316" s="57"/>
      <c r="F316" s="57"/>
      <c r="G316" s="57"/>
      <c r="H316" s="57"/>
      <c r="I316" s="57"/>
      <c r="J316" s="61"/>
      <c r="K316" s="1600">
        <f>CÁLCULOS!J379</f>
        <v>2</v>
      </c>
      <c r="L316" s="1601"/>
      <c r="M316" s="1601"/>
      <c r="N316" s="1602"/>
      <c r="O316" s="59" t="str">
        <f>CÁLCULOS!K379</f>
        <v>unid.</v>
      </c>
      <c r="P316" s="60"/>
      <c r="Q316" s="1189">
        <v>756</v>
      </c>
      <c r="R316" s="1189">
        <f>N316*Q316</f>
        <v>0</v>
      </c>
    </row>
    <row r="317" spans="4:18" ht="5.25" customHeight="1" x14ac:dyDescent="0.35">
      <c r="D317" s="25"/>
      <c r="E317" s="25"/>
      <c r="F317" s="25"/>
      <c r="G317" s="25"/>
      <c r="H317" s="25"/>
      <c r="I317" s="25"/>
      <c r="J317" s="25"/>
      <c r="K317" s="25"/>
      <c r="L317" s="25"/>
      <c r="M317" s="25"/>
      <c r="N317" s="25"/>
      <c r="O317" s="25"/>
      <c r="P317" s="25"/>
      <c r="Q317" s="76"/>
      <c r="R317" s="76"/>
    </row>
    <row r="318" spans="4:18" ht="20.100000000000001" customHeight="1" x14ac:dyDescent="0.35">
      <c r="D318" s="1188" t="str">
        <f>CÁLCULOS!C354</f>
        <v>TALHA ELÉTRICA de 150 a 300 kg  600W 220V</v>
      </c>
      <c r="E318" s="57"/>
      <c r="F318" s="57"/>
      <c r="G318" s="57"/>
      <c r="H318" s="57"/>
      <c r="I318" s="57"/>
      <c r="J318" s="61"/>
      <c r="K318" s="1600">
        <f>CÁLCULOS!J354</f>
        <v>1</v>
      </c>
      <c r="L318" s="1601"/>
      <c r="M318" s="1601"/>
      <c r="N318" s="1602"/>
      <c r="O318" s="59" t="str">
        <f>CÁLCULOS!K354</f>
        <v>unid.</v>
      </c>
      <c r="P318" s="60"/>
      <c r="Q318" s="1189">
        <v>700</v>
      </c>
      <c r="R318" s="1189">
        <f>K318*Q318</f>
        <v>700</v>
      </c>
    </row>
    <row r="319" spans="4:18" ht="20.100000000000001" hidden="1" customHeight="1" x14ac:dyDescent="0.35">
      <c r="D319" s="1188" t="str">
        <f>CÁLCULOS!C355</f>
        <v>MÁQUINA DE EMPURRAR CABOS</v>
      </c>
      <c r="E319" s="57"/>
      <c r="F319" s="57"/>
      <c r="G319" s="57"/>
      <c r="H319" s="57"/>
      <c r="I319" s="57"/>
      <c r="J319" s="61"/>
      <c r="K319" s="1600">
        <f>CÁLCULOS!J355</f>
        <v>0</v>
      </c>
      <c r="L319" s="1601"/>
      <c r="M319" s="1601"/>
      <c r="N319" s="1602"/>
      <c r="O319" s="59" t="str">
        <f>CÁLCULOS!K355</f>
        <v>unid.</v>
      </c>
      <c r="P319" s="60"/>
      <c r="Q319" s="1189"/>
      <c r="R319" s="1189">
        <f>N319*Q319</f>
        <v>0</v>
      </c>
    </row>
    <row r="320" spans="4:18" ht="20.100000000000001" hidden="1" customHeight="1" x14ac:dyDescent="0.35">
      <c r="D320" s="1188" t="str">
        <f>CÁLCULOS!C356</f>
        <v>MACACO HIDRÁULICO 700 bar</v>
      </c>
      <c r="E320" s="57"/>
      <c r="F320" s="57"/>
      <c r="G320" s="57"/>
      <c r="H320" s="57"/>
      <c r="I320" s="57"/>
      <c r="J320" s="61"/>
      <c r="K320" s="1600">
        <f>CÁLCULOS!J356</f>
        <v>0</v>
      </c>
      <c r="L320" s="1601"/>
      <c r="M320" s="1601"/>
      <c r="N320" s="1602"/>
      <c r="O320" s="59" t="str">
        <f>CÁLCULOS!K356</f>
        <v>unid.</v>
      </c>
      <c r="P320" s="60"/>
      <c r="Q320" s="1189"/>
      <c r="R320" s="1189">
        <f>N320*Q320</f>
        <v>0</v>
      </c>
    </row>
    <row r="321" spans="4:18" ht="15" hidden="1" customHeight="1" x14ac:dyDescent="0.35">
      <c r="D321" s="1188" t="str">
        <f>CÁLCULOS!C357</f>
        <v>ADAPTADOR PARA TENSIONAMENTO JUNTO AO MACACO</v>
      </c>
      <c r="E321" s="57"/>
      <c r="F321" s="57"/>
      <c r="G321" s="57"/>
      <c r="H321" s="57"/>
      <c r="I321" s="57"/>
      <c r="J321" s="61"/>
      <c r="K321" s="1600">
        <f>CÁLCULOS!J357</f>
        <v>0</v>
      </c>
      <c r="L321" s="1601"/>
      <c r="M321" s="1601"/>
      <c r="N321" s="1602"/>
      <c r="O321" s="59" t="str">
        <f>CÁLCULOS!K357</f>
        <v>unid.</v>
      </c>
      <c r="P321" s="60"/>
      <c r="Q321" s="1189"/>
      <c r="R321" s="1189">
        <f>N321*Q321</f>
        <v>0</v>
      </c>
    </row>
    <row r="322" spans="4:18" ht="20.100000000000001" customHeight="1" x14ac:dyDescent="0.35">
      <c r="D322" s="1188" t="str">
        <f>CÁLCULOS!C358</f>
        <v>LIXADEIRA 7"</v>
      </c>
      <c r="E322" s="57"/>
      <c r="F322" s="57"/>
      <c r="G322" s="57"/>
      <c r="H322" s="57"/>
      <c r="I322" s="57"/>
      <c r="J322" s="61"/>
      <c r="K322" s="1600">
        <f>CÁLCULOS!J358</f>
        <v>2</v>
      </c>
      <c r="L322" s="1601"/>
      <c r="M322" s="1601"/>
      <c r="N322" s="1602"/>
      <c r="O322" s="59" t="str">
        <f>CÁLCULOS!K358</f>
        <v>unid.</v>
      </c>
      <c r="P322" s="60"/>
      <c r="Q322" s="1189">
        <v>499</v>
      </c>
      <c r="R322" s="1189">
        <f>N322*Q322</f>
        <v>0</v>
      </c>
    </row>
    <row r="323" spans="4:18" ht="20.100000000000001" customHeight="1" x14ac:dyDescent="0.35">
      <c r="D323" s="1188" t="str">
        <f>CÁLCULOS!C359</f>
        <v>DECAPADOR DE CABO À QUENTE</v>
      </c>
      <c r="E323" s="57"/>
      <c r="F323" s="57"/>
      <c r="G323" s="57"/>
      <c r="H323" s="57"/>
      <c r="I323" s="57"/>
      <c r="J323" s="61"/>
      <c r="K323" s="1600">
        <f>CÁLCULOS!J359</f>
        <v>2</v>
      </c>
      <c r="L323" s="1601"/>
      <c r="M323" s="1601"/>
      <c r="N323" s="1602"/>
      <c r="O323" s="59" t="str">
        <f>CÁLCULOS!K359</f>
        <v>unid.</v>
      </c>
      <c r="P323" s="60"/>
      <c r="Q323" s="1189">
        <v>250</v>
      </c>
      <c r="R323" s="1189">
        <f>N323*Q323</f>
        <v>0</v>
      </c>
    </row>
    <row r="324" spans="4:18" ht="4.5" hidden="1" customHeight="1" x14ac:dyDescent="0.35">
      <c r="D324" s="25"/>
      <c r="E324" s="25"/>
      <c r="F324" s="25"/>
      <c r="G324" s="25"/>
      <c r="H324" s="25"/>
      <c r="I324" s="25"/>
      <c r="J324" s="25"/>
      <c r="K324" s="25"/>
      <c r="L324" s="25"/>
      <c r="M324" s="25"/>
      <c r="N324" s="25"/>
      <c r="O324" s="25"/>
      <c r="P324" s="25"/>
      <c r="Q324" s="76"/>
      <c r="R324" s="76"/>
    </row>
    <row r="325" spans="4:18" ht="12.75" hidden="1" customHeight="1" x14ac:dyDescent="0.35">
      <c r="D325" s="1188" t="str">
        <f>CÁLCULOS!C397</f>
        <v>MÁQUINA DE INJEÇÃO COM TUBULAÇÃO</v>
      </c>
      <c r="E325" s="57"/>
      <c r="F325" s="57"/>
      <c r="G325" s="57"/>
      <c r="H325" s="57"/>
      <c r="I325" s="57"/>
      <c r="J325" s="57"/>
      <c r="K325" s="57"/>
      <c r="L325" s="57"/>
      <c r="M325" s="57"/>
      <c r="N325" s="58">
        <f>CÁLCULOS!L397</f>
        <v>0</v>
      </c>
      <c r="O325" s="59" t="str">
        <f>CÁLCULOS!M397</f>
        <v>unid.</v>
      </c>
      <c r="P325" s="60"/>
      <c r="Q325" s="1189"/>
      <c r="R325" s="1189">
        <f>N325*Q325</f>
        <v>0</v>
      </c>
    </row>
    <row r="326" spans="4:18" ht="24.75" hidden="1" customHeight="1" x14ac:dyDescent="0.35">
      <c r="D326" s="1188" t="str">
        <f>CÁLCULOS!C398</f>
        <v>FLUTUADORES  -------------</v>
      </c>
      <c r="E326" s="1188"/>
      <c r="F326" s="1192" t="str">
        <f ca="1">CÁLCULOS!E398</f>
        <v>62 unidades durante 107 dias</v>
      </c>
      <c r="G326" s="1192"/>
      <c r="H326" s="1192"/>
      <c r="I326" s="1192"/>
      <c r="J326" s="1192"/>
      <c r="K326" s="1192"/>
      <c r="L326" s="1192"/>
      <c r="M326" s="1192"/>
      <c r="N326" s="58">
        <f>CÁLCULOS!L398</f>
        <v>0</v>
      </c>
      <c r="O326" s="59" t="str">
        <f>CÁLCULOS!M398</f>
        <v>unid.</v>
      </c>
      <c r="P326" s="60"/>
      <c r="Q326" s="1189"/>
      <c r="R326" s="1189">
        <f>N326*Q326</f>
        <v>0</v>
      </c>
    </row>
    <row r="327" spans="4:18" ht="24.75" customHeight="1" x14ac:dyDescent="0.35">
      <c r="D327" s="25"/>
      <c r="E327" s="25"/>
      <c r="F327" s="25"/>
      <c r="G327" s="25"/>
      <c r="H327" s="25"/>
      <c r="I327" s="25"/>
      <c r="J327" s="25"/>
      <c r="K327" s="25"/>
      <c r="L327" s="25"/>
      <c r="M327" s="25"/>
      <c r="N327" s="25"/>
      <c r="O327" s="25"/>
      <c r="P327" s="25"/>
      <c r="Q327" s="76"/>
      <c r="R327" s="76"/>
    </row>
    <row r="328" spans="4:18" ht="20.100000000000001" customHeight="1" x14ac:dyDescent="0.35">
      <c r="D328" s="1188" t="str">
        <f>CÁLCULOS!C407</f>
        <v xml:space="preserve">TRINCHA </v>
      </c>
      <c r="E328" s="57"/>
      <c r="F328" s="57"/>
      <c r="G328" s="57"/>
      <c r="H328" s="57"/>
      <c r="I328" s="57"/>
      <c r="J328" s="57"/>
      <c r="K328" s="1599">
        <f>CÁLCULOS!L407</f>
        <v>3</v>
      </c>
      <c r="L328" s="1599"/>
      <c r="M328" s="1599"/>
      <c r="N328" s="1599"/>
      <c r="O328" s="59" t="str">
        <f>CÁLCULOS!M407</f>
        <v>unid.</v>
      </c>
      <c r="P328" s="60"/>
      <c r="Q328" s="1189">
        <v>8</v>
      </c>
      <c r="R328" s="1189">
        <f>K328*Q328</f>
        <v>24</v>
      </c>
    </row>
    <row r="329" spans="4:18" ht="20.100000000000001" customHeight="1" x14ac:dyDescent="0.35">
      <c r="D329" s="1188" t="str">
        <f>CÁLCULOS!C408</f>
        <v>PINCEL 2 1/2"</v>
      </c>
      <c r="E329" s="57"/>
      <c r="F329" s="57"/>
      <c r="G329" s="57"/>
      <c r="H329" s="57"/>
      <c r="I329" s="57"/>
      <c r="J329" s="57"/>
      <c r="K329" s="1599">
        <f>CÁLCULOS!L408</f>
        <v>10</v>
      </c>
      <c r="L329" s="1599"/>
      <c r="M329" s="1599"/>
      <c r="N329" s="1599"/>
      <c r="O329" s="59" t="str">
        <f>CÁLCULOS!M408</f>
        <v>unid.</v>
      </c>
      <c r="P329" s="60"/>
      <c r="Q329" s="1189">
        <v>6</v>
      </c>
      <c r="R329" s="1189">
        <f>N329*Q329</f>
        <v>0</v>
      </c>
    </row>
    <row r="330" spans="4:18" ht="20.100000000000001" customHeight="1" x14ac:dyDescent="0.35">
      <c r="D330" s="1188" t="str">
        <f>CÁLCULOS!C409</f>
        <v>BALDE PLÁSTICO</v>
      </c>
      <c r="E330" s="57"/>
      <c r="F330" s="57"/>
      <c r="G330" s="57"/>
      <c r="H330" s="57"/>
      <c r="I330" s="57"/>
      <c r="J330" s="57"/>
      <c r="K330" s="1599">
        <f>CÁLCULOS!L409</f>
        <v>5</v>
      </c>
      <c r="L330" s="1599"/>
      <c r="M330" s="1599"/>
      <c r="N330" s="1599"/>
      <c r="O330" s="59" t="str">
        <f>CÁLCULOS!M409</f>
        <v>unid.</v>
      </c>
      <c r="P330" s="60"/>
      <c r="Q330" s="1189">
        <v>4.5</v>
      </c>
      <c r="R330" s="1189">
        <f>N330*Q330</f>
        <v>0</v>
      </c>
    </row>
    <row r="331" spans="4:18" ht="18.75" customHeight="1" x14ac:dyDescent="0.35">
      <c r="D331" s="25"/>
      <c r="E331" s="25"/>
      <c r="F331" s="25"/>
      <c r="G331" s="25"/>
      <c r="H331" s="25"/>
      <c r="I331" s="25"/>
      <c r="J331" s="25"/>
      <c r="K331" s="25"/>
      <c r="L331" s="25"/>
      <c r="M331" s="25"/>
      <c r="N331" s="1603" t="s">
        <v>1396</v>
      </c>
      <c r="O331" s="1604"/>
      <c r="P331" s="1605"/>
      <c r="Q331" s="1668">
        <f ca="1">SUM(R281:R330)</f>
        <v>6728.2</v>
      </c>
      <c r="R331" s="1669"/>
    </row>
    <row r="332" spans="4:18" x14ac:dyDescent="0.35">
      <c r="D332" s="25"/>
      <c r="E332" s="25"/>
      <c r="F332" s="25"/>
      <c r="G332" s="25"/>
      <c r="H332" s="25"/>
      <c r="I332" s="25"/>
      <c r="J332" s="25"/>
      <c r="K332" s="25"/>
      <c r="L332" s="25"/>
      <c r="M332" s="25"/>
      <c r="N332" s="25"/>
      <c r="O332" s="25"/>
      <c r="P332" s="25"/>
      <c r="Q332" s="76"/>
      <c r="R332" s="76"/>
    </row>
    <row r="333" spans="4:18" ht="25.5" customHeight="1" x14ac:dyDescent="0.35">
      <c r="D333" s="1470" t="s">
        <v>1397</v>
      </c>
      <c r="E333" s="1470">
        <f>CÁLCULOS!D565</f>
        <v>0</v>
      </c>
      <c r="F333" s="1470">
        <f>CÁLCULOS!E565</f>
        <v>0</v>
      </c>
      <c r="G333" s="1470">
        <f>CÁLCULOS!F565</f>
        <v>0</v>
      </c>
      <c r="H333" s="1470">
        <f>CÁLCULOS!G565</f>
        <v>0</v>
      </c>
      <c r="I333" s="1470">
        <f>CÁLCULOS!H565</f>
        <v>0</v>
      </c>
      <c r="J333" s="1470">
        <f>CÁLCULOS!I565</f>
        <v>0</v>
      </c>
      <c r="K333" s="1606" t="s">
        <v>275</v>
      </c>
      <c r="L333" s="1607"/>
      <c r="M333" s="1607"/>
      <c r="N333" s="1608"/>
      <c r="O333" s="1324" t="s">
        <v>891</v>
      </c>
      <c r="P333" s="1326"/>
      <c r="Q333" s="1172" t="s">
        <v>1022</v>
      </c>
      <c r="R333" s="1172" t="s">
        <v>1023</v>
      </c>
    </row>
    <row r="334" spans="4:18" ht="24" hidden="1" customHeight="1" x14ac:dyDescent="0.35">
      <c r="D334" s="1188" t="s">
        <v>1398</v>
      </c>
      <c r="E334" s="57"/>
      <c r="F334" s="57"/>
      <c r="G334" s="57"/>
      <c r="H334" s="57"/>
      <c r="I334" s="57"/>
      <c r="J334" s="57"/>
      <c r="K334" s="57"/>
      <c r="L334" s="57"/>
      <c r="M334" s="57"/>
      <c r="N334" s="58">
        <v>1</v>
      </c>
      <c r="O334" s="1723" t="s">
        <v>1399</v>
      </c>
      <c r="P334" s="1724"/>
      <c r="Q334" s="1189"/>
      <c r="R334" s="1189">
        <f t="shared" ref="R334:R339" si="35">N334*Q334</f>
        <v>0</v>
      </c>
    </row>
    <row r="335" spans="4:18" ht="24" hidden="1" customHeight="1" x14ac:dyDescent="0.35">
      <c r="D335" s="1188" t="s">
        <v>1400</v>
      </c>
      <c r="E335" s="57"/>
      <c r="F335" s="57"/>
      <c r="G335" s="57"/>
      <c r="H335" s="57"/>
      <c r="I335" s="57"/>
      <c r="J335" s="57"/>
      <c r="K335" s="57"/>
      <c r="L335" s="57"/>
      <c r="M335" s="57"/>
      <c r="N335" s="58">
        <v>1</v>
      </c>
      <c r="O335" s="1723" t="s">
        <v>1399</v>
      </c>
      <c r="P335" s="1724"/>
      <c r="Q335" s="1189"/>
      <c r="R335" s="1189">
        <f t="shared" si="35"/>
        <v>0</v>
      </c>
    </row>
    <row r="336" spans="4:18" ht="24" hidden="1" customHeight="1" x14ac:dyDescent="0.35">
      <c r="D336" s="1188" t="s">
        <v>1401</v>
      </c>
      <c r="E336" s="57"/>
      <c r="F336" s="57"/>
      <c r="G336" s="57"/>
      <c r="H336" s="57"/>
      <c r="I336" s="57"/>
      <c r="J336" s="57"/>
      <c r="K336" s="57"/>
      <c r="L336" s="57"/>
      <c r="M336" s="57"/>
      <c r="N336" s="58">
        <v>1</v>
      </c>
      <c r="O336" s="1723" t="s">
        <v>1399</v>
      </c>
      <c r="P336" s="1724"/>
      <c r="Q336" s="1189"/>
      <c r="R336" s="1189">
        <f t="shared" si="35"/>
        <v>0</v>
      </c>
    </row>
    <row r="337" spans="4:18" ht="24" hidden="1" customHeight="1" x14ac:dyDescent="0.35">
      <c r="D337" s="1188" t="s">
        <v>1402</v>
      </c>
      <c r="E337" s="57"/>
      <c r="F337" s="57"/>
      <c r="G337" s="57"/>
      <c r="H337" s="57"/>
      <c r="I337" s="57"/>
      <c r="J337" s="57"/>
      <c r="K337" s="57"/>
      <c r="L337" s="57"/>
      <c r="M337" s="57"/>
      <c r="N337" s="58">
        <v>1</v>
      </c>
      <c r="O337" s="1723" t="s">
        <v>1399</v>
      </c>
      <c r="P337" s="1724"/>
      <c r="Q337" s="1189"/>
      <c r="R337" s="1189">
        <f t="shared" si="35"/>
        <v>0</v>
      </c>
    </row>
    <row r="338" spans="4:18" ht="24" hidden="1" customHeight="1" x14ac:dyDescent="0.35">
      <c r="D338" s="1188" t="s">
        <v>1403</v>
      </c>
      <c r="E338" s="57"/>
      <c r="F338" s="57"/>
      <c r="G338" s="57"/>
      <c r="H338" s="57"/>
      <c r="I338" s="57"/>
      <c r="J338" s="57"/>
      <c r="K338" s="57"/>
      <c r="L338" s="57"/>
      <c r="M338" s="57"/>
      <c r="N338" s="58">
        <v>1</v>
      </c>
      <c r="O338" s="1723" t="s">
        <v>1399</v>
      </c>
      <c r="P338" s="1724"/>
      <c r="Q338" s="1189"/>
      <c r="R338" s="1189">
        <f t="shared" si="35"/>
        <v>0</v>
      </c>
    </row>
    <row r="339" spans="4:18" ht="24" hidden="1" customHeight="1" x14ac:dyDescent="0.35">
      <c r="D339" s="1188" t="s">
        <v>1404</v>
      </c>
      <c r="E339" s="57"/>
      <c r="F339" s="57"/>
      <c r="G339" s="57"/>
      <c r="H339" s="57"/>
      <c r="I339" s="57"/>
      <c r="J339" s="57"/>
      <c r="K339" s="57"/>
      <c r="L339" s="57"/>
      <c r="M339" s="57"/>
      <c r="N339" s="58">
        <v>1</v>
      </c>
      <c r="O339" s="1723" t="s">
        <v>1399</v>
      </c>
      <c r="P339" s="1724"/>
      <c r="Q339" s="1189"/>
      <c r="R339" s="1189">
        <f t="shared" si="35"/>
        <v>0</v>
      </c>
    </row>
    <row r="340" spans="4:18" ht="24" customHeight="1" x14ac:dyDescent="0.35">
      <c r="D340" s="1188" t="s">
        <v>1405</v>
      </c>
      <c r="E340" s="57"/>
      <c r="F340" s="57"/>
      <c r="G340" s="57"/>
      <c r="H340" s="57"/>
      <c r="I340" s="57"/>
      <c r="J340" s="57"/>
      <c r="K340" s="1599">
        <v>1</v>
      </c>
      <c r="L340" s="1599"/>
      <c r="M340" s="1599"/>
      <c r="N340" s="1599"/>
      <c r="O340" s="1723" t="s">
        <v>1399</v>
      </c>
      <c r="P340" s="1724"/>
      <c r="Q340" s="1189">
        <v>1200000</v>
      </c>
      <c r="R340" s="1189">
        <f>K340*Q340</f>
        <v>1200000</v>
      </c>
    </row>
    <row r="341" spans="4:18" ht="24" customHeight="1" x14ac:dyDescent="0.35">
      <c r="D341" s="1188" t="s">
        <v>1406</v>
      </c>
      <c r="E341" s="57"/>
      <c r="F341" s="57"/>
      <c r="G341" s="57"/>
      <c r="H341" s="57"/>
      <c r="I341" s="57"/>
      <c r="J341" s="57"/>
      <c r="K341" s="1599">
        <v>1</v>
      </c>
      <c r="L341" s="1599"/>
      <c r="M341" s="1599"/>
      <c r="N341" s="1599"/>
      <c r="O341" s="1723" t="s">
        <v>1399</v>
      </c>
      <c r="P341" s="1724"/>
      <c r="Q341" s="1189">
        <f>102900+9054.34</f>
        <v>111954.34</v>
      </c>
      <c r="R341" s="1189">
        <f>K341*Q341</f>
        <v>111954.34</v>
      </c>
    </row>
    <row r="342" spans="4:18" ht="24" customHeight="1" x14ac:dyDescent="0.35">
      <c r="D342" s="1188" t="s">
        <v>1407</v>
      </c>
      <c r="E342" s="57"/>
      <c r="F342" s="57"/>
      <c r="G342" s="57"/>
      <c r="H342" s="57"/>
      <c r="I342" s="57"/>
      <c r="J342" s="57"/>
      <c r="K342" s="1599">
        <v>1</v>
      </c>
      <c r="L342" s="1599"/>
      <c r="M342" s="1599"/>
      <c r="N342" s="1599">
        <v>1</v>
      </c>
      <c r="O342" s="1723" t="s">
        <v>1399</v>
      </c>
      <c r="P342" s="1725"/>
      <c r="Q342" s="1189">
        <v>97500</v>
      </c>
      <c r="R342" s="1189">
        <f>N342*Q342</f>
        <v>97500</v>
      </c>
    </row>
    <row r="343" spans="4:18" ht="24" customHeight="1" x14ac:dyDescent="0.35">
      <c r="D343" s="1188" t="s">
        <v>1408</v>
      </c>
      <c r="E343" s="57"/>
      <c r="F343" s="57"/>
      <c r="G343" s="57"/>
      <c r="H343" s="57"/>
      <c r="I343" s="57"/>
      <c r="J343" s="57"/>
      <c r="K343" s="1599">
        <v>1</v>
      </c>
      <c r="L343" s="1599"/>
      <c r="M343" s="1599"/>
      <c r="N343" s="1599">
        <v>1</v>
      </c>
      <c r="O343" s="1723" t="s">
        <v>46</v>
      </c>
      <c r="P343" s="1724"/>
      <c r="Q343" s="1189">
        <v>3000</v>
      </c>
      <c r="R343" s="1189">
        <v>3000</v>
      </c>
    </row>
    <row r="344" spans="4:18" ht="24" customHeight="1" x14ac:dyDescent="0.35">
      <c r="D344" s="1188" t="s">
        <v>513</v>
      </c>
      <c r="E344" s="57"/>
      <c r="F344" s="57"/>
      <c r="G344" s="57"/>
      <c r="H344" s="57"/>
      <c r="I344" s="57"/>
      <c r="J344" s="57"/>
      <c r="K344" s="1599">
        <v>2</v>
      </c>
      <c r="L344" s="1599"/>
      <c r="M344" s="1599"/>
      <c r="N344" s="1599"/>
      <c r="O344" s="1723" t="s">
        <v>46</v>
      </c>
      <c r="P344" s="1724"/>
      <c r="Q344" s="1189">
        <v>499</v>
      </c>
      <c r="R344" s="1189">
        <f>K344*Q344</f>
        <v>998</v>
      </c>
    </row>
    <row r="345" spans="4:18" ht="24" customHeight="1" x14ac:dyDescent="0.35">
      <c r="D345" s="1188" t="s">
        <v>1409</v>
      </c>
      <c r="E345" s="57"/>
      <c r="F345" s="57"/>
      <c r="G345" s="57"/>
      <c r="H345" s="57"/>
      <c r="I345" s="57"/>
      <c r="J345" s="57"/>
      <c r="K345" s="1599">
        <v>1</v>
      </c>
      <c r="L345" s="1599"/>
      <c r="M345" s="1599"/>
      <c r="N345" s="1599">
        <v>1</v>
      </c>
      <c r="O345" s="1723" t="s">
        <v>46</v>
      </c>
      <c r="P345" s="1724"/>
      <c r="Q345" s="1189">
        <v>1000</v>
      </c>
      <c r="R345" s="1189">
        <f t="shared" ref="R345:R355" si="36">N345*Q345</f>
        <v>1000</v>
      </c>
    </row>
    <row r="346" spans="4:18" ht="24" customHeight="1" x14ac:dyDescent="0.35">
      <c r="D346" s="1188" t="s">
        <v>1410</v>
      </c>
      <c r="E346" s="57"/>
      <c r="F346" s="57"/>
      <c r="G346" s="57"/>
      <c r="H346" s="57"/>
      <c r="I346" s="57"/>
      <c r="J346" s="57"/>
      <c r="K346" s="1599">
        <v>1</v>
      </c>
      <c r="L346" s="1599"/>
      <c r="M346" s="1599"/>
      <c r="N346" s="1599">
        <v>1</v>
      </c>
      <c r="O346" s="1723" t="s">
        <v>46</v>
      </c>
      <c r="P346" s="1724"/>
      <c r="Q346" s="1189">
        <v>500</v>
      </c>
      <c r="R346" s="1189">
        <f t="shared" si="36"/>
        <v>500</v>
      </c>
    </row>
    <row r="347" spans="4:18" ht="24" customHeight="1" x14ac:dyDescent="0.35">
      <c r="D347" s="1188" t="s">
        <v>1411</v>
      </c>
      <c r="E347" s="57"/>
      <c r="F347" s="57"/>
      <c r="G347" s="57"/>
      <c r="H347" s="57"/>
      <c r="I347" s="57"/>
      <c r="J347" s="57"/>
      <c r="K347" s="1599">
        <v>1</v>
      </c>
      <c r="L347" s="1599"/>
      <c r="M347" s="1599"/>
      <c r="N347" s="1599">
        <v>1</v>
      </c>
      <c r="O347" s="1723" t="s">
        <v>46</v>
      </c>
      <c r="P347" s="1724"/>
      <c r="Q347" s="1189">
        <v>300</v>
      </c>
      <c r="R347" s="1189">
        <f t="shared" si="36"/>
        <v>300</v>
      </c>
    </row>
    <row r="348" spans="4:18" ht="24" customHeight="1" x14ac:dyDescent="0.35">
      <c r="D348" s="1188" t="s">
        <v>1412</v>
      </c>
      <c r="E348" s="57"/>
      <c r="F348" s="57"/>
      <c r="G348" s="57"/>
      <c r="H348" s="57"/>
      <c r="I348" s="57"/>
      <c r="J348" s="57"/>
      <c r="K348" s="1599">
        <v>1</v>
      </c>
      <c r="L348" s="1599"/>
      <c r="M348" s="1599"/>
      <c r="N348" s="1599">
        <v>1</v>
      </c>
      <c r="O348" s="1193" t="s">
        <v>46</v>
      </c>
      <c r="P348" s="67"/>
      <c r="Q348" s="1189">
        <v>700</v>
      </c>
      <c r="R348" s="1189">
        <f t="shared" si="36"/>
        <v>700</v>
      </c>
    </row>
    <row r="349" spans="4:18" ht="24" customHeight="1" x14ac:dyDescent="0.35">
      <c r="D349" s="1188" t="s">
        <v>1413</v>
      </c>
      <c r="E349" s="57"/>
      <c r="F349" s="57"/>
      <c r="G349" s="57"/>
      <c r="H349" s="57"/>
      <c r="I349" s="57"/>
      <c r="J349" s="57"/>
      <c r="K349" s="1599">
        <v>1</v>
      </c>
      <c r="L349" s="1599"/>
      <c r="M349" s="1599"/>
      <c r="N349" s="1599">
        <v>1</v>
      </c>
      <c r="O349" s="1723" t="s">
        <v>1399</v>
      </c>
      <c r="P349" s="1724"/>
      <c r="Q349" s="1189">
        <v>440000</v>
      </c>
      <c r="R349" s="1189">
        <f t="shared" si="36"/>
        <v>440000</v>
      </c>
    </row>
    <row r="350" spans="4:18" ht="24" customHeight="1" x14ac:dyDescent="0.35">
      <c r="D350" s="1188" t="s">
        <v>1414</v>
      </c>
      <c r="E350" s="57"/>
      <c r="F350" s="57"/>
      <c r="G350" s="57"/>
      <c r="H350" s="57"/>
      <c r="I350" s="57"/>
      <c r="J350" s="57"/>
      <c r="K350" s="1599">
        <v>1</v>
      </c>
      <c r="L350" s="1599"/>
      <c r="M350" s="1599"/>
      <c r="N350" s="1599">
        <v>1</v>
      </c>
      <c r="O350" s="1723" t="s">
        <v>46</v>
      </c>
      <c r="P350" s="1724"/>
      <c r="Q350" s="1189">
        <v>25500</v>
      </c>
      <c r="R350" s="1189">
        <f t="shared" si="36"/>
        <v>25500</v>
      </c>
    </row>
    <row r="351" spans="4:18" ht="24" customHeight="1" x14ac:dyDescent="0.35">
      <c r="D351" s="1188" t="s">
        <v>1415</v>
      </c>
      <c r="E351" s="57"/>
      <c r="F351" s="57"/>
      <c r="G351" s="57"/>
      <c r="H351" s="57"/>
      <c r="I351" s="57"/>
      <c r="J351" s="57"/>
      <c r="K351" s="1599">
        <v>1</v>
      </c>
      <c r="L351" s="1599"/>
      <c r="M351" s="1599"/>
      <c r="N351" s="1599">
        <v>1</v>
      </c>
      <c r="O351" s="1723" t="s">
        <v>46</v>
      </c>
      <c r="P351" s="1724"/>
      <c r="Q351" s="1189">
        <v>23000</v>
      </c>
      <c r="R351" s="1189">
        <f t="shared" si="36"/>
        <v>23000</v>
      </c>
    </row>
    <row r="352" spans="4:18" ht="24" customHeight="1" x14ac:dyDescent="0.35">
      <c r="D352" s="1188" t="s">
        <v>1416</v>
      </c>
      <c r="E352" s="57"/>
      <c r="F352" s="57"/>
      <c r="G352" s="57"/>
      <c r="H352" s="57"/>
      <c r="I352" s="57"/>
      <c r="J352" s="57"/>
      <c r="K352" s="1599">
        <v>6</v>
      </c>
      <c r="L352" s="1599"/>
      <c r="M352" s="1599"/>
      <c r="N352" s="1599"/>
      <c r="O352" s="1193" t="s">
        <v>46</v>
      </c>
      <c r="P352" s="67"/>
      <c r="Q352" s="1189">
        <v>1310</v>
      </c>
      <c r="R352" s="1189">
        <f>K352*Q352</f>
        <v>7860</v>
      </c>
    </row>
    <row r="353" spans="4:18" ht="24" customHeight="1" x14ac:dyDescent="0.35">
      <c r="D353" s="1188" t="s">
        <v>1417</v>
      </c>
      <c r="E353" s="57"/>
      <c r="F353" s="57"/>
      <c r="G353" s="57"/>
      <c r="H353" s="57"/>
      <c r="I353" s="57"/>
      <c r="J353" s="57"/>
      <c r="K353" s="1599">
        <v>1</v>
      </c>
      <c r="L353" s="1599"/>
      <c r="M353" s="1599"/>
      <c r="N353" s="1599">
        <v>1</v>
      </c>
      <c r="O353" s="1723" t="s">
        <v>1399</v>
      </c>
      <c r="P353" s="1724"/>
      <c r="Q353" s="1189">
        <v>20000</v>
      </c>
      <c r="R353" s="1189">
        <f t="shared" si="36"/>
        <v>20000</v>
      </c>
    </row>
    <row r="354" spans="4:18" ht="24" customHeight="1" x14ac:dyDescent="0.35">
      <c r="D354" s="1188" t="s">
        <v>1418</v>
      </c>
      <c r="E354" s="57"/>
      <c r="F354" s="57"/>
      <c r="G354" s="57"/>
      <c r="H354" s="57"/>
      <c r="I354" s="57"/>
      <c r="J354" s="57"/>
      <c r="K354" s="1599">
        <v>1</v>
      </c>
      <c r="L354" s="1599"/>
      <c r="M354" s="1599"/>
      <c r="N354" s="1599">
        <v>1</v>
      </c>
      <c r="O354" s="1723" t="s">
        <v>1399</v>
      </c>
      <c r="P354" s="1724"/>
      <c r="Q354" s="1189">
        <v>340000</v>
      </c>
      <c r="R354" s="1189">
        <f t="shared" si="36"/>
        <v>340000</v>
      </c>
    </row>
    <row r="355" spans="4:18" ht="24" customHeight="1" x14ac:dyDescent="0.35">
      <c r="D355" s="1188" t="s">
        <v>1419</v>
      </c>
      <c r="E355" s="57"/>
      <c r="F355" s="57"/>
      <c r="G355" s="57"/>
      <c r="H355" s="57"/>
      <c r="I355" s="57"/>
      <c r="J355" s="57"/>
      <c r="K355" s="1599">
        <v>1</v>
      </c>
      <c r="L355" s="1599"/>
      <c r="M355" s="1599"/>
      <c r="N355" s="1599">
        <v>1</v>
      </c>
      <c r="O355" s="1723" t="s">
        <v>1399</v>
      </c>
      <c r="P355" s="1724"/>
      <c r="Q355" s="1189">
        <v>230000</v>
      </c>
      <c r="R355" s="1189">
        <f t="shared" si="36"/>
        <v>230000</v>
      </c>
    </row>
    <row r="356" spans="4:18" ht="24" customHeight="1" x14ac:dyDescent="0.35">
      <c r="D356" s="25"/>
      <c r="E356" s="25"/>
      <c r="F356" s="25"/>
      <c r="G356" s="25"/>
      <c r="H356" s="25"/>
      <c r="I356" s="25"/>
      <c r="J356" s="25"/>
      <c r="K356" s="25"/>
      <c r="L356" s="25"/>
      <c r="M356" s="25"/>
      <c r="N356" s="1603" t="s">
        <v>1396</v>
      </c>
      <c r="O356" s="1604"/>
      <c r="P356" s="1605"/>
      <c r="Q356" s="1668">
        <f>SUM(R334:R355)</f>
        <v>2502312.34</v>
      </c>
      <c r="R356" s="1669"/>
    </row>
    <row r="357" spans="4:18" x14ac:dyDescent="0.35">
      <c r="D357" s="25"/>
      <c r="E357" s="25"/>
      <c r="F357" s="25"/>
      <c r="G357" s="25"/>
      <c r="H357" s="25"/>
      <c r="I357" s="25"/>
      <c r="J357" s="25"/>
      <c r="K357" s="25"/>
      <c r="L357" s="25"/>
      <c r="M357" s="25"/>
      <c r="N357" s="25"/>
      <c r="O357" s="25"/>
      <c r="P357" s="25"/>
      <c r="Q357" s="76"/>
      <c r="R357" s="76"/>
    </row>
    <row r="358" spans="4:18" ht="19.5" customHeight="1" x14ac:dyDescent="0.35"/>
    <row r="359" spans="4:18" ht="19.5" customHeight="1" x14ac:dyDescent="0.35">
      <c r="D359" s="776" t="s">
        <v>1420</v>
      </c>
      <c r="E359" s="293"/>
      <c r="F359" s="293"/>
      <c r="G359" s="293"/>
      <c r="H359" s="293"/>
      <c r="I359" s="293"/>
      <c r="J359" s="293"/>
      <c r="K359" s="1597">
        <v>12500</v>
      </c>
      <c r="L359" s="1597"/>
      <c r="M359" s="1597"/>
      <c r="N359" s="1598"/>
    </row>
    <row r="360" spans="4:18" ht="19.5" customHeight="1" x14ac:dyDescent="0.35">
      <c r="D360" s="776" t="s">
        <v>1421</v>
      </c>
      <c r="E360" s="293"/>
      <c r="F360" s="293"/>
      <c r="G360" s="293"/>
      <c r="H360" s="293"/>
      <c r="I360" s="293"/>
      <c r="J360" s="293"/>
      <c r="K360" s="1597">
        <v>12500</v>
      </c>
      <c r="L360" s="1597"/>
      <c r="M360" s="1597"/>
      <c r="N360" s="1598"/>
    </row>
    <row r="361" spans="4:18" ht="19.5" customHeight="1" x14ac:dyDescent="0.35">
      <c r="D361" s="776" t="s">
        <v>1422</v>
      </c>
      <c r="E361" s="293"/>
      <c r="F361" s="293"/>
      <c r="G361" s="293"/>
      <c r="H361" s="293"/>
      <c r="I361" s="293"/>
      <c r="J361" s="293"/>
      <c r="K361" s="1597">
        <v>7500</v>
      </c>
      <c r="L361" s="1597"/>
      <c r="M361" s="1597"/>
      <c r="N361" s="1598"/>
    </row>
    <row r="362" spans="4:18" ht="19.5" customHeight="1" x14ac:dyDescent="0.35"/>
    <row r="363" spans="4:18" ht="19.5" customHeight="1" x14ac:dyDescent="0.35">
      <c r="D363" s="776" t="s">
        <v>1423</v>
      </c>
      <c r="E363" s="293"/>
      <c r="F363" s="293"/>
      <c r="G363" s="293"/>
      <c r="H363" s="293"/>
      <c r="I363" s="293"/>
      <c r="J363" s="293"/>
      <c r="K363" s="1597">
        <f ca="1">IF(LAJES!E6=0,0,K359/60)</f>
        <v>0</v>
      </c>
      <c r="L363" s="1597"/>
      <c r="M363" s="1597"/>
      <c r="N363" s="1598"/>
    </row>
    <row r="364" spans="4:18" ht="19.5" customHeight="1" x14ac:dyDescent="0.35">
      <c r="D364" s="776" t="s">
        <v>1424</v>
      </c>
      <c r="E364" s="293"/>
      <c r="F364" s="293"/>
      <c r="G364" s="293"/>
      <c r="H364" s="293"/>
      <c r="I364" s="293"/>
      <c r="J364" s="293"/>
      <c r="K364" s="1597">
        <f ca="1">IF(LAJES!E6=0,0,K360/30)</f>
        <v>0</v>
      </c>
      <c r="L364" s="1597"/>
      <c r="M364" s="1597"/>
      <c r="N364" s="1598"/>
    </row>
    <row r="365" spans="4:18" ht="19.5" customHeight="1" x14ac:dyDescent="0.35">
      <c r="D365" s="776" t="s">
        <v>1424</v>
      </c>
      <c r="E365" s="293"/>
      <c r="F365" s="293"/>
      <c r="G365" s="293"/>
      <c r="H365" s="293"/>
      <c r="I365" s="293"/>
      <c r="J365" s="293"/>
      <c r="K365" s="1597">
        <f ca="1">IF(LAJES!E6=0,0,K361/30)</f>
        <v>0</v>
      </c>
      <c r="L365" s="1597"/>
      <c r="M365" s="1597"/>
      <c r="N365" s="1598"/>
    </row>
    <row r="366" spans="4:18" ht="24" customHeight="1" x14ac:dyDescent="0.35"/>
    <row r="367" spans="4:18" x14ac:dyDescent="0.35">
      <c r="D367" s="25"/>
      <c r="E367" s="25"/>
      <c r="F367" s="25"/>
      <c r="G367" s="25"/>
      <c r="H367" s="25"/>
      <c r="I367" s="25"/>
      <c r="J367" s="25"/>
      <c r="K367" s="25"/>
      <c r="L367" s="25"/>
      <c r="M367" s="25"/>
      <c r="N367" s="25"/>
      <c r="O367" s="25"/>
      <c r="P367" s="25"/>
      <c r="Q367" s="76"/>
      <c r="R367" s="76"/>
    </row>
    <row r="368" spans="4:18" ht="20.100000000000001" customHeight="1" x14ac:dyDescent="0.35"/>
    <row r="369" spans="17:18" ht="20.100000000000001" customHeight="1" x14ac:dyDescent="0.35"/>
    <row r="370" spans="17:18" ht="20.100000000000001" customHeight="1" x14ac:dyDescent="0.35"/>
    <row r="371" spans="17:18" ht="20.100000000000001" customHeight="1" x14ac:dyDescent="0.35"/>
    <row r="372" spans="17:18" ht="24" customHeight="1" x14ac:dyDescent="0.35"/>
    <row r="373" spans="17:18" x14ac:dyDescent="0.35">
      <c r="Q373" s="63"/>
      <c r="R373" s="63"/>
    </row>
    <row r="374" spans="17:18" x14ac:dyDescent="0.35">
      <c r="Q374" s="63"/>
      <c r="R374" s="63"/>
    </row>
    <row r="375" spans="17:18" x14ac:dyDescent="0.35">
      <c r="Q375" s="63"/>
      <c r="R375" s="63"/>
    </row>
    <row r="376" spans="17:18" x14ac:dyDescent="0.35">
      <c r="Q376" s="63"/>
      <c r="R376" s="63"/>
    </row>
    <row r="377" spans="17:18" x14ac:dyDescent="0.35">
      <c r="Q377" s="63"/>
      <c r="R377" s="63"/>
    </row>
    <row r="378" spans="17:18" x14ac:dyDescent="0.35">
      <c r="Q378" s="63"/>
      <c r="R378" s="63"/>
    </row>
    <row r="379" spans="17:18" x14ac:dyDescent="0.35">
      <c r="Q379" s="63"/>
      <c r="R379" s="63"/>
    </row>
    <row r="380" spans="17:18" x14ac:dyDescent="0.35">
      <c r="Q380" s="63"/>
      <c r="R380" s="63"/>
    </row>
    <row r="381" spans="17:18" x14ac:dyDescent="0.35">
      <c r="Q381" s="63"/>
      <c r="R381" s="63"/>
    </row>
  </sheetData>
  <sheetProtection algorithmName="SHA-512" hashValue="3QJolLg2Yin2oxcFKJ84QrhkIhuKKl0ojKZcJorg/lFWN4HrgaBEGEp5Thix6xBrUjMjtb2CeEdOV8+dwTucAA==" saltValue="+Jo0e6XM7UzxMMlWpK0D5Q==" spinCount="100000" sheet="1" sort="0"/>
  <protectedRanges>
    <protectedRange sqref="J40 V82 V86 J251:J252" name="Intervalo39"/>
    <protectedRange sqref="W239:W240 W242" name="Intervalo37"/>
    <protectedRange sqref="Q166:Q170" name="Intervalo35"/>
    <protectedRange sqref="F35:F36" name="Intervalo33"/>
    <protectedRange sqref="Y56:Y63" name="Intervalo31"/>
    <protectedRange sqref="Q257:Q258 Q272:Q274" name="Intervalo25_2"/>
    <protectedRange sqref="K257:K258 J272:K274 D272:H274" name="Intervalo25_1"/>
    <protectedRange sqref="W40:W41" name="Intervalo27"/>
    <protectedRange sqref="W40:W41" name="Intervalo1_1"/>
    <protectedRange sqref="Q233:Q235" name="Intervalo22"/>
    <protectedRange sqref="Q198:Q213" name="Intervalo20"/>
    <protectedRange sqref="W158:W161" name="Intervalo18"/>
    <protectedRange sqref="W140:W143" name="Intervalo16"/>
    <protectedRange sqref="W158:W161" name="Intervalo14"/>
    <protectedRange sqref="Q122:Q136" name="Intervalo10"/>
    <protectedRange sqref="Q102:Q106" name="Intervalo8"/>
    <protectedRange sqref="Q41:Q44 Q48:Q57 Q75:Q76" name="Intervalo3"/>
    <protectedRange sqref="G12" name="Intervalo1"/>
    <protectedRange sqref="E18:E34 J18:J36 M18:M36 F35" name="Intervalo2"/>
    <protectedRange sqref="L58:M64 L67:M67 L69:M69 L71:M71 D75 N75:N76 J58:J63 J67 J69 J71 J73 L73:M73 J126 J124 J56 J40 V82 V86 J251:J252 J134" name="Intervalo4"/>
    <protectedRange sqref="S74:Z76 W56:X63 W46:W49" name="Intervalo5"/>
    <protectedRange sqref="Q81:Q82 Q85:Q98" name="Intervalo7"/>
    <protectedRange sqref="Q110:Q118" name="Intervalo9"/>
    <protectedRange sqref="Q147 Q149:Q153 Q156:Q170" name="Intervalo11"/>
    <protectedRange sqref="J159 L159:M159" name="Intervalo12"/>
    <protectedRange sqref="W148:W155 Y237:Y243" name="Intervalo13"/>
    <protectedRange sqref="W163:W164" name="Intervalo15"/>
    <protectedRange sqref="W148:W155 Y237:Y243" name="Intervalo17"/>
    <protectedRange sqref="W163:W164" name="Intervalo19"/>
    <protectedRange sqref="Q217:Q229" name="Intervalo21"/>
    <protectedRange sqref="K75 O75 L257:P258 I272:I274 L272:P274" name="Intervalo25"/>
    <protectedRange sqref="W67:X71" name="Intervalo5_2"/>
    <protectedRange sqref="K75:P76" name="Intervalo28"/>
    <protectedRange sqref="S262:S274" name="Intervalo32"/>
    <protectedRange sqref="Q117:Q118" name="Intervalo34"/>
    <protectedRange sqref="Q50" name="Intervalo36"/>
    <protectedRange sqref="F159" name="Intervalo38"/>
    <protectedRange sqref="Q262:Q271" name="Intervalo25_2_1"/>
    <protectedRange sqref="J262:K271 D262:H271" name="Intervalo25_1_1"/>
    <protectedRange sqref="I262:I271 L262:P271" name="Intervalo25_3"/>
  </protectedRanges>
  <mergeCells count="474">
    <mergeCell ref="O267:P267"/>
    <mergeCell ref="O117:P117"/>
    <mergeCell ref="K118:N118"/>
    <mergeCell ref="O118:P118"/>
    <mergeCell ref="K166:N166"/>
    <mergeCell ref="O166:P166"/>
    <mergeCell ref="K217:N217"/>
    <mergeCell ref="K218:N218"/>
    <mergeCell ref="K206:N206"/>
    <mergeCell ref="K207:N207"/>
    <mergeCell ref="K208:N208"/>
    <mergeCell ref="K209:N209"/>
    <mergeCell ref="K210:N210"/>
    <mergeCell ref="K211:N211"/>
    <mergeCell ref="K183:P183"/>
    <mergeCell ref="K178:N178"/>
    <mergeCell ref="K179:N179"/>
    <mergeCell ref="K180:N180"/>
    <mergeCell ref="K174:P174"/>
    <mergeCell ref="K164:N164"/>
    <mergeCell ref="K139:N139"/>
    <mergeCell ref="L126:N127"/>
    <mergeCell ref="O266:P266"/>
    <mergeCell ref="O265:P265"/>
    <mergeCell ref="O263:P263"/>
    <mergeCell ref="O264:P264"/>
    <mergeCell ref="O262:P262"/>
    <mergeCell ref="O223:P223"/>
    <mergeCell ref="K234:N234"/>
    <mergeCell ref="K235:N235"/>
    <mergeCell ref="K238:N238"/>
    <mergeCell ref="K239:N239"/>
    <mergeCell ref="D216:J216"/>
    <mergeCell ref="D263:H263"/>
    <mergeCell ref="D264:H264"/>
    <mergeCell ref="H161:I161"/>
    <mergeCell ref="K158:N158"/>
    <mergeCell ref="K146:N146"/>
    <mergeCell ref="K147:N147"/>
    <mergeCell ref="K107:P107"/>
    <mergeCell ref="K110:N110"/>
    <mergeCell ref="K102:N102"/>
    <mergeCell ref="K103:N103"/>
    <mergeCell ref="K104:N104"/>
    <mergeCell ref="K148:N148"/>
    <mergeCell ref="K149:N149"/>
    <mergeCell ref="K150:N150"/>
    <mergeCell ref="K151:N151"/>
    <mergeCell ref="K136:N136"/>
    <mergeCell ref="D121:J121"/>
    <mergeCell ref="Q260:Q261"/>
    <mergeCell ref="K50:N50"/>
    <mergeCell ref="O167:P167"/>
    <mergeCell ref="K167:N167"/>
    <mergeCell ref="K168:N168"/>
    <mergeCell ref="O168:P168"/>
    <mergeCell ref="K90:N90"/>
    <mergeCell ref="K91:N91"/>
    <mergeCell ref="K96:N96"/>
    <mergeCell ref="K97:N97"/>
    <mergeCell ref="K117:N117"/>
    <mergeCell ref="O53:P53"/>
    <mergeCell ref="K133:N133"/>
    <mergeCell ref="K155:N155"/>
    <mergeCell ref="K159:N159"/>
    <mergeCell ref="K160:N160"/>
    <mergeCell ref="K161:N161"/>
    <mergeCell ref="K192:N192"/>
    <mergeCell ref="K188:N188"/>
    <mergeCell ref="K190:N190"/>
    <mergeCell ref="K93:N93"/>
    <mergeCell ref="K94:N94"/>
    <mergeCell ref="K95:N95"/>
    <mergeCell ref="K162:N162"/>
    <mergeCell ref="D185:J185"/>
    <mergeCell ref="R255:R256"/>
    <mergeCell ref="S260:U261"/>
    <mergeCell ref="C260:C261"/>
    <mergeCell ref="D260:H261"/>
    <mergeCell ref="Z260:AA260"/>
    <mergeCell ref="C255:C256"/>
    <mergeCell ref="Q255:Q256"/>
    <mergeCell ref="K227:N227"/>
    <mergeCell ref="K236:P236"/>
    <mergeCell ref="K230:P230"/>
    <mergeCell ref="K240:N240"/>
    <mergeCell ref="K241:N241"/>
    <mergeCell ref="K250:N250"/>
    <mergeCell ref="D245:J245"/>
    <mergeCell ref="K253:P253"/>
    <mergeCell ref="K243:P243"/>
    <mergeCell ref="K245:N245"/>
    <mergeCell ref="K246:N246"/>
    <mergeCell ref="K247:N247"/>
    <mergeCell ref="K248:N248"/>
    <mergeCell ref="I260:I261"/>
    <mergeCell ref="J260:J261"/>
    <mergeCell ref="O260:P261"/>
    <mergeCell ref="D266:H266"/>
    <mergeCell ref="D267:H267"/>
    <mergeCell ref="D268:H268"/>
    <mergeCell ref="K252:N252"/>
    <mergeCell ref="K212:N212"/>
    <mergeCell ref="K213:N213"/>
    <mergeCell ref="K200:N200"/>
    <mergeCell ref="K201:N201"/>
    <mergeCell ref="K202:N202"/>
    <mergeCell ref="K203:N203"/>
    <mergeCell ref="K204:N204"/>
    <mergeCell ref="K205:N205"/>
    <mergeCell ref="K219:N219"/>
    <mergeCell ref="K220:N220"/>
    <mergeCell ref="K221:N221"/>
    <mergeCell ref="K216:N216"/>
    <mergeCell ref="K255:N255"/>
    <mergeCell ref="K222:N222"/>
    <mergeCell ref="K223:N223"/>
    <mergeCell ref="D262:H262"/>
    <mergeCell ref="K232:N232"/>
    <mergeCell ref="K89:N89"/>
    <mergeCell ref="O169:P169"/>
    <mergeCell ref="O170:P170"/>
    <mergeCell ref="K177:N177"/>
    <mergeCell ref="K169:N169"/>
    <mergeCell ref="K170:N170"/>
    <mergeCell ref="K181:N181"/>
    <mergeCell ref="K182:N182"/>
    <mergeCell ref="K191:N191"/>
    <mergeCell ref="D176:J176"/>
    <mergeCell ref="G159:I159"/>
    <mergeCell ref="K163:N163"/>
    <mergeCell ref="O227:P227"/>
    <mergeCell ref="O220:P220"/>
    <mergeCell ref="O217:P217"/>
    <mergeCell ref="K140:N140"/>
    <mergeCell ref="Q275:R275"/>
    <mergeCell ref="O232:P232"/>
    <mergeCell ref="O224:P224"/>
    <mergeCell ref="O238:P238"/>
    <mergeCell ref="Q214:R214"/>
    <mergeCell ref="O226:P226"/>
    <mergeCell ref="O221:P221"/>
    <mergeCell ref="K224:N224"/>
    <mergeCell ref="Q174:R174"/>
    <mergeCell ref="O176:P176"/>
    <mergeCell ref="K144:N144"/>
    <mergeCell ref="K145:N145"/>
    <mergeCell ref="K165:N165"/>
    <mergeCell ref="O225:P225"/>
    <mergeCell ref="K152:N152"/>
    <mergeCell ref="K198:N198"/>
    <mergeCell ref="K199:N199"/>
    <mergeCell ref="K282:N282"/>
    <mergeCell ref="K283:N283"/>
    <mergeCell ref="O269:P269"/>
    <mergeCell ref="O268:P268"/>
    <mergeCell ref="K260:N260"/>
    <mergeCell ref="K242:N242"/>
    <mergeCell ref="I276:P276"/>
    <mergeCell ref="O273:P273"/>
    <mergeCell ref="O271:P271"/>
    <mergeCell ref="O270:P270"/>
    <mergeCell ref="K251:N251"/>
    <mergeCell ref="I275:P275"/>
    <mergeCell ref="O257:P257"/>
    <mergeCell ref="O258:P258"/>
    <mergeCell ref="D255:J256"/>
    <mergeCell ref="D272:H272"/>
    <mergeCell ref="K249:N249"/>
    <mergeCell ref="D265:H265"/>
    <mergeCell ref="D280:J280"/>
    <mergeCell ref="O280:P280"/>
    <mergeCell ref="K280:N280"/>
    <mergeCell ref="K281:N281"/>
    <mergeCell ref="D269:H269"/>
    <mergeCell ref="D270:H270"/>
    <mergeCell ref="Q331:R331"/>
    <mergeCell ref="O342:P342"/>
    <mergeCell ref="O340:P340"/>
    <mergeCell ref="O338:P338"/>
    <mergeCell ref="O344:P344"/>
    <mergeCell ref="O341:P341"/>
    <mergeCell ref="O337:P337"/>
    <mergeCell ref="O339:P339"/>
    <mergeCell ref="O334:P334"/>
    <mergeCell ref="O336:P336"/>
    <mergeCell ref="O333:P333"/>
    <mergeCell ref="O335:P335"/>
    <mergeCell ref="Q356:R356"/>
    <mergeCell ref="O343:P343"/>
    <mergeCell ref="O349:P349"/>
    <mergeCell ref="O353:P353"/>
    <mergeCell ref="O355:P355"/>
    <mergeCell ref="O351:P351"/>
    <mergeCell ref="O345:P345"/>
    <mergeCell ref="O354:P354"/>
    <mergeCell ref="N356:P356"/>
    <mergeCell ref="K352:N352"/>
    <mergeCell ref="K343:N343"/>
    <mergeCell ref="K345:N345"/>
    <mergeCell ref="K350:N350"/>
    <mergeCell ref="K351:N351"/>
    <mergeCell ref="K353:N353"/>
    <mergeCell ref="K354:N354"/>
    <mergeCell ref="K346:N346"/>
    <mergeCell ref="K347:N347"/>
    <mergeCell ref="K344:N344"/>
    <mergeCell ref="O350:P350"/>
    <mergeCell ref="O347:P347"/>
    <mergeCell ref="O346:P346"/>
    <mergeCell ref="D333:J333"/>
    <mergeCell ref="D278:R278"/>
    <mergeCell ref="D271:H271"/>
    <mergeCell ref="K228:N228"/>
    <mergeCell ref="K229:N229"/>
    <mergeCell ref="Q230:R230"/>
    <mergeCell ref="D273:H273"/>
    <mergeCell ref="D274:H274"/>
    <mergeCell ref="D238:J238"/>
    <mergeCell ref="O228:P228"/>
    <mergeCell ref="O234:P234"/>
    <mergeCell ref="O229:P229"/>
    <mergeCell ref="Q236:R236"/>
    <mergeCell ref="O235:P235"/>
    <mergeCell ref="D232:J232"/>
    <mergeCell ref="Q243:R243"/>
    <mergeCell ref="O245:P245"/>
    <mergeCell ref="O272:P272"/>
    <mergeCell ref="O274:P274"/>
    <mergeCell ref="Q276:R276"/>
    <mergeCell ref="Q253:R253"/>
    <mergeCell ref="R260:R261"/>
    <mergeCell ref="O255:P256"/>
    <mergeCell ref="O233:P233"/>
    <mergeCell ref="Q3:R3"/>
    <mergeCell ref="Q78:R78"/>
    <mergeCell ref="O67:P68"/>
    <mergeCell ref="E17:F17"/>
    <mergeCell ref="C1:E4"/>
    <mergeCell ref="O222:P222"/>
    <mergeCell ref="G3:P3"/>
    <mergeCell ref="D38:J38"/>
    <mergeCell ref="O197:P197"/>
    <mergeCell ref="D197:J197"/>
    <mergeCell ref="F1:P2"/>
    <mergeCell ref="O38:P38"/>
    <mergeCell ref="O126:P127"/>
    <mergeCell ref="O124:P124"/>
    <mergeCell ref="O80:P80"/>
    <mergeCell ref="D80:J80"/>
    <mergeCell ref="D76:J76"/>
    <mergeCell ref="I68:J68"/>
    <mergeCell ref="O73:P74"/>
    <mergeCell ref="O116:P116"/>
    <mergeCell ref="Q4:R4"/>
    <mergeCell ref="Q119:R119"/>
    <mergeCell ref="J17:N17"/>
    <mergeCell ref="O75:P76"/>
    <mergeCell ref="G4:P4"/>
    <mergeCell ref="K45:N45"/>
    <mergeCell ref="K73:N74"/>
    <mergeCell ref="K75:N76"/>
    <mergeCell ref="K69:N70"/>
    <mergeCell ref="K84:N84"/>
    <mergeCell ref="K85:N85"/>
    <mergeCell ref="K86:N86"/>
    <mergeCell ref="K87:N87"/>
    <mergeCell ref="K38:N38"/>
    <mergeCell ref="K57:N57"/>
    <mergeCell ref="K59:N59"/>
    <mergeCell ref="K58:N58"/>
    <mergeCell ref="K66:N66"/>
    <mergeCell ref="K77:N77"/>
    <mergeCell ref="K81:N81"/>
    <mergeCell ref="K80:N80"/>
    <mergeCell ref="K78:P78"/>
    <mergeCell ref="K33:N33"/>
    <mergeCell ref="K32:N32"/>
    <mergeCell ref="K30:N30"/>
    <mergeCell ref="K36:N36"/>
    <mergeCell ref="K18:N18"/>
    <mergeCell ref="K19:N19"/>
    <mergeCell ref="R126:R127"/>
    <mergeCell ref="Q137:R137"/>
    <mergeCell ref="K121:N121"/>
    <mergeCell ref="K122:N122"/>
    <mergeCell ref="K123:N123"/>
    <mergeCell ref="K124:N125"/>
    <mergeCell ref="O139:P139"/>
    <mergeCell ref="D109:J109"/>
    <mergeCell ref="O109:P109"/>
    <mergeCell ref="D139:J139"/>
    <mergeCell ref="K135:N135"/>
    <mergeCell ref="K195:P195"/>
    <mergeCell ref="K185:N185"/>
    <mergeCell ref="K186:N186"/>
    <mergeCell ref="K187:N187"/>
    <mergeCell ref="K189:N189"/>
    <mergeCell ref="K197:N197"/>
    <mergeCell ref="O185:P185"/>
    <mergeCell ref="K193:N193"/>
    <mergeCell ref="K194:N194"/>
    <mergeCell ref="Q99:R99"/>
    <mergeCell ref="Q107:R107"/>
    <mergeCell ref="Q183:R183"/>
    <mergeCell ref="Q195:R195"/>
    <mergeCell ref="Q126:Q127"/>
    <mergeCell ref="O219:P219"/>
    <mergeCell ref="K99:P99"/>
    <mergeCell ref="K109:N109"/>
    <mergeCell ref="K105:N105"/>
    <mergeCell ref="K106:N106"/>
    <mergeCell ref="K119:P119"/>
    <mergeCell ref="O125:P125"/>
    <mergeCell ref="K176:N176"/>
    <mergeCell ref="O216:P216"/>
    <mergeCell ref="O121:P121"/>
    <mergeCell ref="R124:R125"/>
    <mergeCell ref="K128:N128"/>
    <mergeCell ref="K131:N131"/>
    <mergeCell ref="Q124:Q125"/>
    <mergeCell ref="O101:P101"/>
    <mergeCell ref="K153:N153"/>
    <mergeCell ref="K154:N154"/>
    <mergeCell ref="K156:N156"/>
    <mergeCell ref="K157:N157"/>
    <mergeCell ref="R67:R68"/>
    <mergeCell ref="D101:J101"/>
    <mergeCell ref="R73:R74"/>
    <mergeCell ref="V70:W70"/>
    <mergeCell ref="V71:W71"/>
    <mergeCell ref="Q67:Q68"/>
    <mergeCell ref="Q75:Q76"/>
    <mergeCell ref="K92:N92"/>
    <mergeCell ref="O69:P70"/>
    <mergeCell ref="K98:N98"/>
    <mergeCell ref="R71:R72"/>
    <mergeCell ref="R75:R76"/>
    <mergeCell ref="Q73:Q74"/>
    <mergeCell ref="Q71:Q72"/>
    <mergeCell ref="O71:P72"/>
    <mergeCell ref="Q69:Q70"/>
    <mergeCell ref="I70:J70"/>
    <mergeCell ref="K101:N101"/>
    <mergeCell ref="S73:Z73"/>
    <mergeCell ref="S74:Z74"/>
    <mergeCell ref="S75:Z76"/>
    <mergeCell ref="K82:N82"/>
    <mergeCell ref="K83:N83"/>
    <mergeCell ref="K88:N88"/>
    <mergeCell ref="V66:W66"/>
    <mergeCell ref="V67:W67"/>
    <mergeCell ref="V68:W68"/>
    <mergeCell ref="V69:W69"/>
    <mergeCell ref="W44:W45"/>
    <mergeCell ref="K40:N40"/>
    <mergeCell ref="R69:R70"/>
    <mergeCell ref="K67:N68"/>
    <mergeCell ref="K60:N60"/>
    <mergeCell ref="K61:N61"/>
    <mergeCell ref="K41:N41"/>
    <mergeCell ref="K42:N42"/>
    <mergeCell ref="K43:N43"/>
    <mergeCell ref="K44:N44"/>
    <mergeCell ref="K47:N47"/>
    <mergeCell ref="K46:N46"/>
    <mergeCell ref="K53:N53"/>
    <mergeCell ref="K54:N54"/>
    <mergeCell ref="K55:N55"/>
    <mergeCell ref="K56:N56"/>
    <mergeCell ref="V44:V45"/>
    <mergeCell ref="K62:N62"/>
    <mergeCell ref="K63:N63"/>
    <mergeCell ref="K65:N65"/>
    <mergeCell ref="K48:N48"/>
    <mergeCell ref="K49:N49"/>
    <mergeCell ref="K51:N51"/>
    <mergeCell ref="K52:N52"/>
    <mergeCell ref="K233:N233"/>
    <mergeCell ref="K225:N225"/>
    <mergeCell ref="K226:N226"/>
    <mergeCell ref="K129:N129"/>
    <mergeCell ref="K130:N130"/>
    <mergeCell ref="K111:N111"/>
    <mergeCell ref="K112:N112"/>
    <mergeCell ref="K113:N113"/>
    <mergeCell ref="K114:N114"/>
    <mergeCell ref="K115:N115"/>
    <mergeCell ref="K116:N116"/>
    <mergeCell ref="K141:N141"/>
    <mergeCell ref="K142:N142"/>
    <mergeCell ref="K137:P137"/>
    <mergeCell ref="K143:N143"/>
    <mergeCell ref="K132:N132"/>
    <mergeCell ref="K134:N134"/>
    <mergeCell ref="K71:N72"/>
    <mergeCell ref="O218:P218"/>
    <mergeCell ref="K214:P214"/>
    <mergeCell ref="K284:N284"/>
    <mergeCell ref="K285:N285"/>
    <mergeCell ref="K286:N286"/>
    <mergeCell ref="K287:N287"/>
    <mergeCell ref="K288:N288"/>
    <mergeCell ref="K289:N289"/>
    <mergeCell ref="K290:N290"/>
    <mergeCell ref="K291:N291"/>
    <mergeCell ref="K292:N292"/>
    <mergeCell ref="K293:N293"/>
    <mergeCell ref="K294:N294"/>
    <mergeCell ref="K295:N295"/>
    <mergeCell ref="K296:N296"/>
    <mergeCell ref="K297:N297"/>
    <mergeCell ref="K298:N298"/>
    <mergeCell ref="K299:N299"/>
    <mergeCell ref="K300:N300"/>
    <mergeCell ref="K304:N304"/>
    <mergeCell ref="K301:N301"/>
    <mergeCell ref="K302:N302"/>
    <mergeCell ref="K303:N303"/>
    <mergeCell ref="K305:N305"/>
    <mergeCell ref="K306:N306"/>
    <mergeCell ref="K307:N307"/>
    <mergeCell ref="K308:N308"/>
    <mergeCell ref="K342:N342"/>
    <mergeCell ref="K311:N311"/>
    <mergeCell ref="K312:N312"/>
    <mergeCell ref="K313:N313"/>
    <mergeCell ref="K314:N314"/>
    <mergeCell ref="K315:N315"/>
    <mergeCell ref="K316:N316"/>
    <mergeCell ref="K318:N318"/>
    <mergeCell ref="K319:N319"/>
    <mergeCell ref="K320:N320"/>
    <mergeCell ref="V54:V55"/>
    <mergeCell ref="W54:W55"/>
    <mergeCell ref="X54:X55"/>
    <mergeCell ref="Y54:Y55"/>
    <mergeCell ref="K64:N64"/>
    <mergeCell ref="K365:N365"/>
    <mergeCell ref="K355:N355"/>
    <mergeCell ref="K359:N359"/>
    <mergeCell ref="K360:N360"/>
    <mergeCell ref="K361:N361"/>
    <mergeCell ref="K363:N363"/>
    <mergeCell ref="K364:N364"/>
    <mergeCell ref="K321:N321"/>
    <mergeCell ref="K322:N322"/>
    <mergeCell ref="K323:N323"/>
    <mergeCell ref="K328:N328"/>
    <mergeCell ref="K329:N329"/>
    <mergeCell ref="K330:N330"/>
    <mergeCell ref="N331:P331"/>
    <mergeCell ref="K348:N348"/>
    <mergeCell ref="K349:N349"/>
    <mergeCell ref="K333:N333"/>
    <mergeCell ref="K340:N340"/>
    <mergeCell ref="K341:N341"/>
    <mergeCell ref="C39:R39"/>
    <mergeCell ref="K29:N29"/>
    <mergeCell ref="K31:N31"/>
    <mergeCell ref="K20:N20"/>
    <mergeCell ref="K21:N21"/>
    <mergeCell ref="K22:N22"/>
    <mergeCell ref="K23:N23"/>
    <mergeCell ref="K24:N24"/>
    <mergeCell ref="K25:N25"/>
    <mergeCell ref="K26:N26"/>
    <mergeCell ref="K27:N27"/>
    <mergeCell ref="K28:N28"/>
    <mergeCell ref="K35:N35"/>
    <mergeCell ref="D35:E36"/>
    <mergeCell ref="F35:F36"/>
    <mergeCell ref="G35:G36"/>
    <mergeCell ref="K34:N34"/>
  </mergeCells>
  <phoneticPr fontId="9" type="noConversion"/>
  <conditionalFormatting sqref="D75:D76">
    <cfRule type="cellIs" dxfId="194" priority="746" stopIfTrue="1" operator="equal">
      <formula>0</formula>
    </cfRule>
  </conditionalFormatting>
  <conditionalFormatting sqref="D262:D274">
    <cfRule type="cellIs" dxfId="193" priority="3" stopIfTrue="1" operator="equal">
      <formula>0</formula>
    </cfRule>
  </conditionalFormatting>
  <conditionalFormatting sqref="E18:E34">
    <cfRule type="cellIs" dxfId="192" priority="689" stopIfTrue="1" operator="equal">
      <formula>0</formula>
    </cfRule>
  </conditionalFormatting>
  <conditionalFormatting sqref="F18:F34">
    <cfRule type="containsText" dxfId="191" priority="675" stopIfTrue="1" operator="containsText" text="sim">
      <formula>NOT(ISERROR(SEARCH("sim",F18)))</formula>
    </cfRule>
  </conditionalFormatting>
  <conditionalFormatting sqref="F35">
    <cfRule type="cellIs" dxfId="190" priority="431" stopIfTrue="1" operator="equal">
      <formula>0</formula>
    </cfRule>
  </conditionalFormatting>
  <conditionalFormatting sqref="G12">
    <cfRule type="cellIs" dxfId="189" priority="778" stopIfTrue="1" operator="equal">
      <formula>0</formula>
    </cfRule>
  </conditionalFormatting>
  <conditionalFormatting sqref="G18">
    <cfRule type="iconSet" priority="680">
      <iconSet iconSet="3Symbols">
        <cfvo type="percent" val="0"/>
        <cfvo type="percent" val="33"/>
        <cfvo type="percent" val="67"/>
      </iconSet>
    </cfRule>
  </conditionalFormatting>
  <conditionalFormatting sqref="G35">
    <cfRule type="containsText" dxfId="188" priority="430" stopIfTrue="1" operator="containsText" text="sim">
      <formula>NOT(ISERROR(SEARCH("sim",G35)))</formula>
    </cfRule>
  </conditionalFormatting>
  <conditionalFormatting sqref="I262:O274">
    <cfRule type="cellIs" dxfId="187" priority="2" stopIfTrue="1" operator="equal">
      <formula>0</formula>
    </cfRule>
  </conditionalFormatting>
  <conditionalFormatting sqref="J18:J36">
    <cfRule type="cellIs" dxfId="186" priority="432" stopIfTrue="1" operator="equal">
      <formula>0</formula>
    </cfRule>
  </conditionalFormatting>
  <conditionalFormatting sqref="J40">
    <cfRule type="cellIs" dxfId="185" priority="8" stopIfTrue="1" operator="equal">
      <formula>0</formula>
    </cfRule>
  </conditionalFormatting>
  <conditionalFormatting sqref="J56">
    <cfRule type="cellIs" dxfId="184" priority="9" stopIfTrue="1" operator="equal">
      <formula>0</formula>
    </cfRule>
  </conditionalFormatting>
  <conditionalFormatting sqref="J58:J63">
    <cfRule type="cellIs" dxfId="183" priority="610" stopIfTrue="1" operator="equal">
      <formula>0</formula>
    </cfRule>
  </conditionalFormatting>
  <conditionalFormatting sqref="J67">
    <cfRule type="cellIs" dxfId="182" priority="696" stopIfTrue="1" operator="equal">
      <formula>0</formula>
    </cfRule>
  </conditionalFormatting>
  <conditionalFormatting sqref="J69">
    <cfRule type="cellIs" dxfId="181" priority="718" stopIfTrue="1" operator="equal">
      <formula>0</formula>
    </cfRule>
  </conditionalFormatting>
  <conditionalFormatting sqref="J71">
    <cfRule type="cellIs" dxfId="180" priority="709" stopIfTrue="1" operator="equal">
      <formula>0</formula>
    </cfRule>
  </conditionalFormatting>
  <conditionalFormatting sqref="J73">
    <cfRule type="cellIs" dxfId="179" priority="710" stopIfTrue="1" operator="equal">
      <formula>0</formula>
    </cfRule>
  </conditionalFormatting>
  <conditionalFormatting sqref="J124">
    <cfRule type="cellIs" dxfId="178" priority="249" stopIfTrue="1" operator="equal">
      <formula>0</formula>
    </cfRule>
  </conditionalFormatting>
  <conditionalFormatting sqref="J126">
    <cfRule type="cellIs" dxfId="177" priority="442" stopIfTrue="1" operator="equal">
      <formula>0</formula>
    </cfRule>
  </conditionalFormatting>
  <conditionalFormatting sqref="J134">
    <cfRule type="cellIs" dxfId="176" priority="4" stopIfTrue="1" operator="equal">
      <formula>0</formula>
    </cfRule>
  </conditionalFormatting>
  <conditionalFormatting sqref="J159">
    <cfRule type="cellIs" dxfId="175" priority="739" stopIfTrue="1" operator="equal">
      <formula>0</formula>
    </cfRule>
  </conditionalFormatting>
  <conditionalFormatting sqref="J251:J252">
    <cfRule type="cellIs" dxfId="174" priority="5" stopIfTrue="1" operator="equal">
      <formula>0</formula>
    </cfRule>
  </conditionalFormatting>
  <conditionalFormatting sqref="K18:K36">
    <cfRule type="containsText" dxfId="173" priority="474" stopIfTrue="1" operator="containsText" text="sim">
      <formula>NOT(ISERROR(SEARCH("sim",K18)))</formula>
    </cfRule>
  </conditionalFormatting>
  <conditionalFormatting sqref="K75">
    <cfRule type="cellIs" dxfId="172" priority="571" stopIfTrue="1" operator="equal">
      <formula>0</formula>
    </cfRule>
  </conditionalFormatting>
  <conditionalFormatting sqref="K257:O258">
    <cfRule type="cellIs" dxfId="171" priority="197" stopIfTrue="1" operator="equal">
      <formula>0</formula>
    </cfRule>
  </conditionalFormatting>
  <conditionalFormatting sqref="O75">
    <cfRule type="cellIs" dxfId="170" priority="570" stopIfTrue="1" operator="equal">
      <formula>0</formula>
    </cfRule>
  </conditionalFormatting>
  <conditionalFormatting sqref="Q41:Q44">
    <cfRule type="cellIs" dxfId="169" priority="177" stopIfTrue="1" operator="equal">
      <formula>0</formula>
    </cfRule>
  </conditionalFormatting>
  <conditionalFormatting sqref="Q48:Q57">
    <cfRule type="cellIs" dxfId="168" priority="120" stopIfTrue="1" operator="equal">
      <formula>0</formula>
    </cfRule>
  </conditionalFormatting>
  <conditionalFormatting sqref="Q75:Q76">
    <cfRule type="cellIs" dxfId="167" priority="700" stopIfTrue="1" operator="equal">
      <formula>0</formula>
    </cfRule>
  </conditionalFormatting>
  <conditionalFormatting sqref="Q81:Q82">
    <cfRule type="cellIs" dxfId="166" priority="176" stopIfTrue="1" operator="equal">
      <formula>0</formula>
    </cfRule>
  </conditionalFormatting>
  <conditionalFormatting sqref="Q85:Q98">
    <cfRule type="cellIs" dxfId="165" priority="175" stopIfTrue="1" operator="equal">
      <formula>0</formula>
    </cfRule>
  </conditionalFormatting>
  <conditionalFormatting sqref="Q102:Q106">
    <cfRule type="cellIs" dxfId="164" priority="116" stopIfTrue="1" operator="equal">
      <formula>0</formula>
    </cfRule>
  </conditionalFormatting>
  <conditionalFormatting sqref="Q110:Q118">
    <cfRule type="cellIs" dxfId="163" priority="173" stopIfTrue="1" operator="equal">
      <formula>0</formula>
    </cfRule>
  </conditionalFormatting>
  <conditionalFormatting sqref="Q122:Q136">
    <cfRule type="cellIs" dxfId="162" priority="112" stopIfTrue="1" operator="equal">
      <formula>0</formula>
    </cfRule>
  </conditionalFormatting>
  <conditionalFormatting sqref="Q147">
    <cfRule type="cellIs" dxfId="161" priority="239" stopIfTrue="1" operator="equal">
      <formula>0</formula>
    </cfRule>
  </conditionalFormatting>
  <conditionalFormatting sqref="Q149:Q153">
    <cfRule type="cellIs" dxfId="160" priority="757" stopIfTrue="1" operator="equal">
      <formula>0</formula>
    </cfRule>
  </conditionalFormatting>
  <conditionalFormatting sqref="Q156:Q173">
    <cfRule type="cellIs" dxfId="159" priority="162" stopIfTrue="1" operator="equal">
      <formula>0</formula>
    </cfRule>
  </conditionalFormatting>
  <conditionalFormatting sqref="Q177:Q182">
    <cfRule type="cellIs" dxfId="158" priority="370" stopIfTrue="1" operator="equal">
      <formula>0</formula>
    </cfRule>
  </conditionalFormatting>
  <conditionalFormatting sqref="Q186:Q194">
    <cfRule type="cellIs" dxfId="157" priority="782" stopIfTrue="1" operator="equal">
      <formula>0</formula>
    </cfRule>
  </conditionalFormatting>
  <conditionalFormatting sqref="Q198:Q213">
    <cfRule type="cellIs" dxfId="156" priority="160" stopIfTrue="1" operator="equal">
      <formula>0</formula>
    </cfRule>
  </conditionalFormatting>
  <conditionalFormatting sqref="Q217:Q229">
    <cfRule type="cellIs" dxfId="155" priority="65" stopIfTrue="1" operator="equal">
      <formula>0</formula>
    </cfRule>
  </conditionalFormatting>
  <conditionalFormatting sqref="Q233:Q235">
    <cfRule type="cellIs" dxfId="154" priority="794" stopIfTrue="1" operator="equal">
      <formula>0</formula>
    </cfRule>
  </conditionalFormatting>
  <conditionalFormatting sqref="Q257:Q258">
    <cfRule type="cellIs" dxfId="153" priority="199" stopIfTrue="1" operator="equal">
      <formula>0</formula>
    </cfRule>
  </conditionalFormatting>
  <conditionalFormatting sqref="Q262:Q274">
    <cfRule type="cellIs" dxfId="152" priority="1" stopIfTrue="1" operator="equal">
      <formula>0</formula>
    </cfRule>
  </conditionalFormatting>
  <conditionalFormatting sqref="Q281:Q309 Q311:Q316 Q318:Q323 Q325:Q326 Q328:Q330 Q334:Q355">
    <cfRule type="cellIs" dxfId="151" priority="812" stopIfTrue="1" operator="equal">
      <formula>0</formula>
    </cfRule>
  </conditionalFormatting>
  <conditionalFormatting sqref="S74">
    <cfRule type="cellIs" dxfId="150" priority="693" stopIfTrue="1" operator="equal">
      <formula>0</formula>
    </cfRule>
  </conditionalFormatting>
  <conditionalFormatting sqref="S262:S274">
    <cfRule type="cellIs" dxfId="149" priority="495" operator="equal">
      <formula>0</formula>
    </cfRule>
  </conditionalFormatting>
  <conditionalFormatting sqref="S75:Z76">
    <cfRule type="cellIs" dxfId="148" priority="694" stopIfTrue="1" operator="equal">
      <formula>0</formula>
    </cfRule>
  </conditionalFormatting>
  <conditionalFormatting sqref="V82">
    <cfRule type="cellIs" dxfId="147" priority="7" stopIfTrue="1" operator="equal">
      <formula>0</formula>
    </cfRule>
  </conditionalFormatting>
  <conditionalFormatting sqref="V86">
    <cfRule type="cellIs" dxfId="146" priority="6" stopIfTrue="1" operator="equal">
      <formula>0</formula>
    </cfRule>
  </conditionalFormatting>
  <conditionalFormatting sqref="W40:W41">
    <cfRule type="cellIs" dxfId="145" priority="662" stopIfTrue="1" operator="equal">
      <formula>0</formula>
    </cfRule>
  </conditionalFormatting>
  <conditionalFormatting sqref="W46:W49">
    <cfRule type="cellIs" dxfId="144" priority="761" stopIfTrue="1" operator="equal">
      <formula>0</formula>
    </cfRule>
  </conditionalFormatting>
  <conditionalFormatting sqref="W140:W143">
    <cfRule type="cellIs" dxfId="143" priority="244" stopIfTrue="1" operator="equal">
      <formula>0</formula>
    </cfRule>
  </conditionalFormatting>
  <conditionalFormatting sqref="W148:W155">
    <cfRule type="cellIs" dxfId="142" priority="242" stopIfTrue="1" operator="equal">
      <formula>0</formula>
    </cfRule>
  </conditionalFormatting>
  <conditionalFormatting sqref="W158:W161">
    <cfRule type="cellIs" dxfId="141" priority="241" stopIfTrue="1" operator="equal">
      <formula>0</formula>
    </cfRule>
  </conditionalFormatting>
  <conditionalFormatting sqref="W163:W164">
    <cfRule type="cellIs" dxfId="140" priority="240" stopIfTrue="1" operator="equal">
      <formula>0</formula>
    </cfRule>
  </conditionalFormatting>
  <conditionalFormatting sqref="W239:W240 W242">
    <cfRule type="cellIs" dxfId="139" priority="221" operator="equal">
      <formula>0</formula>
    </cfRule>
  </conditionalFormatting>
  <conditionalFormatting sqref="W56:Y63">
    <cfRule type="cellIs" dxfId="138" priority="121" stopIfTrue="1" operator="equal">
      <formula>0</formula>
    </cfRule>
  </conditionalFormatting>
  <conditionalFormatting sqref="X67:X71">
    <cfRule type="cellIs" dxfId="137" priority="10" stopIfTrue="1" operator="equal">
      <formula>0</formula>
    </cfRule>
  </conditionalFormatting>
  <conditionalFormatting sqref="Y237:Y243">
    <cfRule type="cellIs" dxfId="136" priority="63" stopIfTrue="1" operator="equal">
      <formula>0</formula>
    </cfRule>
  </conditionalFormatting>
  <dataValidations count="4">
    <dataValidation type="list" allowBlank="1" showInputMessage="1" showErrorMessage="1" error="Tem que se &quot;X&quot; !" sqref="U20" xr:uid="{00000000-0002-0000-0400-000000000000}">
      <formula1>$C$1</formula1>
    </dataValidation>
    <dataValidation type="list" allowBlank="1" showInputMessage="1" showErrorMessage="1" error="Tem que ser &quot;X&quot; !" sqref="E18:E34 J18:J36 F35" xr:uid="{00000000-0002-0000-0400-000001000000}">
      <formula1>$C$1</formula1>
    </dataValidation>
    <dataValidation type="list" allowBlank="1" showInputMessage="1" showErrorMessage="1" error="Tem que ser M ou F !" sqref="I262:I274" xr:uid="{00000000-0002-0000-0400-000002000000}">
      <formula1>$D$259:$E$259</formula1>
    </dataValidation>
    <dataValidation type="list" allowBlank="1" showInputMessage="1" showErrorMessage="1" sqref="K257:N258 S262:S274 K262:N274" xr:uid="{00000000-0002-0000-0400-000003000000}">
      <formula1>$C$1</formula1>
    </dataValidation>
  </dataValidations>
  <printOptions horizontalCentered="1"/>
  <pageMargins left="0.78740157480314965" right="0.39370078740157483" top="0.78740157480314965" bottom="0.39370078740157483" header="0.78740157480314965" footer="0.11811023622047245"/>
  <pageSetup paperSize="9" scale="60" orientation="portrait" horizontalDpi="4294967294" verticalDpi="4294967294" r:id="rId1"/>
  <headerFooter>
    <oddFooter>Página &amp;P de &amp;N</oddFooter>
  </headerFooter>
  <rowBreaks count="4" manualBreakCount="4">
    <brk id="79" max="17" man="1"/>
    <brk id="138" max="17" man="1"/>
    <brk id="196" max="17" man="1"/>
    <brk id="259" max="17"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20CA0-016F-4434-A09E-CC02D0A46829}">
  <sheetPr codeName="Planilha10"/>
  <dimension ref="B4:J23"/>
  <sheetViews>
    <sheetView showGridLines="0" showZeros="0" topLeftCell="A4" zoomScaleNormal="100" workbookViewId="0">
      <selection activeCell="F39" sqref="F39"/>
    </sheetView>
  </sheetViews>
  <sheetFormatPr defaultColWidth="8.59765625" defaultRowHeight="12.75" x14ac:dyDescent="0.35"/>
  <cols>
    <col min="1" max="1" width="5.1328125" style="955" customWidth="1"/>
    <col min="2" max="2" width="12.86328125" style="955" customWidth="1"/>
    <col min="3" max="3" width="17.86328125" style="955" customWidth="1"/>
    <col min="4" max="4" width="12.86328125" style="955" customWidth="1"/>
    <col min="5" max="5" width="16.59765625" style="955" customWidth="1"/>
    <col min="6" max="6" width="11.3984375" style="955" bestFit="1" customWidth="1"/>
    <col min="7" max="7" width="13.59765625" style="955" customWidth="1"/>
    <col min="8" max="8" width="11.86328125" style="955" customWidth="1"/>
    <col min="9" max="9" width="16.59765625" style="955" customWidth="1"/>
    <col min="10" max="16384" width="8.59765625" style="955"/>
  </cols>
  <sheetData>
    <row r="4" spans="2:10" x14ac:dyDescent="0.35">
      <c r="B4" s="953" t="s">
        <v>1425</v>
      </c>
      <c r="C4" s="953"/>
      <c r="D4" s="953"/>
      <c r="E4" s="954" t="s">
        <v>1426</v>
      </c>
      <c r="F4" s="954" t="s">
        <v>1427</v>
      </c>
      <c r="G4" s="954" t="s">
        <v>1428</v>
      </c>
      <c r="H4" s="954" t="s">
        <v>1429</v>
      </c>
      <c r="I4" s="954" t="s">
        <v>1430</v>
      </c>
      <c r="J4" s="955" t="s">
        <v>1431</v>
      </c>
    </row>
    <row r="5" spans="2:10" x14ac:dyDescent="0.35">
      <c r="B5" s="1752" t="s">
        <v>308</v>
      </c>
      <c r="C5" s="1753"/>
      <c r="D5" s="958" t="s">
        <v>1432</v>
      </c>
      <c r="E5" s="449">
        <f ca="1">INSUMOS!R58+INSUMOS!R61</f>
        <v>330600</v>
      </c>
      <c r="F5" s="449"/>
      <c r="G5" s="1260">
        <v>0.7</v>
      </c>
      <c r="H5" s="449">
        <f>IF(FECHAMENTO!$S$17&lt;&gt;0,IF(J5="x",0,E5/ENTRADAS!$F$22*FECHAMENTO!$S$17*G5),IF(J5="x",0,E5*G5))</f>
        <v>0</v>
      </c>
      <c r="I5" s="958" t="s">
        <v>1433</v>
      </c>
      <c r="J5" s="958" t="s">
        <v>10</v>
      </c>
    </row>
    <row r="6" spans="2:10" x14ac:dyDescent="0.35">
      <c r="B6" s="1752" t="s">
        <v>1434</v>
      </c>
      <c r="C6" s="1753"/>
      <c r="D6" s="958" t="s">
        <v>1435</v>
      </c>
      <c r="E6" s="449">
        <f ca="1">INSUMOS!R69+INSUMOS!R71+INSUMOS!R73+INSUMOS!R75</f>
        <v>882168</v>
      </c>
      <c r="F6" s="449"/>
      <c r="G6" s="1260">
        <v>0.7</v>
      </c>
      <c r="H6" s="449">
        <f>IF(FECHAMENTO!$S$17&lt;&gt;0,IF(J6="x",0,E6/ENTRADAS!$F$22*FECHAMENTO!$S$17*G6),IF(J6="x",0,E6*G6))</f>
        <v>0</v>
      </c>
      <c r="I6" s="958" t="s">
        <v>1436</v>
      </c>
      <c r="J6" s="958" t="s">
        <v>10</v>
      </c>
    </row>
    <row r="7" spans="2:10" x14ac:dyDescent="0.35">
      <c r="B7" s="956" t="s">
        <v>1437</v>
      </c>
      <c r="C7" s="957"/>
      <c r="D7" s="958" t="s">
        <v>1432</v>
      </c>
      <c r="E7" s="449"/>
      <c r="F7" s="449"/>
      <c r="G7" s="1260"/>
      <c r="H7" s="449">
        <f>IF(FECHAMENTO!$S$17&lt;&gt;0,IF(J7="x",0,E7/ENTRADAS!$F$22*FECHAMENTO!$S$17*G7),IF(J7="x",0,E7*G7))</f>
        <v>0</v>
      </c>
      <c r="I7" s="958" t="s">
        <v>1438</v>
      </c>
      <c r="J7" s="958"/>
    </row>
    <row r="8" spans="2:10" x14ac:dyDescent="0.35">
      <c r="B8" s="1752" t="s">
        <v>1439</v>
      </c>
      <c r="C8" s="1753"/>
      <c r="D8" s="958" t="s">
        <v>1432</v>
      </c>
      <c r="E8" s="449"/>
      <c r="F8" s="449"/>
      <c r="G8" s="1260"/>
      <c r="H8" s="449">
        <f>IF(FECHAMENTO!$S$17&lt;&gt;0,IF(J8="x",0,E8/ENTRADAS!$F$22*FECHAMENTO!$S$17*G8),IF(J8="x",0,E8*G8))</f>
        <v>0</v>
      </c>
      <c r="I8" s="958" t="s">
        <v>1440</v>
      </c>
      <c r="J8" s="958"/>
    </row>
    <row r="9" spans="2:10" x14ac:dyDescent="0.35">
      <c r="B9" s="1752" t="s">
        <v>1441</v>
      </c>
      <c r="C9" s="1753"/>
      <c r="D9" s="958" t="s">
        <v>1432</v>
      </c>
      <c r="E9" s="449"/>
      <c r="F9" s="449"/>
      <c r="G9" s="1260"/>
      <c r="H9" s="449">
        <f>IF(FECHAMENTO!$S$17&lt;&gt;0,IF(J9="x",0,E9/ENTRADAS!$F$22*FECHAMENTO!$S$17*G9),IF(J9="x",0,E9*G9))</f>
        <v>0</v>
      </c>
      <c r="I9" s="958" t="s">
        <v>1440</v>
      </c>
      <c r="J9" s="958"/>
    </row>
    <row r="10" spans="2:10" x14ac:dyDescent="0.35">
      <c r="B10" s="956" t="s">
        <v>1442</v>
      </c>
      <c r="C10" s="957"/>
      <c r="D10" s="958" t="s">
        <v>1432</v>
      </c>
      <c r="E10" s="449"/>
      <c r="F10" s="449"/>
      <c r="G10" s="1260"/>
      <c r="H10" s="449">
        <f>IF(FECHAMENTO!$S$17&lt;&gt;0,IF(J10="x",0,E10/ENTRADAS!$F$22*FECHAMENTO!$S$17*G10),IF(J10="x",0,E10*G10))</f>
        <v>0</v>
      </c>
      <c r="I10" s="958" t="s">
        <v>1443</v>
      </c>
      <c r="J10" s="958"/>
    </row>
    <row r="11" spans="2:10" ht="12.95" customHeight="1" x14ac:dyDescent="0.35">
      <c r="B11" s="1752" t="s">
        <v>1444</v>
      </c>
      <c r="C11" s="1753"/>
      <c r="D11" s="958" t="s">
        <v>1435</v>
      </c>
      <c r="E11" s="449">
        <f ca="1">SUM(INSUMOS!R140:R148)</f>
        <v>136251.20000000001</v>
      </c>
      <c r="F11" s="449"/>
      <c r="G11" s="1260">
        <v>0.7</v>
      </c>
      <c r="H11" s="449">
        <f>IF(FECHAMENTO!$S$17&lt;&gt;0,IF(J11="x",0,E11/ENTRADAS!$F$22*FECHAMENTO!$S$17*G11),IF(J11="x",0,E11*G11))</f>
        <v>0</v>
      </c>
      <c r="I11" s="958" t="s">
        <v>1445</v>
      </c>
      <c r="J11" s="958" t="s">
        <v>35</v>
      </c>
    </row>
    <row r="12" spans="2:10" x14ac:dyDescent="0.35">
      <c r="B12" s="1752" t="s">
        <v>1446</v>
      </c>
      <c r="C12" s="1753"/>
      <c r="D12" s="958" t="s">
        <v>1435</v>
      </c>
      <c r="E12" s="449"/>
      <c r="F12" s="449"/>
      <c r="G12" s="1260"/>
      <c r="H12" s="449">
        <f>IF(FECHAMENTO!$S$17&lt;&gt;0,IF(J12="x",0,E12/ENTRADAS!$F$22*FECHAMENTO!$S$17*G12),IF(J12="x",0,E12*G12))</f>
        <v>0</v>
      </c>
      <c r="I12" s="958" t="s">
        <v>1445</v>
      </c>
      <c r="J12" s="958"/>
    </row>
    <row r="13" spans="2:10" x14ac:dyDescent="0.35">
      <c r="B13" s="1752" t="s">
        <v>1447</v>
      </c>
      <c r="C13" s="1753"/>
      <c r="D13" s="958" t="s">
        <v>1435</v>
      </c>
      <c r="E13" s="449"/>
      <c r="F13" s="449"/>
      <c r="G13" s="1260"/>
      <c r="H13" s="449">
        <f>IF(FECHAMENTO!$S$17&lt;&gt;0,IF(J13="x",0,E13/ENTRADAS!$F$22*FECHAMENTO!$S$17*G13),IF(J13="x",0,E13*G13))</f>
        <v>0</v>
      </c>
      <c r="I13" s="958" t="s">
        <v>1448</v>
      </c>
      <c r="J13" s="958"/>
    </row>
    <row r="14" spans="2:10" x14ac:dyDescent="0.35">
      <c r="B14" s="1752" t="s">
        <v>1449</v>
      </c>
      <c r="C14" s="1753"/>
      <c r="D14" s="958" t="s">
        <v>1435</v>
      </c>
      <c r="E14" s="449"/>
      <c r="F14" s="449"/>
      <c r="G14" s="1260"/>
      <c r="H14" s="449">
        <f>IF(FECHAMENTO!$S$17&lt;&gt;0,IF(J14="x",0,E14/ENTRADAS!$F$22*FECHAMENTO!$S$17*G14),IF(J14="x",0,E14*G14))</f>
        <v>0</v>
      </c>
      <c r="I14" s="958" t="s">
        <v>1438</v>
      </c>
      <c r="J14" s="958"/>
    </row>
    <row r="15" spans="2:10" x14ac:dyDescent="0.35">
      <c r="B15" s="1752" t="s">
        <v>1450</v>
      </c>
      <c r="C15" s="1753"/>
      <c r="D15" s="958" t="s">
        <v>1435</v>
      </c>
      <c r="E15" s="449"/>
      <c r="F15" s="449"/>
      <c r="G15" s="1260"/>
      <c r="H15" s="449">
        <f>IF(FECHAMENTO!$S$17&lt;&gt;0,IF(J15="x",0,E15/ENTRADAS!$F$22*FECHAMENTO!$S$17*G15),IF(J15="x",0,E15*G15))</f>
        <v>0</v>
      </c>
      <c r="I15" s="958"/>
      <c r="J15" s="958"/>
    </row>
    <row r="16" spans="2:10" x14ac:dyDescent="0.35">
      <c r="B16" s="1752" t="s">
        <v>898</v>
      </c>
      <c r="C16" s="1753"/>
      <c r="D16" s="958" t="s">
        <v>1435</v>
      </c>
      <c r="E16" s="449"/>
      <c r="F16" s="449"/>
      <c r="G16" s="1260"/>
      <c r="H16" s="449">
        <f>IF(FECHAMENTO!$S$17&lt;&gt;0,IF(J16="x",0,E16/ENTRADAS!$F$22*FECHAMENTO!$S$17*G16),IF(J16="x",0,E16*G16))</f>
        <v>0</v>
      </c>
      <c r="I16" s="958"/>
      <c r="J16" s="958"/>
    </row>
    <row r="17" spans="2:10" x14ac:dyDescent="0.35">
      <c r="B17" s="1752" t="s">
        <v>894</v>
      </c>
      <c r="C17" s="1753"/>
      <c r="D17" s="958" t="s">
        <v>1435</v>
      </c>
      <c r="E17" s="449"/>
      <c r="F17" s="449"/>
      <c r="G17" s="1260"/>
      <c r="H17" s="449">
        <f>IF(FECHAMENTO!$S$17&lt;&gt;0,IF(J17="x",0,E17/ENTRADAS!$F$22*FECHAMENTO!$S$17*G17),IF(J17="x",0,E17*G17))</f>
        <v>0</v>
      </c>
      <c r="I17" s="958"/>
      <c r="J17" s="958"/>
    </row>
    <row r="18" spans="2:10" x14ac:dyDescent="0.35">
      <c r="B18" s="1752" t="s">
        <v>897</v>
      </c>
      <c r="C18" s="1753"/>
      <c r="D18" s="958" t="s">
        <v>1435</v>
      </c>
      <c r="E18" s="449"/>
      <c r="F18" s="449"/>
      <c r="G18" s="1260"/>
      <c r="H18" s="449">
        <f>IF(FECHAMENTO!$S$17&lt;&gt;0,IF(J18="x",0,E18/ENTRADAS!$F$22*FECHAMENTO!$S$17*G18),IF(J18="x",0,E18*G18))</f>
        <v>0</v>
      </c>
      <c r="I18" s="958"/>
      <c r="J18" s="958"/>
    </row>
    <row r="19" spans="2:10" ht="7.5" customHeight="1" x14ac:dyDescent="0.35"/>
    <row r="20" spans="2:10" x14ac:dyDescent="0.35">
      <c r="B20" s="1754" t="s">
        <v>1429</v>
      </c>
      <c r="C20" s="1754"/>
      <c r="D20" s="1754"/>
      <c r="E20" s="959">
        <f ca="1">SUM(E5:E19)</f>
        <v>1349019.2</v>
      </c>
      <c r="F20" s="959">
        <f>SUM(F5:F19)</f>
        <v>0</v>
      </c>
      <c r="G20" s="959"/>
      <c r="H20" s="959">
        <f>SUM(H5:H19)</f>
        <v>0</v>
      </c>
    </row>
    <row r="22" spans="2:10" x14ac:dyDescent="0.35">
      <c r="C22" s="960" t="s">
        <v>1451</v>
      </c>
      <c r="D22" s="961"/>
      <c r="E22" s="962">
        <f ca="1">SUM(E11:F18)</f>
        <v>136251.20000000001</v>
      </c>
    </row>
    <row r="23" spans="2:10" x14ac:dyDescent="0.35">
      <c r="C23" s="960" t="s">
        <v>1452</v>
      </c>
      <c r="D23" s="961"/>
      <c r="E23" s="962">
        <f ca="1">SUM(E5:F10)</f>
        <v>1212768</v>
      </c>
    </row>
  </sheetData>
  <mergeCells count="13">
    <mergeCell ref="B20:D20"/>
    <mergeCell ref="B13:C13"/>
    <mergeCell ref="B14:C14"/>
    <mergeCell ref="B15:C15"/>
    <mergeCell ref="B16:C16"/>
    <mergeCell ref="B17:C17"/>
    <mergeCell ref="B18:C18"/>
    <mergeCell ref="B12:C12"/>
    <mergeCell ref="B5:C5"/>
    <mergeCell ref="B6:C6"/>
    <mergeCell ref="B8:C8"/>
    <mergeCell ref="B9:C9"/>
    <mergeCell ref="B11:C11"/>
  </mergeCells>
  <pageMargins left="0.511811024" right="0.511811024" top="0.78740157499999996" bottom="0.78740157499999996" header="0.31496062000000002" footer="0.31496062000000002"/>
  <pageSetup paperSize="9" scale="8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0036D-6A06-42DA-AD2B-C4FC84C3CD43}">
  <sheetPr codeName="Planilha11"/>
  <dimension ref="A1:G65"/>
  <sheetViews>
    <sheetView showGridLines="0" showZeros="0" workbookViewId="0">
      <selection activeCell="C24" sqref="C24"/>
    </sheetView>
  </sheetViews>
  <sheetFormatPr defaultRowHeight="12.75" x14ac:dyDescent="0.35"/>
  <cols>
    <col min="1" max="1" width="46.3984375" bestFit="1" customWidth="1"/>
    <col min="2" max="2" width="6.3984375" style="1" bestFit="1" customWidth="1"/>
    <col min="4" max="4" width="11.86328125" customWidth="1"/>
    <col min="5" max="5" width="15.1328125" customWidth="1"/>
    <col min="7" max="7" width="18.3984375" customWidth="1"/>
  </cols>
  <sheetData>
    <row r="1" spans="1:7" ht="15" x14ac:dyDescent="0.4">
      <c r="A1" s="1755" t="s">
        <v>1453</v>
      </c>
      <c r="B1" s="1756"/>
      <c r="C1" s="1756"/>
      <c r="D1" s="1756"/>
      <c r="E1" s="1757"/>
    </row>
    <row r="2" spans="1:7" ht="13.15" thickBot="1" x14ac:dyDescent="0.4"/>
    <row r="3" spans="1:7" ht="13.15" thickBot="1" x14ac:dyDescent="0.4">
      <c r="B3" s="634"/>
      <c r="C3" s="692" t="s">
        <v>1454</v>
      </c>
      <c r="D3" s="22"/>
      <c r="E3" s="935">
        <f ca="1">SUM(E4:E65)</f>
        <v>296264.73306718905</v>
      </c>
      <c r="F3" s="125"/>
      <c r="G3" s="125"/>
    </row>
    <row r="4" spans="1:7" x14ac:dyDescent="0.35">
      <c r="A4" s="939" t="s">
        <v>1455</v>
      </c>
      <c r="B4" s="939" t="s">
        <v>1456</v>
      </c>
      <c r="C4" s="940" t="s">
        <v>911</v>
      </c>
      <c r="D4" s="940" t="s">
        <v>1457</v>
      </c>
      <c r="E4" s="940" t="s">
        <v>1458</v>
      </c>
    </row>
    <row r="5" spans="1:7" x14ac:dyDescent="0.35">
      <c r="A5" s="930" t="str">
        <f>INSUMOS!D67</f>
        <v>FRETE P/ RETORNAR C/ MATERIAIS E EQUIP. AO FINAL DA OBRA</v>
      </c>
      <c r="B5" s="575" t="s">
        <v>774</v>
      </c>
      <c r="C5" s="931">
        <v>0.12</v>
      </c>
      <c r="D5" s="934">
        <f>INSUMOS!R67</f>
        <v>21004</v>
      </c>
      <c r="E5" s="934">
        <f>D5*C5</f>
        <v>2520.48</v>
      </c>
    </row>
    <row r="6" spans="1:7" x14ac:dyDescent="0.35">
      <c r="A6" s="930" t="str">
        <f ca="1">INSUMOS!D69</f>
        <v>FRETE p/ 1000 km com 0</v>
      </c>
      <c r="B6" s="575" t="s">
        <v>774</v>
      </c>
      <c r="C6" s="931">
        <v>0.12</v>
      </c>
      <c r="D6" s="934">
        <f ca="1">INSUMOS!R69</f>
        <v>0</v>
      </c>
      <c r="E6" s="934">
        <f t="shared" ref="E6:E40" ca="1" si="0">D6*C6</f>
        <v>0</v>
      </c>
    </row>
    <row r="7" spans="1:7" x14ac:dyDescent="0.35">
      <c r="A7" s="930" t="str">
        <f ca="1">INSUMOS!D71</f>
        <v>FRETE para 1000 km com 0</v>
      </c>
      <c r="B7" s="575" t="s">
        <v>774</v>
      </c>
      <c r="C7" s="931">
        <v>0.12</v>
      </c>
      <c r="D7" s="934">
        <f ca="1">INSUMOS!R71</f>
        <v>0</v>
      </c>
      <c r="E7" s="934">
        <f t="shared" ca="1" si="0"/>
        <v>0</v>
      </c>
    </row>
    <row r="8" spans="1:7" x14ac:dyDescent="0.35">
      <c r="A8" s="930" t="str">
        <f ca="1">INSUMOS!D73</f>
        <v xml:space="preserve">FRETE para 1000 km com CARRETA LS  capac.= 31 ton </v>
      </c>
      <c r="B8" s="575" t="s">
        <v>774</v>
      </c>
      <c r="C8" s="931">
        <v>0.12</v>
      </c>
      <c r="D8" s="934">
        <f ca="1">INSUMOS!R73</f>
        <v>882168</v>
      </c>
      <c r="E8" s="934">
        <f t="shared" ca="1" si="0"/>
        <v>105860.15999999999</v>
      </c>
    </row>
    <row r="9" spans="1:7" x14ac:dyDescent="0.35">
      <c r="A9" s="342">
        <f>INSUMOS!D75</f>
        <v>0</v>
      </c>
      <c r="B9" s="575" t="s">
        <v>774</v>
      </c>
      <c r="C9" s="931">
        <v>0.12</v>
      </c>
      <c r="D9" s="934">
        <f>INSUMOS!R75</f>
        <v>0</v>
      </c>
      <c r="E9" s="934">
        <f t="shared" si="0"/>
        <v>0</v>
      </c>
    </row>
    <row r="10" spans="1:7" x14ac:dyDescent="0.35">
      <c r="A10" s="342" t="str">
        <f>INSUMOS!D140</f>
        <v>A- PINO PARA MONTAGEM ( no topo do painel ) -----------</v>
      </c>
      <c r="B10" s="575" t="s">
        <v>799</v>
      </c>
      <c r="C10" s="931">
        <v>7.0000000000000007E-2</v>
      </c>
      <c r="D10" s="934">
        <f ca="1">INSUMOS!R140</f>
        <v>35040</v>
      </c>
      <c r="E10" s="934">
        <f t="shared" ca="1" si="0"/>
        <v>2452.8000000000002</v>
      </c>
    </row>
    <row r="11" spans="1:7" x14ac:dyDescent="0.35">
      <c r="A11" s="342" t="str">
        <f>INSUMOS!D141</f>
        <v>B- PINO PARA MONTAGEM ( no topo do painel ) ---------</v>
      </c>
      <c r="B11" s="575" t="s">
        <v>799</v>
      </c>
      <c r="C11" s="931">
        <v>7.0000000000000007E-2</v>
      </c>
      <c r="D11" s="934">
        <f ca="1">INSUMOS!R141</f>
        <v>1888</v>
      </c>
      <c r="E11" s="934">
        <f t="shared" ca="1" si="0"/>
        <v>132.16000000000003</v>
      </c>
    </row>
    <row r="12" spans="1:7" x14ac:dyDescent="0.35">
      <c r="A12" s="342" t="str">
        <f>INSUMOS!D142</f>
        <v>C- PINO PARA MOVIMENTAÇÃO ( na face do painel ) ---</v>
      </c>
      <c r="B12" s="575" t="s">
        <v>799</v>
      </c>
      <c r="C12" s="931">
        <v>7.0000000000000007E-2</v>
      </c>
      <c r="D12" s="934">
        <f ca="1">INSUMOS!R142</f>
        <v>52800</v>
      </c>
      <c r="E12" s="934">
        <f t="shared" ca="1" si="0"/>
        <v>3696.0000000000005</v>
      </c>
    </row>
    <row r="13" spans="1:7" x14ac:dyDescent="0.35">
      <c r="A13" s="342" t="str">
        <f>INSUMOS!D143</f>
        <v>D- PINO PARA MOVIMENTAÇÃO ( na face do painel ) ---</v>
      </c>
      <c r="B13" s="575" t="s">
        <v>799</v>
      </c>
      <c r="C13" s="931">
        <v>7.0000000000000007E-2</v>
      </c>
      <c r="D13" s="934">
        <f ca="1">INSUMOS!R143</f>
        <v>2528</v>
      </c>
      <c r="E13" s="934">
        <f t="shared" ca="1" si="0"/>
        <v>176.96</v>
      </c>
    </row>
    <row r="14" spans="1:7" x14ac:dyDescent="0.35">
      <c r="A14" s="342" t="str">
        <f>INSUMOS!D144</f>
        <v>PINO DE MOVIMENTAÇÃO  5  tf /125</v>
      </c>
      <c r="B14" s="575" t="s">
        <v>799</v>
      </c>
      <c r="C14" s="931">
        <v>7.0000000000000007E-2</v>
      </c>
      <c r="D14" s="934">
        <f ca="1">INSUMOS!R144</f>
        <v>0</v>
      </c>
      <c r="E14" s="934">
        <f t="shared" ca="1" si="0"/>
        <v>0</v>
      </c>
    </row>
    <row r="15" spans="1:7" x14ac:dyDescent="0.35">
      <c r="A15" s="342" t="str">
        <f ca="1">INSUMOS!D145</f>
        <v>LUVA de Nivelamento M30 x 70 ( no pé do painel ) -----------</v>
      </c>
      <c r="B15" s="575" t="s">
        <v>799</v>
      </c>
      <c r="C15" s="931">
        <v>7.0000000000000007E-2</v>
      </c>
      <c r="D15" s="934">
        <f ca="1">INSUMOS!R145</f>
        <v>22080</v>
      </c>
      <c r="E15" s="934">
        <f t="shared" ca="1" si="0"/>
        <v>1545.6000000000001</v>
      </c>
    </row>
    <row r="16" spans="1:7" x14ac:dyDescent="0.35">
      <c r="A16" s="342" t="str">
        <f ca="1">INSUMOS!D146</f>
        <v>LUVA de Nivelamento M30 x 70 ( no pé do painel ) -----------</v>
      </c>
      <c r="B16" s="575" t="s">
        <v>799</v>
      </c>
      <c r="C16" s="931">
        <v>7.0000000000000007E-2</v>
      </c>
      <c r="D16" s="934">
        <f ca="1">INSUMOS!R146</f>
        <v>736</v>
      </c>
      <c r="E16" s="934">
        <f t="shared" ca="1" si="0"/>
        <v>51.52</v>
      </c>
    </row>
    <row r="17" spans="1:7" x14ac:dyDescent="0.35">
      <c r="A17" s="342" t="str">
        <f>INSUMOS!D147</f>
        <v>LUVA para flutuadores TSB-M12 x 50</v>
      </c>
      <c r="B17" s="575" t="s">
        <v>799</v>
      </c>
      <c r="C17" s="931">
        <v>7.0000000000000007E-2</v>
      </c>
      <c r="D17" s="934">
        <f ca="1">INSUMOS!R147</f>
        <v>6299.2</v>
      </c>
      <c r="E17" s="934">
        <f t="shared" ca="1" si="0"/>
        <v>440.94400000000002</v>
      </c>
    </row>
    <row r="18" spans="1:7" x14ac:dyDescent="0.35">
      <c r="A18" s="342" t="str">
        <f ca="1">INSUMOS!D148</f>
        <v>LUVA p/ escora  TSB-M16 x 100</v>
      </c>
      <c r="B18" s="575" t="s">
        <v>799</v>
      </c>
      <c r="C18" s="931">
        <v>7.0000000000000007E-2</v>
      </c>
      <c r="D18" s="934">
        <f ca="1">INSUMOS!R148</f>
        <v>14880</v>
      </c>
      <c r="E18" s="934">
        <f t="shared" ca="1" si="0"/>
        <v>1041.6000000000001</v>
      </c>
    </row>
    <row r="19" spans="1:7" x14ac:dyDescent="0.35">
      <c r="A19" s="342" t="str">
        <f>INSUMOS!D149</f>
        <v xml:space="preserve">CURVA 90° GALVANIZADA 1 1/4" </v>
      </c>
      <c r="B19" s="575" t="s">
        <v>766</v>
      </c>
      <c r="C19" s="931">
        <v>0.17</v>
      </c>
      <c r="D19" s="934">
        <f ca="1">INSUMOS!R149</f>
        <v>7440</v>
      </c>
      <c r="E19" s="934">
        <f t="shared" ca="1" si="0"/>
        <v>1264.8000000000002</v>
      </c>
    </row>
    <row r="20" spans="1:7" x14ac:dyDescent="0.35">
      <c r="A20" s="342" t="str">
        <f>INSUMOS!D150</f>
        <v xml:space="preserve">TUBO 2,50 m para BAINHA 3 CABOS </v>
      </c>
      <c r="B20" s="575" t="s">
        <v>792</v>
      </c>
      <c r="C20" s="931">
        <v>7.0000000000000007E-2</v>
      </c>
      <c r="D20" s="934">
        <f ca="1">INSUMOS!R150</f>
        <v>93184</v>
      </c>
      <c r="E20" s="934">
        <f t="shared" ca="1" si="0"/>
        <v>6522.880000000001</v>
      </c>
    </row>
    <row r="21" spans="1:7" x14ac:dyDescent="0.35">
      <c r="A21" s="342" t="str">
        <f>INSUMOS!D151</f>
        <v>TUBO 2,50 m para BAINHA 1 CABO</v>
      </c>
      <c r="B21" s="575" t="s">
        <v>766</v>
      </c>
      <c r="C21" s="931">
        <v>0.01</v>
      </c>
      <c r="D21" s="934">
        <f ca="1">INSUMOS!R151</f>
        <v>0</v>
      </c>
      <c r="E21" s="934">
        <f t="shared" ca="1" si="0"/>
        <v>0</v>
      </c>
    </row>
    <row r="22" spans="1:7" x14ac:dyDescent="0.35">
      <c r="A22" s="342" t="str">
        <f>INSUMOS!D152</f>
        <v>CONE PARA TUBO 3 CABOS</v>
      </c>
      <c r="B22" s="575" t="s">
        <v>766</v>
      </c>
      <c r="C22" s="931"/>
      <c r="D22" s="934">
        <f ca="1">INSUMOS!R152</f>
        <v>0</v>
      </c>
      <c r="E22" s="934">
        <f t="shared" ca="1" si="0"/>
        <v>0</v>
      </c>
    </row>
    <row r="23" spans="1:7" x14ac:dyDescent="0.35">
      <c r="A23" s="342" t="str">
        <f>INSUMOS!D153</f>
        <v>CONE PARA TUBO 1 CABO</v>
      </c>
      <c r="B23" s="575" t="s">
        <v>766</v>
      </c>
      <c r="C23" s="931"/>
      <c r="D23" s="934">
        <f ca="1">INSUMOS!R153</f>
        <v>0</v>
      </c>
      <c r="E23" s="934">
        <f t="shared" ca="1" si="0"/>
        <v>0</v>
      </c>
    </row>
    <row r="24" spans="1:7" x14ac:dyDescent="0.35">
      <c r="A24" s="342" t="str">
        <f>INSUMOS!D155</f>
        <v>INSUMOS GERAIS PARA CONCRETO fcK&gt;=25 MPa 24h</v>
      </c>
      <c r="B24" s="936" t="s">
        <v>1459</v>
      </c>
      <c r="C24" s="941">
        <f>'X MPa '!M51</f>
        <v>0.13540345021078229</v>
      </c>
      <c r="D24" s="934">
        <f ca="1">INSUMOS!R155</f>
        <v>581663.79018981033</v>
      </c>
      <c r="E24" s="934">
        <f t="shared" ca="1" si="0"/>
        <v>78759.2840543809</v>
      </c>
    </row>
    <row r="25" spans="1:7" x14ac:dyDescent="0.35">
      <c r="A25" s="342" t="str">
        <f>INSUMOS!D156</f>
        <v xml:space="preserve">CHAPA DE ANCORAGEM - ASTM A 572-GR50 (200 X 120 X 19 mm) </v>
      </c>
      <c r="B25" s="575" t="s">
        <v>766</v>
      </c>
      <c r="C25" s="931">
        <v>0.17</v>
      </c>
      <c r="D25" s="934">
        <f ca="1">INSUMOS!R156</f>
        <v>29120</v>
      </c>
      <c r="E25" s="934">
        <f t="shared" ca="1" si="0"/>
        <v>4950.4000000000005</v>
      </c>
    </row>
    <row r="26" spans="1:7" x14ac:dyDescent="0.35">
      <c r="A26" s="342" t="str">
        <f>INSUMOS!D157</f>
        <v xml:space="preserve">CHAPA DE ANCORAGEM - ASTM A 572-GR50 (120 X 120 X 16 mm) </v>
      </c>
      <c r="B26" s="575" t="s">
        <v>766</v>
      </c>
      <c r="C26" s="931">
        <v>0.17</v>
      </c>
      <c r="D26" s="934">
        <f ca="1">INSUMOS!R157</f>
        <v>0</v>
      </c>
      <c r="E26" s="934">
        <f t="shared" ca="1" si="0"/>
        <v>0</v>
      </c>
    </row>
    <row r="27" spans="1:7" x14ac:dyDescent="0.35">
      <c r="A27" s="342" t="str">
        <f>INSUMOS!D158</f>
        <v>TELA SOLDADA</v>
      </c>
      <c r="B27" s="575" t="s">
        <v>766</v>
      </c>
      <c r="C27" s="931">
        <v>0.17</v>
      </c>
      <c r="D27" s="934">
        <f>INSUMOS!R158</f>
        <v>0</v>
      </c>
      <c r="E27" s="934">
        <f t="shared" si="0"/>
        <v>0</v>
      </c>
    </row>
    <row r="28" spans="1:7" x14ac:dyDescent="0.35">
      <c r="A28" s="342" t="str">
        <f>INSUMOS!D159</f>
        <v>AÇO CA-50</v>
      </c>
      <c r="B28" s="575" t="s">
        <v>799</v>
      </c>
      <c r="C28" s="932">
        <v>9.0999999999999998E-2</v>
      </c>
      <c r="D28" s="934">
        <f ca="1">INSUMOS!R159</f>
        <v>419290.96748435061</v>
      </c>
      <c r="E28" s="934">
        <f t="shared" ca="1" si="0"/>
        <v>38155.478041075905</v>
      </c>
      <c r="G28" s="627"/>
    </row>
    <row r="29" spans="1:7" x14ac:dyDescent="0.35">
      <c r="A29" s="342" t="str">
        <f>INSUMOS!D160</f>
        <v>CORDOALHA 7 fios Arcellor Mittal  CP 190 RB 12,70 mm</v>
      </c>
      <c r="B29" s="575" t="s">
        <v>799</v>
      </c>
      <c r="C29" s="931">
        <v>7.0000000000000007E-2</v>
      </c>
      <c r="D29" s="934">
        <f ca="1">INSUMOS!R160</f>
        <v>291124.52497713594</v>
      </c>
      <c r="E29" s="934">
        <f t="shared" ca="1" si="0"/>
        <v>20378.716748399518</v>
      </c>
    </row>
    <row r="30" spans="1:7" x14ac:dyDescent="0.35">
      <c r="A30" s="342" t="str">
        <f>INSUMOS!D161</f>
        <v>DISTANCIADOR PLÁSTICO COPLAS cadeirinha  SCP-45/30</v>
      </c>
      <c r="B30" s="575" t="s">
        <v>799</v>
      </c>
      <c r="C30" s="931">
        <v>7.0000000000000007E-2</v>
      </c>
      <c r="D30" s="934">
        <f ca="1">INSUMOS!R161</f>
        <v>5865.6960000000008</v>
      </c>
      <c r="E30" s="934">
        <f t="shared" ca="1" si="0"/>
        <v>410.59872000000007</v>
      </c>
    </row>
    <row r="31" spans="1:7" x14ac:dyDescent="0.35">
      <c r="A31" s="342" t="str">
        <f>INSUMOS!D162</f>
        <v>ARAME RECOZIDO TORCIDO</v>
      </c>
      <c r="B31" s="575" t="s">
        <v>766</v>
      </c>
      <c r="C31" s="931">
        <v>0.17</v>
      </c>
      <c r="D31" s="934">
        <f ca="1">INSUMOS!R162</f>
        <v>17823.419431368664</v>
      </c>
      <c r="E31" s="934">
        <f t="shared" ca="1" si="0"/>
        <v>3029.9813033326732</v>
      </c>
    </row>
    <row r="32" spans="1:7" x14ac:dyDescent="0.35">
      <c r="A32" s="342" t="str">
        <f>INSUMOS!D163</f>
        <v>ISOPOR 3 cm ( folha 50x100 cm)</v>
      </c>
      <c r="B32" s="575" t="s">
        <v>766</v>
      </c>
      <c r="C32" s="931">
        <v>0.17</v>
      </c>
      <c r="D32" s="934">
        <f ca="1">INSUMOS!R163</f>
        <v>149.24</v>
      </c>
      <c r="E32" s="934">
        <f t="shared" ca="1" si="0"/>
        <v>25.370800000000003</v>
      </c>
    </row>
    <row r="33" spans="1:5" x14ac:dyDescent="0.35">
      <c r="A33" s="342" t="str">
        <f>INSUMOS!D164</f>
        <v xml:space="preserve">DESMOLDANTE DENVER SM ECO </v>
      </c>
      <c r="B33" s="575" t="s">
        <v>799</v>
      </c>
      <c r="C33" s="931">
        <v>7.0000000000000007E-2</v>
      </c>
      <c r="D33" s="934">
        <f ca="1">INSUMOS!R164</f>
        <v>16988.95</v>
      </c>
      <c r="E33" s="934">
        <f t="shared" ca="1" si="0"/>
        <v>1189.2265000000002</v>
      </c>
    </row>
    <row r="34" spans="1:5" x14ac:dyDescent="0.35">
      <c r="A34" s="342" t="str">
        <f>INSUMOS!D165</f>
        <v>AGENTE DE CURA hidrocarbonetos parafínicos ( CURING )</v>
      </c>
      <c r="B34" s="575" t="s">
        <v>799</v>
      </c>
      <c r="C34" s="931">
        <v>7.0000000000000007E-2</v>
      </c>
      <c r="D34" s="934">
        <f ca="1">INSUMOS!R165</f>
        <v>6952</v>
      </c>
      <c r="E34" s="934">
        <f t="shared" ca="1" si="0"/>
        <v>486.64000000000004</v>
      </c>
    </row>
    <row r="35" spans="1:5" x14ac:dyDescent="0.35">
      <c r="A35" s="342" t="str">
        <f>INSUMOS!D166</f>
        <v>D11 ( MC-BAUCHIMIE ) - primer para substrados absorventes ( embalagem: galão de 4 litros )</v>
      </c>
      <c r="B35" s="575" t="s">
        <v>799</v>
      </c>
      <c r="C35" s="931">
        <v>7.0000000000000007E-2</v>
      </c>
      <c r="D35" s="934">
        <f ca="1">INSUMOS!R166</f>
        <v>1782.048</v>
      </c>
      <c r="E35" s="934">
        <f t="shared" ca="1" si="0"/>
        <v>124.74336000000001</v>
      </c>
    </row>
    <row r="36" spans="1:5" x14ac:dyDescent="0.35">
      <c r="A36" s="342" t="str">
        <f>INSUMOS!D168</f>
        <v>ARAME PARA SOLDA MIG/MAG 1,2mm</v>
      </c>
      <c r="B36" s="575" t="s">
        <v>766</v>
      </c>
      <c r="C36" s="931">
        <v>0.17</v>
      </c>
      <c r="D36" s="934">
        <f ca="1">INSUMOS!R168</f>
        <v>3284.45</v>
      </c>
      <c r="E36" s="934">
        <f t="shared" ca="1" si="0"/>
        <v>558.35649999999998</v>
      </c>
    </row>
    <row r="37" spans="1:5" x14ac:dyDescent="0.35">
      <c r="A37" s="342" t="str">
        <f>INSUMOS!D169</f>
        <v>GÁS MISTURA (cilindro com 6 m³)</v>
      </c>
      <c r="B37" s="575" t="s">
        <v>766</v>
      </c>
      <c r="C37" s="931">
        <v>0.17</v>
      </c>
      <c r="D37" s="934">
        <f ca="1">INSUMOS!R169</f>
        <v>2925</v>
      </c>
      <c r="E37" s="934">
        <f t="shared" ca="1" si="0"/>
        <v>497.25000000000006</v>
      </c>
    </row>
    <row r="38" spans="1:5" x14ac:dyDescent="0.35">
      <c r="A38" s="342" t="str">
        <f>INSUMOS!D250</f>
        <v>INSUMOS GERAIS PARA CONCRETO fcK&gt;=10 MPa 24h</v>
      </c>
      <c r="B38" s="575" t="s">
        <v>1459</v>
      </c>
      <c r="C38" s="941">
        <f>C24</f>
        <v>0.13540345021078229</v>
      </c>
      <c r="D38" s="934">
        <f ca="1">INSUMOS!R250</f>
        <v>0</v>
      </c>
      <c r="E38" s="934">
        <f t="shared" ca="1" si="0"/>
        <v>0</v>
      </c>
    </row>
    <row r="39" spans="1:5" x14ac:dyDescent="0.35">
      <c r="A39" s="342" t="str">
        <f>INSUMOS!D251</f>
        <v>CORDOALHA 7 Fios Revestida e Engraxada ArcelorMittal  CP190 RB -- 12,7 mm EM LAJES</v>
      </c>
      <c r="B39" s="575" t="s">
        <v>760</v>
      </c>
      <c r="C39" s="931">
        <v>7.0000000000000007E-2</v>
      </c>
      <c r="D39" s="934">
        <f>INSUMOS!R251</f>
        <v>0</v>
      </c>
      <c r="E39" s="934">
        <f t="shared" si="0"/>
        <v>0</v>
      </c>
    </row>
    <row r="40" spans="1:5" x14ac:dyDescent="0.35">
      <c r="A40" s="342" t="str">
        <f>INSUMOS!D252</f>
        <v>ANCORAGENS PARA PÓS-TENSÃO EM LAJES</v>
      </c>
      <c r="B40" s="575" t="s">
        <v>766</v>
      </c>
      <c r="C40" s="931">
        <v>0.17</v>
      </c>
      <c r="D40" s="934">
        <f>INSUMOS!R252</f>
        <v>0</v>
      </c>
      <c r="E40" s="934">
        <f t="shared" si="0"/>
        <v>0</v>
      </c>
    </row>
    <row r="41" spans="1:5" x14ac:dyDescent="0.35">
      <c r="A41" s="5"/>
      <c r="B41" s="916"/>
      <c r="C41" s="933"/>
    </row>
    <row r="42" spans="1:5" x14ac:dyDescent="0.35">
      <c r="A42" s="938" t="s">
        <v>1460</v>
      </c>
      <c r="B42" s="937"/>
      <c r="C42" s="10"/>
      <c r="D42" s="10"/>
      <c r="E42" s="6"/>
    </row>
    <row r="43" spans="1:5" x14ac:dyDescent="0.35">
      <c r="A43" s="342" t="s">
        <v>1461</v>
      </c>
      <c r="B43" s="575" t="s">
        <v>766</v>
      </c>
      <c r="C43" s="931">
        <v>0.17</v>
      </c>
      <c r="D43" s="934">
        <v>129369.31200000002</v>
      </c>
      <c r="E43" s="934">
        <f t="shared" ref="E43:E65" si="1">D43*C43</f>
        <v>21992.783040000006</v>
      </c>
    </row>
    <row r="44" spans="1:5" x14ac:dyDescent="0.35">
      <c r="A44" s="342"/>
      <c r="B44" s="575"/>
      <c r="C44" s="931"/>
      <c r="D44" s="934"/>
      <c r="E44" s="934">
        <f t="shared" si="1"/>
        <v>0</v>
      </c>
    </row>
    <row r="45" spans="1:5" x14ac:dyDescent="0.35">
      <c r="A45" s="342"/>
      <c r="B45" s="575"/>
      <c r="C45" s="931"/>
      <c r="D45" s="934"/>
      <c r="E45" s="934">
        <f t="shared" si="1"/>
        <v>0</v>
      </c>
    </row>
    <row r="46" spans="1:5" x14ac:dyDescent="0.35">
      <c r="A46" s="342"/>
      <c r="B46" s="575"/>
      <c r="C46" s="931"/>
      <c r="D46" s="934"/>
      <c r="E46" s="934">
        <f t="shared" si="1"/>
        <v>0</v>
      </c>
    </row>
    <row r="47" spans="1:5" x14ac:dyDescent="0.35">
      <c r="A47" s="342"/>
      <c r="B47" s="575"/>
      <c r="C47" s="931"/>
      <c r="D47" s="934"/>
      <c r="E47" s="934">
        <f t="shared" si="1"/>
        <v>0</v>
      </c>
    </row>
    <row r="48" spans="1:5" x14ac:dyDescent="0.35">
      <c r="A48" s="342"/>
      <c r="B48" s="575"/>
      <c r="C48" s="931"/>
      <c r="D48" s="934"/>
      <c r="E48" s="934">
        <f t="shared" si="1"/>
        <v>0</v>
      </c>
    </row>
    <row r="49" spans="1:5" x14ac:dyDescent="0.35">
      <c r="A49" s="342"/>
      <c r="B49" s="575"/>
      <c r="C49" s="931"/>
      <c r="D49" s="934"/>
      <c r="E49" s="934">
        <f t="shared" si="1"/>
        <v>0</v>
      </c>
    </row>
    <row r="50" spans="1:5" x14ac:dyDescent="0.35">
      <c r="A50" s="342"/>
      <c r="B50" s="575"/>
      <c r="C50" s="931"/>
      <c r="D50" s="934"/>
      <c r="E50" s="934">
        <f t="shared" si="1"/>
        <v>0</v>
      </c>
    </row>
    <row r="51" spans="1:5" x14ac:dyDescent="0.35">
      <c r="A51" s="342"/>
      <c r="B51" s="575"/>
      <c r="C51" s="931"/>
      <c r="D51" s="934"/>
      <c r="E51" s="934">
        <f t="shared" si="1"/>
        <v>0</v>
      </c>
    </row>
    <row r="52" spans="1:5" x14ac:dyDescent="0.35">
      <c r="A52" s="342"/>
      <c r="B52" s="575"/>
      <c r="C52" s="931"/>
      <c r="D52" s="934"/>
      <c r="E52" s="934">
        <f t="shared" si="1"/>
        <v>0</v>
      </c>
    </row>
    <row r="53" spans="1:5" x14ac:dyDescent="0.35">
      <c r="A53" s="342"/>
      <c r="B53" s="575"/>
      <c r="C53" s="931"/>
      <c r="D53" s="934"/>
      <c r="E53" s="934">
        <f t="shared" si="1"/>
        <v>0</v>
      </c>
    </row>
    <row r="54" spans="1:5" x14ac:dyDescent="0.35">
      <c r="A54" s="342"/>
      <c r="B54" s="575"/>
      <c r="C54" s="931"/>
      <c r="D54" s="934"/>
      <c r="E54" s="934">
        <f t="shared" si="1"/>
        <v>0</v>
      </c>
    </row>
    <row r="55" spans="1:5" x14ac:dyDescent="0.35">
      <c r="A55" s="342"/>
      <c r="B55" s="575"/>
      <c r="C55" s="931"/>
      <c r="D55" s="934"/>
      <c r="E55" s="934">
        <f t="shared" si="1"/>
        <v>0</v>
      </c>
    </row>
    <row r="56" spans="1:5" x14ac:dyDescent="0.35">
      <c r="A56" s="342"/>
      <c r="B56" s="575"/>
      <c r="C56" s="931"/>
      <c r="D56" s="934"/>
      <c r="E56" s="934">
        <f t="shared" si="1"/>
        <v>0</v>
      </c>
    </row>
    <row r="57" spans="1:5" x14ac:dyDescent="0.35">
      <c r="A57" s="342"/>
      <c r="B57" s="575"/>
      <c r="C57" s="931"/>
      <c r="D57" s="934"/>
      <c r="E57" s="934">
        <f t="shared" si="1"/>
        <v>0</v>
      </c>
    </row>
    <row r="58" spans="1:5" x14ac:dyDescent="0.35">
      <c r="A58" s="342"/>
      <c r="B58" s="575"/>
      <c r="C58" s="931"/>
      <c r="D58" s="934"/>
      <c r="E58" s="934">
        <f t="shared" si="1"/>
        <v>0</v>
      </c>
    </row>
    <row r="59" spans="1:5" x14ac:dyDescent="0.35">
      <c r="A59" s="342"/>
      <c r="B59" s="575"/>
      <c r="C59" s="931"/>
      <c r="D59" s="934"/>
      <c r="E59" s="934">
        <f t="shared" si="1"/>
        <v>0</v>
      </c>
    </row>
    <row r="60" spans="1:5" x14ac:dyDescent="0.35">
      <c r="A60" s="342"/>
      <c r="B60" s="575"/>
      <c r="C60" s="931"/>
      <c r="D60" s="934"/>
      <c r="E60" s="934">
        <f t="shared" si="1"/>
        <v>0</v>
      </c>
    </row>
    <row r="61" spans="1:5" x14ac:dyDescent="0.35">
      <c r="A61" s="342"/>
      <c r="B61" s="575"/>
      <c r="C61" s="931"/>
      <c r="D61" s="934"/>
      <c r="E61" s="934">
        <f t="shared" si="1"/>
        <v>0</v>
      </c>
    </row>
    <row r="62" spans="1:5" x14ac:dyDescent="0.35">
      <c r="A62" s="342"/>
      <c r="B62" s="575"/>
      <c r="C62" s="931"/>
      <c r="D62" s="934"/>
      <c r="E62" s="934">
        <f t="shared" si="1"/>
        <v>0</v>
      </c>
    </row>
    <row r="63" spans="1:5" x14ac:dyDescent="0.35">
      <c r="A63" s="342"/>
      <c r="B63" s="575"/>
      <c r="C63" s="931"/>
      <c r="D63" s="934"/>
      <c r="E63" s="934">
        <f t="shared" si="1"/>
        <v>0</v>
      </c>
    </row>
    <row r="64" spans="1:5" x14ac:dyDescent="0.35">
      <c r="A64" s="342"/>
      <c r="B64" s="575"/>
      <c r="C64" s="931"/>
      <c r="D64" s="934"/>
      <c r="E64" s="934">
        <f t="shared" si="1"/>
        <v>0</v>
      </c>
    </row>
    <row r="65" spans="1:5" x14ac:dyDescent="0.35">
      <c r="A65" s="342"/>
      <c r="B65" s="575"/>
      <c r="C65" s="931"/>
      <c r="D65" s="934"/>
      <c r="E65" s="934">
        <f t="shared" si="1"/>
        <v>0</v>
      </c>
    </row>
  </sheetData>
  <protectedRanges>
    <protectedRange sqref="A43:D65" name="Intervalo2"/>
    <protectedRange sqref="B5:C40" name="Intervalo1"/>
  </protectedRanges>
  <mergeCells count="1">
    <mergeCell ref="A1:E1"/>
  </mergeCells>
  <pageMargins left="0.511811024" right="0.511811024" top="0.78740157499999996" bottom="0.78740157499999996" header="0.31496062000000002" footer="0.31496062000000002"/>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ilha1">
    <tabColor rgb="FFFF0000"/>
  </sheetPr>
  <dimension ref="B1:AD138"/>
  <sheetViews>
    <sheetView showGridLines="0" showZeros="0" topLeftCell="A47" zoomScaleNormal="100" workbookViewId="0">
      <selection activeCell="I62" sqref="I62:I66"/>
    </sheetView>
  </sheetViews>
  <sheetFormatPr defaultRowHeight="12.75" x14ac:dyDescent="0.35"/>
  <cols>
    <col min="1" max="1" width="1.1328125" customWidth="1"/>
    <col min="2" max="2" width="0.59765625" customWidth="1"/>
    <col min="3" max="3" width="11.3984375" customWidth="1"/>
    <col min="4" max="4" width="9.3984375" customWidth="1"/>
    <col min="5" max="5" width="17.86328125" customWidth="1"/>
    <col min="6" max="6" width="1.3984375" customWidth="1"/>
    <col min="7" max="7" width="4.3984375" customWidth="1"/>
    <col min="8" max="8" width="12.59765625" customWidth="1"/>
    <col min="9" max="9" width="7.1328125" customWidth="1"/>
    <col min="10" max="10" width="14.3984375" customWidth="1"/>
    <col min="11" max="11" width="1.59765625" customWidth="1"/>
    <col min="12" max="12" width="12.59765625" customWidth="1"/>
    <col min="13" max="13" width="2.86328125" customWidth="1"/>
    <col min="14" max="14" width="5.1328125" customWidth="1"/>
    <col min="15" max="15" width="10.1328125" customWidth="1"/>
    <col min="16" max="16" width="9.3984375" customWidth="1"/>
    <col min="17" max="17" width="1" customWidth="1"/>
    <col min="19" max="19" width="15.3984375" customWidth="1"/>
    <col min="20" max="20" width="16.59765625" customWidth="1"/>
    <col min="21" max="21" width="18.1328125" customWidth="1"/>
    <col min="22" max="22" width="8.59765625" customWidth="1"/>
    <col min="23" max="23" width="12.1328125" customWidth="1"/>
    <col min="24" max="24" width="24.1328125" customWidth="1"/>
    <col min="25" max="25" width="14.59765625" customWidth="1"/>
    <col min="26" max="26" width="8.3984375" bestFit="1" customWidth="1"/>
    <col min="27" max="27" width="15.3984375" customWidth="1"/>
    <col min="28" max="28" width="16.1328125" customWidth="1"/>
    <col min="29" max="29" width="17.3984375" customWidth="1"/>
  </cols>
  <sheetData>
    <row r="1" spans="2:21" ht="3" customHeight="1" thickBot="1" x14ac:dyDescent="0.4"/>
    <row r="2" spans="2:21" ht="12" customHeight="1" x14ac:dyDescent="0.35">
      <c r="B2" s="1823"/>
      <c r="C2" s="1824"/>
      <c r="D2" s="1825"/>
      <c r="E2" s="1830" t="s">
        <v>1462</v>
      </c>
      <c r="F2" s="1831"/>
      <c r="G2" s="1831"/>
      <c r="H2" s="1831"/>
      <c r="I2" s="1831"/>
      <c r="J2" s="1831"/>
      <c r="K2" s="1831"/>
      <c r="L2" s="1832"/>
      <c r="M2" s="1842" t="s">
        <v>1</v>
      </c>
      <c r="N2" s="1843"/>
      <c r="O2" s="1833">
        <f>CÁLCULOS!O1</f>
        <v>45638</v>
      </c>
      <c r="P2" s="1833"/>
      <c r="Q2" s="1834"/>
      <c r="S2" s="627" t="s">
        <v>10</v>
      </c>
      <c r="U2" t="s">
        <v>1047</v>
      </c>
    </row>
    <row r="3" spans="2:21" ht="12" customHeight="1" x14ac:dyDescent="0.35">
      <c r="B3" s="1826"/>
      <c r="C3" s="1537"/>
      <c r="D3" s="1538"/>
      <c r="E3" s="1333"/>
      <c r="F3" s="1334"/>
      <c r="G3" s="1334"/>
      <c r="H3" s="1334"/>
      <c r="I3" s="1334"/>
      <c r="J3" s="1334"/>
      <c r="K3" s="1334"/>
      <c r="L3" s="1335"/>
      <c r="M3" s="1844" t="s">
        <v>3</v>
      </c>
      <c r="N3" s="1845"/>
      <c r="O3" s="1835">
        <f>CÁLCULOS!O2</f>
        <v>3</v>
      </c>
      <c r="P3" s="1835"/>
      <c r="Q3" s="1836"/>
      <c r="U3" t="s">
        <v>1050</v>
      </c>
    </row>
    <row r="4" spans="2:21" ht="12" customHeight="1" x14ac:dyDescent="0.35">
      <c r="B4" s="1826"/>
      <c r="C4" s="1537"/>
      <c r="D4" s="1538"/>
      <c r="E4" s="985" t="s">
        <v>5</v>
      </c>
      <c r="F4" s="1500" t="str">
        <f>CÁLCULOS!F3</f>
        <v>Passarelli</v>
      </c>
      <c r="G4" s="1500"/>
      <c r="H4" s="1500"/>
      <c r="I4" s="1500"/>
      <c r="J4" s="1500"/>
      <c r="K4" s="1500"/>
      <c r="L4" s="1501"/>
      <c r="M4" s="1373" t="s">
        <v>844</v>
      </c>
      <c r="N4" s="1377"/>
      <c r="O4" s="1377"/>
      <c r="P4" s="1377"/>
      <c r="Q4" s="1380"/>
    </row>
    <row r="5" spans="2:21" ht="12" customHeight="1" thickBot="1" x14ac:dyDescent="0.4">
      <c r="B5" s="1827"/>
      <c r="C5" s="1828"/>
      <c r="D5" s="1829"/>
      <c r="E5" s="1194" t="s">
        <v>7</v>
      </c>
      <c r="F5" s="1846" t="str">
        <f>CÁLCULOS!F4</f>
        <v>12 tqs Nereda</v>
      </c>
      <c r="G5" s="1846"/>
      <c r="H5" s="1846"/>
      <c r="I5" s="1846"/>
      <c r="J5" s="1846"/>
      <c r="K5" s="1846"/>
      <c r="L5" s="1847"/>
      <c r="M5" s="1837" t="str">
        <f>CÁLCULOS!M4&amp;" - "&amp;ENTRADAS!P4</f>
        <v>São Paulo - Tatuapé - SP</v>
      </c>
      <c r="N5" s="1838"/>
      <c r="O5" s="1838"/>
      <c r="P5" s="1838"/>
      <c r="Q5" s="1839"/>
    </row>
    <row r="6" spans="2:21" ht="3" customHeight="1" x14ac:dyDescent="0.35">
      <c r="B6" s="1"/>
      <c r="C6" s="1"/>
      <c r="D6" s="1"/>
      <c r="E6" s="818"/>
      <c r="F6" s="977"/>
      <c r="G6" s="977"/>
      <c r="H6" s="977"/>
      <c r="I6" s="977"/>
      <c r="J6" s="977"/>
      <c r="K6" s="977"/>
      <c r="L6" s="977"/>
      <c r="M6" s="131"/>
      <c r="N6" s="131"/>
      <c r="O6" s="131"/>
      <c r="P6" s="131"/>
    </row>
    <row r="7" spans="2:21" ht="4.5" customHeight="1" thickBot="1" x14ac:dyDescent="0.4">
      <c r="B7" s="1"/>
      <c r="C7" s="1"/>
      <c r="D7" s="818"/>
      <c r="E7" s="977"/>
      <c r="F7" s="977"/>
      <c r="G7" s="977"/>
      <c r="H7" s="977"/>
      <c r="I7" s="977"/>
      <c r="J7" s="977"/>
      <c r="K7" s="131"/>
      <c r="L7" s="131"/>
    </row>
    <row r="8" spans="2:21" ht="8.25" customHeight="1" x14ac:dyDescent="0.35">
      <c r="B8" s="92"/>
      <c r="C8" s="93"/>
      <c r="D8" s="1195"/>
      <c r="E8" s="1196"/>
      <c r="F8" s="1196"/>
      <c r="G8" s="1196"/>
      <c r="H8" s="1196"/>
      <c r="I8" s="1196"/>
      <c r="J8" s="1196"/>
      <c r="K8" s="137"/>
      <c r="L8" s="137"/>
      <c r="M8" s="104"/>
      <c r="N8" s="104"/>
      <c r="O8" s="104"/>
      <c r="P8" s="104"/>
      <c r="Q8" s="105"/>
    </row>
    <row r="9" spans="2:21" ht="14.25" customHeight="1" x14ac:dyDescent="0.4">
      <c r="B9" s="94"/>
      <c r="C9" s="1817" t="s">
        <v>1463</v>
      </c>
      <c r="D9" s="1818"/>
      <c r="E9" s="1818"/>
      <c r="F9" s="1818"/>
      <c r="G9" s="83"/>
      <c r="H9" s="1856" t="s">
        <v>1464</v>
      </c>
      <c r="I9" s="1856"/>
      <c r="J9" s="1856"/>
      <c r="K9" s="1856"/>
      <c r="L9" s="1856"/>
      <c r="M9" s="1856"/>
      <c r="N9" s="1856"/>
      <c r="O9" s="1856"/>
      <c r="P9" s="790"/>
      <c r="Q9" s="107"/>
      <c r="S9" s="628" t="s">
        <v>1465</v>
      </c>
      <c r="T9" s="1259">
        <f ca="1">IF(S17&lt;&gt;0,(INSUMOS!R67+INSUMOS!R69+INSUMOS!R71+INSUMOS!R73+INSUMOS!R75)/ENTRADAS!F22*S17,(INSUMOS!R67+INSUMOS!R69+INSUMOS!R71+INSUMOS!R73+INSUMOS!R75))</f>
        <v>2709516</v>
      </c>
    </row>
    <row r="10" spans="2:21" ht="3" customHeight="1" x14ac:dyDescent="0.35">
      <c r="B10" s="94"/>
      <c r="C10" s="132"/>
      <c r="D10" s="132"/>
      <c r="E10" s="132"/>
      <c r="F10" s="132"/>
      <c r="G10" s="109"/>
      <c r="H10" s="627"/>
      <c r="I10" s="627"/>
      <c r="Q10" s="107"/>
      <c r="T10" s="4"/>
    </row>
    <row r="11" spans="2:21" ht="14.25" customHeight="1" x14ac:dyDescent="0.35">
      <c r="B11" s="94"/>
      <c r="C11" s="1318" t="s">
        <v>1466</v>
      </c>
      <c r="D11" s="1319"/>
      <c r="E11" s="1400"/>
      <c r="F11" s="627"/>
      <c r="G11" s="1318" t="s">
        <v>1467</v>
      </c>
      <c r="H11" s="1319"/>
      <c r="I11" s="1319"/>
      <c r="J11" s="1400"/>
      <c r="K11" s="627"/>
      <c r="L11" s="1318" t="s">
        <v>1468</v>
      </c>
      <c r="M11" s="1319"/>
      <c r="N11" s="1319"/>
      <c r="O11" s="1319"/>
      <c r="P11" s="1400"/>
      <c r="Q11" s="1261"/>
      <c r="S11" s="633" t="s">
        <v>1469</v>
      </c>
      <c r="T11" s="791">
        <f>IF(S17&lt;&gt;0,INSUMOS!Z275/ENTRADAS!F22*FECHAMENTO!S17,INSUMOS!Z275)</f>
        <v>0</v>
      </c>
    </row>
    <row r="12" spans="2:21" x14ac:dyDescent="0.35">
      <c r="B12" s="106"/>
      <c r="C12" s="1852" t="str">
        <f>IF(P9="X",(E12-T9-T11),"")</f>
        <v/>
      </c>
      <c r="D12" s="1853"/>
      <c r="E12" s="1262">
        <f ca="1">IF(S17&lt;&gt;0,((INSUMOS!R67+INSUMOS!R69+INSUMOS!R71+INSUMOS!R73+INSUMOS!R75)+INSUMOS!Q174+INSUMOS!Q195+INSUMOS!Q230+INSUMOS!Q236+INSUMOS!Q243+INSUMOS!Q253+INSUMOS!Q275)/ENTRADAS!F22*FECHAMENTO!S17,(INSUMOS!R67+INSUMOS!R69+INSUMOS!R71+INSUMOS!R73+INSUMOS!R75)+INSUMOS!Q174+INSUMOS!Q195+INSUMOS!Q230+INSUMOS!Q236+INSUMOS!Q243+INSUMOS!Q253+INSUMOS!Q275)</f>
        <v>10824922.657496395</v>
      </c>
      <c r="F12" s="627"/>
      <c r="G12" s="1852" t="str">
        <f>IF(P9="x",(I12+T9+T11),"")</f>
        <v/>
      </c>
      <c r="H12" s="1853"/>
      <c r="I12" s="1809">
        <f ca="1">IF(S17&lt;&gt;0,(INSUMOS!Q78-(INSUMOS!R67+INSUMOS!R69+INSUMOS!R71+INSUMOS!R73+INSUMOS!R75)+INSUMOS!Q99+INSUMOS!Q107+INSUMOS!Q119+INSUMOS!Q137+INSUMOS!Q183+INSUMOS!Q214+INSUMOS!Q276+INSUMOS!R257+INSUMOS!R258)/ENTRADAS!F22*FECHAMENTO!S17,(INSUMOS!Q78-(INSUMOS!R67+INSUMOS!R69+INSUMOS!R71+INSUMOS!R73+INSUMOS!R75)+INSUMOS!Q99+INSUMOS!Q107+INSUMOS!Q119+INSUMOS!Q137+INSUMOS!Q183+INSUMOS!Q214+INSUMOS!Q276+INSUMOS!R257+INSUMOS!R258))</f>
        <v>20884875.082440004</v>
      </c>
      <c r="J12" s="1810"/>
      <c r="K12" s="627"/>
      <c r="L12" s="1134"/>
      <c r="M12" s="1010"/>
      <c r="N12" s="1840">
        <f ca="1">IF(P9&lt;&gt;0,C12+G12,E12+I12)</f>
        <v>31709797.739936396</v>
      </c>
      <c r="O12" s="1840"/>
      <c r="P12" s="1841"/>
      <c r="Q12" s="1261"/>
    </row>
    <row r="13" spans="2:21" x14ac:dyDescent="0.35">
      <c r="B13" s="106"/>
      <c r="C13" s="1373" t="s">
        <v>1470</v>
      </c>
      <c r="D13" s="1377"/>
      <c r="E13" s="1263">
        <f ca="1">IF(E12=0,0,E12/N12)</f>
        <v>0.34137469895820621</v>
      </c>
      <c r="F13" s="627"/>
      <c r="G13" s="1373" t="s">
        <v>1470</v>
      </c>
      <c r="H13" s="1377"/>
      <c r="I13" s="1374"/>
      <c r="J13" s="1263">
        <f ca="1">IF(I12=0,0,I12/N12)</f>
        <v>0.65862530104179384</v>
      </c>
      <c r="K13" s="627"/>
      <c r="L13" s="1471"/>
      <c r="M13" s="1472"/>
      <c r="N13" s="1472"/>
      <c r="O13" s="1472"/>
      <c r="P13" s="1264"/>
      <c r="Q13" s="1261"/>
      <c r="S13" s="627" t="s">
        <v>1471</v>
      </c>
    </row>
    <row r="14" spans="2:21" ht="3" customHeight="1" thickBot="1" x14ac:dyDescent="0.4">
      <c r="B14" s="110"/>
      <c r="C14" s="1256"/>
      <c r="D14" s="1256"/>
      <c r="E14" s="1265"/>
      <c r="F14" s="1266"/>
      <c r="G14" s="1256"/>
      <c r="H14" s="1256"/>
      <c r="I14" s="1256"/>
      <c r="J14" s="1265"/>
      <c r="K14" s="1266"/>
      <c r="L14" s="1256"/>
      <c r="M14" s="1256"/>
      <c r="N14" s="1256"/>
      <c r="O14" s="1256"/>
      <c r="P14" s="1267"/>
      <c r="Q14" s="1268"/>
    </row>
    <row r="15" spans="2:21" ht="4.5" customHeight="1" thickBot="1" x14ac:dyDescent="0.4">
      <c r="B15" s="1"/>
      <c r="C15" s="634"/>
      <c r="D15" s="818"/>
      <c r="E15" s="977"/>
      <c r="F15" s="977"/>
      <c r="G15" s="977"/>
      <c r="H15" s="977"/>
      <c r="I15" s="977"/>
      <c r="J15" s="977"/>
      <c r="K15" s="734"/>
      <c r="L15" s="734"/>
      <c r="M15" s="627"/>
      <c r="N15" s="627"/>
      <c r="O15" s="627"/>
      <c r="P15" s="627"/>
      <c r="Q15" s="627"/>
    </row>
    <row r="16" spans="2:21" ht="3" customHeight="1" x14ac:dyDescent="0.35">
      <c r="B16" s="92"/>
      <c r="C16" s="1269"/>
      <c r="D16" s="1195"/>
      <c r="E16" s="1196"/>
      <c r="F16" s="1196"/>
      <c r="G16" s="1196"/>
      <c r="H16" s="1196"/>
      <c r="I16" s="1196"/>
      <c r="J16" s="1196"/>
      <c r="K16" s="1270"/>
      <c r="L16" s="1270"/>
      <c r="M16" s="1271"/>
      <c r="N16" s="1271"/>
      <c r="O16" s="1271"/>
      <c r="P16" s="1271"/>
      <c r="Q16" s="1272"/>
    </row>
    <row r="17" spans="2:21" x14ac:dyDescent="0.35">
      <c r="B17" s="106"/>
      <c r="C17" s="1848" t="s">
        <v>1472</v>
      </c>
      <c r="D17" s="1849"/>
      <c r="E17" s="1849"/>
      <c r="F17" s="1849"/>
      <c r="G17" s="792">
        <v>23</v>
      </c>
      <c r="H17" s="248" t="str">
        <f>IF(G17=0,"  FALTA PERCENTUAL DE LUCRO !","%")</f>
        <v>%</v>
      </c>
      <c r="I17" s="248" t="str">
        <f>IF(W62&lt;&gt;0,"alterado o lucro sobre faturamento direto PREBMOL para  "&amp;W62&amp;"%",0)</f>
        <v>alterado o lucro sobre faturamento direto PREBMOL para  21,57945763%</v>
      </c>
      <c r="J17" s="248"/>
      <c r="K17" s="248"/>
      <c r="L17" s="248"/>
      <c r="M17" s="248"/>
      <c r="N17" s="248"/>
      <c r="O17" s="248"/>
      <c r="P17" s="249"/>
      <c r="Q17" s="1261"/>
      <c r="S17" s="32">
        <f>IF(ENTRADAS!F21&gt;4,ENTRADAS!F21,0)</f>
        <v>12</v>
      </c>
      <c r="T17" s="627" t="s">
        <v>1473</v>
      </c>
    </row>
    <row r="18" spans="2:21" ht="3.75" customHeight="1" x14ac:dyDescent="0.35">
      <c r="B18" s="108"/>
      <c r="C18" s="1010"/>
      <c r="D18" s="627"/>
      <c r="E18" s="627"/>
      <c r="F18" s="627"/>
      <c r="G18" s="627"/>
      <c r="H18" s="627"/>
      <c r="I18" s="627"/>
      <c r="J18" s="627"/>
      <c r="K18" s="627"/>
      <c r="L18" s="627"/>
      <c r="M18" s="627"/>
      <c r="N18" s="627"/>
      <c r="O18" s="627"/>
      <c r="P18" s="627"/>
      <c r="Q18" s="1261"/>
    </row>
    <row r="19" spans="2:21" ht="17.25" customHeight="1" x14ac:dyDescent="0.35">
      <c r="B19" s="108"/>
      <c r="C19" s="1318" t="str">
        <f>IF(P9="x","LUCRO NA FABRICAÇÃO","FABRICAÇÃO")</f>
        <v>FABRICAÇÃO</v>
      </c>
      <c r="D19" s="1319"/>
      <c r="E19" s="1400"/>
      <c r="F19" s="627"/>
      <c r="G19" s="1318" t="str">
        <f>IF(P9="x","LUCRO NA MONTAGEM","MONTAGEM")</f>
        <v>MONTAGEM</v>
      </c>
      <c r="H19" s="1319"/>
      <c r="I19" s="1319"/>
      <c r="J19" s="1400"/>
      <c r="K19" s="627"/>
      <c r="L19" s="1318" t="str">
        <f>IF(P9="x","LUCRO NA FABRICAÇÃO + MONTAGEM","FABRICAÇÃO + MONTAGEM")</f>
        <v>FABRICAÇÃO + MONTAGEM</v>
      </c>
      <c r="M19" s="1319"/>
      <c r="N19" s="1319"/>
      <c r="O19" s="1319"/>
      <c r="P19" s="1400"/>
      <c r="Q19" s="1261"/>
      <c r="S19" s="627" t="s">
        <v>1474</v>
      </c>
    </row>
    <row r="20" spans="2:21" ht="12.75" customHeight="1" x14ac:dyDescent="0.35">
      <c r="B20" s="106"/>
      <c r="C20" s="1854" t="str">
        <f>IF(P9="x",C12*G17/100,"LUCRO =")</f>
        <v>LUCRO =</v>
      </c>
      <c r="D20" s="1855"/>
      <c r="E20" s="1262">
        <f ca="1">(E12*G17/100)-(0*(G17-W62)/100)</f>
        <v>2489732.2112241704</v>
      </c>
      <c r="F20" s="627"/>
      <c r="G20" s="1852" t="str">
        <f>IF(P9="x",G12*G17/100,"LUCRO =")</f>
        <v>LUCRO =</v>
      </c>
      <c r="H20" s="1853"/>
      <c r="I20" s="1809">
        <f ca="1">(I12*G17/100)-(AB85*(G17-W62)/100)</f>
        <v>4611950.9876941787</v>
      </c>
      <c r="J20" s="1810"/>
      <c r="K20" s="627"/>
      <c r="L20" s="741" t="s">
        <v>1475</v>
      </c>
      <c r="M20" s="1163"/>
      <c r="N20" s="1809">
        <f ca="1">IF(P9&lt;&gt;0,C20+G20,E20+I20)</f>
        <v>7101683.1989183491</v>
      </c>
      <c r="O20" s="1809"/>
      <c r="P20" s="1810"/>
      <c r="Q20" s="1261"/>
      <c r="S20" s="626" t="s">
        <v>35</v>
      </c>
      <c r="T20" s="627" t="s">
        <v>52</v>
      </c>
    </row>
    <row r="21" spans="2:21" ht="3" customHeight="1" thickBot="1" x14ac:dyDescent="0.4">
      <c r="B21" s="110"/>
      <c r="C21" s="1266"/>
      <c r="D21" s="1266"/>
      <c r="E21" s="1266"/>
      <c r="F21" s="1266"/>
      <c r="G21" s="1266"/>
      <c r="H21" s="1266"/>
      <c r="I21" s="1266"/>
      <c r="J21" s="1266"/>
      <c r="K21" s="1266"/>
      <c r="L21" s="1266"/>
      <c r="M21" s="1266"/>
      <c r="N21" s="1266"/>
      <c r="O21" s="1266"/>
      <c r="P21" s="1266"/>
      <c r="Q21" s="1268"/>
    </row>
    <row r="22" spans="2:21" ht="4.5" customHeight="1" thickBot="1" x14ac:dyDescent="0.4">
      <c r="B22" s="1"/>
      <c r="C22" s="634"/>
      <c r="D22" s="818"/>
      <c r="E22" s="977"/>
      <c r="F22" s="977"/>
      <c r="G22" s="977"/>
      <c r="H22" s="977"/>
      <c r="I22" s="977"/>
      <c r="J22" s="977"/>
      <c r="K22" s="734"/>
      <c r="L22" s="734"/>
      <c r="M22" s="627"/>
      <c r="N22" s="627"/>
      <c r="O22" s="627"/>
      <c r="P22" s="627"/>
      <c r="Q22" s="627"/>
    </row>
    <row r="23" spans="2:21" ht="3" customHeight="1" x14ac:dyDescent="0.35">
      <c r="B23" s="103"/>
      <c r="C23" s="1271"/>
      <c r="D23" s="1271"/>
      <c r="E23" s="1271"/>
      <c r="F23" s="1271"/>
      <c r="G23" s="1271"/>
      <c r="H23" s="1271"/>
      <c r="I23" s="1271"/>
      <c r="J23" s="1271"/>
      <c r="K23" s="1271"/>
      <c r="L23" s="1271"/>
      <c r="M23" s="1271"/>
      <c r="N23" s="1271"/>
      <c r="O23" s="1271"/>
      <c r="P23" s="1271"/>
      <c r="Q23" s="1272"/>
    </row>
    <row r="24" spans="2:21" ht="12.75" customHeight="1" x14ac:dyDescent="0.35">
      <c r="B24" s="106"/>
      <c r="C24" s="1817" t="s">
        <v>1476</v>
      </c>
      <c r="D24" s="1818"/>
      <c r="E24" s="1818"/>
      <c r="F24" s="1818"/>
      <c r="G24" s="646"/>
      <c r="H24" s="646"/>
      <c r="I24" s="646"/>
      <c r="J24" s="646"/>
      <c r="K24" s="646"/>
      <c r="L24" s="646"/>
      <c r="M24" s="646"/>
      <c r="N24" s="646"/>
      <c r="O24" s="646"/>
      <c r="P24" s="629"/>
      <c r="Q24" s="1261"/>
      <c r="S24" s="125"/>
      <c r="T24" s="125"/>
    </row>
    <row r="25" spans="2:21" ht="3" customHeight="1" x14ac:dyDescent="0.35">
      <c r="B25" s="106"/>
      <c r="C25" s="627"/>
      <c r="D25" s="627"/>
      <c r="E25" s="627"/>
      <c r="F25" s="627"/>
      <c r="G25" s="627"/>
      <c r="H25" s="627"/>
      <c r="I25" s="627"/>
      <c r="J25" s="627"/>
      <c r="K25" s="627"/>
      <c r="L25" s="627"/>
      <c r="M25" s="627"/>
      <c r="N25" s="627"/>
      <c r="O25" s="627"/>
      <c r="P25" s="627"/>
      <c r="Q25" s="1261"/>
    </row>
    <row r="26" spans="2:21" ht="12.75" customHeight="1" x14ac:dyDescent="0.35">
      <c r="B26" s="106"/>
      <c r="C26" s="1318" t="s">
        <v>1466</v>
      </c>
      <c r="D26" s="1319"/>
      <c r="E26" s="1400"/>
      <c r="F26" s="627"/>
      <c r="G26" s="1318" t="s">
        <v>1467</v>
      </c>
      <c r="H26" s="1319"/>
      <c r="I26" s="1319"/>
      <c r="J26" s="1400"/>
      <c r="K26" s="627"/>
      <c r="L26" s="1318" t="s">
        <v>1468</v>
      </c>
      <c r="M26" s="1319"/>
      <c r="N26" s="1319"/>
      <c r="O26" s="1319"/>
      <c r="P26" s="1400"/>
      <c r="Q26" s="1261"/>
      <c r="S26" s="1850" t="s">
        <v>1477</v>
      </c>
      <c r="T26" s="1851"/>
      <c r="U26" s="1425"/>
    </row>
    <row r="27" spans="2:21" ht="12.75" customHeight="1" x14ac:dyDescent="0.35">
      <c r="B27" s="106"/>
      <c r="C27" s="1852" t="str">
        <f>IF(P9="x",C12+C20,"")</f>
        <v/>
      </c>
      <c r="D27" s="1472"/>
      <c r="E27" s="1262">
        <f ca="1">E12+E20</f>
        <v>13314654.868720565</v>
      </c>
      <c r="F27" s="627"/>
      <c r="G27" s="1852" t="str">
        <f>IF(P9="x",G12+G20,"")</f>
        <v/>
      </c>
      <c r="H27" s="1472"/>
      <c r="I27" s="1809">
        <f ca="1">I12+I20</f>
        <v>25496826.070134182</v>
      </c>
      <c r="J27" s="1810"/>
      <c r="K27" s="627"/>
      <c r="L27" s="741"/>
      <c r="M27" s="1163"/>
      <c r="N27" s="1809">
        <f ca="1">N12+N20</f>
        <v>38811480.938854747</v>
      </c>
      <c r="O27" s="1809"/>
      <c r="P27" s="1810"/>
      <c r="Q27" s="1261"/>
      <c r="S27" s="817" t="s">
        <v>1478</v>
      </c>
      <c r="T27" s="818"/>
      <c r="U27" s="820">
        <f ca="1">((CÁLCULOS!G701/30)*(V51/(3*12)))/O38</f>
        <v>0.17908719382252694</v>
      </c>
    </row>
    <row r="28" spans="2:21" ht="4.5" customHeight="1" thickBot="1" x14ac:dyDescent="0.4">
      <c r="B28" s="110"/>
      <c r="C28" s="1256"/>
      <c r="D28" s="1256"/>
      <c r="E28" s="1273"/>
      <c r="F28" s="1266"/>
      <c r="G28" s="1256"/>
      <c r="H28" s="1256"/>
      <c r="I28" s="1274"/>
      <c r="J28" s="1274"/>
      <c r="K28" s="1266"/>
      <c r="L28" s="1256"/>
      <c r="M28" s="1256"/>
      <c r="N28" s="1274"/>
      <c r="O28" s="1274"/>
      <c r="P28" s="1274"/>
      <c r="Q28" s="1268"/>
      <c r="S28" s="817"/>
      <c r="T28" s="818"/>
      <c r="U28" s="819"/>
    </row>
    <row r="29" spans="2:21" ht="4.5" customHeight="1" thickBot="1" x14ac:dyDescent="0.4">
      <c r="B29" s="1"/>
      <c r="C29" s="634"/>
      <c r="D29" s="818"/>
      <c r="E29" s="977"/>
      <c r="F29" s="977"/>
      <c r="G29" s="977"/>
      <c r="H29" s="977"/>
      <c r="I29" s="977"/>
      <c r="J29" s="977"/>
      <c r="K29" s="734"/>
      <c r="L29" s="734"/>
      <c r="M29" s="627"/>
      <c r="N29" s="627"/>
      <c r="O29" s="627"/>
      <c r="P29" s="627"/>
      <c r="Q29" s="627"/>
      <c r="S29" s="817"/>
      <c r="T29" s="818"/>
      <c r="U29" s="819"/>
    </row>
    <row r="30" spans="2:21" ht="3" customHeight="1" x14ac:dyDescent="0.35">
      <c r="B30" s="103"/>
      <c r="C30" s="1271"/>
      <c r="D30" s="1271"/>
      <c r="E30" s="1271"/>
      <c r="F30" s="1271"/>
      <c r="G30" s="1271"/>
      <c r="H30" s="1271"/>
      <c r="I30" s="1271"/>
      <c r="J30" s="1271"/>
      <c r="K30" s="1271"/>
      <c r="L30" s="1271"/>
      <c r="M30" s="1271"/>
      <c r="N30" s="1271"/>
      <c r="O30" s="1271"/>
      <c r="P30" s="1271"/>
      <c r="Q30" s="1272"/>
      <c r="S30" s="821"/>
      <c r="T30" s="822"/>
      <c r="U30" s="823"/>
    </row>
    <row r="31" spans="2:21" ht="14.1" customHeight="1" x14ac:dyDescent="0.35">
      <c r="B31" s="106"/>
      <c r="C31" s="1758" t="s">
        <v>1479</v>
      </c>
      <c r="D31" s="1770"/>
      <c r="E31" s="1770"/>
      <c r="F31" s="1770"/>
      <c r="G31" s="646">
        <v>5</v>
      </c>
      <c r="H31" s="646" t="s">
        <v>130</v>
      </c>
      <c r="I31" s="646"/>
      <c r="J31" s="646"/>
      <c r="K31" s="646"/>
      <c r="L31" s="646"/>
      <c r="M31" s="646"/>
      <c r="N31" s="646"/>
      <c r="O31" s="646"/>
      <c r="P31" s="629"/>
      <c r="Q31" s="1261"/>
      <c r="S31" s="1850" t="s">
        <v>1480</v>
      </c>
      <c r="T31" s="1851"/>
      <c r="U31" s="1425"/>
    </row>
    <row r="32" spans="2:21" ht="3" customHeight="1" x14ac:dyDescent="0.35">
      <c r="B32" s="106"/>
      <c r="C32" s="1045"/>
      <c r="D32" s="1255"/>
      <c r="E32" s="1255"/>
      <c r="F32" s="652"/>
      <c r="G32" s="652"/>
      <c r="H32" s="652"/>
      <c r="I32" s="652"/>
      <c r="J32" s="652"/>
      <c r="K32" s="627"/>
      <c r="L32" s="652"/>
      <c r="M32" s="652"/>
      <c r="N32" s="652"/>
      <c r="O32" s="652"/>
      <c r="P32" s="627"/>
      <c r="Q32" s="1261"/>
      <c r="S32" s="1483"/>
      <c r="T32" s="1484"/>
      <c r="U32" s="1485"/>
    </row>
    <row r="33" spans="2:24" ht="14.1" customHeight="1" x14ac:dyDescent="0.35">
      <c r="B33" s="106"/>
      <c r="C33" s="1458">
        <f>IF(S20="x",0,"REFERENTE À FABRICAÇÃO")</f>
        <v>0</v>
      </c>
      <c r="D33" s="1462"/>
      <c r="E33" s="1459"/>
      <c r="F33" s="627"/>
      <c r="G33" s="1458" t="str">
        <f>IF(S20="x","REFERENTE À FABRICAÇÃO + LUCRO",0)</f>
        <v>REFERENTE À FABRICAÇÃO + LUCRO</v>
      </c>
      <c r="H33" s="1462"/>
      <c r="I33" s="1462"/>
      <c r="J33" s="1459"/>
      <c r="K33" s="627"/>
      <c r="L33" s="1458" t="s">
        <v>1481</v>
      </c>
      <c r="M33" s="1462"/>
      <c r="N33" s="1462"/>
      <c r="O33" s="1462"/>
      <c r="P33" s="1459"/>
      <c r="Q33" s="1261"/>
      <c r="S33" s="1483"/>
      <c r="T33" s="1484"/>
      <c r="U33" s="1485"/>
    </row>
    <row r="34" spans="2:24" x14ac:dyDescent="0.35">
      <c r="B34" s="106"/>
      <c r="C34" s="1275"/>
      <c r="D34" s="1804"/>
      <c r="E34" s="1805"/>
      <c r="F34" s="627"/>
      <c r="G34" s="637"/>
      <c r="H34" s="1277"/>
      <c r="I34" s="1821">
        <f ca="1">IF(S17&lt;&gt;0,IF(S20="X",((E12-((INSUMOS!R67+INSUMOS!R69+INSUMOS!R71+INSUMOS!R73+INSUMOS!R75)+INSUMOS!Z275)/ENTRADAS!F22*FECHAMENTO!S17)*(1+G17/100))*G31/100,((E12-((INSUMOS!R67+INSUMOS!R69+INSUMOS!R71+INSUMOS!R73+INSUMOS!R75)+INSUMOS!Z275)/ENTRADAS!F22*FECHAMENTO!S17)*(1+G17/100))*G31/100),IF(S20="X",((E12-((INSUMOS!R67+INSUMOS!R69+INSUMOS!R71+INSUMOS!R73+INSUMOS!R75)+INSUMOS!Z275))*(1+G17/100))*G31/100,((E12-((INSUMOS!R67+INSUMOS!R69+INSUMOS!R71+INSUMOS!R73+INSUMOS!R75)+INSUMOS!Z275))*(1+G17/100))*G31/100))</f>
        <v>499097.50943602831</v>
      </c>
      <c r="J34" s="1822"/>
      <c r="K34" s="627"/>
      <c r="L34" s="637"/>
      <c r="M34" s="749"/>
      <c r="N34" s="1819">
        <f ca="1">D34+I34</f>
        <v>499097.50943602831</v>
      </c>
      <c r="O34" s="1819"/>
      <c r="P34" s="1820"/>
      <c r="Q34" s="1261"/>
      <c r="S34" s="637" t="s">
        <v>1478</v>
      </c>
      <c r="T34" s="3"/>
      <c r="U34" s="694">
        <v>0.15</v>
      </c>
      <c r="X34" s="125"/>
    </row>
    <row r="35" spans="2:24" ht="3" customHeight="1" thickBot="1" x14ac:dyDescent="0.4">
      <c r="B35" s="110"/>
      <c r="C35" s="1278"/>
      <c r="D35" s="1279"/>
      <c r="E35" s="1279"/>
      <c r="F35" s="1266"/>
      <c r="G35" s="1266"/>
      <c r="H35" s="1278"/>
      <c r="I35" s="1280"/>
      <c r="J35" s="1280"/>
      <c r="K35" s="1266"/>
      <c r="L35" s="1266"/>
      <c r="M35" s="1266"/>
      <c r="N35" s="1281"/>
      <c r="O35" s="1281"/>
      <c r="P35" s="1281"/>
      <c r="Q35" s="1268"/>
    </row>
    <row r="36" spans="2:24" ht="4.5" customHeight="1" thickBot="1" x14ac:dyDescent="0.4">
      <c r="B36" s="1"/>
      <c r="C36" s="634"/>
      <c r="D36" s="818"/>
      <c r="E36" s="977"/>
      <c r="F36" s="977"/>
      <c r="G36" s="977"/>
      <c r="H36" s="977"/>
      <c r="I36" s="977"/>
      <c r="J36" s="977"/>
      <c r="K36" s="734"/>
      <c r="L36" s="734"/>
      <c r="M36" s="627"/>
      <c r="N36" s="627"/>
      <c r="O36" s="627"/>
      <c r="P36" s="627"/>
      <c r="Q36" s="627"/>
    </row>
    <row r="37" spans="2:24" ht="3" customHeight="1" x14ac:dyDescent="0.35">
      <c r="B37" s="103"/>
      <c r="C37" s="1271"/>
      <c r="D37" s="1271"/>
      <c r="E37" s="1271"/>
      <c r="F37" s="1271"/>
      <c r="G37" s="1271"/>
      <c r="H37" s="1271"/>
      <c r="I37" s="1271"/>
      <c r="J37" s="1271"/>
      <c r="K37" s="1271"/>
      <c r="L37" s="1271"/>
      <c r="M37" s="1271"/>
      <c r="N37" s="1271"/>
      <c r="O37" s="1271"/>
      <c r="P37" s="1271"/>
      <c r="Q37" s="1272"/>
      <c r="S37" s="178"/>
      <c r="T37" s="178"/>
      <c r="U37" s="178"/>
      <c r="V37" s="178"/>
      <c r="W37" s="178"/>
    </row>
    <row r="38" spans="2:24" x14ac:dyDescent="0.35">
      <c r="B38" s="106"/>
      <c r="C38" s="1758" t="s">
        <v>1482</v>
      </c>
      <c r="D38" s="1770"/>
      <c r="E38" s="1282">
        <f ca="1">U53</f>
        <v>75.220710865561685</v>
      </c>
      <c r="F38" s="1283" t="s">
        <v>1483</v>
      </c>
      <c r="G38" s="646"/>
      <c r="H38" s="646"/>
      <c r="I38" s="629"/>
      <c r="J38" s="1489" t="s">
        <v>1484</v>
      </c>
      <c r="K38" s="1490"/>
      <c r="L38" s="1490"/>
      <c r="M38" s="1490"/>
      <c r="N38" s="1045"/>
      <c r="O38" s="1119">
        <f ca="1">IF(S17&lt;&gt;0,CÁLCULOS!N619/ENTRADAS!F22*FECHAMENTO!S17,CÁLCULOS!N619)</f>
        <v>2612.7303557100618</v>
      </c>
      <c r="P38" s="629" t="s">
        <v>31</v>
      </c>
      <c r="Q38" s="1261"/>
      <c r="S38" s="1197" t="s">
        <v>1485</v>
      </c>
      <c r="T38" s="179">
        <f ca="1">(INSUMOS!Q331+INSUMOS!Q356)*U34</f>
        <v>376356.08100000001</v>
      </c>
      <c r="U38" s="178"/>
      <c r="V38" s="178"/>
      <c r="W38" s="178"/>
    </row>
    <row r="39" spans="2:24" ht="3.75" customHeight="1" x14ac:dyDescent="0.35">
      <c r="B39" s="106"/>
      <c r="C39" s="627"/>
      <c r="D39" s="627"/>
      <c r="E39" s="627"/>
      <c r="F39" s="627"/>
      <c r="G39" s="627"/>
      <c r="H39" s="627"/>
      <c r="I39" s="627"/>
      <c r="J39" s="627"/>
      <c r="K39" s="627"/>
      <c r="L39" s="627"/>
      <c r="M39" s="627"/>
      <c r="N39" s="627"/>
      <c r="O39" s="627"/>
      <c r="P39" s="627"/>
      <c r="Q39" s="1261"/>
      <c r="S39" s="178"/>
      <c r="T39" s="178"/>
      <c r="U39" s="178"/>
      <c r="V39" s="178"/>
      <c r="W39" s="178"/>
    </row>
    <row r="40" spans="2:24" x14ac:dyDescent="0.35">
      <c r="B40" s="106"/>
      <c r="C40" s="1458" t="s">
        <v>1486</v>
      </c>
      <c r="D40" s="1462"/>
      <c r="E40" s="1459"/>
      <c r="F40" s="627"/>
      <c r="G40" s="1458" t="s">
        <v>1487</v>
      </c>
      <c r="H40" s="1462"/>
      <c r="I40" s="1462"/>
      <c r="J40" s="1459"/>
      <c r="K40" s="627"/>
      <c r="L40" s="1458" t="s">
        <v>1488</v>
      </c>
      <c r="M40" s="1462"/>
      <c r="N40" s="1462"/>
      <c r="O40" s="1462"/>
      <c r="P40" s="1459"/>
      <c r="Q40" s="1261"/>
      <c r="S40" s="178"/>
      <c r="T40" s="1197" t="s">
        <v>1489</v>
      </c>
      <c r="U40" s="178"/>
      <c r="V40" s="178"/>
      <c r="W40" s="178"/>
      <c r="X40" s="1258"/>
    </row>
    <row r="41" spans="2:24" x14ac:dyDescent="0.35">
      <c r="B41" s="106"/>
      <c r="C41" s="1275" t="s">
        <v>1490</v>
      </c>
      <c r="D41" s="1804"/>
      <c r="E41" s="1805"/>
      <c r="F41" s="1284"/>
      <c r="G41" s="1285"/>
      <c r="H41" s="1276"/>
      <c r="I41" s="1804">
        <f ca="1">(O38*J13*E38)+(O38*E38*E13)</f>
        <v>196531.43465654273</v>
      </c>
      <c r="J41" s="1805"/>
      <c r="K41" s="1284"/>
      <c r="L41" s="1285"/>
      <c r="M41" s="1276"/>
      <c r="N41" s="1804">
        <f ca="1">D41+I41</f>
        <v>196531.43465654273</v>
      </c>
      <c r="O41" s="1804"/>
      <c r="P41" s="1805"/>
      <c r="Q41" s="1261"/>
      <c r="S41" s="178"/>
      <c r="T41" s="1197" t="s">
        <v>1491</v>
      </c>
      <c r="U41" s="178"/>
      <c r="V41" s="178"/>
      <c r="W41" s="178"/>
      <c r="X41" s="1257"/>
    </row>
    <row r="42" spans="2:24" ht="3" customHeight="1" thickBot="1" x14ac:dyDescent="0.4">
      <c r="B42" s="110"/>
      <c r="C42" s="1278"/>
      <c r="D42" s="1279"/>
      <c r="E42" s="1279"/>
      <c r="F42" s="1279"/>
      <c r="G42" s="1279"/>
      <c r="H42" s="1279"/>
      <c r="I42" s="1279"/>
      <c r="J42" s="1279"/>
      <c r="K42" s="1279"/>
      <c r="L42" s="1279"/>
      <c r="M42" s="1279"/>
      <c r="N42" s="1279"/>
      <c r="O42" s="1279"/>
      <c r="P42" s="1279"/>
      <c r="Q42" s="1268"/>
      <c r="S42" s="178"/>
      <c r="T42" s="178"/>
      <c r="U42" s="178"/>
      <c r="V42" s="178"/>
      <c r="W42" s="178"/>
    </row>
    <row r="43" spans="2:24" ht="4.5" customHeight="1" thickBot="1" x14ac:dyDescent="0.4">
      <c r="B43" s="1"/>
      <c r="C43" s="634"/>
      <c r="D43" s="818"/>
      <c r="E43" s="977"/>
      <c r="F43" s="977"/>
      <c r="G43" s="977"/>
      <c r="H43" s="977"/>
      <c r="I43" s="977"/>
      <c r="J43" s="977"/>
      <c r="K43" s="734"/>
      <c r="L43" s="734"/>
      <c r="M43" s="627"/>
      <c r="N43" s="627"/>
      <c r="O43" s="627"/>
      <c r="P43" s="627"/>
      <c r="Q43" s="627"/>
    </row>
    <row r="44" spans="2:24" ht="3" customHeight="1" x14ac:dyDescent="0.35">
      <c r="B44" s="103"/>
      <c r="C44" s="1271"/>
      <c r="D44" s="1271"/>
      <c r="E44" s="1271"/>
      <c r="F44" s="1271"/>
      <c r="G44" s="1271"/>
      <c r="H44" s="1286"/>
      <c r="I44" s="1286"/>
      <c r="J44" s="1271"/>
      <c r="K44" s="1271"/>
      <c r="L44" s="1271"/>
      <c r="M44" s="1271"/>
      <c r="N44" s="1271"/>
      <c r="O44" s="1271"/>
      <c r="P44" s="1271"/>
      <c r="Q44" s="1272"/>
      <c r="S44" s="178"/>
      <c r="T44" s="178"/>
      <c r="U44" s="178"/>
      <c r="V44" s="178"/>
      <c r="W44" s="178"/>
    </row>
    <row r="45" spans="2:24" x14ac:dyDescent="0.35">
      <c r="B45" s="106"/>
      <c r="C45" s="1817" t="s">
        <v>1492</v>
      </c>
      <c r="D45" s="1818"/>
      <c r="E45" s="1818"/>
      <c r="F45" s="1818"/>
      <c r="G45" s="646"/>
      <c r="H45" s="646"/>
      <c r="I45" s="646"/>
      <c r="J45" s="646"/>
      <c r="K45" s="646"/>
      <c r="L45" s="646"/>
      <c r="M45" s="646"/>
      <c r="N45" s="646"/>
      <c r="O45" s="646"/>
      <c r="P45" s="629"/>
      <c r="Q45" s="1261"/>
      <c r="S45" s="178"/>
      <c r="T45" s="1197" t="s">
        <v>1493</v>
      </c>
      <c r="U45" s="178"/>
      <c r="V45" s="178"/>
      <c r="W45" s="178"/>
    </row>
    <row r="46" spans="2:24" ht="3.75" customHeight="1" x14ac:dyDescent="0.35">
      <c r="B46" s="106"/>
      <c r="C46" s="627"/>
      <c r="D46" s="627"/>
      <c r="E46" s="627"/>
      <c r="F46" s="627"/>
      <c r="G46" s="627"/>
      <c r="H46" s="627"/>
      <c r="I46" s="627"/>
      <c r="J46" s="627"/>
      <c r="K46" s="627"/>
      <c r="L46" s="627"/>
      <c r="M46" s="627"/>
      <c r="N46" s="627"/>
      <c r="O46" s="627"/>
      <c r="P46" s="627"/>
      <c r="Q46" s="1261"/>
      <c r="S46" s="178"/>
      <c r="T46" s="178"/>
      <c r="U46" s="178"/>
      <c r="V46" s="178"/>
      <c r="W46" s="178"/>
    </row>
    <row r="47" spans="2:24" x14ac:dyDescent="0.35">
      <c r="B47" s="106"/>
      <c r="C47" s="1458" t="s">
        <v>1494</v>
      </c>
      <c r="D47" s="1462"/>
      <c r="E47" s="1459"/>
      <c r="F47" s="627"/>
      <c r="G47" s="1458" t="s">
        <v>1495</v>
      </c>
      <c r="H47" s="1462"/>
      <c r="I47" s="1462"/>
      <c r="J47" s="1459"/>
      <c r="K47" s="627"/>
      <c r="L47" s="1458" t="s">
        <v>1496</v>
      </c>
      <c r="M47" s="1462"/>
      <c r="N47" s="1462"/>
      <c r="O47" s="1462"/>
      <c r="P47" s="1459"/>
      <c r="Q47" s="1261"/>
      <c r="S47" s="178"/>
      <c r="T47" s="1197" t="s">
        <v>1497</v>
      </c>
      <c r="U47" s="178"/>
      <c r="V47" s="178"/>
      <c r="W47" s="178"/>
      <c r="X47" s="125"/>
    </row>
    <row r="48" spans="2:24" x14ac:dyDescent="0.35">
      <c r="B48" s="106"/>
      <c r="C48" s="1287"/>
      <c r="D48" s="1804">
        <f ca="1">IF(P9&lt;&gt;0,(E27+D34+D41),E27+D34+D41)</f>
        <v>13314654.868720565</v>
      </c>
      <c r="E48" s="1805"/>
      <c r="F48" s="1284"/>
      <c r="G48" s="1285"/>
      <c r="H48" s="1276"/>
      <c r="I48" s="1804">
        <f ca="1">IF(P9&lt;&gt;0,(I27+I34+I41),I27+I34+I41)</f>
        <v>26192455.014226753</v>
      </c>
      <c r="J48" s="1805"/>
      <c r="K48" s="1284"/>
      <c r="L48" s="1285"/>
      <c r="M48" s="1276"/>
      <c r="N48" s="1804">
        <f ca="1">N27+N34+N41</f>
        <v>39507109.882947318</v>
      </c>
      <c r="O48" s="1804"/>
      <c r="P48" s="1805"/>
      <c r="Q48" s="1261"/>
      <c r="S48" s="178"/>
      <c r="T48" s="1197"/>
      <c r="U48" s="178"/>
      <c r="V48" s="178"/>
      <c r="W48" s="178"/>
    </row>
    <row r="49" spans="2:30" ht="3.75" customHeight="1" x14ac:dyDescent="0.35">
      <c r="B49" s="106"/>
      <c r="C49" s="627"/>
      <c r="D49" s="627"/>
      <c r="E49" s="627"/>
      <c r="F49" s="627"/>
      <c r="G49" s="627"/>
      <c r="H49" s="627"/>
      <c r="I49" s="627"/>
      <c r="J49" s="627"/>
      <c r="K49" s="627"/>
      <c r="L49" s="627"/>
      <c r="M49" s="627"/>
      <c r="N49" s="627"/>
      <c r="O49" s="627"/>
      <c r="P49" s="627"/>
      <c r="Q49" s="1261"/>
      <c r="S49" s="178"/>
      <c r="T49" s="178"/>
      <c r="U49" s="178"/>
      <c r="V49" s="178"/>
      <c r="W49" s="178"/>
    </row>
    <row r="50" spans="2:30" x14ac:dyDescent="0.35">
      <c r="B50" s="106"/>
      <c r="C50" s="633" t="s">
        <v>1498</v>
      </c>
      <c r="D50" s="646"/>
      <c r="E50" s="1288">
        <v>0.18</v>
      </c>
      <c r="F50" s="627"/>
      <c r="G50" s="636"/>
      <c r="H50" s="652" t="s">
        <v>1499</v>
      </c>
      <c r="I50" s="652"/>
      <c r="J50" s="652"/>
      <c r="K50" s="652"/>
      <c r="L50" s="652"/>
      <c r="M50" s="652"/>
      <c r="N50" s="652"/>
      <c r="O50" s="652"/>
      <c r="P50" s="987"/>
      <c r="Q50" s="1261"/>
      <c r="S50" s="178"/>
      <c r="T50" s="1197" t="s">
        <v>1500</v>
      </c>
      <c r="U50" s="178"/>
      <c r="V50" s="180">
        <f>90.5/28</f>
        <v>3.2321428571428572</v>
      </c>
      <c r="W50" s="178" t="s">
        <v>31</v>
      </c>
    </row>
    <row r="51" spans="2:30" x14ac:dyDescent="0.35">
      <c r="B51" s="106"/>
      <c r="C51" s="1289" t="s">
        <v>1501</v>
      </c>
      <c r="D51" s="1290"/>
      <c r="E51" s="1291">
        <f ca="1">(($D$48-L51)/(1-E50)-($D$48-L51))</f>
        <v>2922729.117524026</v>
      </c>
      <c r="F51" s="627"/>
      <c r="G51" s="988"/>
      <c r="H51" s="633" t="s">
        <v>1502</v>
      </c>
      <c r="I51" s="646"/>
      <c r="J51" s="646"/>
      <c r="K51" s="646"/>
      <c r="L51" s="1761">
        <f>T62</f>
        <v>0</v>
      </c>
      <c r="M51" s="1761"/>
      <c r="N51" s="1762"/>
      <c r="O51" s="627"/>
      <c r="P51" s="719"/>
      <c r="Q51" s="1261"/>
      <c r="S51" s="178"/>
      <c r="T51" s="1197" t="s">
        <v>1503</v>
      </c>
      <c r="U51" s="178"/>
      <c r="V51" s="180">
        <f>1548*V50</f>
        <v>5003.3571428571431</v>
      </c>
      <c r="W51" s="178" t="s">
        <v>31</v>
      </c>
    </row>
    <row r="52" spans="2:30" ht="3" customHeight="1" x14ac:dyDescent="0.35">
      <c r="B52" s="106"/>
      <c r="C52" s="1292"/>
      <c r="D52" s="1292"/>
      <c r="E52" s="1292"/>
      <c r="F52" s="627"/>
      <c r="G52" s="988"/>
      <c r="H52" s="627"/>
      <c r="I52" s="627"/>
      <c r="J52" s="627"/>
      <c r="K52" s="627"/>
      <c r="L52" s="627"/>
      <c r="M52" s="627"/>
      <c r="N52" s="627"/>
      <c r="O52" s="627"/>
      <c r="P52" s="719"/>
      <c r="Q52" s="1261"/>
      <c r="S52" s="178"/>
      <c r="T52" s="178"/>
      <c r="U52" s="178"/>
      <c r="V52" s="178"/>
      <c r="W52" s="178"/>
    </row>
    <row r="53" spans="2:30" x14ac:dyDescent="0.35">
      <c r="B53" s="106"/>
      <c r="C53" s="1289" t="s">
        <v>1504</v>
      </c>
      <c r="D53" s="1290"/>
      <c r="E53" s="1291">
        <f ca="1">IF(S17&lt;&gt;0,(ICMS!E3-AC62)/ENTRADAS!F22*FECHAMENTO!S17,ICMS!E3-AC62)</f>
        <v>888794.1992015671</v>
      </c>
      <c r="F53" s="627"/>
      <c r="G53" s="988"/>
      <c r="H53" s="633" t="s">
        <v>1505</v>
      </c>
      <c r="I53" s="646"/>
      <c r="J53" s="646"/>
      <c r="K53" s="646"/>
      <c r="L53" s="1761">
        <f>U62</f>
        <v>13485714</v>
      </c>
      <c r="M53" s="1761"/>
      <c r="N53" s="1762"/>
      <c r="O53" s="627"/>
      <c r="P53" s="719"/>
      <c r="Q53" s="1261"/>
      <c r="S53" s="178"/>
      <c r="T53" s="1198" t="s">
        <v>1506</v>
      </c>
      <c r="U53" s="1199">
        <f ca="1">T38/V51</f>
        <v>75.220710865561685</v>
      </c>
      <c r="V53" s="178"/>
      <c r="W53" s="178"/>
    </row>
    <row r="54" spans="2:30" x14ac:dyDescent="0.35">
      <c r="B54" s="106"/>
      <c r="C54" s="1806" t="s">
        <v>1507</v>
      </c>
      <c r="D54" s="1807"/>
      <c r="E54" s="1288"/>
      <c r="F54" s="627"/>
      <c r="G54" s="637"/>
      <c r="H54" s="749"/>
      <c r="I54" s="749"/>
      <c r="J54" s="749"/>
      <c r="K54" s="749"/>
      <c r="L54" s="749"/>
      <c r="M54" s="749"/>
      <c r="N54" s="749"/>
      <c r="O54" s="749"/>
      <c r="P54" s="748"/>
      <c r="Q54" s="1261"/>
      <c r="S54" s="178"/>
      <c r="T54" s="178"/>
      <c r="U54" s="178"/>
      <c r="V54" s="178"/>
      <c r="W54" s="178"/>
    </row>
    <row r="55" spans="2:30" ht="3" customHeight="1" thickBot="1" x14ac:dyDescent="0.4">
      <c r="B55" s="110"/>
      <c r="C55" s="1280"/>
      <c r="D55" s="1280"/>
      <c r="E55" s="1293"/>
      <c r="F55" s="1266"/>
      <c r="G55" s="1266"/>
      <c r="H55" s="1266"/>
      <c r="I55" s="1266"/>
      <c r="J55" s="1266"/>
      <c r="K55" s="1266"/>
      <c r="L55" s="1266"/>
      <c r="M55" s="1266"/>
      <c r="N55" s="1266"/>
      <c r="O55" s="1266"/>
      <c r="P55" s="1266"/>
      <c r="Q55" s="1268"/>
    </row>
    <row r="56" spans="2:30" ht="4.5" customHeight="1" thickBot="1" x14ac:dyDescent="0.4">
      <c r="B56" s="1"/>
      <c r="C56" s="634"/>
      <c r="D56" s="818"/>
      <c r="E56" s="977"/>
      <c r="F56" s="977"/>
      <c r="G56" s="977"/>
      <c r="H56" s="977"/>
      <c r="I56" s="977"/>
      <c r="J56" s="977"/>
      <c r="K56" s="734"/>
      <c r="L56" s="734"/>
      <c r="M56" s="627"/>
      <c r="N56" s="627"/>
      <c r="O56" s="627"/>
      <c r="P56" s="627"/>
      <c r="Q56" s="627"/>
    </row>
    <row r="57" spans="2:30" ht="3" customHeight="1" thickBot="1" x14ac:dyDescent="0.4">
      <c r="B57" s="103"/>
      <c r="C57" s="1271"/>
      <c r="D57" s="1271"/>
      <c r="E57" s="1271"/>
      <c r="F57" s="1271"/>
      <c r="G57" s="1271"/>
      <c r="H57" s="1271"/>
      <c r="I57" s="1271"/>
      <c r="J57" s="1271"/>
      <c r="K57" s="1271"/>
      <c r="L57" s="1271"/>
      <c r="M57" s="1271"/>
      <c r="N57" s="1271"/>
      <c r="O57" s="1271"/>
      <c r="P57" s="1271"/>
      <c r="Q57" s="1272"/>
    </row>
    <row r="58" spans="2:30" x14ac:dyDescent="0.35">
      <c r="B58" s="106"/>
      <c r="C58" s="1758" t="s">
        <v>1508</v>
      </c>
      <c r="D58" s="1770"/>
      <c r="E58" s="1770"/>
      <c r="F58" s="1770"/>
      <c r="G58" s="646"/>
      <c r="H58" s="646"/>
      <c r="I58" s="646"/>
      <c r="J58" s="646"/>
      <c r="K58" s="646"/>
      <c r="L58" s="646"/>
      <c r="M58" s="646"/>
      <c r="N58" s="646"/>
      <c r="O58" s="646"/>
      <c r="P58" s="629"/>
      <c r="Q58" s="1261"/>
      <c r="S58" s="942"/>
      <c r="T58" s="646" t="s">
        <v>1509</v>
      </c>
      <c r="U58" s="10"/>
      <c r="V58" s="1582" t="s">
        <v>1510</v>
      </c>
      <c r="W58" s="1766"/>
      <c r="X58" s="1583"/>
    </row>
    <row r="59" spans="2:30" ht="3" customHeight="1" x14ac:dyDescent="0.35">
      <c r="B59" s="106"/>
      <c r="C59" s="627"/>
      <c r="D59" s="707">
        <v>0.17</v>
      </c>
      <c r="E59" s="627"/>
      <c r="F59" s="627"/>
      <c r="G59" s="627"/>
      <c r="H59" s="627"/>
      <c r="I59" s="706">
        <v>0.05</v>
      </c>
      <c r="J59" s="627"/>
      <c r="K59" s="627"/>
      <c r="L59" s="627"/>
      <c r="M59" s="627"/>
      <c r="N59" s="627"/>
      <c r="O59" s="627"/>
      <c r="P59" s="627"/>
      <c r="Q59" s="1261"/>
      <c r="S59" s="943"/>
      <c r="V59" s="1767"/>
      <c r="W59" s="1510"/>
      <c r="X59" s="1768"/>
    </row>
    <row r="60" spans="2:30" x14ac:dyDescent="0.35">
      <c r="B60" s="106"/>
      <c r="C60" s="1338" t="s">
        <v>1363</v>
      </c>
      <c r="D60" s="1441"/>
      <c r="E60" s="1339"/>
      <c r="F60" s="627"/>
      <c r="G60" s="627"/>
      <c r="H60" s="1338" t="s">
        <v>1364</v>
      </c>
      <c r="I60" s="1441"/>
      <c r="J60" s="1339"/>
      <c r="K60" s="627"/>
      <c r="L60" s="627"/>
      <c r="M60" s="627"/>
      <c r="N60" s="627"/>
      <c r="O60" s="627"/>
      <c r="P60" s="627"/>
      <c r="Q60" s="1261"/>
      <c r="S60" s="944" t="s">
        <v>1511</v>
      </c>
      <c r="T60" s="652" t="s">
        <v>1512</v>
      </c>
      <c r="U60" s="636" t="s">
        <v>1513</v>
      </c>
      <c r="V60" s="1767"/>
      <c r="W60" s="1510"/>
      <c r="X60" s="1768"/>
      <c r="AC60" s="342" t="s">
        <v>1514</v>
      </c>
    </row>
    <row r="61" spans="2:30" ht="3" customHeight="1" x14ac:dyDescent="0.35">
      <c r="B61" s="106"/>
      <c r="C61" s="627"/>
      <c r="D61" s="707"/>
      <c r="E61" s="627"/>
      <c r="F61" s="627"/>
      <c r="G61" s="627"/>
      <c r="H61" s="627"/>
      <c r="I61" s="627"/>
      <c r="J61" s="627"/>
      <c r="K61" s="627"/>
      <c r="L61" s="627"/>
      <c r="M61" s="627"/>
      <c r="N61" s="627"/>
      <c r="O61" s="627"/>
      <c r="P61" s="627"/>
      <c r="Q61" s="1261"/>
      <c r="S61" s="943"/>
      <c r="U61" s="20"/>
      <c r="V61" s="20"/>
      <c r="X61" s="16"/>
    </row>
    <row r="62" spans="2:30" ht="13.15" thickBot="1" x14ac:dyDescent="0.4">
      <c r="B62" s="106"/>
      <c r="C62" s="630" t="s">
        <v>1515</v>
      </c>
      <c r="D62" s="1294">
        <f ca="1">E62/D48</f>
        <v>0.15275911680599982</v>
      </c>
      <c r="E62" s="947">
        <f ca="1">(E51-E53)-(E51-E53)*E54</f>
        <v>2033934.9183224589</v>
      </c>
      <c r="F62" s="627"/>
      <c r="G62" s="627"/>
      <c r="H62" s="979" t="s">
        <v>1516</v>
      </c>
      <c r="I62" s="737">
        <v>0.05</v>
      </c>
      <c r="J62" s="1295">
        <f ca="1">($I$48-$L$53)/(1-I62)-($I$48-$L$53)</f>
        <v>668775.84285403974</v>
      </c>
      <c r="K62" s="627"/>
      <c r="L62" s="627">
        <f>IF(I62=0,"foi zerado o ISS -----",IF(I62=I59,0,"foi alterado o ISS -----"))</f>
        <v>0</v>
      </c>
      <c r="M62" s="627"/>
      <c r="N62" s="627"/>
      <c r="O62" s="627" t="str">
        <f ca="1">IF(D62=0,"foi zerado o ICMS -----",IF(D62=D59,0,"foi alterado o ICMS -----"))</f>
        <v>foi alterado o ICMS -----</v>
      </c>
      <c r="P62" s="627"/>
      <c r="Q62" s="1261"/>
      <c r="S62" s="690" t="s">
        <v>1517</v>
      </c>
      <c r="T62" s="945">
        <f>IF(S58="X",0,IF(SUM($T$66:$T$110)=0,0,SUM(AA66:AA104)))</f>
        <v>0</v>
      </c>
      <c r="U62" s="946">
        <f>IF(S58="X",0,IF(SUM($T$66:$T$110)=0,0,SUM(AB66:AB104)))</f>
        <v>13485714</v>
      </c>
      <c r="V62" s="968" t="s">
        <v>1518</v>
      </c>
      <c r="W62" s="1314">
        <v>21.57945763</v>
      </c>
      <c r="X62" s="17" t="s">
        <v>130</v>
      </c>
      <c r="Z62" s="433" t="s">
        <v>911</v>
      </c>
      <c r="AC62" s="934">
        <f>SUM(AC66:AC104)</f>
        <v>0</v>
      </c>
    </row>
    <row r="63" spans="2:30" ht="3" customHeight="1" x14ac:dyDescent="0.35">
      <c r="B63" s="106"/>
      <c r="C63" s="627"/>
      <c r="D63" s="627"/>
      <c r="E63" s="627"/>
      <c r="F63" s="627"/>
      <c r="G63" s="627"/>
      <c r="H63" s="627"/>
      <c r="I63" s="627"/>
      <c r="J63" s="1284"/>
      <c r="K63" s="627"/>
      <c r="L63" s="627"/>
      <c r="M63" s="627"/>
      <c r="N63" s="627"/>
      <c r="O63" s="627"/>
      <c r="P63" s="627"/>
      <c r="Q63" s="1261"/>
      <c r="Z63" s="512"/>
    </row>
    <row r="64" spans="2:30" x14ac:dyDescent="0.35">
      <c r="B64" s="106"/>
      <c r="C64" s="630" t="s">
        <v>1519</v>
      </c>
      <c r="D64" s="1294">
        <v>6.4999999999999997E-3</v>
      </c>
      <c r="E64" s="947">
        <f ca="1">(($D$48-$L$51)/(1-D64)-($D$48-$L$51))</f>
        <v>87111.481274969876</v>
      </c>
      <c r="F64" s="627"/>
      <c r="G64" s="627"/>
      <c r="H64" s="979" t="s">
        <v>1519</v>
      </c>
      <c r="I64" s="738">
        <v>6.4999999999999997E-3</v>
      </c>
      <c r="J64" s="1295">
        <f ca="1">($I$48-$L$53)/(1-I64)-($I$48-$L$53)</f>
        <v>83134.188819801435</v>
      </c>
      <c r="K64" s="627"/>
      <c r="L64" s="627"/>
      <c r="M64" s="627"/>
      <c r="N64" s="627"/>
      <c r="O64" s="1292"/>
      <c r="P64" s="627"/>
      <c r="Q64" s="1261"/>
      <c r="S64" s="626" t="s">
        <v>1520</v>
      </c>
      <c r="T64" s="630" t="s">
        <v>1521</v>
      </c>
      <c r="U64" s="1769" t="s">
        <v>1522</v>
      </c>
      <c r="V64" s="1769"/>
      <c r="W64" s="1769"/>
      <c r="X64" s="1769"/>
      <c r="Y64" s="1758"/>
      <c r="Z64" s="950" t="s">
        <v>1456</v>
      </c>
      <c r="AA64" s="5" t="s">
        <v>1363</v>
      </c>
      <c r="AB64" s="5" t="s">
        <v>1364</v>
      </c>
      <c r="AC64" s="5" t="s">
        <v>1523</v>
      </c>
      <c r="AD64" s="5"/>
    </row>
    <row r="65" spans="2:29" ht="3" customHeight="1" x14ac:dyDescent="0.35">
      <c r="B65" s="106"/>
      <c r="C65" s="627"/>
      <c r="D65" s="627"/>
      <c r="E65" s="627"/>
      <c r="F65" s="627"/>
      <c r="G65" s="627"/>
      <c r="H65" s="627"/>
      <c r="I65" s="627"/>
      <c r="J65" s="1284"/>
      <c r="K65" s="627"/>
      <c r="L65" s="627"/>
      <c r="M65" s="627"/>
      <c r="N65" s="627"/>
      <c r="O65" s="627"/>
      <c r="P65" s="627"/>
      <c r="Q65" s="1261"/>
    </row>
    <row r="66" spans="2:29" x14ac:dyDescent="0.35">
      <c r="B66" s="106"/>
      <c r="C66" s="630" t="s">
        <v>1524</v>
      </c>
      <c r="D66" s="1294">
        <v>0.03</v>
      </c>
      <c r="E66" s="947">
        <f ca="1">(($D$48-$L$51)/(1-D66)-($D$48-$L$51))</f>
        <v>411793.44954805821</v>
      </c>
      <c r="F66" s="627"/>
      <c r="G66" s="627"/>
      <c r="H66" s="979" t="s">
        <v>1524</v>
      </c>
      <c r="I66" s="738">
        <v>0.03</v>
      </c>
      <c r="J66" s="1295">
        <f ca="1">($I$48-$L$53)/(1-I66)-($I$48-$L$53)</f>
        <v>392991.99013072439</v>
      </c>
      <c r="K66" s="627"/>
      <c r="L66" s="1292"/>
      <c r="M66" s="627"/>
      <c r="N66" s="1811"/>
      <c r="O66" s="1811"/>
      <c r="P66" s="627"/>
      <c r="Q66" s="1261"/>
      <c r="S66" s="626" t="s">
        <v>1047</v>
      </c>
      <c r="T66" s="947">
        <f>Aux.!H11</f>
        <v>0</v>
      </c>
      <c r="U66" s="1758" t="s">
        <v>1445</v>
      </c>
      <c r="V66" s="1770"/>
      <c r="W66" s="1770"/>
      <c r="X66" s="1770"/>
      <c r="Y66" s="1771"/>
      <c r="Z66" s="952">
        <v>7.0000000000000007E-2</v>
      </c>
      <c r="AA66" s="934">
        <f>IF(T66=0,0,IF(S66="F",T66,0))</f>
        <v>0</v>
      </c>
      <c r="AB66" s="934">
        <f>IF(T66=0,0,IF(S66="M",T66,0))</f>
        <v>0</v>
      </c>
      <c r="AC66" s="934">
        <f>IF(T66=0,0,IF(S66="F",T66*Z66,0))</f>
        <v>0</v>
      </c>
    </row>
    <row r="67" spans="2:29" ht="3" customHeight="1" x14ac:dyDescent="0.35">
      <c r="B67" s="106"/>
      <c r="C67" s="627"/>
      <c r="D67" s="627"/>
      <c r="E67" s="627"/>
      <c r="F67" s="627"/>
      <c r="G67" s="627"/>
      <c r="H67" s="627"/>
      <c r="I67" s="627"/>
      <c r="J67" s="1284"/>
      <c r="K67" s="627"/>
      <c r="L67" s="627"/>
      <c r="M67" s="627"/>
      <c r="N67" s="627"/>
      <c r="O67" s="627"/>
      <c r="P67" s="627"/>
      <c r="Q67" s="1261"/>
      <c r="Z67" s="951"/>
      <c r="AA67" s="5">
        <f t="shared" ref="AA67:AA104" si="0">IF(T67=0,0,IF(S67="F",T67,0))</f>
        <v>0</v>
      </c>
      <c r="AB67" s="5">
        <f t="shared" ref="AB67:AB104" si="1">IF(T67=0,0,IF(S67="M",T67,0))</f>
        <v>0</v>
      </c>
      <c r="AC67" s="5">
        <f t="shared" ref="AC67:AC104" si="2">IF(T67=0,0,IF(S67="F",T67*Z67,0))</f>
        <v>0</v>
      </c>
    </row>
    <row r="68" spans="2:29" x14ac:dyDescent="0.35">
      <c r="B68" s="106"/>
      <c r="C68" s="630" t="s">
        <v>1525</v>
      </c>
      <c r="D68" s="1294">
        <v>0.02</v>
      </c>
      <c r="E68" s="947">
        <f ca="1">(($D$48-$L$51)/(1-D68)-($D$48-$L$51))</f>
        <v>271727.65038205311</v>
      </c>
      <c r="F68" s="627"/>
      <c r="G68" s="627"/>
      <c r="H68" s="979" t="s">
        <v>1525</v>
      </c>
      <c r="I68" s="738">
        <v>0.02</v>
      </c>
      <c r="J68" s="1295">
        <f ca="1">($I$48-$L$53)/(1-I68)-($I$48-$L$53)</f>
        <v>259321.24518830143</v>
      </c>
      <c r="K68" s="627"/>
      <c r="L68" s="627"/>
      <c r="M68" s="627"/>
      <c r="N68" s="1811"/>
      <c r="O68" s="1811"/>
      <c r="P68" s="627"/>
      <c r="Q68" s="1261"/>
      <c r="S68" s="626" t="s">
        <v>1047</v>
      </c>
      <c r="T68" s="947">
        <f>Aux.!H6</f>
        <v>0</v>
      </c>
      <c r="U68" s="1758" t="s">
        <v>1434</v>
      </c>
      <c r="V68" s="1759"/>
      <c r="W68" s="1759"/>
      <c r="X68" s="1759"/>
      <c r="Y68" s="1760"/>
      <c r="Z68" s="952"/>
      <c r="AA68" s="934">
        <f t="shared" si="0"/>
        <v>0</v>
      </c>
      <c r="AB68" s="934">
        <f t="shared" si="1"/>
        <v>0</v>
      </c>
      <c r="AC68" s="934">
        <f t="shared" si="2"/>
        <v>0</v>
      </c>
    </row>
    <row r="69" spans="2:29" ht="3" customHeight="1" x14ac:dyDescent="0.35">
      <c r="B69" s="106"/>
      <c r="C69" s="627"/>
      <c r="D69" s="627"/>
      <c r="E69" s="627"/>
      <c r="F69" s="627"/>
      <c r="G69" s="627"/>
      <c r="H69" s="627"/>
      <c r="I69" s="627"/>
      <c r="J69" s="1284"/>
      <c r="K69" s="627"/>
      <c r="L69" s="627"/>
      <c r="M69" s="627"/>
      <c r="N69" s="627"/>
      <c r="O69" s="627"/>
      <c r="P69" s="627"/>
      <c r="Q69" s="1261"/>
      <c r="Z69" s="951"/>
      <c r="AA69" s="5">
        <f t="shared" si="0"/>
        <v>0</v>
      </c>
      <c r="AB69" s="5">
        <f t="shared" si="1"/>
        <v>0</v>
      </c>
      <c r="AC69" s="5">
        <f t="shared" si="2"/>
        <v>0</v>
      </c>
    </row>
    <row r="70" spans="2:29" x14ac:dyDescent="0.35">
      <c r="B70" s="106"/>
      <c r="C70" s="630" t="s">
        <v>1526</v>
      </c>
      <c r="D70" s="1294">
        <v>1.0800000000000001E-2</v>
      </c>
      <c r="E70" s="947">
        <f ca="1">(($D$48-$L$51)/(1-D70)-($D$48-$L$51))</f>
        <v>145368.24967871234</v>
      </c>
      <c r="F70" s="627"/>
      <c r="G70" s="627"/>
      <c r="H70" s="979" t="s">
        <v>1526</v>
      </c>
      <c r="I70" s="738">
        <v>1.0800000000000001E-2</v>
      </c>
      <c r="J70" s="1295">
        <f ca="1">($I$48-$L$53)/(1-I70)-($I$48-$L$53)</f>
        <v>138731.09882091545</v>
      </c>
      <c r="K70" s="627"/>
      <c r="L70" s="627"/>
      <c r="M70" s="627"/>
      <c r="N70" s="627"/>
      <c r="O70" s="627"/>
      <c r="P70" s="627"/>
      <c r="Q70" s="1261"/>
      <c r="S70" s="626" t="s">
        <v>1050</v>
      </c>
      <c r="T70" s="947">
        <f>Aux.!H5</f>
        <v>0</v>
      </c>
      <c r="U70" s="1758" t="s">
        <v>1527</v>
      </c>
      <c r="V70" s="1759"/>
      <c r="W70" s="1759"/>
      <c r="X70" s="1759"/>
      <c r="Y70" s="1760"/>
      <c r="Z70" s="952"/>
      <c r="AA70" s="934">
        <f t="shared" si="0"/>
        <v>0</v>
      </c>
      <c r="AB70" s="934">
        <f>IF(T70=0,0,IF(S70="M",T70,0))</f>
        <v>0</v>
      </c>
      <c r="AC70" s="934">
        <f t="shared" si="2"/>
        <v>0</v>
      </c>
    </row>
    <row r="71" spans="2:29" ht="3" customHeight="1" x14ac:dyDescent="0.35">
      <c r="B71" s="106"/>
      <c r="C71" s="627"/>
      <c r="D71" s="627"/>
      <c r="E71" s="627"/>
      <c r="F71" s="627"/>
      <c r="G71" s="627"/>
      <c r="H71" s="627"/>
      <c r="I71" s="627"/>
      <c r="J71" s="1284"/>
      <c r="K71" s="627"/>
      <c r="L71" s="627"/>
      <c r="M71" s="627"/>
      <c r="N71" s="627"/>
      <c r="O71" s="627"/>
      <c r="P71" s="627"/>
      <c r="Q71" s="1261"/>
      <c r="Z71" s="951"/>
      <c r="AA71" s="5">
        <f t="shared" si="0"/>
        <v>0</v>
      </c>
      <c r="AB71" s="5">
        <f t="shared" si="1"/>
        <v>0</v>
      </c>
      <c r="AC71" s="5">
        <f t="shared" si="2"/>
        <v>0</v>
      </c>
    </row>
    <row r="72" spans="2:29" x14ac:dyDescent="0.35">
      <c r="B72" s="106"/>
      <c r="C72" s="630" t="s">
        <v>1528</v>
      </c>
      <c r="D72" s="1296"/>
      <c r="E72" s="947">
        <f ca="1">(($D$48-$L$51)/(1-D72)-($D$48-$L$51))</f>
        <v>0</v>
      </c>
      <c r="F72" s="627"/>
      <c r="G72" s="627"/>
      <c r="H72" s="627"/>
      <c r="I72" s="627"/>
      <c r="J72" s="627"/>
      <c r="K72" s="627"/>
      <c r="L72" s="627"/>
      <c r="M72" s="627"/>
      <c r="N72" s="627"/>
      <c r="O72" s="627"/>
      <c r="P72" s="627"/>
      <c r="Q72" s="1261"/>
      <c r="S72" s="626" t="s">
        <v>1050</v>
      </c>
      <c r="T72" s="947"/>
      <c r="U72" s="1758" t="s">
        <v>1443</v>
      </c>
      <c r="V72" s="1759"/>
      <c r="W72" s="1759"/>
      <c r="X72" s="1759"/>
      <c r="Y72" s="1760"/>
      <c r="Z72" s="952"/>
      <c r="AA72" s="934">
        <f t="shared" si="0"/>
        <v>0</v>
      </c>
      <c r="AB72" s="934">
        <f t="shared" si="1"/>
        <v>0</v>
      </c>
      <c r="AC72" s="934">
        <f t="shared" si="2"/>
        <v>0</v>
      </c>
    </row>
    <row r="73" spans="2:29" ht="3" customHeight="1" x14ac:dyDescent="0.35">
      <c r="B73" s="106"/>
      <c r="C73" s="627"/>
      <c r="D73" s="627"/>
      <c r="E73" s="627"/>
      <c r="F73" s="627"/>
      <c r="G73" s="627"/>
      <c r="H73" s="627"/>
      <c r="I73" s="627"/>
      <c r="J73" s="1284"/>
      <c r="K73" s="627"/>
      <c r="L73" s="627"/>
      <c r="M73" s="627"/>
      <c r="N73" s="627"/>
      <c r="O73" s="627"/>
      <c r="P73" s="627"/>
      <c r="Q73" s="1261"/>
      <c r="Z73" s="951"/>
      <c r="AA73" s="5">
        <f t="shared" si="0"/>
        <v>0</v>
      </c>
      <c r="AB73" s="5">
        <f t="shared" si="1"/>
        <v>0</v>
      </c>
      <c r="AC73" s="5">
        <f t="shared" si="2"/>
        <v>0</v>
      </c>
    </row>
    <row r="74" spans="2:29" ht="12.75" customHeight="1" x14ac:dyDescent="0.35">
      <c r="B74" s="106"/>
      <c r="C74" s="1776" t="s">
        <v>1529</v>
      </c>
      <c r="D74" s="1777"/>
      <c r="E74" s="1778"/>
      <c r="F74" s="627"/>
      <c r="G74" s="627"/>
      <c r="H74" s="1776" t="s">
        <v>1530</v>
      </c>
      <c r="I74" s="1777"/>
      <c r="J74" s="1778"/>
      <c r="K74" s="627"/>
      <c r="L74" s="1447" t="s">
        <v>1531</v>
      </c>
      <c r="M74" s="1448"/>
      <c r="N74" s="1448"/>
      <c r="O74" s="1448"/>
      <c r="P74" s="1449"/>
      <c r="Q74" s="1261"/>
      <c r="S74" s="626" t="s">
        <v>1047</v>
      </c>
      <c r="T74" s="947"/>
      <c r="U74" s="1758" t="s">
        <v>1440</v>
      </c>
      <c r="V74" s="1759"/>
      <c r="W74" s="1759"/>
      <c r="X74" s="1759"/>
      <c r="Y74" s="1760"/>
      <c r="Z74" s="952"/>
      <c r="AA74" s="934">
        <f t="shared" si="0"/>
        <v>0</v>
      </c>
      <c r="AB74" s="934">
        <f t="shared" si="1"/>
        <v>0</v>
      </c>
      <c r="AC74" s="934">
        <f t="shared" si="2"/>
        <v>0</v>
      </c>
    </row>
    <row r="75" spans="2:29" x14ac:dyDescent="0.35">
      <c r="B75" s="106"/>
      <c r="C75" s="1200"/>
      <c r="D75" s="1812">
        <f ca="1">SUM(E62:E72)</f>
        <v>2949935.7492062524</v>
      </c>
      <c r="E75" s="1813"/>
      <c r="F75" s="627"/>
      <c r="G75" s="627"/>
      <c r="H75" s="1200"/>
      <c r="I75" s="1809">
        <f ca="1">SUM(J62:J72)</f>
        <v>1542954.3658137824</v>
      </c>
      <c r="J75" s="1810"/>
      <c r="K75" s="627"/>
      <c r="L75" s="1200"/>
      <c r="M75" s="1804">
        <f ca="1">D75+I75</f>
        <v>4492890.1150200348</v>
      </c>
      <c r="N75" s="1804"/>
      <c r="O75" s="1804"/>
      <c r="P75" s="1805"/>
      <c r="Q75" s="1261"/>
      <c r="S75" s="626"/>
      <c r="T75" s="947"/>
      <c r="U75" s="1758"/>
      <c r="V75" s="1759"/>
      <c r="W75" s="1759"/>
      <c r="X75" s="1759"/>
      <c r="Y75" s="1760"/>
      <c r="Z75" s="952"/>
      <c r="AA75" s="934">
        <f t="shared" si="0"/>
        <v>0</v>
      </c>
      <c r="AB75" s="934">
        <f t="shared" si="1"/>
        <v>0</v>
      </c>
      <c r="AC75" s="934">
        <f t="shared" si="2"/>
        <v>0</v>
      </c>
    </row>
    <row r="76" spans="2:29" ht="3" customHeight="1" x14ac:dyDescent="0.35">
      <c r="B76" s="106"/>
      <c r="C76" s="627"/>
      <c r="D76" s="627"/>
      <c r="E76" s="627"/>
      <c r="F76" s="627"/>
      <c r="G76" s="627"/>
      <c r="H76" s="627"/>
      <c r="I76" s="627"/>
      <c r="J76" s="1284"/>
      <c r="K76" s="627"/>
      <c r="L76" s="627"/>
      <c r="M76" s="627"/>
      <c r="N76" s="627"/>
      <c r="O76" s="627"/>
      <c r="P76" s="627"/>
      <c r="Q76" s="1261"/>
      <c r="Z76" s="951"/>
      <c r="AA76" s="5">
        <f t="shared" si="0"/>
        <v>0</v>
      </c>
      <c r="AB76" s="5">
        <f t="shared" si="1"/>
        <v>0</v>
      </c>
      <c r="AC76" s="5">
        <f t="shared" si="2"/>
        <v>0</v>
      </c>
    </row>
    <row r="77" spans="2:29" ht="12.75" customHeight="1" x14ac:dyDescent="0.35">
      <c r="B77" s="106"/>
      <c r="C77" s="1776" t="s">
        <v>1532</v>
      </c>
      <c r="D77" s="1777"/>
      <c r="E77" s="1778"/>
      <c r="F77" s="627"/>
      <c r="G77" s="627"/>
      <c r="H77" s="1776" t="s">
        <v>1533</v>
      </c>
      <c r="I77" s="1777"/>
      <c r="J77" s="1778"/>
      <c r="K77" s="627"/>
      <c r="L77" s="1297"/>
      <c r="M77" s="627"/>
      <c r="N77" s="627"/>
      <c r="O77" s="627"/>
      <c r="P77" s="627"/>
      <c r="Q77" s="1261"/>
      <c r="S77" s="626"/>
      <c r="T77" s="947"/>
      <c r="U77" s="1758"/>
      <c r="V77" s="1759"/>
      <c r="W77" s="1759"/>
      <c r="X77" s="1759"/>
      <c r="Y77" s="1760"/>
      <c r="Z77" s="952"/>
      <c r="AA77" s="934">
        <f t="shared" si="0"/>
        <v>0</v>
      </c>
      <c r="AB77" s="934">
        <f t="shared" si="1"/>
        <v>0</v>
      </c>
      <c r="AC77" s="934">
        <f t="shared" si="2"/>
        <v>0</v>
      </c>
    </row>
    <row r="78" spans="2:29" x14ac:dyDescent="0.35">
      <c r="B78" s="106"/>
      <c r="C78" s="1200"/>
      <c r="D78" s="1774">
        <f ca="1">IF(D75=0,0,D75/D48)</f>
        <v>0.22155555501002019</v>
      </c>
      <c r="E78" s="1775"/>
      <c r="F78" s="627"/>
      <c r="G78" s="627"/>
      <c r="H78" s="1200"/>
      <c r="I78" s="1779">
        <f ca="1">IF(I75=0,0,I75/I48)</f>
        <v>5.8908352232568802E-2</v>
      </c>
      <c r="J78" s="1780"/>
      <c r="K78" s="627"/>
      <c r="L78" s="627"/>
      <c r="M78" s="627"/>
      <c r="N78" s="627"/>
      <c r="O78" s="627"/>
      <c r="P78" s="627"/>
      <c r="Q78" s="1261"/>
      <c r="S78" s="626"/>
      <c r="T78" s="947"/>
      <c r="U78" s="1758"/>
      <c r="V78" s="1759"/>
      <c r="W78" s="1759"/>
      <c r="X78" s="1759"/>
      <c r="Y78" s="1760"/>
      <c r="Z78" s="952"/>
      <c r="AA78" s="934">
        <f t="shared" si="0"/>
        <v>0</v>
      </c>
      <c r="AB78" s="934">
        <f t="shared" si="1"/>
        <v>0</v>
      </c>
      <c r="AC78" s="934">
        <f>IF(T78=0,0,IF(S78="F",T78*Z78,0))</f>
        <v>0</v>
      </c>
    </row>
    <row r="79" spans="2:29" ht="3" customHeight="1" thickBot="1" x14ac:dyDescent="0.4">
      <c r="B79" s="110"/>
      <c r="C79" s="1266"/>
      <c r="D79" s="1266"/>
      <c r="E79" s="1266"/>
      <c r="F79" s="1266"/>
      <c r="G79" s="1266"/>
      <c r="H79" s="1266"/>
      <c r="I79" s="1266"/>
      <c r="J79" s="1279"/>
      <c r="K79" s="1266"/>
      <c r="L79" s="1266"/>
      <c r="M79" s="1266"/>
      <c r="N79" s="1266"/>
      <c r="O79" s="1266"/>
      <c r="P79" s="1266"/>
      <c r="Q79" s="1268"/>
      <c r="Z79" s="951"/>
      <c r="AA79" s="5">
        <f t="shared" si="0"/>
        <v>0</v>
      </c>
      <c r="AB79" s="5">
        <f t="shared" si="1"/>
        <v>0</v>
      </c>
      <c r="AC79" s="5">
        <f t="shared" si="2"/>
        <v>0</v>
      </c>
    </row>
    <row r="80" spans="2:29" ht="4.5" customHeight="1" thickBot="1" x14ac:dyDescent="0.4">
      <c r="B80" s="1"/>
      <c r="C80" s="634"/>
      <c r="D80" s="818"/>
      <c r="E80" s="977"/>
      <c r="F80" s="977"/>
      <c r="G80" s="977"/>
      <c r="H80" s="977"/>
      <c r="I80" s="977"/>
      <c r="J80" s="977"/>
      <c r="K80" s="734"/>
      <c r="L80" s="734"/>
      <c r="M80" s="627"/>
      <c r="N80" s="627"/>
      <c r="O80" s="627"/>
      <c r="P80" s="627"/>
      <c r="Q80" s="627"/>
      <c r="Z80" s="951"/>
      <c r="AA80" s="5">
        <f t="shared" si="0"/>
        <v>0</v>
      </c>
      <c r="AB80" s="5">
        <f t="shared" si="1"/>
        <v>0</v>
      </c>
      <c r="AC80" s="5">
        <f t="shared" si="2"/>
        <v>0</v>
      </c>
    </row>
    <row r="81" spans="2:29" ht="3" customHeight="1" x14ac:dyDescent="0.35">
      <c r="B81" s="103"/>
      <c r="C81" s="1271"/>
      <c r="D81" s="1271"/>
      <c r="E81" s="1271"/>
      <c r="F81" s="1271"/>
      <c r="G81" s="1271"/>
      <c r="H81" s="1271"/>
      <c r="I81" s="1271"/>
      <c r="J81" s="1298"/>
      <c r="K81" s="1271"/>
      <c r="L81" s="1271"/>
      <c r="M81" s="1271"/>
      <c r="N81" s="1271"/>
      <c r="O81" s="1271"/>
      <c r="P81" s="1271"/>
      <c r="Q81" s="1272"/>
      <c r="Z81" s="951"/>
      <c r="AA81" s="5">
        <f t="shared" si="0"/>
        <v>0</v>
      </c>
      <c r="AB81" s="5">
        <f t="shared" si="1"/>
        <v>0</v>
      </c>
      <c r="AC81" s="5">
        <f t="shared" si="2"/>
        <v>0</v>
      </c>
    </row>
    <row r="82" spans="2:29" ht="12.75" customHeight="1" x14ac:dyDescent="0.35">
      <c r="B82" s="106"/>
      <c r="C82" s="1758" t="s">
        <v>1534</v>
      </c>
      <c r="D82" s="1770"/>
      <c r="E82" s="1770"/>
      <c r="F82" s="1770"/>
      <c r="G82" s="646"/>
      <c r="H82" s="646"/>
      <c r="I82" s="646"/>
      <c r="J82" s="646"/>
      <c r="K82" s="646"/>
      <c r="L82" s="646"/>
      <c r="M82" s="646"/>
      <c r="N82" s="646"/>
      <c r="O82" s="646"/>
      <c r="P82" s="629"/>
      <c r="Q82" s="1261"/>
      <c r="S82" s="626"/>
      <c r="T82" s="947"/>
      <c r="U82" s="1758"/>
      <c r="V82" s="1759"/>
      <c r="W82" s="1759"/>
      <c r="X82" s="1759"/>
      <c r="Y82" s="1760"/>
      <c r="Z82" s="952"/>
      <c r="AA82" s="934">
        <f t="shared" si="0"/>
        <v>0</v>
      </c>
      <c r="AB82" s="934">
        <f t="shared" si="1"/>
        <v>0</v>
      </c>
      <c r="AC82" s="934">
        <f t="shared" si="2"/>
        <v>0</v>
      </c>
    </row>
    <row r="83" spans="2:29" ht="3" customHeight="1" x14ac:dyDescent="0.35">
      <c r="B83" s="106"/>
      <c r="C83" s="627"/>
      <c r="D83" s="627"/>
      <c r="E83" s="627"/>
      <c r="F83" s="627"/>
      <c r="G83" s="627"/>
      <c r="H83" s="627"/>
      <c r="I83" s="627"/>
      <c r="J83" s="1284"/>
      <c r="K83" s="627"/>
      <c r="L83" s="627"/>
      <c r="M83" s="627"/>
      <c r="N83" s="627"/>
      <c r="O83" s="627"/>
      <c r="P83" s="627"/>
      <c r="Q83" s="1261"/>
      <c r="Z83" s="951"/>
      <c r="AA83" s="5">
        <f t="shared" si="0"/>
        <v>0</v>
      </c>
      <c r="AB83" s="5">
        <f t="shared" si="1"/>
        <v>0</v>
      </c>
      <c r="AC83" s="5">
        <f t="shared" si="2"/>
        <v>0</v>
      </c>
    </row>
    <row r="84" spans="2:29" x14ac:dyDescent="0.35">
      <c r="B84" s="106"/>
      <c r="C84" s="1458" t="s">
        <v>1363</v>
      </c>
      <c r="D84" s="1462"/>
      <c r="E84" s="1459"/>
      <c r="F84" s="627"/>
      <c r="G84" s="627"/>
      <c r="H84" s="1458" t="s">
        <v>1535</v>
      </c>
      <c r="I84" s="1462"/>
      <c r="J84" s="1459"/>
      <c r="K84" s="627"/>
      <c r="L84" s="1458" t="s">
        <v>1536</v>
      </c>
      <c r="M84" s="1462"/>
      <c r="N84" s="1462"/>
      <c r="O84" s="1462"/>
      <c r="P84" s="1459"/>
      <c r="Q84" s="1261"/>
      <c r="S84" s="626"/>
      <c r="T84" s="947"/>
      <c r="U84" s="1758"/>
      <c r="V84" s="1759"/>
      <c r="W84" s="1759"/>
      <c r="X84" s="1759"/>
      <c r="Y84" s="1760"/>
      <c r="Z84" s="952"/>
      <c r="AA84" s="934">
        <f t="shared" si="0"/>
        <v>0</v>
      </c>
      <c r="AB84" s="934">
        <f t="shared" si="1"/>
        <v>0</v>
      </c>
      <c r="AC84" s="934">
        <f t="shared" si="2"/>
        <v>0</v>
      </c>
    </row>
    <row r="85" spans="2:29" x14ac:dyDescent="0.35">
      <c r="B85" s="106"/>
      <c r="C85" s="1287"/>
      <c r="D85" s="1804">
        <f ca="1">D48+D75</f>
        <v>16264590.617926817</v>
      </c>
      <c r="E85" s="1805"/>
      <c r="F85" s="627"/>
      <c r="G85" s="627"/>
      <c r="H85" s="1287"/>
      <c r="I85" s="1804">
        <f ca="1">I48+I75</f>
        <v>27735409.380040534</v>
      </c>
      <c r="J85" s="1805"/>
      <c r="K85" s="627"/>
      <c r="L85" s="637"/>
      <c r="M85" s="749"/>
      <c r="N85" s="1804">
        <f ca="1">D85+I85</f>
        <v>43999999.997967348</v>
      </c>
      <c r="O85" s="1804"/>
      <c r="P85" s="1805"/>
      <c r="Q85" s="1261"/>
      <c r="R85" s="967" t="s">
        <v>1518</v>
      </c>
      <c r="S85" s="963" t="s">
        <v>1050</v>
      </c>
      <c r="T85" s="964">
        <f>IF(S17&lt;&gt;0,INSUMOS!R274/ENTRADAS!F22*FECHAMENTO!S17,INSUMOS!R274)</f>
        <v>13485714</v>
      </c>
      <c r="U85" s="1763" t="s">
        <v>1537</v>
      </c>
      <c r="V85" s="1764"/>
      <c r="W85" s="1764"/>
      <c r="X85" s="1764"/>
      <c r="Y85" s="1765"/>
      <c r="Z85" s="965"/>
      <c r="AA85" s="966">
        <f t="shared" si="0"/>
        <v>0</v>
      </c>
      <c r="AB85" s="966">
        <f>IF(T85=0,0,IF(S85="M",T85,0))</f>
        <v>13485714</v>
      </c>
      <c r="AC85" s="966">
        <f>IF(T85=0,0,IF(S85="F",T85*Z85,0))</f>
        <v>0</v>
      </c>
    </row>
    <row r="86" spans="2:29" ht="5.25" customHeight="1" x14ac:dyDescent="0.35">
      <c r="B86" s="106"/>
      <c r="C86" s="1299"/>
      <c r="D86" s="1284"/>
      <c r="E86" s="1284"/>
      <c r="F86" s="627"/>
      <c r="G86" s="627"/>
      <c r="H86" s="1299"/>
      <c r="I86" s="1284"/>
      <c r="J86" s="1284"/>
      <c r="K86" s="627"/>
      <c r="L86" s="627"/>
      <c r="M86" s="627"/>
      <c r="N86" s="1284"/>
      <c r="O86" s="1284"/>
      <c r="P86" s="1284"/>
      <c r="Q86" s="1261"/>
      <c r="Z86" s="951"/>
      <c r="AA86" s="5">
        <f t="shared" si="0"/>
        <v>0</v>
      </c>
      <c r="AB86" s="5">
        <f t="shared" si="1"/>
        <v>0</v>
      </c>
      <c r="AC86" s="5">
        <f t="shared" si="2"/>
        <v>0</v>
      </c>
    </row>
    <row r="87" spans="2:29" ht="26.25" customHeight="1" x14ac:dyDescent="0.35">
      <c r="B87" s="106"/>
      <c r="C87" s="727" t="s">
        <v>1538</v>
      </c>
      <c r="D87" s="995"/>
      <c r="E87" s="995"/>
      <c r="F87" s="995"/>
      <c r="G87" s="995"/>
      <c r="H87" s="995"/>
      <c r="I87" s="995"/>
      <c r="J87" s="995" t="s">
        <v>1539</v>
      </c>
      <c r="K87" s="646"/>
      <c r="L87" s="1815" t="s">
        <v>1540</v>
      </c>
      <c r="M87" s="1816"/>
      <c r="N87" s="1814">
        <f ca="1">N85*I87/100</f>
        <v>0</v>
      </c>
      <c r="O87" s="1377"/>
      <c r="P87" s="1374"/>
      <c r="Q87" s="1261"/>
      <c r="S87" s="626"/>
      <c r="T87" s="947"/>
      <c r="U87" s="1758"/>
      <c r="V87" s="1759"/>
      <c r="W87" s="1759"/>
      <c r="X87" s="1759"/>
      <c r="Y87" s="1760"/>
      <c r="Z87" s="952"/>
      <c r="AA87" s="934">
        <f t="shared" si="0"/>
        <v>0</v>
      </c>
      <c r="AB87" s="934">
        <f t="shared" si="1"/>
        <v>0</v>
      </c>
      <c r="AC87" s="934">
        <f t="shared" si="2"/>
        <v>0</v>
      </c>
    </row>
    <row r="88" spans="2:29" ht="26.25" customHeight="1" x14ac:dyDescent="0.35">
      <c r="B88" s="106"/>
      <c r="C88" s="1010"/>
      <c r="D88" s="1773">
        <f>IF(P88="OK",0,IF(ENTRADAS!D912="x","ESTE TANQUE CONTÉM COBERTURA  ! =====================================================&gt;&gt;",0))</f>
        <v>0</v>
      </c>
      <c r="E88" s="1773"/>
      <c r="F88" s="1773"/>
      <c r="G88" s="1773"/>
      <c r="H88" s="1773"/>
      <c r="I88" s="1773"/>
      <c r="J88" s="1773"/>
      <c r="K88" s="1773"/>
      <c r="L88" s="1773"/>
      <c r="M88" s="1773"/>
      <c r="N88" s="1773"/>
      <c r="O88" s="1773"/>
      <c r="P88" s="1300" t="s">
        <v>1541</v>
      </c>
      <c r="Q88" s="1261"/>
      <c r="S88" s="626"/>
      <c r="T88" s="947"/>
      <c r="U88" s="1758"/>
      <c r="V88" s="1759"/>
      <c r="W88" s="1759"/>
      <c r="X88" s="1759"/>
      <c r="Y88" s="1760"/>
      <c r="Z88" s="952"/>
      <c r="AA88" s="934">
        <f t="shared" si="0"/>
        <v>0</v>
      </c>
      <c r="AB88" s="934">
        <f t="shared" si="1"/>
        <v>0</v>
      </c>
      <c r="AC88" s="934">
        <f t="shared" si="2"/>
        <v>0</v>
      </c>
    </row>
    <row r="89" spans="2:29" ht="27" customHeight="1" x14ac:dyDescent="0.35">
      <c r="B89" s="106"/>
      <c r="C89" s="627"/>
      <c r="D89" s="1808">
        <f>IF(P89="OK",0,"VERIFIQUE SEMPRE OS PREÇOS DE INSUMOS PENDENTES ! ===================================&gt;&gt;")</f>
        <v>0</v>
      </c>
      <c r="E89" s="1808"/>
      <c r="F89" s="1808"/>
      <c r="G89" s="1808"/>
      <c r="H89" s="1808"/>
      <c r="I89" s="1808"/>
      <c r="J89" s="1808"/>
      <c r="K89" s="1808"/>
      <c r="L89" s="1808"/>
      <c r="M89" s="1808"/>
      <c r="N89" s="1808"/>
      <c r="O89" s="1808"/>
      <c r="P89" s="1300" t="s">
        <v>1541</v>
      </c>
      <c r="Q89" s="1261"/>
      <c r="S89" s="626"/>
      <c r="T89" s="947"/>
      <c r="U89" s="1758"/>
      <c r="V89" s="1759"/>
      <c r="W89" s="1759"/>
      <c r="X89" s="1759"/>
      <c r="Y89" s="1760"/>
      <c r="Z89" s="952"/>
      <c r="AA89" s="934">
        <f t="shared" si="0"/>
        <v>0</v>
      </c>
      <c r="AB89" s="934">
        <f t="shared" si="1"/>
        <v>0</v>
      </c>
      <c r="AC89" s="934">
        <f t="shared" si="2"/>
        <v>0</v>
      </c>
    </row>
    <row r="90" spans="2:29" ht="3" customHeight="1" x14ac:dyDescent="0.35">
      <c r="B90" s="106"/>
      <c r="C90" s="627"/>
      <c r="D90" s="627"/>
      <c r="E90" s="1301"/>
      <c r="F90" s="1302"/>
      <c r="G90" s="1302"/>
      <c r="H90" s="1302"/>
      <c r="I90" s="1302"/>
      <c r="J90" s="1302"/>
      <c r="K90" s="1303"/>
      <c r="L90" s="627"/>
      <c r="M90" s="627"/>
      <c r="N90" s="627"/>
      <c r="O90" s="627"/>
      <c r="P90" s="627"/>
      <c r="Q90" s="1261"/>
      <c r="Z90" s="951"/>
      <c r="AA90" s="5">
        <f t="shared" si="0"/>
        <v>0</v>
      </c>
      <c r="AB90" s="5">
        <f t="shared" si="1"/>
        <v>0</v>
      </c>
      <c r="AC90" s="5">
        <f t="shared" si="2"/>
        <v>0</v>
      </c>
    </row>
    <row r="91" spans="2:29" ht="18.75" customHeight="1" x14ac:dyDescent="0.35">
      <c r="B91" s="106"/>
      <c r="C91" s="627"/>
      <c r="D91" s="627"/>
      <c r="E91" s="1791" t="s">
        <v>1542</v>
      </c>
      <c r="F91" s="1792"/>
      <c r="G91" s="1792"/>
      <c r="H91" s="1792"/>
      <c r="I91" s="1793">
        <f ca="1">IF(L91&lt;&gt;0,"OPS !!!!",IF(R129="x",N85+N87-U156,N85+N87))</f>
        <v>43999999.997967348</v>
      </c>
      <c r="J91" s="1792"/>
      <c r="K91" s="1304"/>
      <c r="L91" s="1305">
        <f ca="1">IF(G17=0," FALTA PERCENTUAL DE LUCRO !",IF(AND(GUINDASTE!N70+GUINDASTE!N83+GUINDASTE!N96&gt;=1,G17&gt;0)," ANÁLISE DE GUINDASTE INDEFINIDO !",IF('X MPa '!D72="X","FALTOU APAGAR X NA EQUIPE DA USINA",0)))</f>
        <v>0</v>
      </c>
      <c r="M91" s="627"/>
      <c r="N91" s="627"/>
      <c r="O91" s="627"/>
      <c r="P91" s="627"/>
      <c r="Q91" s="1261"/>
      <c r="S91" s="626"/>
      <c r="T91" s="947"/>
      <c r="U91" s="1758"/>
      <c r="V91" s="1759"/>
      <c r="W91" s="1759"/>
      <c r="X91" s="1759"/>
      <c r="Y91" s="1760"/>
      <c r="Z91" s="952"/>
      <c r="AA91" s="934">
        <f t="shared" si="0"/>
        <v>0</v>
      </c>
      <c r="AB91" s="934">
        <f t="shared" si="1"/>
        <v>0</v>
      </c>
      <c r="AC91" s="934">
        <f t="shared" si="2"/>
        <v>0</v>
      </c>
    </row>
    <row r="92" spans="2:29" ht="2.25" customHeight="1" x14ac:dyDescent="0.35">
      <c r="B92" s="106"/>
      <c r="C92" s="627"/>
      <c r="D92" s="627"/>
      <c r="E92" s="1306"/>
      <c r="F92" s="1307"/>
      <c r="G92" s="1307"/>
      <c r="H92" s="1307"/>
      <c r="I92" s="1307"/>
      <c r="J92" s="1307"/>
      <c r="K92" s="1308"/>
      <c r="L92" s="627"/>
      <c r="M92" s="627"/>
      <c r="N92" s="627"/>
      <c r="O92" s="627"/>
      <c r="P92" s="627"/>
      <c r="Q92" s="1261"/>
      <c r="Z92" s="951"/>
      <c r="AA92" s="5">
        <f t="shared" si="0"/>
        <v>0</v>
      </c>
      <c r="AB92" s="5">
        <f t="shared" si="1"/>
        <v>0</v>
      </c>
      <c r="AC92" s="5">
        <f t="shared" si="2"/>
        <v>0</v>
      </c>
    </row>
    <row r="93" spans="2:29" ht="5.25" customHeight="1" thickBot="1" x14ac:dyDescent="0.4">
      <c r="B93" s="110"/>
      <c r="C93" s="1266"/>
      <c r="D93" s="1266"/>
      <c r="E93" s="1266"/>
      <c r="F93" s="1266"/>
      <c r="G93" s="1266"/>
      <c r="H93" s="1266"/>
      <c r="I93" s="1266"/>
      <c r="J93" s="1266"/>
      <c r="K93" s="1266"/>
      <c r="L93" s="1266"/>
      <c r="M93" s="1266"/>
      <c r="N93" s="1266"/>
      <c r="O93" s="1266"/>
      <c r="P93" s="1266"/>
      <c r="Q93" s="1268"/>
      <c r="Z93" s="951"/>
      <c r="AA93" s="5">
        <f t="shared" si="0"/>
        <v>0</v>
      </c>
      <c r="AB93" s="5">
        <f t="shared" si="1"/>
        <v>0</v>
      </c>
      <c r="AC93" s="5">
        <f t="shared" si="2"/>
        <v>0</v>
      </c>
    </row>
    <row r="94" spans="2:29" ht="4.5" customHeight="1" thickBot="1" x14ac:dyDescent="0.4">
      <c r="B94" s="1"/>
      <c r="C94" s="634"/>
      <c r="D94" s="818"/>
      <c r="E94" s="977"/>
      <c r="F94" s="977"/>
      <c r="G94" s="977"/>
      <c r="H94" s="977"/>
      <c r="I94" s="977"/>
      <c r="J94" s="977"/>
      <c r="K94" s="734"/>
      <c r="L94" s="734"/>
      <c r="M94" s="627"/>
      <c r="N94" s="627"/>
      <c r="O94" s="627"/>
      <c r="P94" s="627"/>
      <c r="Q94" s="627"/>
      <c r="Z94" s="951"/>
      <c r="AA94" s="5">
        <f t="shared" si="0"/>
        <v>0</v>
      </c>
      <c r="AB94" s="5">
        <f t="shared" si="1"/>
        <v>0</v>
      </c>
      <c r="AC94" s="5">
        <f t="shared" si="2"/>
        <v>0</v>
      </c>
    </row>
    <row r="95" spans="2:29" ht="3" customHeight="1" x14ac:dyDescent="0.35">
      <c r="B95" s="103"/>
      <c r="C95" s="1271"/>
      <c r="D95" s="1271"/>
      <c r="E95" s="1271"/>
      <c r="F95" s="1271"/>
      <c r="G95" s="1271"/>
      <c r="H95" s="1271"/>
      <c r="I95" s="1271"/>
      <c r="J95" s="1271"/>
      <c r="K95" s="1271"/>
      <c r="L95" s="1271"/>
      <c r="M95" s="1271"/>
      <c r="N95" s="1271"/>
      <c r="O95" s="1271"/>
      <c r="P95" s="1271"/>
      <c r="Q95" s="1272"/>
      <c r="Z95" s="951"/>
      <c r="AA95" s="5">
        <f t="shared" si="0"/>
        <v>0</v>
      </c>
      <c r="AB95" s="5">
        <f t="shared" si="1"/>
        <v>0</v>
      </c>
      <c r="AC95" s="5">
        <f t="shared" si="2"/>
        <v>0</v>
      </c>
    </row>
    <row r="96" spans="2:29" x14ac:dyDescent="0.35">
      <c r="B96" s="106"/>
      <c r="C96" s="978" t="s">
        <v>1543</v>
      </c>
      <c r="D96" s="980"/>
      <c r="E96" s="980"/>
      <c r="F96" s="980"/>
      <c r="G96" s="980"/>
      <c r="H96" s="980"/>
      <c r="I96" s="646"/>
      <c r="J96" s="646"/>
      <c r="K96" s="646"/>
      <c r="L96" s="646"/>
      <c r="M96" s="646"/>
      <c r="N96" s="646"/>
      <c r="O96" s="646"/>
      <c r="P96" s="629"/>
      <c r="Q96" s="1261"/>
      <c r="R96" s="627"/>
      <c r="S96" s="626"/>
      <c r="T96" s="947"/>
      <c r="U96" s="1758"/>
      <c r="V96" s="1759"/>
      <c r="W96" s="1759"/>
      <c r="X96" s="1759"/>
      <c r="Y96" s="1760"/>
      <c r="Z96" s="952"/>
      <c r="AA96" s="934">
        <f t="shared" si="0"/>
        <v>0</v>
      </c>
      <c r="AB96" s="934">
        <f t="shared" si="1"/>
        <v>0</v>
      </c>
      <c r="AC96" s="934">
        <f t="shared" si="2"/>
        <v>0</v>
      </c>
    </row>
    <row r="97" spans="2:29" ht="3" customHeight="1" x14ac:dyDescent="0.35">
      <c r="B97" s="106"/>
      <c r="C97" s="627"/>
      <c r="D97" s="627"/>
      <c r="E97" s="627"/>
      <c r="F97" s="627"/>
      <c r="G97" s="636"/>
      <c r="H97" s="627"/>
      <c r="I97" s="627"/>
      <c r="J97" s="627"/>
      <c r="K97" s="627"/>
      <c r="L97" s="627"/>
      <c r="M97" s="627"/>
      <c r="N97" s="627"/>
      <c r="O97" s="627"/>
      <c r="P97" s="627"/>
      <c r="Q97" s="1261"/>
      <c r="R97" s="627"/>
      <c r="S97" s="627"/>
      <c r="Z97" s="951"/>
      <c r="AA97" s="5">
        <f t="shared" si="0"/>
        <v>0</v>
      </c>
      <c r="AB97" s="5">
        <f t="shared" si="1"/>
        <v>0</v>
      </c>
      <c r="AC97" s="5">
        <f t="shared" si="2"/>
        <v>0</v>
      </c>
    </row>
    <row r="98" spans="2:29" x14ac:dyDescent="0.35">
      <c r="B98" s="106"/>
      <c r="C98" s="633" t="s">
        <v>1544</v>
      </c>
      <c r="D98" s="646"/>
      <c r="E98" s="1288">
        <f ca="1">IF(N12=0,0,N12/I91)</f>
        <v>0.72067722139548374</v>
      </c>
      <c r="F98" s="627"/>
      <c r="G98" s="988"/>
      <c r="H98" s="627"/>
      <c r="I98" s="627"/>
      <c r="J98" s="627"/>
      <c r="K98" s="627"/>
      <c r="L98" s="627"/>
      <c r="M98" s="627"/>
      <c r="N98" s="627"/>
      <c r="O98" s="627"/>
      <c r="P98" s="627"/>
      <c r="Q98" s="1261"/>
      <c r="R98" s="627"/>
      <c r="S98" s="626"/>
      <c r="T98" s="947"/>
      <c r="U98" s="1758"/>
      <c r="V98" s="1759"/>
      <c r="W98" s="1759"/>
      <c r="X98" s="1759"/>
      <c r="Y98" s="1760"/>
      <c r="Z98" s="952"/>
      <c r="AA98" s="934">
        <f t="shared" si="0"/>
        <v>0</v>
      </c>
      <c r="AB98" s="934">
        <f t="shared" si="1"/>
        <v>0</v>
      </c>
      <c r="AC98" s="934">
        <f t="shared" si="2"/>
        <v>0</v>
      </c>
    </row>
    <row r="99" spans="2:29" ht="3" customHeight="1" x14ac:dyDescent="0.35">
      <c r="B99" s="106"/>
      <c r="C99" s="627"/>
      <c r="D99" s="627"/>
      <c r="E99" s="1297"/>
      <c r="F99" s="627"/>
      <c r="G99" s="988"/>
      <c r="H99" s="627"/>
      <c r="I99" s="627"/>
      <c r="J99" s="627"/>
      <c r="K99" s="627"/>
      <c r="L99" s="627"/>
      <c r="M99" s="627"/>
      <c r="N99" s="627"/>
      <c r="O99" s="627"/>
      <c r="P99" s="627"/>
      <c r="Q99" s="1261"/>
      <c r="R99" s="627"/>
      <c r="S99" s="627"/>
      <c r="Z99" s="951"/>
      <c r="AA99" s="5">
        <f t="shared" si="0"/>
        <v>0</v>
      </c>
      <c r="AB99" s="5">
        <f t="shared" si="1"/>
        <v>0</v>
      </c>
      <c r="AC99" s="5">
        <f t="shared" si="2"/>
        <v>0</v>
      </c>
    </row>
    <row r="100" spans="2:29" x14ac:dyDescent="0.35">
      <c r="B100" s="106"/>
      <c r="C100" s="633" t="s">
        <v>1475</v>
      </c>
      <c r="D100" s="646"/>
      <c r="E100" s="1288">
        <f ca="1">IF(N20=0,0,N20/I91)</f>
        <v>0.16140189089196416</v>
      </c>
      <c r="F100" s="627"/>
      <c r="G100" s="988"/>
      <c r="H100" s="1772" t="str">
        <f>IF(ENTRADAS!F22=0,0,"VALOR SOMENTE DAS PAREDES  para "&amp;ENTRADAS!F22&amp;" TQ ----------------------------------------------")</f>
        <v>VALOR SOMENTE DAS PAREDES  para 4 TQ ----------------------------------------------</v>
      </c>
      <c r="I100" s="1772"/>
      <c r="J100" s="1772"/>
      <c r="K100" s="1772"/>
      <c r="L100" s="1772"/>
      <c r="M100" s="1794">
        <f ca="1">IF(I91="OPS !!!!",0,I91-M102)</f>
        <v>43999999.997967348</v>
      </c>
      <c r="N100" s="1795"/>
      <c r="O100" s="1796"/>
      <c r="P100" s="356">
        <f ca="1">IF(M100=0,0,M100/I91)</f>
        <v>1</v>
      </c>
      <c r="Q100" s="1261"/>
      <c r="R100" s="627"/>
      <c r="S100" s="626"/>
      <c r="T100" s="947"/>
      <c r="U100" s="1758"/>
      <c r="V100" s="1759"/>
      <c r="W100" s="1759"/>
      <c r="X100" s="1759"/>
      <c r="Y100" s="1760"/>
      <c r="Z100" s="952"/>
      <c r="AA100" s="934">
        <f t="shared" si="0"/>
        <v>0</v>
      </c>
      <c r="AB100" s="934">
        <f t="shared" si="1"/>
        <v>0</v>
      </c>
      <c r="AC100" s="934">
        <f t="shared" si="2"/>
        <v>0</v>
      </c>
    </row>
    <row r="101" spans="2:29" ht="3" customHeight="1" x14ac:dyDescent="0.35">
      <c r="B101" s="106"/>
      <c r="C101" s="627"/>
      <c r="D101" s="627"/>
      <c r="E101" s="1297"/>
      <c r="F101" s="627"/>
      <c r="G101" s="988"/>
      <c r="H101" s="627"/>
      <c r="I101" s="627"/>
      <c r="J101" s="627"/>
      <c r="K101" s="627"/>
      <c r="L101" s="627"/>
      <c r="M101" s="627"/>
      <c r="N101" s="627"/>
      <c r="O101" s="627"/>
      <c r="P101" s="627"/>
      <c r="Q101" s="1261"/>
      <c r="R101" s="627"/>
      <c r="S101" s="627"/>
      <c r="Z101" s="951"/>
      <c r="AA101" s="5">
        <f t="shared" si="0"/>
        <v>0</v>
      </c>
      <c r="AB101" s="5">
        <f t="shared" si="1"/>
        <v>0</v>
      </c>
      <c r="AC101" s="5">
        <f t="shared" si="2"/>
        <v>0</v>
      </c>
    </row>
    <row r="102" spans="2:29" x14ac:dyDescent="0.35">
      <c r="B102" s="106"/>
      <c r="C102" s="633" t="s">
        <v>1545</v>
      </c>
      <c r="D102" s="646"/>
      <c r="E102" s="1288">
        <f ca="1">IF(N34=0,0,N34/I91)</f>
        <v>1.1343125214979204E-2</v>
      </c>
      <c r="F102" s="627"/>
      <c r="G102" s="988"/>
      <c r="H102" s="1772" t="str">
        <f>IF(ENTRADAS!F22=0,0,IF(ENTRADAS!D912="X","VALOR SOMENTE DA COBERTURA  para "&amp;ENTRADAS!F22&amp;" TQ ---------------------------------------------------------------------","NÃO HÁ COBERTURA------------------------------------------------------------------"))</f>
        <v>NÃO HÁ COBERTURA------------------------------------------------------------------</v>
      </c>
      <c r="I102" s="1772"/>
      <c r="J102" s="1772"/>
      <c r="K102" s="1772"/>
      <c r="L102" s="1772"/>
      <c r="M102" s="1794">
        <f ca="1">'FECHAMENTO cobertura'!I91</f>
        <v>0</v>
      </c>
      <c r="N102" s="1795"/>
      <c r="O102" s="1796"/>
      <c r="P102" s="356">
        <f ca="1">IF(M102=0,0,M102/I91)</f>
        <v>0</v>
      </c>
      <c r="Q102" s="1261"/>
      <c r="R102" s="627"/>
      <c r="S102" s="626"/>
      <c r="T102" s="947"/>
      <c r="U102" s="1758"/>
      <c r="V102" s="1759"/>
      <c r="W102" s="1759"/>
      <c r="X102" s="1759"/>
      <c r="Y102" s="1760"/>
      <c r="Z102" s="952"/>
      <c r="AA102" s="934">
        <f t="shared" si="0"/>
        <v>0</v>
      </c>
      <c r="AB102" s="934">
        <f t="shared" si="1"/>
        <v>0</v>
      </c>
      <c r="AC102" s="934">
        <f t="shared" si="2"/>
        <v>0</v>
      </c>
    </row>
    <row r="103" spans="2:29" ht="3" customHeight="1" x14ac:dyDescent="0.35">
      <c r="B103" s="106"/>
      <c r="C103" s="627"/>
      <c r="D103" s="627"/>
      <c r="E103" s="1297"/>
      <c r="F103" s="627"/>
      <c r="G103" s="988"/>
      <c r="H103" s="627"/>
      <c r="I103" s="627"/>
      <c r="J103" s="627"/>
      <c r="K103" s="627"/>
      <c r="L103" s="627"/>
      <c r="M103" s="627"/>
      <c r="N103" s="627"/>
      <c r="O103" s="627"/>
      <c r="P103" s="627"/>
      <c r="Q103" s="1261"/>
      <c r="R103" s="627"/>
      <c r="S103" s="627"/>
      <c r="Z103" s="951"/>
      <c r="AA103" s="5">
        <f t="shared" si="0"/>
        <v>0</v>
      </c>
      <c r="AB103" s="5">
        <f t="shared" si="1"/>
        <v>0</v>
      </c>
      <c r="AC103" s="5">
        <f t="shared" si="2"/>
        <v>0</v>
      </c>
    </row>
    <row r="104" spans="2:29" x14ac:dyDescent="0.35">
      <c r="B104" s="106"/>
      <c r="C104" s="633" t="s">
        <v>1546</v>
      </c>
      <c r="D104" s="646"/>
      <c r="E104" s="1288">
        <f ca="1">IF(N41=0,0,N41/I91)</f>
        <v>4.4666235151277689E-3</v>
      </c>
      <c r="F104" s="627"/>
      <c r="G104" s="636"/>
      <c r="H104" s="652"/>
      <c r="I104" s="652"/>
      <c r="J104" s="652"/>
      <c r="K104" s="652"/>
      <c r="L104" s="652"/>
      <c r="M104" s="652"/>
      <c r="N104" s="652"/>
      <c r="O104" s="652"/>
      <c r="P104" s="652"/>
      <c r="Q104" s="1309"/>
      <c r="R104" s="627"/>
      <c r="S104" s="626"/>
      <c r="T104" s="947"/>
      <c r="U104" s="1758"/>
      <c r="V104" s="1759"/>
      <c r="W104" s="1759"/>
      <c r="X104" s="1759"/>
      <c r="Y104" s="1760"/>
      <c r="Z104" s="952"/>
      <c r="AA104" s="934">
        <f t="shared" si="0"/>
        <v>0</v>
      </c>
      <c r="AB104" s="934">
        <f t="shared" si="1"/>
        <v>0</v>
      </c>
      <c r="AC104" s="934">
        <f t="shared" si="2"/>
        <v>0</v>
      </c>
    </row>
    <row r="105" spans="2:29" ht="3" customHeight="1" x14ac:dyDescent="0.35">
      <c r="B105" s="106"/>
      <c r="C105" s="627"/>
      <c r="D105" s="627"/>
      <c r="E105" s="1297"/>
      <c r="F105" s="627"/>
      <c r="G105" s="988"/>
      <c r="H105" s="627"/>
      <c r="I105" s="627"/>
      <c r="J105" s="627"/>
      <c r="K105" s="627"/>
      <c r="L105" s="627"/>
      <c r="M105" s="627"/>
      <c r="N105" s="627"/>
      <c r="O105" s="627"/>
      <c r="P105" s="627"/>
      <c r="Q105" s="1261"/>
      <c r="R105" s="627"/>
      <c r="S105" s="627"/>
      <c r="AA105">
        <f t="shared" ref="AA105" si="3">IF(T103=0,0,IF(S105="F",T105))</f>
        <v>0</v>
      </c>
    </row>
    <row r="106" spans="2:29" x14ac:dyDescent="0.35">
      <c r="B106" s="106"/>
      <c r="C106" s="633" t="s">
        <v>1547</v>
      </c>
      <c r="D106" s="646"/>
      <c r="E106" s="1288">
        <f ca="1">IF(M75=0,0,M75/I91)</f>
        <v>0.10211113898244525</v>
      </c>
      <c r="F106" s="627"/>
      <c r="G106" s="988"/>
      <c r="H106" s="627"/>
      <c r="I106" s="627"/>
      <c r="J106" s="627"/>
      <c r="K106" s="627"/>
      <c r="L106" s="627"/>
      <c r="M106" s="627"/>
      <c r="N106" s="627"/>
      <c r="O106" s="627"/>
      <c r="P106" s="627"/>
      <c r="Q106" s="1261"/>
      <c r="R106" s="627"/>
      <c r="S106" s="948" t="s">
        <v>1047</v>
      </c>
      <c r="T106" s="652"/>
      <c r="U106" s="652" t="s">
        <v>1548</v>
      </c>
      <c r="V106" s="14"/>
      <c r="W106" s="15"/>
    </row>
    <row r="107" spans="2:29" ht="3" customHeight="1" thickBot="1" x14ac:dyDescent="0.4">
      <c r="B107" s="110"/>
      <c r="C107" s="1266"/>
      <c r="D107" s="1266"/>
      <c r="E107" s="1266"/>
      <c r="F107" s="1266"/>
      <c r="G107" s="637"/>
      <c r="H107" s="749"/>
      <c r="I107" s="749"/>
      <c r="J107" s="749"/>
      <c r="K107" s="749"/>
      <c r="L107" s="749"/>
      <c r="M107" s="749"/>
      <c r="N107" s="749"/>
      <c r="O107" s="749"/>
      <c r="P107" s="749"/>
      <c r="Q107" s="1310"/>
      <c r="S107" s="265"/>
      <c r="W107" s="16"/>
    </row>
    <row r="108" spans="2:29" ht="4.5" customHeight="1" thickBot="1" x14ac:dyDescent="0.4">
      <c r="B108" s="1"/>
      <c r="C108" s="634"/>
      <c r="D108" s="818"/>
      <c r="E108" s="977"/>
      <c r="F108" s="977"/>
      <c r="G108" s="977"/>
      <c r="H108" s="977"/>
      <c r="I108" s="977"/>
      <c r="J108" s="977"/>
      <c r="K108" s="734"/>
      <c r="L108" s="734"/>
      <c r="M108" s="627"/>
      <c r="N108" s="627"/>
      <c r="O108" s="627"/>
      <c r="P108" s="627"/>
      <c r="Q108" s="627"/>
      <c r="S108" s="265"/>
      <c r="W108" s="16"/>
    </row>
    <row r="109" spans="2:29" ht="3" customHeight="1" x14ac:dyDescent="0.35">
      <c r="B109" s="103"/>
      <c r="C109" s="1271"/>
      <c r="D109" s="1271"/>
      <c r="E109" s="1271"/>
      <c r="F109" s="1271"/>
      <c r="G109" s="1271"/>
      <c r="H109" s="1271"/>
      <c r="I109" s="1271"/>
      <c r="J109" s="1271"/>
      <c r="K109" s="1271"/>
      <c r="L109" s="1271"/>
      <c r="M109" s="1271"/>
      <c r="N109" s="1271"/>
      <c r="O109" s="1271"/>
      <c r="P109" s="1271"/>
      <c r="Q109" s="1272"/>
      <c r="S109" s="265"/>
      <c r="W109" s="16"/>
    </row>
    <row r="110" spans="2:29" ht="11.25" customHeight="1" x14ac:dyDescent="0.35">
      <c r="B110" s="106"/>
      <c r="C110" s="1797" t="s">
        <v>1549</v>
      </c>
      <c r="D110" s="1798"/>
      <c r="E110" s="1798"/>
      <c r="F110" s="1798"/>
      <c r="G110" s="1798"/>
      <c r="H110" s="1798"/>
      <c r="I110" s="1798"/>
      <c r="J110" s="1798"/>
      <c r="K110" s="1799"/>
      <c r="L110" s="1201" t="str">
        <f>IF(ENTRADAS!D912=0,"paredes","paredes + ")</f>
        <v>paredes</v>
      </c>
      <c r="M110" s="1458"/>
      <c r="N110" s="1802"/>
      <c r="O110" s="1781" t="s">
        <v>1550</v>
      </c>
      <c r="P110" s="1781" t="s">
        <v>1551</v>
      </c>
      <c r="Q110" s="1261"/>
      <c r="S110" s="949" t="s">
        <v>1050</v>
      </c>
      <c r="T110" s="749"/>
      <c r="U110" s="749" t="s">
        <v>1552</v>
      </c>
      <c r="V110" s="3"/>
      <c r="W110" s="17"/>
    </row>
    <row r="111" spans="2:29" ht="10.5" customHeight="1" x14ac:dyDescent="0.35">
      <c r="B111" s="106"/>
      <c r="C111" s="1800"/>
      <c r="D111" s="1801"/>
      <c r="E111" s="1801"/>
      <c r="F111" s="1801"/>
      <c r="G111" s="1801"/>
      <c r="H111" s="1801"/>
      <c r="I111" s="1801"/>
      <c r="J111" s="1801"/>
      <c r="K111" s="1426"/>
      <c r="L111" s="639" t="str">
        <f>IF(ENTRADAS!D912=0,"sem cobertura","cobertura")</f>
        <v>sem cobertura</v>
      </c>
      <c r="M111" s="1341"/>
      <c r="N111" s="1803"/>
      <c r="O111" s="1782"/>
      <c r="P111" s="1782"/>
      <c r="Q111" s="1261"/>
    </row>
    <row r="112" spans="2:29" ht="3" customHeight="1" x14ac:dyDescent="0.35">
      <c r="B112" s="106"/>
      <c r="C112" s="627"/>
      <c r="D112" s="627"/>
      <c r="E112" s="627"/>
      <c r="F112" s="627"/>
      <c r="G112" s="627"/>
      <c r="H112" s="627"/>
      <c r="I112" s="627"/>
      <c r="J112" s="627"/>
      <c r="K112" s="627"/>
      <c r="L112" s="627"/>
      <c r="M112" s="627"/>
      <c r="N112" s="627"/>
      <c r="O112" s="1311"/>
      <c r="P112" s="1311"/>
      <c r="Q112" s="1261"/>
    </row>
    <row r="113" spans="2:17" x14ac:dyDescent="0.35">
      <c r="B113" s="106"/>
      <c r="C113" s="1758" t="str">
        <f>IF(ENTRADAS!D912="x","PREÇO DE CUSTO / m² de PAINEL FABRICADO E COBERTURA SEM IMPOSTOS","PREÇO DE CUSTO / m² de PAINEL FABRICADO SEM IMPOSTOS")</f>
        <v>PREÇO DE CUSTO / m² de PAINEL FABRICADO SEM IMPOSTOS</v>
      </c>
      <c r="D113" s="1770"/>
      <c r="E113" s="1770"/>
      <c r="F113" s="1770"/>
      <c r="G113" s="1770"/>
      <c r="H113" s="1770"/>
      <c r="I113" s="1770"/>
      <c r="J113" s="1770"/>
      <c r="K113" s="1771"/>
      <c r="L113" s="934">
        <f ca="1">IF((N12+N34+N41)=0,0,(N12+N34+N41)/(CÁLCULOS!F83+LAJES!AK4))</f>
        <v>7458.164559404222</v>
      </c>
      <c r="M113" s="1783" t="s">
        <v>1553</v>
      </c>
      <c r="N113" s="1784"/>
      <c r="O113" s="494">
        <f ca="1">IF(L113=0,0,IF(M102=0,(N12+N34+N41)/(CÁLCULOS!F83),((N12+N34+N41)-('FECHAMENTO cobertura'!N12+'FECHAMENTO cobertura'!N34+'FECHAMENTO cobertura'!N41))/CÁLCULOS!F83))</f>
        <v>7458.164559404222</v>
      </c>
      <c r="P113" s="494">
        <f ca="1">'FECHAMENTO cobertura'!L112</f>
        <v>0</v>
      </c>
      <c r="Q113" s="1261"/>
    </row>
    <row r="114" spans="2:17" ht="3" customHeight="1" x14ac:dyDescent="0.35">
      <c r="B114" s="106"/>
      <c r="C114" s="627"/>
      <c r="D114" s="627"/>
      <c r="E114" s="627"/>
      <c r="F114" s="627"/>
      <c r="G114" s="627"/>
      <c r="H114" s="627"/>
      <c r="I114" s="627"/>
      <c r="J114" s="627"/>
      <c r="K114" s="627"/>
      <c r="L114" s="5"/>
      <c r="M114" s="916"/>
      <c r="N114" s="916"/>
      <c r="O114" s="5"/>
      <c r="P114" s="5"/>
      <c r="Q114" s="1261"/>
    </row>
    <row r="115" spans="2:17" x14ac:dyDescent="0.35">
      <c r="B115" s="106"/>
      <c r="C115" s="1758" t="str">
        <f>IF(ENTRADAS!D912="x","PREÇO DE CUSTO / m² de PAINEL FABRICADO E COBERTURA COM IMPOSTOS","PREÇO DE CUSTO / m² de PAINEL FABRICADO COM IMPOSTOS")</f>
        <v>PREÇO DE CUSTO / m² de PAINEL FABRICADO COM IMPOSTOS</v>
      </c>
      <c r="D115" s="1770"/>
      <c r="E115" s="1770"/>
      <c r="F115" s="1770"/>
      <c r="G115" s="1770"/>
      <c r="H115" s="1770"/>
      <c r="I115" s="1770"/>
      <c r="J115" s="1770"/>
      <c r="K115" s="1771"/>
      <c r="L115" s="934">
        <f ca="1">IF((N12+N34+N41+M75)=0,0,(N12+N34+N41+M75)/(CÁLCULOS!F83+LAJES!AK4))</f>
        <v>8492.2109292258174</v>
      </c>
      <c r="M115" s="1783" t="s">
        <v>1553</v>
      </c>
      <c r="N115" s="1784"/>
      <c r="O115" s="494">
        <f ca="1">IF(L115=0,0,IF(M102=0,(N12+N34+N41+M75)/(CÁLCULOS!F83),((N12+N34+N41+M75)-('FECHAMENTO cobertura'!N12+'FECHAMENTO cobertura'!N34+'FECHAMENTO cobertura'!N41+'FECHAMENTO cobertura'!M75))/(CÁLCULOS!F83)))</f>
        <v>8492.2109292258174</v>
      </c>
      <c r="P115" s="494">
        <f ca="1">'FECHAMENTO cobertura'!L114</f>
        <v>0</v>
      </c>
      <c r="Q115" s="1261"/>
    </row>
    <row r="116" spans="2:17" ht="9.9499999999999993" customHeight="1" x14ac:dyDescent="0.35">
      <c r="B116" s="106"/>
      <c r="C116" s="627"/>
      <c r="D116" s="627"/>
      <c r="E116" s="627"/>
      <c r="F116" s="627"/>
      <c r="G116" s="627"/>
      <c r="H116" s="627"/>
      <c r="I116" s="627"/>
      <c r="J116" s="627"/>
      <c r="K116" s="627"/>
      <c r="L116" s="5"/>
      <c r="M116" s="916"/>
      <c r="N116" s="916"/>
      <c r="O116" s="5"/>
      <c r="P116" s="5"/>
      <c r="Q116" s="1261"/>
    </row>
    <row r="117" spans="2:17" x14ac:dyDescent="0.35">
      <c r="B117" s="106"/>
      <c r="C117" s="1758" t="str">
        <f>IF(ENTRADAS!D912="x","PREÇO DE CUSTO / m³  de PAINEL FABRICADO E COBERTURA SEM IMPOSTOS","PREÇO DE CUSTO / m³  de PAINEL FABRICADO SEM IMPOSTOS")</f>
        <v>PREÇO DE CUSTO / m³  de PAINEL FABRICADO SEM IMPOSTOS</v>
      </c>
      <c r="D117" s="1770"/>
      <c r="E117" s="1770"/>
      <c r="F117" s="1770"/>
      <c r="G117" s="1770"/>
      <c r="H117" s="1770"/>
      <c r="I117" s="1770"/>
      <c r="J117" s="1770"/>
      <c r="K117" s="1771"/>
      <c r="L117" s="934">
        <f ca="1">IF((N12+N34+N41)=0,0,(N12+N34+N41)/(O38+LAJES!C53+LAJES!C60+LAJES!C66+LAJES!C72))</f>
        <v>12402.897456757319</v>
      </c>
      <c r="M117" s="1783" t="s">
        <v>1554</v>
      </c>
      <c r="N117" s="1784"/>
      <c r="O117" s="494">
        <f ca="1">IF(L117=0,0,IF(M102=0,(N12+N34+N41)/(O38),((N12+N34+N41)-('FECHAMENTO cobertura'!N12+'FECHAMENTO cobertura'!N34+'FECHAMENTO cobertura'!N41))/(O38+LAJES!C53+LAJES!C60+LAJES!C66+LAJES!C72)))</f>
        <v>12402.897456757319</v>
      </c>
      <c r="P117" s="494">
        <f ca="1">'FECHAMENTO cobertura'!L116</f>
        <v>0</v>
      </c>
      <c r="Q117" s="1261"/>
    </row>
    <row r="118" spans="2:17" ht="3" customHeight="1" x14ac:dyDescent="0.35">
      <c r="B118" s="106"/>
      <c r="C118" s="627"/>
      <c r="D118" s="627"/>
      <c r="E118" s="627"/>
      <c r="F118" s="627"/>
      <c r="G118" s="627"/>
      <c r="H118" s="627"/>
      <c r="I118" s="627"/>
      <c r="J118" s="627"/>
      <c r="K118" s="627"/>
      <c r="L118" s="5"/>
      <c r="M118" s="916"/>
      <c r="N118" s="916"/>
      <c r="O118" s="5"/>
      <c r="P118" s="5"/>
      <c r="Q118" s="1261"/>
    </row>
    <row r="119" spans="2:17" x14ac:dyDescent="0.35">
      <c r="B119" s="106"/>
      <c r="C119" s="1758" t="str">
        <f>IF(ENTRADAS!D912="x","PREÇO DE CUSTO / m³ de PAINEL FABRICADO E COBERTURA COM IMPOSTOS","PREÇO DE CUSTO / m³ de PAINEL FABRICADO COM IMPOSTOS")</f>
        <v>PREÇO DE CUSTO / m³ de PAINEL FABRICADO COM IMPOSTOS</v>
      </c>
      <c r="D119" s="1770"/>
      <c r="E119" s="1770"/>
      <c r="F119" s="1770"/>
      <c r="G119" s="1770"/>
      <c r="H119" s="1770"/>
      <c r="I119" s="1770"/>
      <c r="J119" s="1770"/>
      <c r="K119" s="1771"/>
      <c r="L119" s="934">
        <f ca="1">IF((N12+N34+N41+M75)=0,0,(N12+N34+N41+M75)/(O38+LAJES!C53+LAJES!C60+LAJES!C66+LAJES!C72))</f>
        <v>14122.512381887625</v>
      </c>
      <c r="M119" s="1783" t="s">
        <v>1554</v>
      </c>
      <c r="N119" s="1784"/>
      <c r="O119" s="494">
        <f ca="1">IF(L119=0,0,IF(M102=0,(N12+N34+N41+M75)/(O38),((N12+N34+N41+M75)-('FECHAMENTO cobertura'!N12+'FECHAMENTO cobertura'!N34+'FECHAMENTO cobertura'!N41+'FECHAMENTO cobertura'!M75))/(O38)))</f>
        <v>14122.512381887625</v>
      </c>
      <c r="P119" s="494">
        <f ca="1">'FECHAMENTO cobertura'!L118</f>
        <v>0</v>
      </c>
      <c r="Q119" s="1261"/>
    </row>
    <row r="120" spans="2:17" ht="9.9499999999999993" customHeight="1" x14ac:dyDescent="0.35">
      <c r="B120" s="106"/>
      <c r="C120" s="627"/>
      <c r="D120" s="627"/>
      <c r="E120" s="627"/>
      <c r="F120" s="627"/>
      <c r="G120" s="627"/>
      <c r="H120" s="627"/>
      <c r="I120" s="627"/>
      <c r="J120" s="627"/>
      <c r="K120" s="627"/>
      <c r="L120" s="5"/>
      <c r="M120" s="916"/>
      <c r="N120" s="916"/>
      <c r="O120" s="5"/>
      <c r="P120" s="5"/>
      <c r="Q120" s="1261"/>
    </row>
    <row r="121" spans="2:17" x14ac:dyDescent="0.35">
      <c r="B121" s="106"/>
      <c r="C121" s="1785" t="str">
        <f>IF(ENTRADAS!D912="x","PREÇO DE VENDA FINAL  / m² de PAINEL FABRICADO E COBERTURA INCLUINDO IMPOSTOS","PREÇO DE VENDA FINAL  / m² de PAINEL FABRICADO")</f>
        <v>PREÇO DE VENDA FINAL  / m² de PAINEL FABRICADO</v>
      </c>
      <c r="D121" s="1786"/>
      <c r="E121" s="1786"/>
      <c r="F121" s="1786"/>
      <c r="G121" s="1786"/>
      <c r="H121" s="1786"/>
      <c r="I121" s="1786"/>
      <c r="J121" s="1786"/>
      <c r="K121" s="1787"/>
      <c r="L121" s="1312">
        <f ca="1">IF(I91="OPS !!!!",0,IF(I91=0,0,I91/(CÁLCULOS!F83+LAJES!AK4)))</f>
        <v>10126.675504024743</v>
      </c>
      <c r="M121" s="1783" t="s">
        <v>1553</v>
      </c>
      <c r="N121" s="1784"/>
      <c r="O121" s="494">
        <f ca="1">IF(I91="OPS !!!!",0,IF(I91=0,0,M100/CÁLCULOS!F83))</f>
        <v>10126.675504024743</v>
      </c>
      <c r="P121" s="494">
        <f ca="1">IF(I91=0,0,'FECHAMENTO cobertura'!L120)</f>
        <v>0</v>
      </c>
      <c r="Q121" s="1261"/>
    </row>
    <row r="122" spans="2:17" ht="7.5" customHeight="1" x14ac:dyDescent="0.35">
      <c r="B122" s="106"/>
      <c r="C122" s="627"/>
      <c r="D122" s="627"/>
      <c r="E122" s="627"/>
      <c r="F122" s="627"/>
      <c r="G122" s="627"/>
      <c r="H122" s="627"/>
      <c r="I122" s="627"/>
      <c r="J122" s="627"/>
      <c r="K122" s="627"/>
      <c r="L122" s="5"/>
      <c r="M122" s="916"/>
      <c r="N122" s="916"/>
      <c r="O122" s="5"/>
      <c r="P122" s="5"/>
      <c r="Q122" s="1261"/>
    </row>
    <row r="123" spans="2:17" x14ac:dyDescent="0.35">
      <c r="B123" s="106"/>
      <c r="C123" s="1788" t="str">
        <f>IF(ENTRADAS!D912="x","PREÇO DE VENDA FINAL / m³ de PAINEL FABRICADO E COBERTURA INCLUINDO IMPOSTOS","PREÇO DE VENDA FINAL / m³ de PAINEL FABRICADO")</f>
        <v>PREÇO DE VENDA FINAL / m³ de PAINEL FABRICADO</v>
      </c>
      <c r="D123" s="1789"/>
      <c r="E123" s="1789"/>
      <c r="F123" s="1789"/>
      <c r="G123" s="1789"/>
      <c r="H123" s="1789"/>
      <c r="I123" s="1789"/>
      <c r="J123" s="1789"/>
      <c r="K123" s="1790"/>
      <c r="L123" s="1313">
        <f ca="1">IF(I91="OPS !!!!",0,IF(I91=0,0,I91/(O38+LAJES!C53+LAJES!C60+LAJES!C66+LAJES!C72)))</f>
        <v>16840.620350204284</v>
      </c>
      <c r="M123" s="1783" t="s">
        <v>1554</v>
      </c>
      <c r="N123" s="1784"/>
      <c r="O123" s="494">
        <f ca="1">IF(I91="OPS !!!!",0,IF(I91=0,0,M100/O38))</f>
        <v>16840.620350204284</v>
      </c>
      <c r="P123" s="494">
        <f ca="1">IF(I91=0,0,'FECHAMENTO cobertura'!L122)</f>
        <v>0</v>
      </c>
      <c r="Q123" s="1261"/>
    </row>
    <row r="124" spans="2:17" ht="3" customHeight="1" thickBot="1" x14ac:dyDescent="0.4">
      <c r="B124" s="110"/>
      <c r="C124" s="115"/>
      <c r="D124" s="115"/>
      <c r="E124" s="115"/>
      <c r="F124" s="115"/>
      <c r="G124" s="115"/>
      <c r="H124" s="115"/>
      <c r="I124" s="115"/>
      <c r="J124" s="115"/>
      <c r="K124" s="115"/>
      <c r="L124" s="115"/>
      <c r="M124" s="115"/>
      <c r="N124" s="115"/>
      <c r="O124" s="115"/>
      <c r="P124" s="115"/>
      <c r="Q124" s="116"/>
    </row>
    <row r="132" ht="5.45" customHeight="1" x14ac:dyDescent="0.35"/>
    <row r="134" ht="6" customHeight="1" x14ac:dyDescent="0.35"/>
    <row r="136" ht="6" customHeight="1" x14ac:dyDescent="0.35"/>
    <row r="138" ht="6.6" customHeight="1" x14ac:dyDescent="0.35"/>
  </sheetData>
  <sheetProtection algorithmName="SHA-512" hashValue="yxws/pPzECUgFTihJWT2g5gsCmpgt2Gktyvwf0xvbX9nZLrZrQe68OzZ15uahoVt1DRCalIl5kO1p/sciVujyQ==" saltValue="b8SImQAlkZiQf0LHRTFRZw==" spinCount="100000" sheet="1" objects="1" scenarios="1"/>
  <protectedRanges>
    <protectedRange sqref="U34" name="Intervalo7"/>
    <protectedRange sqref="P88:P89" name="Intervalo6"/>
    <protectedRange sqref="I62:I70 I59" name="Intervalo4"/>
    <protectedRange sqref="D64:D72" name="Intervalo3"/>
    <protectedRange sqref="G17 I87 U34" name="Intervalo1"/>
    <protectedRange sqref="G31 E50 E54" name="Intervalo2"/>
    <protectedRange sqref="E38" name="Intervalo5"/>
    <protectedRange sqref="P9" name="Intervalo8"/>
    <protectedRange sqref="S58 W62 S66:Z104" name="Intervalo9"/>
  </protectedRanges>
  <mergeCells count="135">
    <mergeCell ref="S31:U33"/>
    <mergeCell ref="S26:U26"/>
    <mergeCell ref="C12:D12"/>
    <mergeCell ref="G12:H12"/>
    <mergeCell ref="C20:D20"/>
    <mergeCell ref="G20:H20"/>
    <mergeCell ref="C27:D27"/>
    <mergeCell ref="G27:H27"/>
    <mergeCell ref="H9:O9"/>
    <mergeCell ref="C33:E33"/>
    <mergeCell ref="G33:J33"/>
    <mergeCell ref="L33:P33"/>
    <mergeCell ref="I20:J20"/>
    <mergeCell ref="N20:P20"/>
    <mergeCell ref="I27:J27"/>
    <mergeCell ref="N27:P27"/>
    <mergeCell ref="C31:F31"/>
    <mergeCell ref="C24:F24"/>
    <mergeCell ref="C26:E26"/>
    <mergeCell ref="G26:J26"/>
    <mergeCell ref="L26:P26"/>
    <mergeCell ref="B2:D5"/>
    <mergeCell ref="E2:L3"/>
    <mergeCell ref="G19:J19"/>
    <mergeCell ref="L19:P19"/>
    <mergeCell ref="L13:O13"/>
    <mergeCell ref="C9:F9"/>
    <mergeCell ref="C11:E11"/>
    <mergeCell ref="O2:Q2"/>
    <mergeCell ref="O3:Q3"/>
    <mergeCell ref="M4:Q4"/>
    <mergeCell ref="M5:Q5"/>
    <mergeCell ref="N12:P12"/>
    <mergeCell ref="M2:N2"/>
    <mergeCell ref="G11:J11"/>
    <mergeCell ref="L11:P11"/>
    <mergeCell ref="G13:I13"/>
    <mergeCell ref="I12:J12"/>
    <mergeCell ref="C13:D13"/>
    <mergeCell ref="M3:N3"/>
    <mergeCell ref="F4:L4"/>
    <mergeCell ref="C19:E19"/>
    <mergeCell ref="F5:L5"/>
    <mergeCell ref="C17:F17"/>
    <mergeCell ref="D34:E34"/>
    <mergeCell ref="L87:M87"/>
    <mergeCell ref="L84:P84"/>
    <mergeCell ref="C77:E77"/>
    <mergeCell ref="C47:E47"/>
    <mergeCell ref="G47:J47"/>
    <mergeCell ref="L47:P47"/>
    <mergeCell ref="C45:F45"/>
    <mergeCell ref="J38:M38"/>
    <mergeCell ref="C40:E40"/>
    <mergeCell ref="D41:E41"/>
    <mergeCell ref="I41:J41"/>
    <mergeCell ref="N34:P34"/>
    <mergeCell ref="N41:P41"/>
    <mergeCell ref="N48:P48"/>
    <mergeCell ref="I34:J34"/>
    <mergeCell ref="L40:P40"/>
    <mergeCell ref="G40:J40"/>
    <mergeCell ref="C38:D38"/>
    <mergeCell ref="M110:N111"/>
    <mergeCell ref="O110:O111"/>
    <mergeCell ref="M100:O100"/>
    <mergeCell ref="I48:J48"/>
    <mergeCell ref="H74:J74"/>
    <mergeCell ref="C60:E60"/>
    <mergeCell ref="H60:J60"/>
    <mergeCell ref="C54:D54"/>
    <mergeCell ref="C58:F58"/>
    <mergeCell ref="D48:E48"/>
    <mergeCell ref="D89:O89"/>
    <mergeCell ref="I75:J75"/>
    <mergeCell ref="D85:E85"/>
    <mergeCell ref="I85:J85"/>
    <mergeCell ref="N66:O66"/>
    <mergeCell ref="N68:O68"/>
    <mergeCell ref="N85:P85"/>
    <mergeCell ref="H84:J84"/>
    <mergeCell ref="C82:F82"/>
    <mergeCell ref="C74:E74"/>
    <mergeCell ref="D75:E75"/>
    <mergeCell ref="M75:P75"/>
    <mergeCell ref="N87:P87"/>
    <mergeCell ref="L74:P74"/>
    <mergeCell ref="H100:L100"/>
    <mergeCell ref="H102:L102"/>
    <mergeCell ref="D88:O88"/>
    <mergeCell ref="D78:E78"/>
    <mergeCell ref="H77:J77"/>
    <mergeCell ref="I78:J78"/>
    <mergeCell ref="P110:P111"/>
    <mergeCell ref="C84:E84"/>
    <mergeCell ref="M123:N123"/>
    <mergeCell ref="M117:N117"/>
    <mergeCell ref="M119:N119"/>
    <mergeCell ref="M121:N121"/>
    <mergeCell ref="M113:N113"/>
    <mergeCell ref="M115:N115"/>
    <mergeCell ref="C119:K119"/>
    <mergeCell ref="C121:K121"/>
    <mergeCell ref="C123:K123"/>
    <mergeCell ref="C113:K113"/>
    <mergeCell ref="C115:K115"/>
    <mergeCell ref="C117:K117"/>
    <mergeCell ref="E91:H91"/>
    <mergeCell ref="I91:J91"/>
    <mergeCell ref="M102:O102"/>
    <mergeCell ref="C110:K111"/>
    <mergeCell ref="U98:Y98"/>
    <mergeCell ref="U100:Y100"/>
    <mergeCell ref="U102:Y102"/>
    <mergeCell ref="U104:Y104"/>
    <mergeCell ref="L51:N51"/>
    <mergeCell ref="L53:N53"/>
    <mergeCell ref="U78:Y78"/>
    <mergeCell ref="U82:Y82"/>
    <mergeCell ref="U84:Y84"/>
    <mergeCell ref="U85:Y85"/>
    <mergeCell ref="U87:Y87"/>
    <mergeCell ref="U88:Y88"/>
    <mergeCell ref="U89:Y89"/>
    <mergeCell ref="U91:Y91"/>
    <mergeCell ref="U96:Y96"/>
    <mergeCell ref="V58:X60"/>
    <mergeCell ref="U64:Y64"/>
    <mergeCell ref="U66:Y66"/>
    <mergeCell ref="U68:Y68"/>
    <mergeCell ref="U70:Y70"/>
    <mergeCell ref="U72:Y72"/>
    <mergeCell ref="U74:Y74"/>
    <mergeCell ref="U75:Y75"/>
    <mergeCell ref="U77:Y77"/>
  </mergeCells>
  <conditionalFormatting sqref="C13:J13">
    <cfRule type="expression" dxfId="135" priority="50">
      <formula>IF($P$9="x",1,0)</formula>
    </cfRule>
  </conditionalFormatting>
  <conditionalFormatting sqref="E12">
    <cfRule type="expression" dxfId="134" priority="52">
      <formula>IF($P$9="x",1,0)</formula>
    </cfRule>
  </conditionalFormatting>
  <conditionalFormatting sqref="E20">
    <cfRule type="expression" dxfId="133" priority="48">
      <formula>IF($P$9="x",1,0)</formula>
    </cfRule>
  </conditionalFormatting>
  <conditionalFormatting sqref="E27">
    <cfRule type="expression" dxfId="132" priority="46">
      <formula>IF($P$9="x",1,0)</formula>
    </cfRule>
  </conditionalFormatting>
  <conditionalFormatting sqref="E50">
    <cfRule type="cellIs" dxfId="131" priority="42" stopIfTrue="1" operator="equal">
      <formula>0</formula>
    </cfRule>
    <cfRule type="cellIs" dxfId="130" priority="41" stopIfTrue="1" operator="equal">
      <formula>0</formula>
    </cfRule>
  </conditionalFormatting>
  <conditionalFormatting sqref="E54">
    <cfRule type="cellIs" dxfId="129" priority="39" stopIfTrue="1" operator="equal">
      <formula>0</formula>
    </cfRule>
    <cfRule type="cellIs" dxfId="128" priority="40" stopIfTrue="1" operator="equal">
      <formula>0</formula>
    </cfRule>
  </conditionalFormatting>
  <conditionalFormatting sqref="G17">
    <cfRule type="cellIs" dxfId="127" priority="86" stopIfTrue="1" operator="equal">
      <formula>0</formula>
    </cfRule>
    <cfRule type="cellIs" dxfId="126" priority="87" stopIfTrue="1" operator="equal">
      <formula>0</formula>
    </cfRule>
  </conditionalFormatting>
  <conditionalFormatting sqref="G31">
    <cfRule type="cellIs" dxfId="125" priority="81" stopIfTrue="1" operator="equal">
      <formula>0</formula>
    </cfRule>
    <cfRule type="cellIs" dxfId="124" priority="80" stopIfTrue="1" operator="equal">
      <formula>0</formula>
    </cfRule>
  </conditionalFormatting>
  <conditionalFormatting sqref="G50:G54">
    <cfRule type="expression" dxfId="123" priority="21">
      <formula>IF($P$9="x",0,IF($L$51+$L$53&gt;0,1,0))</formula>
    </cfRule>
  </conditionalFormatting>
  <conditionalFormatting sqref="H50:J50">
    <cfRule type="expression" dxfId="122" priority="19">
      <formula>IF($P$9="X",0,IF($L$51+$L$53&gt;0,1,0))</formula>
    </cfRule>
  </conditionalFormatting>
  <conditionalFormatting sqref="H9:O9">
    <cfRule type="expression" dxfId="121" priority="49">
      <formula>IF($P$9="x",1,0)</formula>
    </cfRule>
  </conditionalFormatting>
  <conditionalFormatting sqref="I59">
    <cfRule type="cellIs" dxfId="120" priority="60" operator="equal">
      <formula>0</formula>
    </cfRule>
  </conditionalFormatting>
  <conditionalFormatting sqref="I62">
    <cfRule type="cellIs" dxfId="119" priority="53" operator="equal">
      <formula>0</formula>
    </cfRule>
  </conditionalFormatting>
  <conditionalFormatting sqref="I87">
    <cfRule type="cellIs" dxfId="118" priority="75" stopIfTrue="1" operator="equal">
      <formula>0</formula>
    </cfRule>
    <cfRule type="cellIs" dxfId="117" priority="74" stopIfTrue="1" operator="equal">
      <formula>0</formula>
    </cfRule>
  </conditionalFormatting>
  <conditionalFormatting sqref="I12:J12">
    <cfRule type="expression" dxfId="116" priority="51">
      <formula>IF($P$9="x",1,0)</formula>
    </cfRule>
  </conditionalFormatting>
  <conditionalFormatting sqref="I20:J20">
    <cfRule type="expression" dxfId="115" priority="47">
      <formula>IF($P$9="x",1,0)</formula>
    </cfRule>
  </conditionalFormatting>
  <conditionalFormatting sqref="I27:J27">
    <cfRule type="expression" dxfId="114" priority="45">
      <formula>IF($P$9="x",1,0)</formula>
    </cfRule>
  </conditionalFormatting>
  <conditionalFormatting sqref="K17:P17">
    <cfRule type="expression" dxfId="113" priority="68" stopIfTrue="1">
      <formula>IF($G$17=0,1,0)</formula>
    </cfRule>
  </conditionalFormatting>
  <conditionalFormatting sqref="O50:O54">
    <cfRule type="expression" dxfId="112" priority="20">
      <formula>IF($P$9="x",0,IF($L$51+$L$53&gt;0,1,0))</formula>
    </cfRule>
  </conditionalFormatting>
  <conditionalFormatting sqref="P88">
    <cfRule type="cellIs" dxfId="111" priority="70" stopIfTrue="1" operator="equal">
      <formula>$U$85</formula>
    </cfRule>
  </conditionalFormatting>
  <conditionalFormatting sqref="P88:P89">
    <cfRule type="expression" dxfId="110" priority="71" stopIfTrue="1">
      <formula>IF($D$89&lt;&gt;0,1,0)</formula>
    </cfRule>
  </conditionalFormatting>
  <conditionalFormatting sqref="S58">
    <cfRule type="cellIs" dxfId="109" priority="23" operator="equal">
      <formula>0</formula>
    </cfRule>
  </conditionalFormatting>
  <conditionalFormatting sqref="S66:Z66">
    <cfRule type="cellIs" dxfId="108" priority="38" operator="equal">
      <formula>0</formula>
    </cfRule>
  </conditionalFormatting>
  <conditionalFormatting sqref="S68:Z68">
    <cfRule type="cellIs" dxfId="107" priority="18" operator="equal">
      <formula>0</formula>
    </cfRule>
  </conditionalFormatting>
  <conditionalFormatting sqref="S70:Z70">
    <cfRule type="cellIs" dxfId="106" priority="17" operator="equal">
      <formula>0</formula>
    </cfRule>
  </conditionalFormatting>
  <conditionalFormatting sqref="S72:Z72">
    <cfRule type="cellIs" dxfId="105" priority="16" operator="equal">
      <formula>0</formula>
    </cfRule>
  </conditionalFormatting>
  <conditionalFormatting sqref="S74:Z75">
    <cfRule type="cellIs" dxfId="104" priority="14" operator="equal">
      <formula>0</formula>
    </cfRule>
  </conditionalFormatting>
  <conditionalFormatting sqref="S77:Z78">
    <cfRule type="cellIs" dxfId="103" priority="13" operator="equal">
      <formula>0</formula>
    </cfRule>
  </conditionalFormatting>
  <conditionalFormatting sqref="S82:Z82">
    <cfRule type="cellIs" dxfId="102" priority="12" operator="equal">
      <formula>0</formula>
    </cfRule>
  </conditionalFormatting>
  <conditionalFormatting sqref="S84:Z84 Z85">
    <cfRule type="cellIs" dxfId="101" priority="3" operator="equal">
      <formula>0</formula>
    </cfRule>
  </conditionalFormatting>
  <conditionalFormatting sqref="S87:Z89">
    <cfRule type="cellIs" dxfId="100" priority="10" operator="equal">
      <formula>0</formula>
    </cfRule>
  </conditionalFormatting>
  <conditionalFormatting sqref="S91:Z91">
    <cfRule type="cellIs" dxfId="99" priority="9" operator="equal">
      <formula>0</formula>
    </cfRule>
  </conditionalFormatting>
  <conditionalFormatting sqref="S96:Z96">
    <cfRule type="cellIs" dxfId="98" priority="8" operator="equal">
      <formula>0</formula>
    </cfRule>
  </conditionalFormatting>
  <conditionalFormatting sqref="S98:Z98">
    <cfRule type="cellIs" dxfId="97" priority="7" operator="equal">
      <formula>0</formula>
    </cfRule>
  </conditionalFormatting>
  <conditionalFormatting sqref="S100:Z100">
    <cfRule type="cellIs" dxfId="96" priority="6" operator="equal">
      <formula>0</formula>
    </cfRule>
  </conditionalFormatting>
  <conditionalFormatting sqref="S102:Z102">
    <cfRule type="cellIs" dxfId="95" priority="5" operator="equal">
      <formula>0</formula>
    </cfRule>
  </conditionalFormatting>
  <conditionalFormatting sqref="S104:Z104">
    <cfRule type="cellIs" dxfId="94" priority="4" operator="equal">
      <formula>0</formula>
    </cfRule>
  </conditionalFormatting>
  <conditionalFormatting sqref="U34">
    <cfRule type="cellIs" dxfId="93" priority="66" stopIfTrue="1" operator="equal">
      <formula>0</formula>
    </cfRule>
    <cfRule type="cellIs" dxfId="92" priority="65" stopIfTrue="1" operator="equal">
      <formula>0</formula>
    </cfRule>
  </conditionalFormatting>
  <conditionalFormatting sqref="W62">
    <cfRule type="cellIs" dxfId="91" priority="22" operator="equal">
      <formula>0</formula>
    </cfRule>
  </conditionalFormatting>
  <dataValidations disablePrompts="1" count="3">
    <dataValidation type="list" allowBlank="1" showInputMessage="1" showErrorMessage="1" sqref="P88:P89" xr:uid="{00000000-0002-0000-0200-000000000000}">
      <formula1>$U$85</formula1>
    </dataValidation>
    <dataValidation type="list" allowBlank="1" showInputMessage="1" showErrorMessage="1" sqref="S58" xr:uid="{1D20E961-6801-475C-95D6-6603F520CC66}">
      <formula1>$S$2</formula1>
    </dataValidation>
    <dataValidation type="list" allowBlank="1" showInputMessage="1" showErrorMessage="1" error="F ou M" sqref="S104 S66 S68 S70 S72 S74:S75 S77:S78 S82 S84:S85 S87:S89 S91 S96 S98 S100 S102" xr:uid="{490BD440-91D7-4856-8694-4506436D3BCE}">
      <formula1>$U$2:$U$3</formula1>
    </dataValidation>
  </dataValidations>
  <printOptions horizontalCentered="1"/>
  <pageMargins left="0.59055118110236227" right="0.11811023622047245" top="0.19685039370078741" bottom="0.19685039370078741" header="0.31496062992125984" footer="0.31496062992125984"/>
  <pageSetup paperSize="9" scale="75" orientation="portrait" verticalDpi="4294967294"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6"/>
  <dimension ref="B1:W123"/>
  <sheetViews>
    <sheetView showGridLines="0" showZeros="0" zoomScaleNormal="100" workbookViewId="0">
      <selection activeCell="M12" sqref="M12"/>
    </sheetView>
  </sheetViews>
  <sheetFormatPr defaultRowHeight="12.75" x14ac:dyDescent="0.35"/>
  <cols>
    <col min="1" max="1" width="1.1328125" customWidth="1"/>
    <col min="2" max="2" width="0.59765625" customWidth="1"/>
    <col min="3" max="3" width="11.3984375" customWidth="1"/>
    <col min="4" max="4" width="9.3984375" customWidth="1"/>
    <col min="5" max="5" width="17.86328125" customWidth="1"/>
    <col min="6" max="6" width="1.3984375" customWidth="1"/>
    <col min="7" max="7" width="4.3984375" customWidth="1"/>
    <col min="8" max="8" width="12.59765625" customWidth="1"/>
    <col min="9" max="9" width="7.1328125" customWidth="1"/>
    <col min="10" max="10" width="13.59765625" customWidth="1"/>
    <col min="11" max="11" width="1.59765625" customWidth="1"/>
    <col min="12" max="12" width="13.1328125" customWidth="1"/>
    <col min="13" max="13" width="3.59765625" customWidth="1"/>
    <col min="14" max="14" width="6.3984375" customWidth="1"/>
    <col min="15" max="15" width="7.86328125" customWidth="1"/>
    <col min="16" max="16" width="8.86328125" customWidth="1"/>
    <col min="17" max="17" width="1" customWidth="1"/>
    <col min="20" max="20" width="11.59765625" bestFit="1" customWidth="1"/>
    <col min="21" max="21" width="15.86328125" customWidth="1"/>
  </cols>
  <sheetData>
    <row r="1" spans="2:17" ht="3" customHeight="1" thickBot="1" x14ac:dyDescent="0.4"/>
    <row r="2" spans="2:17" ht="12" customHeight="1" x14ac:dyDescent="0.35">
      <c r="B2" s="1823"/>
      <c r="C2" s="1824"/>
      <c r="D2" s="1825"/>
      <c r="E2" s="1830" t="s">
        <v>1462</v>
      </c>
      <c r="F2" s="1831"/>
      <c r="G2" s="1831"/>
      <c r="H2" s="1831"/>
      <c r="I2" s="1831"/>
      <c r="J2" s="1831"/>
      <c r="K2" s="1831"/>
      <c r="L2" s="1832"/>
      <c r="M2" s="1394" t="s">
        <v>1</v>
      </c>
      <c r="N2" s="1395"/>
      <c r="O2" s="1833">
        <f>CÁLCULOS!O1</f>
        <v>45638</v>
      </c>
      <c r="P2" s="1833"/>
      <c r="Q2" s="1834"/>
    </row>
    <row r="3" spans="2:17" ht="12" customHeight="1" x14ac:dyDescent="0.35">
      <c r="B3" s="1826"/>
      <c r="C3" s="1537"/>
      <c r="D3" s="1538"/>
      <c r="E3" s="1333"/>
      <c r="F3" s="1334"/>
      <c r="G3" s="1334"/>
      <c r="H3" s="1334"/>
      <c r="I3" s="1334"/>
      <c r="J3" s="1334"/>
      <c r="K3" s="1334"/>
      <c r="L3" s="1335"/>
      <c r="M3" s="1373" t="s">
        <v>3</v>
      </c>
      <c r="N3" s="1377"/>
      <c r="O3" s="1835">
        <f>CÁLCULOS!O2</f>
        <v>3</v>
      </c>
      <c r="P3" s="1835"/>
      <c r="Q3" s="1836"/>
    </row>
    <row r="4" spans="2:17" ht="12" customHeight="1" x14ac:dyDescent="0.35">
      <c r="B4" s="1826"/>
      <c r="C4" s="1537"/>
      <c r="D4" s="1538"/>
      <c r="E4" s="985" t="s">
        <v>5</v>
      </c>
      <c r="F4" s="1500" t="str">
        <f>CÁLCULOS!F3</f>
        <v>Passarelli</v>
      </c>
      <c r="G4" s="1500"/>
      <c r="H4" s="1500"/>
      <c r="I4" s="1500"/>
      <c r="J4" s="1500"/>
      <c r="K4" s="1500"/>
      <c r="L4" s="1501"/>
      <c r="M4" s="1373" t="s">
        <v>844</v>
      </c>
      <c r="N4" s="1377"/>
      <c r="O4" s="1377"/>
      <c r="P4" s="1377"/>
      <c r="Q4" s="1380"/>
    </row>
    <row r="5" spans="2:17" ht="12" customHeight="1" thickBot="1" x14ac:dyDescent="0.4">
      <c r="B5" s="1827"/>
      <c r="C5" s="1828"/>
      <c r="D5" s="1829"/>
      <c r="E5" s="1194" t="s">
        <v>7</v>
      </c>
      <c r="F5" s="1846" t="str">
        <f>CÁLCULOS!F4</f>
        <v>12 tqs Nereda</v>
      </c>
      <c r="G5" s="1846"/>
      <c r="H5" s="1846"/>
      <c r="I5" s="1846"/>
      <c r="J5" s="1846"/>
      <c r="K5" s="1846"/>
      <c r="L5" s="1847"/>
      <c r="M5" s="1397" t="str">
        <f>CÁLCULOS!M4</f>
        <v>São Paulo - Tatuapé</v>
      </c>
      <c r="N5" s="1398"/>
      <c r="O5" s="1398"/>
      <c r="P5" s="1398"/>
      <c r="Q5" s="1399"/>
    </row>
    <row r="6" spans="2:17" ht="3" customHeight="1" x14ac:dyDescent="0.35">
      <c r="B6" s="1"/>
      <c r="C6" s="1"/>
      <c r="D6" s="1"/>
      <c r="E6" s="818"/>
      <c r="F6" s="977"/>
      <c r="G6" s="977"/>
      <c r="H6" s="977"/>
      <c r="I6" s="977"/>
      <c r="J6" s="977"/>
      <c r="K6" s="977"/>
      <c r="L6" s="977"/>
      <c r="M6" s="131"/>
      <c r="N6" s="131"/>
      <c r="O6" s="131"/>
      <c r="P6" s="131"/>
    </row>
    <row r="7" spans="2:17" ht="4.5" customHeight="1" thickBot="1" x14ac:dyDescent="0.4">
      <c r="B7" s="1"/>
      <c r="C7" s="1"/>
      <c r="D7" s="818"/>
      <c r="E7" s="977"/>
      <c r="F7" s="977"/>
      <c r="G7" s="977"/>
      <c r="H7" s="977"/>
      <c r="I7" s="977"/>
      <c r="J7" s="977"/>
      <c r="K7" s="131"/>
      <c r="L7" s="131"/>
    </row>
    <row r="8" spans="2:17" ht="8.25" customHeight="1" x14ac:dyDescent="0.35">
      <c r="B8" s="92"/>
      <c r="C8" s="93"/>
      <c r="D8" s="1195"/>
      <c r="E8" s="1196"/>
      <c r="F8" s="1196"/>
      <c r="G8" s="1196"/>
      <c r="H8" s="1196"/>
      <c r="I8" s="1196"/>
      <c r="J8" s="1196"/>
      <c r="K8" s="137"/>
      <c r="L8" s="137"/>
      <c r="M8" s="104"/>
      <c r="N8" s="104"/>
      <c r="O8" s="104"/>
      <c r="P8" s="104"/>
      <c r="Q8" s="105"/>
    </row>
    <row r="9" spans="2:17" ht="14.25" customHeight="1" x14ac:dyDescent="0.35">
      <c r="B9" s="94"/>
      <c r="C9" s="1887" t="s">
        <v>1463</v>
      </c>
      <c r="D9" s="1888"/>
      <c r="E9" s="1888"/>
      <c r="F9" s="1888"/>
      <c r="G9" s="83"/>
      <c r="H9" s="646"/>
      <c r="I9" s="646"/>
      <c r="J9" s="10"/>
      <c r="K9" s="10"/>
      <c r="L9" s="10"/>
      <c r="M9" s="10"/>
      <c r="N9" s="10"/>
      <c r="O9" s="10"/>
      <c r="P9" s="6"/>
      <c r="Q9" s="107"/>
    </row>
    <row r="10" spans="2:17" ht="3" customHeight="1" x14ac:dyDescent="0.35">
      <c r="B10" s="94"/>
      <c r="C10" s="132"/>
      <c r="D10" s="132"/>
      <c r="E10" s="132"/>
      <c r="F10" s="132"/>
      <c r="G10" s="109"/>
      <c r="H10" s="627"/>
      <c r="I10" s="627"/>
      <c r="Q10" s="107"/>
    </row>
    <row r="11" spans="2:17" ht="14.25" customHeight="1" x14ac:dyDescent="0.35">
      <c r="B11" s="94"/>
      <c r="C11" s="1896" t="s">
        <v>1466</v>
      </c>
      <c r="D11" s="1897"/>
      <c r="E11" s="1898"/>
      <c r="F11" s="109"/>
      <c r="G11" s="1896" t="s">
        <v>1467</v>
      </c>
      <c r="H11" s="1897"/>
      <c r="I11" s="1897"/>
      <c r="J11" s="1898"/>
      <c r="L11" s="1896" t="s">
        <v>1468</v>
      </c>
      <c r="M11" s="1897"/>
      <c r="N11" s="1897"/>
      <c r="O11" s="1897"/>
      <c r="P11" s="1898"/>
      <c r="Q11" s="107"/>
    </row>
    <row r="12" spans="2:17" ht="13.5" x14ac:dyDescent="0.35">
      <c r="B12" s="106"/>
      <c r="C12" s="133"/>
      <c r="D12" s="134"/>
      <c r="E12" s="135">
        <f ca="1">INSUMOS!V278</f>
        <v>0</v>
      </c>
      <c r="F12" s="109"/>
      <c r="G12" s="133"/>
      <c r="H12" s="134"/>
      <c r="I12" s="1894">
        <f ca="1">INSUMOS!V280</f>
        <v>0</v>
      </c>
      <c r="J12" s="1895"/>
      <c r="L12" s="141"/>
      <c r="M12" s="136"/>
      <c r="N12" s="1904">
        <f ca="1">E12+I12</f>
        <v>0</v>
      </c>
      <c r="O12" s="1904"/>
      <c r="P12" s="1905"/>
      <c r="Q12" s="107"/>
    </row>
    <row r="13" spans="2:17" ht="13.5" x14ac:dyDescent="0.35">
      <c r="B13" s="106"/>
      <c r="C13" s="1899" t="s">
        <v>1470</v>
      </c>
      <c r="D13" s="1900"/>
      <c r="E13" s="138">
        <f ca="1">IF(E12=0,0,E12/N12)</f>
        <v>0</v>
      </c>
      <c r="F13" s="109"/>
      <c r="G13" s="1899" t="s">
        <v>1470</v>
      </c>
      <c r="H13" s="1900"/>
      <c r="I13" s="1901"/>
      <c r="J13" s="138">
        <f ca="1">IF(I12=0,0,I12/N12)</f>
        <v>0</v>
      </c>
      <c r="K13" s="109"/>
      <c r="L13" s="1320"/>
      <c r="M13" s="1321"/>
      <c r="N13" s="1321"/>
      <c r="O13" s="1321"/>
      <c r="P13" s="139"/>
      <c r="Q13" s="107"/>
    </row>
    <row r="14" spans="2:17" ht="3" customHeight="1" thickBot="1" x14ac:dyDescent="0.4">
      <c r="B14" s="110"/>
      <c r="C14" s="111"/>
      <c r="D14" s="111"/>
      <c r="E14" s="140"/>
      <c r="F14" s="113"/>
      <c r="G14" s="111"/>
      <c r="H14" s="111"/>
      <c r="I14" s="111"/>
      <c r="J14" s="140"/>
      <c r="K14" s="113"/>
      <c r="L14" s="111"/>
      <c r="M14" s="111"/>
      <c r="N14" s="111"/>
      <c r="O14" s="111"/>
      <c r="P14" s="142"/>
      <c r="Q14" s="116"/>
    </row>
    <row r="15" spans="2:17" ht="4.5" customHeight="1" thickBot="1" x14ac:dyDescent="0.4">
      <c r="B15" s="1"/>
      <c r="C15" s="1"/>
      <c r="D15" s="818"/>
      <c r="E15" s="977"/>
      <c r="F15" s="977"/>
      <c r="G15" s="977"/>
      <c r="H15" s="977"/>
      <c r="I15" s="977"/>
      <c r="J15" s="977"/>
      <c r="K15" s="131"/>
      <c r="L15" s="131"/>
    </row>
    <row r="16" spans="2:17" ht="3" customHeight="1" x14ac:dyDescent="0.35">
      <c r="B16" s="92"/>
      <c r="C16" s="93"/>
      <c r="D16" s="1195"/>
      <c r="E16" s="1196"/>
      <c r="F16" s="1196"/>
      <c r="G16" s="1196"/>
      <c r="H16" s="1196"/>
      <c r="I16" s="1196"/>
      <c r="J16" s="1196"/>
      <c r="K16" s="137"/>
      <c r="L16" s="137"/>
      <c r="M16" s="104"/>
      <c r="N16" s="104"/>
      <c r="O16" s="104"/>
      <c r="P16" s="104"/>
      <c r="Q16" s="105"/>
    </row>
    <row r="17" spans="2:17" ht="13.5" x14ac:dyDescent="0.35">
      <c r="B17" s="106"/>
      <c r="C17" s="1902" t="s">
        <v>1555</v>
      </c>
      <c r="D17" s="1903"/>
      <c r="E17" s="1903"/>
      <c r="F17" s="1903"/>
      <c r="G17" s="248">
        <f>FECHAMENTO!G17</f>
        <v>23</v>
      </c>
      <c r="H17" s="248" t="s">
        <v>130</v>
      </c>
      <c r="I17" s="248"/>
      <c r="J17" s="248"/>
      <c r="K17" s="248"/>
      <c r="L17" s="248"/>
      <c r="M17" s="248"/>
      <c r="N17" s="248"/>
      <c r="O17" s="248"/>
      <c r="P17" s="249"/>
      <c r="Q17" s="107"/>
    </row>
    <row r="18" spans="2:17" ht="3.75" customHeight="1" x14ac:dyDescent="0.35">
      <c r="B18" s="108"/>
      <c r="C18" s="25"/>
      <c r="Q18" s="107"/>
    </row>
    <row r="19" spans="2:17" ht="17.25" customHeight="1" x14ac:dyDescent="0.35">
      <c r="B19" s="108"/>
      <c r="C19" s="1896" t="s">
        <v>1466</v>
      </c>
      <c r="D19" s="1897"/>
      <c r="E19" s="1898"/>
      <c r="F19" s="109"/>
      <c r="G19" s="1896" t="s">
        <v>1467</v>
      </c>
      <c r="H19" s="1897"/>
      <c r="I19" s="1897"/>
      <c r="J19" s="1898"/>
      <c r="L19" s="1896" t="s">
        <v>1468</v>
      </c>
      <c r="M19" s="1897"/>
      <c r="N19" s="1897"/>
      <c r="O19" s="1897"/>
      <c r="P19" s="1898"/>
      <c r="Q19" s="107"/>
    </row>
    <row r="20" spans="2:17" ht="12.75" customHeight="1" x14ac:dyDescent="0.35">
      <c r="B20" s="106"/>
      <c r="C20" s="133"/>
      <c r="D20" s="134"/>
      <c r="E20" s="135">
        <f ca="1">E12*G17/100</f>
        <v>0</v>
      </c>
      <c r="F20" s="109"/>
      <c r="G20" s="133" t="s">
        <v>1475</v>
      </c>
      <c r="H20" s="134"/>
      <c r="I20" s="1894">
        <f ca="1">I12*G17/100</f>
        <v>0</v>
      </c>
      <c r="J20" s="1895"/>
      <c r="L20" s="133" t="s">
        <v>1475</v>
      </c>
      <c r="M20" s="134"/>
      <c r="N20" s="1894">
        <f ca="1">E20+I20</f>
        <v>0</v>
      </c>
      <c r="O20" s="1894"/>
      <c r="P20" s="1895"/>
      <c r="Q20" s="107"/>
    </row>
    <row r="21" spans="2:17" ht="3" customHeight="1" thickBot="1" x14ac:dyDescent="0.4">
      <c r="B21" s="110"/>
      <c r="C21" s="115"/>
      <c r="D21" s="115"/>
      <c r="E21" s="115"/>
      <c r="F21" s="115"/>
      <c r="G21" s="115"/>
      <c r="H21" s="115"/>
      <c r="I21" s="115"/>
      <c r="J21" s="115"/>
      <c r="K21" s="115"/>
      <c r="L21" s="115"/>
      <c r="M21" s="115"/>
      <c r="N21" s="115"/>
      <c r="O21" s="115"/>
      <c r="P21" s="115"/>
      <c r="Q21" s="116"/>
    </row>
    <row r="22" spans="2:17" ht="4.5" customHeight="1" thickBot="1" x14ac:dyDescent="0.4">
      <c r="B22" s="1"/>
      <c r="C22" s="1"/>
      <c r="D22" s="818"/>
      <c r="E22" s="977"/>
      <c r="F22" s="977"/>
      <c r="G22" s="977"/>
      <c r="H22" s="977"/>
      <c r="I22" s="977"/>
      <c r="J22" s="977"/>
      <c r="K22" s="131"/>
      <c r="L22" s="131"/>
    </row>
    <row r="23" spans="2:17" ht="3" customHeight="1" x14ac:dyDescent="0.35">
      <c r="B23" s="103"/>
      <c r="C23" s="104"/>
      <c r="D23" s="104"/>
      <c r="E23" s="104"/>
      <c r="F23" s="104"/>
      <c r="G23" s="104"/>
      <c r="H23" s="104"/>
      <c r="I23" s="104"/>
      <c r="J23" s="104"/>
      <c r="K23" s="104"/>
      <c r="L23" s="104"/>
      <c r="M23" s="104"/>
      <c r="N23" s="104"/>
      <c r="O23" s="104"/>
      <c r="P23" s="104"/>
      <c r="Q23" s="105"/>
    </row>
    <row r="24" spans="2:17" ht="12.75" customHeight="1" x14ac:dyDescent="0.35">
      <c r="B24" s="106"/>
      <c r="C24" s="1887" t="s">
        <v>1476</v>
      </c>
      <c r="D24" s="1888"/>
      <c r="E24" s="1888"/>
      <c r="F24" s="1888"/>
      <c r="G24" s="83"/>
      <c r="H24" s="646"/>
      <c r="I24" s="646"/>
      <c r="J24" s="10"/>
      <c r="K24" s="10"/>
      <c r="L24" s="10"/>
      <c r="M24" s="10"/>
      <c r="N24" s="10"/>
      <c r="O24" s="10"/>
      <c r="P24" s="6"/>
      <c r="Q24" s="107"/>
    </row>
    <row r="25" spans="2:17" ht="3" customHeight="1" x14ac:dyDescent="0.35">
      <c r="B25" s="106"/>
      <c r="Q25" s="107"/>
    </row>
    <row r="26" spans="2:17" ht="12.75" customHeight="1" x14ac:dyDescent="0.35">
      <c r="B26" s="106"/>
      <c r="C26" s="1896" t="s">
        <v>1466</v>
      </c>
      <c r="D26" s="1897"/>
      <c r="E26" s="1898"/>
      <c r="F26" s="109"/>
      <c r="G26" s="1896" t="s">
        <v>1467</v>
      </c>
      <c r="H26" s="1897"/>
      <c r="I26" s="1897"/>
      <c r="J26" s="1898"/>
      <c r="L26" s="1896" t="s">
        <v>1468</v>
      </c>
      <c r="M26" s="1897"/>
      <c r="N26" s="1897"/>
      <c r="O26" s="1897"/>
      <c r="P26" s="1898"/>
      <c r="Q26" s="107"/>
    </row>
    <row r="27" spans="2:17" ht="12.75" customHeight="1" x14ac:dyDescent="0.35">
      <c r="B27" s="106"/>
      <c r="C27" s="133"/>
      <c r="D27" s="134"/>
      <c r="E27" s="135">
        <f ca="1">E12+E20</f>
        <v>0</v>
      </c>
      <c r="F27" s="109"/>
      <c r="G27" s="133"/>
      <c r="H27" s="134"/>
      <c r="I27" s="1894">
        <f ca="1">I12+I20</f>
        <v>0</v>
      </c>
      <c r="J27" s="1895"/>
      <c r="L27" s="133"/>
      <c r="M27" s="134"/>
      <c r="N27" s="1894">
        <f ca="1">N12+N20</f>
        <v>0</v>
      </c>
      <c r="O27" s="1894"/>
      <c r="P27" s="1895"/>
      <c r="Q27" s="107"/>
    </row>
    <row r="28" spans="2:17" ht="4.5" customHeight="1" thickBot="1" x14ac:dyDescent="0.4">
      <c r="B28" s="110"/>
      <c r="C28" s="111"/>
      <c r="D28" s="111"/>
      <c r="E28" s="112"/>
      <c r="F28" s="113"/>
      <c r="G28" s="111"/>
      <c r="H28" s="111"/>
      <c r="I28" s="114"/>
      <c r="J28" s="114"/>
      <c r="K28" s="115"/>
      <c r="L28" s="111"/>
      <c r="M28" s="111"/>
      <c r="N28" s="114"/>
      <c r="O28" s="114"/>
      <c r="P28" s="114"/>
      <c r="Q28" s="116"/>
    </row>
    <row r="29" spans="2:17" ht="4.5" customHeight="1" thickBot="1" x14ac:dyDescent="0.4">
      <c r="B29" s="1"/>
      <c r="C29" s="1"/>
      <c r="D29" s="818"/>
      <c r="E29" s="977"/>
      <c r="F29" s="977"/>
      <c r="G29" s="977"/>
      <c r="H29" s="977"/>
      <c r="I29" s="977"/>
      <c r="J29" s="977"/>
      <c r="K29" s="131"/>
      <c r="L29" s="131"/>
    </row>
    <row r="30" spans="2:17" ht="3" customHeight="1" x14ac:dyDescent="0.35">
      <c r="B30" s="103"/>
      <c r="C30" s="104"/>
      <c r="D30" s="104"/>
      <c r="E30" s="104"/>
      <c r="F30" s="104"/>
      <c r="G30" s="104"/>
      <c r="H30" s="104"/>
      <c r="I30" s="104"/>
      <c r="J30" s="104"/>
      <c r="K30" s="104"/>
      <c r="L30" s="104"/>
      <c r="M30" s="104"/>
      <c r="N30" s="104"/>
      <c r="O30" s="104"/>
      <c r="P30" s="104"/>
      <c r="Q30" s="105"/>
    </row>
    <row r="31" spans="2:17" ht="13.5" x14ac:dyDescent="0.35">
      <c r="B31" s="106"/>
      <c r="C31" s="1871" t="s">
        <v>1479</v>
      </c>
      <c r="D31" s="1872"/>
      <c r="E31" s="1872"/>
      <c r="F31" s="1872"/>
      <c r="G31" s="10">
        <f>FECHAMENTO!G31</f>
        <v>5</v>
      </c>
      <c r="H31" s="646" t="s">
        <v>130</v>
      </c>
      <c r="I31" s="646"/>
      <c r="J31" s="10"/>
      <c r="K31" s="10"/>
      <c r="L31" s="10"/>
      <c r="M31" s="10"/>
      <c r="N31" s="10"/>
      <c r="O31" s="10"/>
      <c r="P31" s="6"/>
      <c r="Q31" s="107"/>
    </row>
    <row r="32" spans="2:17" ht="3" customHeight="1" x14ac:dyDescent="0.35">
      <c r="B32" s="106"/>
      <c r="C32" s="85"/>
      <c r="D32" s="91"/>
      <c r="E32" s="91"/>
      <c r="F32" s="652"/>
      <c r="G32" s="652"/>
      <c r="H32" s="652"/>
      <c r="I32" s="652"/>
      <c r="J32" s="14"/>
      <c r="L32" s="14"/>
      <c r="M32" s="14"/>
      <c r="N32" s="14"/>
      <c r="O32" s="14"/>
      <c r="Q32" s="107"/>
    </row>
    <row r="33" spans="2:23" ht="13.5" x14ac:dyDescent="0.35">
      <c r="B33" s="106"/>
      <c r="C33" s="1860"/>
      <c r="D33" s="1861"/>
      <c r="E33" s="1862"/>
      <c r="G33" s="1860" t="s">
        <v>1494</v>
      </c>
      <c r="H33" s="1861"/>
      <c r="I33" s="1861"/>
      <c r="J33" s="1862"/>
      <c r="L33" s="1860" t="s">
        <v>1481</v>
      </c>
      <c r="M33" s="1861"/>
      <c r="N33" s="1861"/>
      <c r="O33" s="1861"/>
      <c r="P33" s="1862"/>
      <c r="Q33" s="107"/>
    </row>
    <row r="34" spans="2:23" ht="13.5" x14ac:dyDescent="0.35">
      <c r="B34" s="106"/>
      <c r="C34" s="89"/>
      <c r="D34" s="1863"/>
      <c r="E34" s="1864"/>
      <c r="G34" s="18"/>
      <c r="H34" s="90"/>
      <c r="I34" s="1883">
        <f ca="1">G31*E27/100</f>
        <v>0</v>
      </c>
      <c r="J34" s="1889"/>
      <c r="L34" s="18"/>
      <c r="M34" s="3"/>
      <c r="N34" s="1890">
        <f ca="1">I34</f>
        <v>0</v>
      </c>
      <c r="O34" s="1890"/>
      <c r="P34" s="1891"/>
      <c r="Q34" s="107"/>
    </row>
    <row r="35" spans="2:23" ht="3" customHeight="1" thickBot="1" x14ac:dyDescent="0.4">
      <c r="B35" s="110"/>
      <c r="C35" s="117"/>
      <c r="D35" s="118"/>
      <c r="E35" s="118"/>
      <c r="F35" s="115"/>
      <c r="G35" s="115"/>
      <c r="H35" s="117"/>
      <c r="I35" s="119"/>
      <c r="J35" s="119"/>
      <c r="K35" s="115"/>
      <c r="L35" s="115"/>
      <c r="M35" s="115"/>
      <c r="N35" s="120"/>
      <c r="O35" s="120"/>
      <c r="P35" s="120"/>
      <c r="Q35" s="116"/>
    </row>
    <row r="36" spans="2:23" ht="4.5" customHeight="1" thickBot="1" x14ac:dyDescent="0.4">
      <c r="B36" s="1"/>
      <c r="C36" s="1"/>
      <c r="D36" s="818"/>
      <c r="E36" s="977"/>
      <c r="F36" s="977"/>
      <c r="G36" s="977"/>
      <c r="H36" s="977"/>
      <c r="I36" s="977"/>
      <c r="J36" s="977"/>
      <c r="K36" s="131"/>
      <c r="L36" s="131"/>
    </row>
    <row r="37" spans="2:23" ht="3" customHeight="1" x14ac:dyDescent="0.35">
      <c r="B37" s="103"/>
      <c r="C37" s="104"/>
      <c r="D37" s="104"/>
      <c r="E37" s="104"/>
      <c r="F37" s="104"/>
      <c r="G37" s="104"/>
      <c r="H37" s="104"/>
      <c r="I37" s="104"/>
      <c r="J37" s="104"/>
      <c r="K37" s="104"/>
      <c r="L37" s="104"/>
      <c r="M37" s="104"/>
      <c r="N37" s="104"/>
      <c r="O37" s="104"/>
      <c r="P37" s="104"/>
      <c r="Q37" s="105"/>
      <c r="S37" s="178"/>
      <c r="T37" s="178"/>
      <c r="U37" s="178"/>
      <c r="V37" s="178"/>
      <c r="W37" s="178"/>
    </row>
    <row r="38" spans="2:23" ht="13.5" x14ac:dyDescent="0.35">
      <c r="B38" s="106"/>
      <c r="C38" s="1871" t="s">
        <v>1482</v>
      </c>
      <c r="D38" s="1872"/>
      <c r="E38" s="87">
        <f ca="1">U53</f>
        <v>501.47140577041125</v>
      </c>
      <c r="F38" s="86" t="s">
        <v>1483</v>
      </c>
      <c r="G38" s="83"/>
      <c r="H38" s="10"/>
      <c r="I38" s="6"/>
      <c r="J38" s="1892" t="s">
        <v>1556</v>
      </c>
      <c r="K38" s="1893"/>
      <c r="L38" s="1893"/>
      <c r="M38" s="1893"/>
      <c r="N38" s="85"/>
      <c r="O38" s="88"/>
      <c r="P38" s="84" t="s">
        <v>31</v>
      </c>
      <c r="Q38" s="107"/>
      <c r="S38" s="1197" t="s">
        <v>1485</v>
      </c>
      <c r="T38" s="179">
        <f ca="1">INSUMOS!Q331+INSUMOS!Q356</f>
        <v>2509040.54</v>
      </c>
      <c r="U38" s="178"/>
      <c r="V38" s="178"/>
      <c r="W38" s="178"/>
    </row>
    <row r="39" spans="2:23" ht="3.75" customHeight="1" x14ac:dyDescent="0.35">
      <c r="B39" s="106"/>
      <c r="Q39" s="107"/>
      <c r="S39" s="178"/>
      <c r="T39" s="178"/>
      <c r="U39" s="178"/>
      <c r="V39" s="178"/>
      <c r="W39" s="178"/>
    </row>
    <row r="40" spans="2:23" ht="13.5" x14ac:dyDescent="0.35">
      <c r="B40" s="106"/>
      <c r="C40" s="1860" t="s">
        <v>1486</v>
      </c>
      <c r="D40" s="1861"/>
      <c r="E40" s="1862"/>
      <c r="G40" s="1860" t="s">
        <v>1487</v>
      </c>
      <c r="H40" s="1861"/>
      <c r="I40" s="1861"/>
      <c r="J40" s="1862"/>
      <c r="L40" s="1860" t="s">
        <v>1488</v>
      </c>
      <c r="M40" s="1861"/>
      <c r="N40" s="1861"/>
      <c r="O40" s="1861"/>
      <c r="P40" s="1862"/>
      <c r="Q40" s="107"/>
      <c r="S40" s="178"/>
      <c r="T40" s="1197" t="s">
        <v>1489</v>
      </c>
      <c r="U40" s="178"/>
      <c r="V40" s="178"/>
      <c r="W40" s="178"/>
    </row>
    <row r="41" spans="2:23" ht="13.5" x14ac:dyDescent="0.35">
      <c r="B41" s="106"/>
      <c r="C41" s="89"/>
      <c r="D41" s="1863">
        <f ca="1">O38*E38*E13</f>
        <v>0</v>
      </c>
      <c r="E41" s="1864"/>
      <c r="F41" s="121"/>
      <c r="G41" s="99"/>
      <c r="H41" s="98"/>
      <c r="I41" s="1863">
        <f ca="1">O38*J13*E38</f>
        <v>0</v>
      </c>
      <c r="J41" s="1864"/>
      <c r="K41" s="121"/>
      <c r="L41" s="99"/>
      <c r="M41" s="100"/>
      <c r="N41" s="1863">
        <f ca="1">D41+I41</f>
        <v>0</v>
      </c>
      <c r="O41" s="1863"/>
      <c r="P41" s="1864"/>
      <c r="Q41" s="107"/>
      <c r="S41" s="178"/>
      <c r="T41" s="1197" t="s">
        <v>1491</v>
      </c>
      <c r="U41" s="178"/>
      <c r="V41" s="178"/>
      <c r="W41" s="178"/>
    </row>
    <row r="42" spans="2:23" ht="3" customHeight="1" thickBot="1" x14ac:dyDescent="0.4">
      <c r="B42" s="110"/>
      <c r="C42" s="117"/>
      <c r="D42" s="118"/>
      <c r="E42" s="118"/>
      <c r="F42" s="122"/>
      <c r="G42" s="122"/>
      <c r="H42" s="118"/>
      <c r="I42" s="118"/>
      <c r="J42" s="118"/>
      <c r="K42" s="122"/>
      <c r="L42" s="122"/>
      <c r="M42" s="122"/>
      <c r="N42" s="118"/>
      <c r="O42" s="118"/>
      <c r="P42" s="118"/>
      <c r="Q42" s="116"/>
      <c r="S42" s="178"/>
      <c r="T42" s="178"/>
      <c r="U42" s="178"/>
      <c r="V42" s="178"/>
      <c r="W42" s="178"/>
    </row>
    <row r="43" spans="2:23" ht="4.5" customHeight="1" thickBot="1" x14ac:dyDescent="0.4">
      <c r="B43" s="1"/>
      <c r="C43" s="1"/>
      <c r="D43" s="818"/>
      <c r="E43" s="977"/>
      <c r="F43" s="977"/>
      <c r="G43" s="977"/>
      <c r="H43" s="977"/>
      <c r="I43" s="977"/>
      <c r="J43" s="977"/>
      <c r="K43" s="131"/>
      <c r="L43" s="131"/>
    </row>
    <row r="44" spans="2:23" ht="3" customHeight="1" x14ac:dyDescent="0.35">
      <c r="B44" s="103"/>
      <c r="C44" s="104"/>
      <c r="D44" s="104"/>
      <c r="E44" s="104"/>
      <c r="F44" s="123"/>
      <c r="G44" s="123"/>
      <c r="H44" s="124"/>
      <c r="I44" s="124"/>
      <c r="J44" s="104"/>
      <c r="K44" s="104"/>
      <c r="L44" s="104"/>
      <c r="M44" s="104"/>
      <c r="N44" s="104"/>
      <c r="O44" s="104"/>
      <c r="P44" s="104"/>
      <c r="Q44" s="105"/>
      <c r="S44" s="178"/>
      <c r="T44" s="178"/>
      <c r="U44" s="178"/>
      <c r="V44" s="178"/>
      <c r="W44" s="178"/>
    </row>
    <row r="45" spans="2:23" ht="13.5" x14ac:dyDescent="0.35">
      <c r="B45" s="106"/>
      <c r="C45" s="1887" t="s">
        <v>1492</v>
      </c>
      <c r="D45" s="1888"/>
      <c r="E45" s="1888"/>
      <c r="F45" s="1888"/>
      <c r="G45" s="83"/>
      <c r="H45" s="646"/>
      <c r="I45" s="646"/>
      <c r="J45" s="10"/>
      <c r="K45" s="10"/>
      <c r="L45" s="10"/>
      <c r="M45" s="10"/>
      <c r="N45" s="10"/>
      <c r="O45" s="10"/>
      <c r="P45" s="6"/>
      <c r="Q45" s="107"/>
      <c r="S45" s="178"/>
      <c r="T45" s="1197" t="s">
        <v>1493</v>
      </c>
      <c r="U45" s="178"/>
      <c r="V45" s="178"/>
      <c r="W45" s="178"/>
    </row>
    <row r="46" spans="2:23" ht="3.75" customHeight="1" x14ac:dyDescent="0.35">
      <c r="B46" s="106"/>
      <c r="C46" s="627"/>
      <c r="Q46" s="107"/>
      <c r="S46" s="178"/>
      <c r="T46" s="178"/>
      <c r="U46" s="178"/>
      <c r="V46" s="178"/>
      <c r="W46" s="178"/>
    </row>
    <row r="47" spans="2:23" ht="13.5" x14ac:dyDescent="0.35">
      <c r="B47" s="106"/>
      <c r="C47" s="1860" t="s">
        <v>1494</v>
      </c>
      <c r="D47" s="1861"/>
      <c r="E47" s="1862"/>
      <c r="G47" s="1860" t="s">
        <v>1495</v>
      </c>
      <c r="H47" s="1861"/>
      <c r="I47" s="1861"/>
      <c r="J47" s="1862"/>
      <c r="L47" s="1860" t="s">
        <v>1496</v>
      </c>
      <c r="M47" s="1861"/>
      <c r="N47" s="1861"/>
      <c r="O47" s="1861"/>
      <c r="P47" s="1862"/>
      <c r="Q47" s="107"/>
      <c r="S47" s="178"/>
      <c r="T47" s="1197" t="s">
        <v>1497</v>
      </c>
      <c r="U47" s="178"/>
      <c r="V47" s="178"/>
      <c r="W47" s="178"/>
    </row>
    <row r="48" spans="2:23" ht="13.5" x14ac:dyDescent="0.35">
      <c r="B48" s="106"/>
      <c r="C48" s="89"/>
      <c r="D48" s="1863">
        <f ca="1">E27+D34+D41</f>
        <v>0</v>
      </c>
      <c r="E48" s="1864"/>
      <c r="F48" s="121"/>
      <c r="G48" s="99"/>
      <c r="H48" s="98"/>
      <c r="I48" s="1863">
        <f ca="1">I27+I34+I41</f>
        <v>0</v>
      </c>
      <c r="J48" s="1864"/>
      <c r="K48" s="121"/>
      <c r="L48" s="99"/>
      <c r="M48" s="100"/>
      <c r="N48" s="1863">
        <f ca="1">N27+N34+N41</f>
        <v>0</v>
      </c>
      <c r="O48" s="1863"/>
      <c r="P48" s="1864"/>
      <c r="Q48" s="107"/>
      <c r="S48" s="178"/>
      <c r="T48" s="1197"/>
      <c r="U48" s="178"/>
      <c r="V48" s="178"/>
      <c r="W48" s="178"/>
    </row>
    <row r="49" spans="2:23" ht="3.75" customHeight="1" x14ac:dyDescent="0.35">
      <c r="B49" s="106"/>
      <c r="Q49" s="107"/>
      <c r="S49" s="178"/>
      <c r="T49" s="178"/>
      <c r="U49" s="178"/>
      <c r="V49" s="178"/>
      <c r="W49" s="178"/>
    </row>
    <row r="50" spans="2:23" ht="13.5" x14ac:dyDescent="0.35">
      <c r="B50" s="106"/>
      <c r="C50" s="1879" t="s">
        <v>1557</v>
      </c>
      <c r="D50" s="1880"/>
      <c r="E50" s="1881"/>
      <c r="Q50" s="107"/>
      <c r="S50" s="178"/>
      <c r="T50" s="1197" t="s">
        <v>1500</v>
      </c>
      <c r="U50" s="178"/>
      <c r="V50" s="180">
        <f>90.5/28</f>
        <v>3.2321428571428572</v>
      </c>
      <c r="W50" s="178" t="s">
        <v>31</v>
      </c>
    </row>
    <row r="51" spans="2:23" ht="13.5" x14ac:dyDescent="0.35">
      <c r="B51" s="106"/>
      <c r="C51" s="1882" t="s">
        <v>1558</v>
      </c>
      <c r="D51" s="1883"/>
      <c r="E51" s="102">
        <f ca="1">INSUMOS!V145+INSUMOS!R250+INSUMOS!R251+INSUMOS!R252</f>
        <v>0</v>
      </c>
      <c r="Q51" s="107"/>
      <c r="S51" s="178"/>
      <c r="T51" s="1197" t="s">
        <v>1503</v>
      </c>
      <c r="U51" s="178"/>
      <c r="V51" s="180">
        <f>1548*V50</f>
        <v>5003.3571428571431</v>
      </c>
      <c r="W51" s="178" t="s">
        <v>31</v>
      </c>
    </row>
    <row r="52" spans="2:23" ht="3" customHeight="1" x14ac:dyDescent="0.35">
      <c r="B52" s="106"/>
      <c r="C52" s="125"/>
      <c r="D52" s="125"/>
      <c r="E52" s="125"/>
      <c r="Q52" s="107"/>
      <c r="S52" s="178"/>
      <c r="T52" s="178"/>
      <c r="U52" s="178"/>
      <c r="V52" s="178"/>
      <c r="W52" s="178"/>
    </row>
    <row r="53" spans="2:23" ht="13.5" x14ac:dyDescent="0.35">
      <c r="B53" s="106"/>
      <c r="C53" s="1884" t="s">
        <v>1559</v>
      </c>
      <c r="D53" s="1885"/>
      <c r="E53" s="1886"/>
      <c r="Q53" s="107"/>
      <c r="S53" s="178"/>
      <c r="T53" s="1198" t="s">
        <v>1506</v>
      </c>
      <c r="U53" s="1199">
        <f ca="1">T38/V51</f>
        <v>501.47140577041125</v>
      </c>
      <c r="V53" s="178"/>
      <c r="W53" s="178"/>
    </row>
    <row r="54" spans="2:23" ht="13.5" x14ac:dyDescent="0.35">
      <c r="B54" s="106"/>
      <c r="C54" s="1882" t="s">
        <v>1560</v>
      </c>
      <c r="D54" s="1883"/>
      <c r="E54" s="102">
        <f ca="1">D48-E51</f>
        <v>0</v>
      </c>
      <c r="Q54" s="107"/>
      <c r="S54" s="178"/>
      <c r="T54" s="178"/>
      <c r="U54" s="178"/>
      <c r="V54" s="178"/>
      <c r="W54" s="178"/>
    </row>
    <row r="55" spans="2:23" ht="3" customHeight="1" thickBot="1" x14ac:dyDescent="0.4">
      <c r="B55" s="110"/>
      <c r="C55" s="119"/>
      <c r="D55" s="119"/>
      <c r="E55" s="126"/>
      <c r="F55" s="115"/>
      <c r="G55" s="115"/>
      <c r="H55" s="115"/>
      <c r="I55" s="115"/>
      <c r="J55" s="115"/>
      <c r="K55" s="115"/>
      <c r="L55" s="115"/>
      <c r="M55" s="115"/>
      <c r="N55" s="115"/>
      <c r="O55" s="115"/>
      <c r="P55" s="115"/>
      <c r="Q55" s="116"/>
    </row>
    <row r="56" spans="2:23" ht="4.5" customHeight="1" thickBot="1" x14ac:dyDescent="0.4">
      <c r="B56" s="1"/>
      <c r="C56" s="1"/>
      <c r="D56" s="818"/>
      <c r="E56" s="977"/>
      <c r="F56" s="977"/>
      <c r="G56" s="977"/>
      <c r="H56" s="977"/>
      <c r="I56" s="977"/>
      <c r="J56" s="977"/>
      <c r="K56" s="131"/>
      <c r="L56" s="131"/>
    </row>
    <row r="57" spans="2:23" ht="3" customHeight="1" x14ac:dyDescent="0.35">
      <c r="B57" s="103"/>
      <c r="C57" s="104"/>
      <c r="D57" s="104"/>
      <c r="E57" s="104"/>
      <c r="F57" s="104"/>
      <c r="G57" s="104"/>
      <c r="H57" s="104"/>
      <c r="I57" s="104"/>
      <c r="J57" s="104"/>
      <c r="K57" s="104"/>
      <c r="L57" s="104"/>
      <c r="M57" s="104"/>
      <c r="N57" s="104"/>
      <c r="O57" s="104"/>
      <c r="P57" s="104"/>
      <c r="Q57" s="105"/>
    </row>
    <row r="58" spans="2:23" ht="13.5" x14ac:dyDescent="0.35">
      <c r="B58" s="106"/>
      <c r="C58" s="1871" t="s">
        <v>1508</v>
      </c>
      <c r="D58" s="1872"/>
      <c r="E58" s="1872"/>
      <c r="F58" s="1872"/>
      <c r="G58" s="83"/>
      <c r="H58" s="646"/>
      <c r="I58" s="646"/>
      <c r="J58" s="10"/>
      <c r="K58" s="10"/>
      <c r="L58" s="10"/>
      <c r="M58" s="10"/>
      <c r="N58" s="10"/>
      <c r="O58" s="10"/>
      <c r="P58" s="6"/>
      <c r="Q58" s="107"/>
    </row>
    <row r="59" spans="2:23" ht="3" customHeight="1" x14ac:dyDescent="0.35">
      <c r="B59" s="106"/>
      <c r="Q59" s="107"/>
    </row>
    <row r="60" spans="2:23" x14ac:dyDescent="0.35">
      <c r="B60" s="106"/>
      <c r="C60" s="1338" t="s">
        <v>1363</v>
      </c>
      <c r="D60" s="1441"/>
      <c r="E60" s="1339"/>
      <c r="H60" s="1338" t="s">
        <v>1364</v>
      </c>
      <c r="I60" s="1542"/>
      <c r="J60" s="1545"/>
      <c r="Q60" s="107"/>
    </row>
    <row r="61" spans="2:23" ht="3" customHeight="1" x14ac:dyDescent="0.35">
      <c r="B61" s="106"/>
      <c r="Q61" s="107"/>
    </row>
    <row r="62" spans="2:23" x14ac:dyDescent="0.35">
      <c r="B62" s="106"/>
      <c r="C62" s="630" t="s">
        <v>1561</v>
      </c>
      <c r="D62" s="95">
        <f ca="1">FECHAMENTO!D62</f>
        <v>0.15275911680599982</v>
      </c>
      <c r="E62" s="96">
        <f ca="1">(($D$48-E51)/(1-D62)-($D$48-E51))</f>
        <v>0</v>
      </c>
      <c r="H62" s="979" t="s">
        <v>1516</v>
      </c>
      <c r="I62" s="95">
        <f>FECHAMENTO!I62</f>
        <v>0.05</v>
      </c>
      <c r="J62" s="101">
        <f ca="1">$I$48/(1-I62)-$I$48</f>
        <v>0</v>
      </c>
      <c r="Q62" s="107"/>
    </row>
    <row r="63" spans="2:23" ht="3" customHeight="1" x14ac:dyDescent="0.35">
      <c r="B63" s="106"/>
      <c r="D63" s="95">
        <f>FECHAMENTO!D63</f>
        <v>0</v>
      </c>
      <c r="I63" s="95">
        <f>FECHAMENTO!I63</f>
        <v>0</v>
      </c>
      <c r="J63" s="121"/>
      <c r="Q63" s="107"/>
    </row>
    <row r="64" spans="2:23" x14ac:dyDescent="0.35">
      <c r="B64" s="106"/>
      <c r="C64" s="630" t="s">
        <v>1519</v>
      </c>
      <c r="D64" s="95">
        <f>FECHAMENTO!D64</f>
        <v>6.4999999999999997E-3</v>
      </c>
      <c r="E64" s="96">
        <f ca="1">(($D$48)/(1-D64)-($D$48))</f>
        <v>0</v>
      </c>
      <c r="H64" s="979" t="s">
        <v>1519</v>
      </c>
      <c r="I64" s="95">
        <f>FECHAMENTO!I64</f>
        <v>6.4999999999999997E-3</v>
      </c>
      <c r="J64" s="101">
        <f ca="1">$I$48/(1-I64)-$I$48</f>
        <v>0</v>
      </c>
      <c r="Q64" s="107"/>
    </row>
    <row r="65" spans="2:17" ht="3" customHeight="1" x14ac:dyDescent="0.35">
      <c r="B65" s="106"/>
      <c r="D65" s="95">
        <f>FECHAMENTO!D65</f>
        <v>0</v>
      </c>
      <c r="I65" s="95">
        <f>FECHAMENTO!I65</f>
        <v>0</v>
      </c>
      <c r="J65" s="121"/>
      <c r="Q65" s="107"/>
    </row>
    <row r="66" spans="2:17" x14ac:dyDescent="0.35">
      <c r="B66" s="106"/>
      <c r="C66" s="630" t="s">
        <v>1524</v>
      </c>
      <c r="D66" s="95">
        <f>FECHAMENTO!D66</f>
        <v>0.03</v>
      </c>
      <c r="E66" s="96">
        <f ca="1">(($D$48)/(1-D66)-($D$48))</f>
        <v>0</v>
      </c>
      <c r="H66" s="979" t="s">
        <v>1524</v>
      </c>
      <c r="I66" s="95">
        <f>FECHAMENTO!I66</f>
        <v>0.03</v>
      </c>
      <c r="J66" s="101">
        <f ca="1">$I$48/(1-I66)-$I$48</f>
        <v>0</v>
      </c>
      <c r="Q66" s="107"/>
    </row>
    <row r="67" spans="2:17" ht="3" customHeight="1" x14ac:dyDescent="0.35">
      <c r="B67" s="106"/>
      <c r="D67" s="95">
        <f>FECHAMENTO!D67</f>
        <v>0</v>
      </c>
      <c r="I67" s="95">
        <f>FECHAMENTO!I67</f>
        <v>0</v>
      </c>
      <c r="J67" s="121"/>
      <c r="Q67" s="107"/>
    </row>
    <row r="68" spans="2:17" x14ac:dyDescent="0.35">
      <c r="B68" s="106"/>
      <c r="C68" s="630" t="s">
        <v>1525</v>
      </c>
      <c r="D68" s="95">
        <f>FECHAMENTO!D68</f>
        <v>0.02</v>
      </c>
      <c r="E68" s="96">
        <f ca="1">(($D$48)/(1-D68)-($D$48))</f>
        <v>0</v>
      </c>
      <c r="H68" s="979" t="s">
        <v>1525</v>
      </c>
      <c r="I68" s="95">
        <f>FECHAMENTO!I68</f>
        <v>0.02</v>
      </c>
      <c r="J68" s="101">
        <f ca="1">$I$48/(1-I68)-$I$48</f>
        <v>0</v>
      </c>
      <c r="Q68" s="107"/>
    </row>
    <row r="69" spans="2:17" ht="3" customHeight="1" x14ac:dyDescent="0.35">
      <c r="B69" s="106"/>
      <c r="D69" s="95">
        <f>FECHAMENTO!D69</f>
        <v>0</v>
      </c>
      <c r="I69" s="95">
        <f>FECHAMENTO!I69</f>
        <v>0</v>
      </c>
      <c r="J69" s="121"/>
      <c r="Q69" s="107"/>
    </row>
    <row r="70" spans="2:17" x14ac:dyDescent="0.35">
      <c r="B70" s="106"/>
      <c r="C70" s="630" t="s">
        <v>1526</v>
      </c>
      <c r="D70" s="95">
        <f>FECHAMENTO!D70</f>
        <v>1.0800000000000001E-2</v>
      </c>
      <c r="E70" s="96">
        <f ca="1">(($D$48)/(1-D70)-($D$48))</f>
        <v>0</v>
      </c>
      <c r="H70" s="979" t="s">
        <v>1526</v>
      </c>
      <c r="I70" s="95">
        <f>FECHAMENTO!I70</f>
        <v>1.0800000000000001E-2</v>
      </c>
      <c r="J70" s="101">
        <f ca="1">$I$48/(1-I70)-$I$48</f>
        <v>0</v>
      </c>
      <c r="Q70" s="107"/>
    </row>
    <row r="71" spans="2:17" ht="3" customHeight="1" x14ac:dyDescent="0.35">
      <c r="B71" s="106"/>
      <c r="D71" s="95">
        <f>FECHAMENTO!D71</f>
        <v>0</v>
      </c>
      <c r="J71" s="121"/>
      <c r="Q71" s="107"/>
    </row>
    <row r="72" spans="2:17" x14ac:dyDescent="0.35">
      <c r="B72" s="106"/>
      <c r="C72" s="630" t="s">
        <v>1528</v>
      </c>
      <c r="D72" s="95">
        <f>FECHAMENTO!D72</f>
        <v>0</v>
      </c>
      <c r="E72" s="96">
        <f ca="1">(($D$48-E65)/(1-D72)-($D$48-E65))</f>
        <v>0</v>
      </c>
      <c r="Q72" s="107"/>
    </row>
    <row r="73" spans="2:17" ht="3" customHeight="1" x14ac:dyDescent="0.35">
      <c r="B73" s="106"/>
      <c r="J73" s="121"/>
      <c r="Q73" s="107"/>
    </row>
    <row r="74" spans="2:17" ht="12.75" customHeight="1" x14ac:dyDescent="0.35">
      <c r="B74" s="106"/>
      <c r="C74" s="1776" t="s">
        <v>1529</v>
      </c>
      <c r="D74" s="1777"/>
      <c r="E74" s="1778"/>
      <c r="H74" s="1776" t="s">
        <v>1530</v>
      </c>
      <c r="I74" s="1777"/>
      <c r="J74" s="1778"/>
      <c r="L74" s="1447" t="s">
        <v>1531</v>
      </c>
      <c r="M74" s="1448"/>
      <c r="N74" s="1448"/>
      <c r="O74" s="1448"/>
      <c r="P74" s="1449"/>
      <c r="Q74" s="107"/>
    </row>
    <row r="75" spans="2:17" x14ac:dyDescent="0.35">
      <c r="B75" s="106"/>
      <c r="C75" s="1200"/>
      <c r="D75" s="1873">
        <f ca="1">SUM(E62:E72)</f>
        <v>0</v>
      </c>
      <c r="E75" s="1874"/>
      <c r="H75" s="1200"/>
      <c r="I75" s="1875">
        <f ca="1">SUM(J62:J72)</f>
        <v>0</v>
      </c>
      <c r="J75" s="1876"/>
      <c r="L75" s="1200"/>
      <c r="M75" s="1877">
        <f ca="1">D75+I75</f>
        <v>0</v>
      </c>
      <c r="N75" s="1877"/>
      <c r="O75" s="1877"/>
      <c r="P75" s="1878"/>
      <c r="Q75" s="107"/>
    </row>
    <row r="76" spans="2:17" ht="3" customHeight="1" x14ac:dyDescent="0.35">
      <c r="B76" s="106"/>
      <c r="J76" s="121"/>
      <c r="Q76" s="107"/>
    </row>
    <row r="77" spans="2:17" ht="12.75" customHeight="1" x14ac:dyDescent="0.35">
      <c r="B77" s="106"/>
      <c r="C77" s="1776" t="s">
        <v>1532</v>
      </c>
      <c r="D77" s="1777"/>
      <c r="E77" s="1778"/>
      <c r="H77" s="1776" t="s">
        <v>1533</v>
      </c>
      <c r="I77" s="1777"/>
      <c r="J77" s="1778"/>
      <c r="L77" s="129"/>
      <c r="Q77" s="107"/>
    </row>
    <row r="78" spans="2:17" x14ac:dyDescent="0.35">
      <c r="B78" s="106"/>
      <c r="C78" s="1200"/>
      <c r="D78" s="1867">
        <f ca="1">IF(D75=0,0,D75/D48)</f>
        <v>0</v>
      </c>
      <c r="E78" s="1868"/>
      <c r="H78" s="1200"/>
      <c r="I78" s="1869">
        <f ca="1">IF(I75=0,0,I75/I48)</f>
        <v>0</v>
      </c>
      <c r="J78" s="1870"/>
      <c r="Q78" s="107"/>
    </row>
    <row r="79" spans="2:17" ht="3" customHeight="1" thickBot="1" x14ac:dyDescent="0.4">
      <c r="B79" s="110"/>
      <c r="C79" s="115"/>
      <c r="D79" s="115"/>
      <c r="E79" s="115"/>
      <c r="F79" s="115"/>
      <c r="G79" s="115"/>
      <c r="H79" s="115"/>
      <c r="I79" s="115"/>
      <c r="J79" s="122"/>
      <c r="K79" s="115"/>
      <c r="L79" s="115"/>
      <c r="M79" s="115"/>
      <c r="N79" s="115"/>
      <c r="O79" s="115"/>
      <c r="P79" s="115"/>
      <c r="Q79" s="116"/>
    </row>
    <row r="80" spans="2:17" ht="4.5" customHeight="1" thickBot="1" x14ac:dyDescent="0.4">
      <c r="B80" s="1"/>
      <c r="C80" s="1"/>
      <c r="D80" s="818"/>
      <c r="E80" s="977"/>
      <c r="F80" s="977"/>
      <c r="G80" s="977"/>
      <c r="H80" s="977"/>
      <c r="I80" s="977"/>
      <c r="J80" s="977"/>
      <c r="K80" s="131"/>
      <c r="L80" s="131"/>
    </row>
    <row r="81" spans="2:21" ht="3" customHeight="1" x14ac:dyDescent="0.35">
      <c r="B81" s="103"/>
      <c r="C81" s="104"/>
      <c r="D81" s="104"/>
      <c r="E81" s="104"/>
      <c r="F81" s="104"/>
      <c r="G81" s="104"/>
      <c r="H81" s="104"/>
      <c r="I81" s="104"/>
      <c r="J81" s="130"/>
      <c r="K81" s="104"/>
      <c r="L81" s="104"/>
      <c r="M81" s="104"/>
      <c r="N81" s="104"/>
      <c r="O81" s="104"/>
      <c r="P81" s="104"/>
      <c r="Q81" s="105"/>
    </row>
    <row r="82" spans="2:21" ht="12.75" customHeight="1" x14ac:dyDescent="0.35">
      <c r="B82" s="106"/>
      <c r="C82" s="1871" t="s">
        <v>1534</v>
      </c>
      <c r="D82" s="1872"/>
      <c r="E82" s="1872"/>
      <c r="F82" s="1872"/>
      <c r="G82" s="83"/>
      <c r="H82" s="646"/>
      <c r="I82" s="646"/>
      <c r="J82" s="10"/>
      <c r="K82" s="10"/>
      <c r="L82" s="10"/>
      <c r="M82" s="10"/>
      <c r="N82" s="10"/>
      <c r="O82" s="10"/>
      <c r="P82" s="6"/>
      <c r="Q82" s="107"/>
    </row>
    <row r="83" spans="2:21" ht="3" customHeight="1" x14ac:dyDescent="0.35">
      <c r="B83" s="106"/>
      <c r="J83" s="121"/>
      <c r="Q83" s="107"/>
    </row>
    <row r="84" spans="2:21" ht="13.5" x14ac:dyDescent="0.35">
      <c r="B84" s="106"/>
      <c r="C84" s="1860" t="s">
        <v>1363</v>
      </c>
      <c r="D84" s="1861"/>
      <c r="E84" s="1862"/>
      <c r="H84" s="1860" t="s">
        <v>1535</v>
      </c>
      <c r="I84" s="1861"/>
      <c r="J84" s="1862"/>
      <c r="L84" s="1860" t="s">
        <v>1536</v>
      </c>
      <c r="M84" s="1861"/>
      <c r="N84" s="1861"/>
      <c r="O84" s="1861"/>
      <c r="P84" s="1862"/>
      <c r="Q84" s="107"/>
    </row>
    <row r="85" spans="2:21" ht="13.5" x14ac:dyDescent="0.35">
      <c r="B85" s="106"/>
      <c r="C85" s="89"/>
      <c r="D85" s="1863">
        <f ca="1">D48+D75</f>
        <v>0</v>
      </c>
      <c r="E85" s="1864"/>
      <c r="H85" s="89"/>
      <c r="I85" s="1863">
        <f ca="1">I48+I75</f>
        <v>0</v>
      </c>
      <c r="J85" s="1864"/>
      <c r="L85" s="18"/>
      <c r="M85" s="3"/>
      <c r="N85" s="1863">
        <f ca="1">D85+I85</f>
        <v>0</v>
      </c>
      <c r="O85" s="1863"/>
      <c r="P85" s="1864"/>
      <c r="Q85" s="107"/>
      <c r="U85" t="s">
        <v>1541</v>
      </c>
    </row>
    <row r="86" spans="2:21" ht="5.25" customHeight="1" x14ac:dyDescent="0.35">
      <c r="B86" s="106"/>
      <c r="C86" s="175"/>
      <c r="D86" s="176"/>
      <c r="E86" s="176"/>
      <c r="H86" s="175"/>
      <c r="I86" s="176"/>
      <c r="J86" s="176"/>
      <c r="N86" s="176"/>
      <c r="O86" s="176"/>
      <c r="P86" s="176"/>
      <c r="Q86" s="107"/>
    </row>
    <row r="87" spans="2:21" ht="26.25" customHeight="1" x14ac:dyDescent="0.35">
      <c r="B87" s="106"/>
      <c r="C87" s="177" t="s">
        <v>1538</v>
      </c>
      <c r="D87" s="35"/>
      <c r="E87" s="35"/>
      <c r="F87" s="35"/>
      <c r="G87" s="35"/>
      <c r="H87" s="35"/>
      <c r="I87" s="35">
        <f>FECHAMENTO!I87</f>
        <v>0</v>
      </c>
      <c r="J87" s="995" t="s">
        <v>1539</v>
      </c>
      <c r="K87" s="10"/>
      <c r="L87" s="1865" t="s">
        <v>1540</v>
      </c>
      <c r="M87" s="1866"/>
      <c r="N87" s="1662">
        <f ca="1">N85*I87/100</f>
        <v>0</v>
      </c>
      <c r="O87" s="1662"/>
      <c r="P87" s="1663"/>
      <c r="Q87" s="107"/>
    </row>
    <row r="88" spans="2:21" ht="26.25" customHeight="1" x14ac:dyDescent="0.35">
      <c r="B88" s="106"/>
      <c r="C88" s="136"/>
      <c r="D88" s="1773">
        <f>IF(P88="OK",0,IF(ENTRADAS!D912="x","ESTE TANQUE CONTÉM COBERTURA  ! =====================================================&gt;&gt;",0))</f>
        <v>0</v>
      </c>
      <c r="E88" s="1773"/>
      <c r="F88" s="1773"/>
      <c r="G88" s="1773"/>
      <c r="H88" s="1773"/>
      <c r="I88" s="1773"/>
      <c r="J88" s="1773"/>
      <c r="K88" s="1773"/>
      <c r="L88" s="1773"/>
      <c r="M88" s="1773"/>
      <c r="N88" s="1773"/>
      <c r="O88" s="1773"/>
      <c r="P88" s="341" t="s">
        <v>1541</v>
      </c>
      <c r="Q88" s="107"/>
    </row>
    <row r="89" spans="2:21" ht="27" customHeight="1" x14ac:dyDescent="0.35">
      <c r="B89" s="106"/>
      <c r="D89" s="1808">
        <f>IF(P89="OK",0,"VERIFIQUE SEMPRE OS PREÇOS DE INSUMOS PENDENTES ! ===================================&gt;&gt;")</f>
        <v>0</v>
      </c>
      <c r="E89" s="1808"/>
      <c r="F89" s="1808"/>
      <c r="G89" s="1808"/>
      <c r="H89" s="1808"/>
      <c r="I89" s="1808"/>
      <c r="J89" s="1808"/>
      <c r="K89" s="1808"/>
      <c r="L89" s="1808"/>
      <c r="M89" s="1808"/>
      <c r="N89" s="1808"/>
      <c r="O89" s="1808"/>
      <c r="P89" s="341" t="s">
        <v>1541</v>
      </c>
      <c r="Q89" s="107"/>
    </row>
    <row r="90" spans="2:21" ht="3" customHeight="1" x14ac:dyDescent="0.35">
      <c r="B90" s="106"/>
      <c r="E90" s="13"/>
      <c r="F90" s="14"/>
      <c r="G90" s="14"/>
      <c r="H90" s="14"/>
      <c r="I90" s="14"/>
      <c r="J90" s="14"/>
      <c r="K90" s="15"/>
      <c r="Q90" s="107"/>
    </row>
    <row r="91" spans="2:21" ht="18.75" customHeight="1" x14ac:dyDescent="0.35">
      <c r="B91" s="106"/>
      <c r="E91" s="1857" t="s">
        <v>1542</v>
      </c>
      <c r="F91" s="1858"/>
      <c r="G91" s="1858"/>
      <c r="H91" s="1858"/>
      <c r="I91" s="1859">
        <f ca="1">N85+N87</f>
        <v>0</v>
      </c>
      <c r="J91" s="1859"/>
      <c r="K91" s="16"/>
      <c r="Q91" s="107"/>
    </row>
    <row r="92" spans="2:21" ht="2.25" customHeight="1" x14ac:dyDescent="0.35">
      <c r="B92" s="106"/>
      <c r="E92" s="18"/>
      <c r="F92" s="3"/>
      <c r="G92" s="3"/>
      <c r="H92" s="3"/>
      <c r="I92" s="3"/>
      <c r="J92" s="3"/>
      <c r="K92" s="17"/>
      <c r="Q92" s="107"/>
    </row>
    <row r="93" spans="2:21" ht="5.25" customHeight="1" thickBot="1" x14ac:dyDescent="0.4">
      <c r="B93" s="110"/>
      <c r="C93" s="115"/>
      <c r="D93" s="115"/>
      <c r="E93" s="115"/>
      <c r="F93" s="115"/>
      <c r="G93" s="115"/>
      <c r="H93" s="115"/>
      <c r="I93" s="115"/>
      <c r="J93" s="115"/>
      <c r="K93" s="115"/>
      <c r="L93" s="115"/>
      <c r="M93" s="115"/>
      <c r="N93" s="115"/>
      <c r="O93" s="115"/>
      <c r="P93" s="115"/>
      <c r="Q93" s="116"/>
    </row>
    <row r="94" spans="2:21" ht="4.5" customHeight="1" thickBot="1" x14ac:dyDescent="0.4">
      <c r="B94" s="1"/>
      <c r="C94" s="1"/>
      <c r="D94" s="818"/>
      <c r="E94" s="977"/>
      <c r="F94" s="977"/>
      <c r="G94" s="977"/>
      <c r="H94" s="977"/>
      <c r="I94" s="977"/>
      <c r="J94" s="977"/>
      <c r="K94" s="131"/>
      <c r="L94" s="131"/>
    </row>
    <row r="95" spans="2:21" ht="3" customHeight="1" x14ac:dyDescent="0.35">
      <c r="B95" s="103"/>
      <c r="C95" s="104"/>
      <c r="D95" s="104"/>
      <c r="E95" s="104"/>
      <c r="F95" s="104"/>
      <c r="G95" s="104"/>
      <c r="H95" s="104"/>
      <c r="I95" s="104"/>
      <c r="J95" s="104"/>
      <c r="K95" s="104"/>
      <c r="L95" s="104"/>
      <c r="M95" s="104"/>
      <c r="N95" s="104"/>
      <c r="O95" s="104"/>
      <c r="P95" s="104"/>
      <c r="Q95" s="105"/>
    </row>
    <row r="96" spans="2:21" ht="13.5" x14ac:dyDescent="0.35">
      <c r="B96" s="106"/>
      <c r="C96" s="127" t="s">
        <v>1543</v>
      </c>
      <c r="D96" s="128"/>
      <c r="E96" s="128"/>
      <c r="F96" s="128"/>
      <c r="G96" s="128"/>
      <c r="H96" s="980"/>
      <c r="I96" s="646"/>
      <c r="J96" s="10"/>
      <c r="K96" s="10"/>
      <c r="L96" s="10"/>
      <c r="M96" s="10"/>
      <c r="N96" s="10"/>
      <c r="O96" s="10"/>
      <c r="P96" s="6"/>
      <c r="Q96" s="107"/>
    </row>
    <row r="97" spans="2:17" ht="3" customHeight="1" x14ac:dyDescent="0.35">
      <c r="B97" s="106"/>
      <c r="G97" s="13"/>
      <c r="Q97" s="107"/>
    </row>
    <row r="98" spans="2:17" x14ac:dyDescent="0.35">
      <c r="B98" s="106"/>
      <c r="C98" s="633" t="s">
        <v>1544</v>
      </c>
      <c r="D98" s="10"/>
      <c r="E98" s="97">
        <f ca="1">IF(N12=0,0,N12/I91)</f>
        <v>0</v>
      </c>
      <c r="G98" s="20"/>
      <c r="Q98" s="107"/>
    </row>
    <row r="99" spans="2:17" ht="3" customHeight="1" x14ac:dyDescent="0.35">
      <c r="B99" s="106"/>
      <c r="E99" s="129"/>
      <c r="G99" s="20"/>
      <c r="Q99" s="107"/>
    </row>
    <row r="100" spans="2:17" x14ac:dyDescent="0.35">
      <c r="B100" s="106"/>
      <c r="C100" s="633" t="s">
        <v>1475</v>
      </c>
      <c r="D100" s="10"/>
      <c r="E100" s="97">
        <f ca="1">IF(N20=0,0,N20/I91)</f>
        <v>0</v>
      </c>
      <c r="G100" s="20"/>
      <c r="Q100" s="107"/>
    </row>
    <row r="101" spans="2:17" ht="3" customHeight="1" x14ac:dyDescent="0.35">
      <c r="B101" s="106"/>
      <c r="E101" s="129"/>
      <c r="G101" s="20"/>
      <c r="Q101" s="107"/>
    </row>
    <row r="102" spans="2:17" x14ac:dyDescent="0.35">
      <c r="B102" s="106"/>
      <c r="C102" s="633" t="s">
        <v>1545</v>
      </c>
      <c r="D102" s="10"/>
      <c r="E102" s="97">
        <f ca="1">IF(N34=0,0,N34/I91)</f>
        <v>0</v>
      </c>
      <c r="G102" s="20"/>
      <c r="Q102" s="107"/>
    </row>
    <row r="103" spans="2:17" ht="3" customHeight="1" x14ac:dyDescent="0.35">
      <c r="B103" s="106"/>
      <c r="E103" s="129"/>
      <c r="G103" s="20"/>
      <c r="Q103" s="107"/>
    </row>
    <row r="104" spans="2:17" x14ac:dyDescent="0.35">
      <c r="B104" s="106"/>
      <c r="C104" s="633" t="s">
        <v>1546</v>
      </c>
      <c r="D104" s="10"/>
      <c r="E104" s="97">
        <f ca="1">IF(N41=0,0,N41/I91)</f>
        <v>0</v>
      </c>
      <c r="G104" s="20"/>
    </row>
    <row r="105" spans="2:17" ht="3" customHeight="1" x14ac:dyDescent="0.35">
      <c r="B105" s="106"/>
      <c r="E105" s="129"/>
      <c r="G105" s="20"/>
      <c r="Q105" s="107"/>
    </row>
    <row r="106" spans="2:17" x14ac:dyDescent="0.35">
      <c r="B106" s="106"/>
      <c r="C106" s="633" t="s">
        <v>1547</v>
      </c>
      <c r="D106" s="10"/>
      <c r="E106" s="97">
        <f ca="1">IF(M75=0,0,M75/I91)</f>
        <v>0</v>
      </c>
      <c r="G106" s="20"/>
      <c r="Q106" s="107"/>
    </row>
    <row r="107" spans="2:17" ht="3" customHeight="1" thickBot="1" x14ac:dyDescent="0.4">
      <c r="B107" s="110"/>
      <c r="C107" s="115"/>
      <c r="D107" s="115"/>
      <c r="E107" s="115"/>
      <c r="F107" s="115"/>
      <c r="G107" s="354"/>
      <c r="H107" s="115"/>
      <c r="I107" s="115"/>
      <c r="J107" s="115"/>
      <c r="K107" s="115"/>
      <c r="L107" s="115"/>
      <c r="M107" s="115"/>
      <c r="N107" s="115"/>
      <c r="O107" s="115"/>
      <c r="P107" s="115"/>
      <c r="Q107" s="116"/>
    </row>
    <row r="108" spans="2:17" ht="4.5" customHeight="1" thickBot="1" x14ac:dyDescent="0.4">
      <c r="B108" s="1"/>
      <c r="C108" s="1"/>
      <c r="D108" s="818"/>
      <c r="E108" s="977"/>
      <c r="F108" s="977"/>
      <c r="G108" s="977"/>
      <c r="H108" s="977"/>
      <c r="I108" s="977"/>
      <c r="J108" s="977"/>
      <c r="K108" s="131"/>
      <c r="L108" s="131"/>
    </row>
    <row r="109" spans="2:17" ht="3" customHeight="1" x14ac:dyDescent="0.35">
      <c r="B109" s="103"/>
      <c r="C109" s="104"/>
      <c r="D109" s="104"/>
      <c r="E109" s="104"/>
      <c r="F109" s="104"/>
      <c r="G109" s="104"/>
      <c r="H109" s="104"/>
      <c r="I109" s="104"/>
      <c r="J109" s="104"/>
      <c r="K109" s="104"/>
      <c r="L109" s="104"/>
      <c r="M109" s="104"/>
      <c r="N109" s="104"/>
      <c r="O109" s="104"/>
      <c r="P109" s="104"/>
      <c r="Q109" s="105"/>
    </row>
    <row r="110" spans="2:17" ht="13.5" x14ac:dyDescent="0.35">
      <c r="B110" s="106"/>
      <c r="C110" s="127" t="s">
        <v>1549</v>
      </c>
      <c r="D110" s="128"/>
      <c r="E110" s="128"/>
      <c r="F110" s="128"/>
      <c r="G110" s="128"/>
      <c r="H110" s="980"/>
      <c r="I110" s="646"/>
      <c r="J110" s="10"/>
      <c r="K110" s="10"/>
      <c r="L110" s="10"/>
      <c r="M110" s="10"/>
      <c r="N110" s="10"/>
      <c r="O110" s="10"/>
      <c r="P110" s="6"/>
      <c r="Q110" s="107"/>
    </row>
    <row r="111" spans="2:17" ht="3" customHeight="1" x14ac:dyDescent="0.35">
      <c r="B111" s="106"/>
      <c r="Q111" s="107"/>
    </row>
    <row r="112" spans="2:17" x14ac:dyDescent="0.35">
      <c r="B112" s="106"/>
      <c r="C112" s="1758">
        <f>IF(ENTRADAS!D912="x","PREÇO DE CUSTO / m² de  COBERTURA SEM IMPOSTOS",0)</f>
        <v>0</v>
      </c>
      <c r="D112" s="1770"/>
      <c r="E112" s="1770"/>
      <c r="F112" s="1770"/>
      <c r="G112" s="1770"/>
      <c r="H112" s="1770"/>
      <c r="I112" s="1770"/>
      <c r="J112" s="1770"/>
      <c r="K112" s="1771"/>
      <c r="L112" s="96">
        <f ca="1">IF((N12+N34+N41)=0,0,(N12+N34+N41)/(ENTRADAS!F22*LAJES!AK4))</f>
        <v>0</v>
      </c>
      <c r="Q112" s="107"/>
    </row>
    <row r="113" spans="2:17" ht="3" customHeight="1" x14ac:dyDescent="0.35">
      <c r="B113" s="106"/>
      <c r="Q113" s="107"/>
    </row>
    <row r="114" spans="2:17" x14ac:dyDescent="0.35">
      <c r="B114" s="106"/>
      <c r="C114" s="1758">
        <f>IF(ENTRADAS!D912="x","PREÇO DE CUSTO / m² de  COBERTURA COM IMPOSTOS",0)</f>
        <v>0</v>
      </c>
      <c r="D114" s="1770"/>
      <c r="E114" s="1770"/>
      <c r="F114" s="1770"/>
      <c r="G114" s="1770"/>
      <c r="H114" s="1770"/>
      <c r="I114" s="1770"/>
      <c r="J114" s="1770"/>
      <c r="K114" s="1771"/>
      <c r="L114" s="96">
        <f ca="1">IF((N12+N34+N41+M75)=0,0,(N12+N34+N41+M75)/(ENTRADAS!F22*LAJES!AK4))</f>
        <v>0</v>
      </c>
      <c r="Q114" s="107"/>
    </row>
    <row r="115" spans="2:17" ht="9.9499999999999993" customHeight="1" x14ac:dyDescent="0.35">
      <c r="B115" s="106"/>
      <c r="Q115" s="107"/>
    </row>
    <row r="116" spans="2:17" x14ac:dyDescent="0.35">
      <c r="B116" s="106"/>
      <c r="C116" s="1758">
        <f>IF(ENTRADAS!D912="x","PREÇO DE CUSTO / m³  de  COBERTURA SEM IMPOSTOS",0)</f>
        <v>0</v>
      </c>
      <c r="D116" s="1770"/>
      <c r="E116" s="1770"/>
      <c r="F116" s="1770"/>
      <c r="G116" s="1770"/>
      <c r="H116" s="1770"/>
      <c r="I116" s="1770"/>
      <c r="J116" s="1770"/>
      <c r="K116" s="1771"/>
      <c r="L116" s="96">
        <f ca="1">IF((N12+N34+N41)=0,0,(N12+N34+N41)/(LAJES!C53+LAJES!C60+LAJES!C66+LAJES!C72))</f>
        <v>0</v>
      </c>
      <c r="Q116" s="107"/>
    </row>
    <row r="117" spans="2:17" ht="3" customHeight="1" x14ac:dyDescent="0.35">
      <c r="B117" s="106"/>
      <c r="Q117" s="107"/>
    </row>
    <row r="118" spans="2:17" x14ac:dyDescent="0.35">
      <c r="B118" s="106"/>
      <c r="C118" s="1758">
        <f>IF(ENTRADAS!D912="x","PREÇO DE CUSTO / m³  de  COBERTURA COM IMPOSTOS",0)</f>
        <v>0</v>
      </c>
      <c r="D118" s="1770"/>
      <c r="E118" s="1770"/>
      <c r="F118" s="1770"/>
      <c r="G118" s="1770"/>
      <c r="H118" s="1770"/>
      <c r="I118" s="1770"/>
      <c r="J118" s="1770"/>
      <c r="K118" s="1771"/>
      <c r="L118" s="96">
        <f ca="1">IF((N12+N34+N41+M75)=0,0,(N12+N34+N41+M75)/(LAJES!C53+LAJES!C60+LAJES!C66+LAJES!C72))</f>
        <v>0</v>
      </c>
      <c r="Q118" s="107"/>
    </row>
    <row r="119" spans="2:17" ht="9.9499999999999993" customHeight="1" x14ac:dyDescent="0.35">
      <c r="B119" s="106"/>
      <c r="Q119" s="107"/>
    </row>
    <row r="120" spans="2:17" x14ac:dyDescent="0.35">
      <c r="B120" s="106"/>
      <c r="C120" s="1758">
        <f>IF(ENTRADAS!D912="x","PREÇO DE VENDA / m² de COBERTURA INCLUINDO IMPOSTOS",0)</f>
        <v>0</v>
      </c>
      <c r="D120" s="1770"/>
      <c r="E120" s="1770"/>
      <c r="F120" s="1770"/>
      <c r="G120" s="1770"/>
      <c r="H120" s="1770"/>
      <c r="I120" s="1770"/>
      <c r="J120" s="1770"/>
      <c r="K120" s="1771"/>
      <c r="L120" s="96">
        <f ca="1">IF(I91=0,0,I91/(ENTRADAS!F22*LAJES!AK4))</f>
        <v>0</v>
      </c>
      <c r="Q120" s="107"/>
    </row>
    <row r="121" spans="2:17" ht="7.5" customHeight="1" x14ac:dyDescent="0.35">
      <c r="B121" s="106"/>
      <c r="Q121" s="107"/>
    </row>
    <row r="122" spans="2:17" x14ac:dyDescent="0.35">
      <c r="B122" s="106"/>
      <c r="C122" s="1758">
        <f>IF(ENTRADAS!D912="x","PREÇO DE VENDA / m³ de COBERTURA INCLUINDO IMPOSTOS",0)</f>
        <v>0</v>
      </c>
      <c r="D122" s="1770"/>
      <c r="E122" s="1770"/>
      <c r="F122" s="1770"/>
      <c r="G122" s="1770"/>
      <c r="H122" s="1770"/>
      <c r="I122" s="1770"/>
      <c r="J122" s="1770"/>
      <c r="K122" s="1771"/>
      <c r="L122" s="96">
        <f ca="1">IF(I91=0,0,I91/(LAJES!C53+LAJES!C60+LAJES!C66+LAJES!C72))</f>
        <v>0</v>
      </c>
      <c r="Q122" s="107"/>
    </row>
    <row r="123" spans="2:17" ht="3" customHeight="1" thickBot="1" x14ac:dyDescent="0.4">
      <c r="B123" s="110"/>
      <c r="C123" s="115"/>
      <c r="D123" s="115"/>
      <c r="E123" s="115"/>
      <c r="F123" s="115"/>
      <c r="G123" s="115"/>
      <c r="H123" s="115"/>
      <c r="I123" s="115"/>
      <c r="J123" s="115"/>
      <c r="K123" s="115"/>
      <c r="L123" s="115"/>
      <c r="M123" s="115"/>
      <c r="N123" s="115"/>
      <c r="O123" s="115"/>
      <c r="P123" s="115"/>
      <c r="Q123" s="116"/>
    </row>
  </sheetData>
  <sheetProtection algorithmName="SHA-512" hashValue="pgl3gMw3wUnadI/SChN3J3wc/r6GtcTsiTYBMzZRto2WsdaA2S33fY7bpFsYtHsIEJaKm4XLVrM6TC/WmZ2edg==" saltValue="wY5AQNW6DVs3dvbqvpzk1Q==" spinCount="100000" sheet="1"/>
  <mergeCells count="89">
    <mergeCell ref="B2:D5"/>
    <mergeCell ref="E2:L3"/>
    <mergeCell ref="M2:N2"/>
    <mergeCell ref="O2:Q2"/>
    <mergeCell ref="M3:N3"/>
    <mergeCell ref="O3:Q3"/>
    <mergeCell ref="F4:L4"/>
    <mergeCell ref="M4:Q4"/>
    <mergeCell ref="F5:L5"/>
    <mergeCell ref="M5:Q5"/>
    <mergeCell ref="C9:F9"/>
    <mergeCell ref="C11:E11"/>
    <mergeCell ref="G11:J11"/>
    <mergeCell ref="L11:P11"/>
    <mergeCell ref="I12:J12"/>
    <mergeCell ref="N12:P12"/>
    <mergeCell ref="C13:D13"/>
    <mergeCell ref="G13:I13"/>
    <mergeCell ref="L13:O13"/>
    <mergeCell ref="C17:F17"/>
    <mergeCell ref="C19:E19"/>
    <mergeCell ref="G19:J19"/>
    <mergeCell ref="L19:P19"/>
    <mergeCell ref="I20:J20"/>
    <mergeCell ref="N20:P20"/>
    <mergeCell ref="C24:F24"/>
    <mergeCell ref="C26:E26"/>
    <mergeCell ref="G26:J26"/>
    <mergeCell ref="L26:P26"/>
    <mergeCell ref="I27:J27"/>
    <mergeCell ref="N27:P27"/>
    <mergeCell ref="C31:F31"/>
    <mergeCell ref="C33:E33"/>
    <mergeCell ref="G33:J33"/>
    <mergeCell ref="L33:P33"/>
    <mergeCell ref="D34:E34"/>
    <mergeCell ref="I34:J34"/>
    <mergeCell ref="N34:P34"/>
    <mergeCell ref="C38:D38"/>
    <mergeCell ref="J38:M38"/>
    <mergeCell ref="C40:E40"/>
    <mergeCell ref="G40:J40"/>
    <mergeCell ref="L40:P40"/>
    <mergeCell ref="D41:E41"/>
    <mergeCell ref="I41:J41"/>
    <mergeCell ref="N41:P41"/>
    <mergeCell ref="C45:F45"/>
    <mergeCell ref="C47:E47"/>
    <mergeCell ref="G47:J47"/>
    <mergeCell ref="L47:P47"/>
    <mergeCell ref="D48:E48"/>
    <mergeCell ref="I48:J48"/>
    <mergeCell ref="N48:P48"/>
    <mergeCell ref="C50:E50"/>
    <mergeCell ref="C51:D51"/>
    <mergeCell ref="C53:E53"/>
    <mergeCell ref="C54:D54"/>
    <mergeCell ref="C58:F58"/>
    <mergeCell ref="C60:E60"/>
    <mergeCell ref="H60:J60"/>
    <mergeCell ref="C74:E74"/>
    <mergeCell ref="H74:J74"/>
    <mergeCell ref="L74:P74"/>
    <mergeCell ref="D75:E75"/>
    <mergeCell ref="I75:J75"/>
    <mergeCell ref="M75:P75"/>
    <mergeCell ref="C77:E77"/>
    <mergeCell ref="H77:J77"/>
    <mergeCell ref="D78:E78"/>
    <mergeCell ref="I78:J78"/>
    <mergeCell ref="C82:F82"/>
    <mergeCell ref="C84:E84"/>
    <mergeCell ref="H84:J84"/>
    <mergeCell ref="L84:P84"/>
    <mergeCell ref="D85:E85"/>
    <mergeCell ref="I85:J85"/>
    <mergeCell ref="N85:P85"/>
    <mergeCell ref="L87:M87"/>
    <mergeCell ref="N87:P87"/>
    <mergeCell ref="D88:O88"/>
    <mergeCell ref="C116:K116"/>
    <mergeCell ref="C118:K118"/>
    <mergeCell ref="C120:K120"/>
    <mergeCell ref="C122:K122"/>
    <mergeCell ref="D89:O89"/>
    <mergeCell ref="E91:H91"/>
    <mergeCell ref="I91:J91"/>
    <mergeCell ref="C112:K112"/>
    <mergeCell ref="C114:K114"/>
  </mergeCells>
  <dataValidations disablePrompts="1" count="1">
    <dataValidation type="list" allowBlank="1" showInputMessage="1" showErrorMessage="1" sqref="P88:P89" xr:uid="{00000000-0002-0000-0300-000000000000}">
      <formula1>$U$85</formula1>
    </dataValidation>
  </dataValidations>
  <printOptions horizontalCentered="1"/>
  <pageMargins left="0.59055118110236227" right="0.11811023622047245" top="0.19685039370078741" bottom="0.19685039370078741" header="0.31496062992125984" footer="0.31496062992125984"/>
  <pageSetup paperSize="9" scale="75" orientation="portrait" verticalDpi="4294967294"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12" filterMode="1">
    <tabColor rgb="FF92D050"/>
    <pageSetUpPr fitToPage="1"/>
  </sheetPr>
  <dimension ref="A1:IK412"/>
  <sheetViews>
    <sheetView showGridLines="0" showZeros="0" topLeftCell="A15" zoomScaleNormal="100" zoomScaleSheetLayoutView="100" workbookViewId="0">
      <selection activeCell="F114" sqref="F114:G114"/>
    </sheetView>
  </sheetViews>
  <sheetFormatPr defaultRowHeight="12.75" x14ac:dyDescent="0.35"/>
  <cols>
    <col min="1" max="1" width="2.59765625" customWidth="1"/>
    <col min="2" max="2" width="2.86328125" customWidth="1"/>
    <col min="3" max="3" width="23.86328125" customWidth="1"/>
    <col min="4" max="4" width="5.86328125" customWidth="1"/>
    <col min="5" max="5" width="6" customWidth="1"/>
    <col min="6" max="6" width="3.59765625" customWidth="1"/>
    <col min="7" max="7" width="4" customWidth="1"/>
    <col min="8" max="245" width="0.59765625" customWidth="1"/>
  </cols>
  <sheetData>
    <row r="1" spans="1:245" ht="19.5" hidden="1" customHeight="1" x14ac:dyDescent="0.35">
      <c r="DV1" s="16"/>
      <c r="EC1" s="16"/>
      <c r="EJ1" s="16"/>
      <c r="EQ1" s="16"/>
      <c r="EX1" s="16"/>
    </row>
    <row r="2" spans="1:245" ht="14.25" customHeight="1" x14ac:dyDescent="0.4">
      <c r="D2" s="490" t="s">
        <v>1562</v>
      </c>
      <c r="E2" s="491"/>
      <c r="F2" s="491"/>
      <c r="G2" s="491"/>
      <c r="H2" s="491"/>
      <c r="I2" s="491"/>
      <c r="J2" s="1981">
        <f ca="1">IF(ENTRADAS!I15=0,0,IF(Q2=0,TODAY()+ENTRADAS!$Q$852,Q2))</f>
        <v>45914</v>
      </c>
      <c r="K2" s="1981"/>
      <c r="L2" s="1981"/>
      <c r="M2" s="1981"/>
      <c r="N2" s="491"/>
      <c r="O2" s="491"/>
      <c r="P2" s="491"/>
      <c r="Q2" s="1980"/>
      <c r="R2" s="1980"/>
      <c r="S2" s="1980"/>
      <c r="T2" s="1980"/>
      <c r="U2" s="1980"/>
      <c r="V2" s="1980"/>
      <c r="W2" s="1980"/>
      <c r="X2" s="1980"/>
      <c r="Y2" s="1980"/>
      <c r="Z2" s="1980"/>
      <c r="AA2" s="1980"/>
      <c r="AB2" s="1980"/>
      <c r="AC2" s="1980"/>
      <c r="AD2" s="1980"/>
      <c r="AE2" s="1980"/>
      <c r="AF2" s="1980"/>
      <c r="AG2" s="1980"/>
      <c r="AH2" s="1980"/>
      <c r="AI2" s="1980"/>
      <c r="AJ2" s="14"/>
      <c r="AK2" s="14"/>
      <c r="AL2" s="202" t="str">
        <f>IF(Q2=0,"SE VOCÊ NÃO DIGITAR UMA DATA ",0)</f>
        <v xml:space="preserve">SE VOCÊ NÃO DIGITAR UMA DATA </v>
      </c>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5"/>
      <c r="CV2" s="1917" t="s">
        <v>1563</v>
      </c>
      <c r="CW2" s="1918"/>
      <c r="CX2" s="1918"/>
      <c r="CY2" s="1918"/>
      <c r="CZ2" s="1918"/>
      <c r="DA2" s="1918"/>
      <c r="DB2" s="1918"/>
      <c r="DC2" s="1918"/>
      <c r="DD2" s="1918"/>
      <c r="DE2" s="1918"/>
      <c r="DF2" s="1918"/>
      <c r="DG2" s="1918"/>
      <c r="DH2" s="1918"/>
      <c r="DI2" s="1918"/>
      <c r="DJ2" s="1918"/>
      <c r="DK2" s="1918"/>
      <c r="DL2" s="1918"/>
      <c r="DM2" s="1918"/>
      <c r="DN2" s="1918"/>
      <c r="DO2" s="1918"/>
      <c r="DP2" s="1918"/>
      <c r="DQ2" s="1918"/>
      <c r="DR2" s="1918"/>
      <c r="DS2" s="1918"/>
      <c r="DT2" s="1918"/>
      <c r="DU2" s="1918"/>
      <c r="DV2" s="1918"/>
      <c r="DW2" s="1918"/>
      <c r="DX2" s="1918"/>
      <c r="DY2" s="1918"/>
      <c r="DZ2" s="1918"/>
      <c r="EA2" s="1918"/>
      <c r="EB2" s="1918"/>
      <c r="EC2" s="1918"/>
      <c r="ED2" s="1918"/>
      <c r="EE2" s="1918"/>
      <c r="EF2" s="1918"/>
      <c r="EG2" s="1918"/>
      <c r="EH2" s="1918"/>
      <c r="EI2" s="1918"/>
      <c r="EJ2" s="1918"/>
      <c r="EK2" s="1918"/>
      <c r="EL2" s="1918"/>
      <c r="EM2" s="1918"/>
      <c r="EN2" s="1918"/>
      <c r="EO2" s="1918"/>
      <c r="EP2" s="1918"/>
      <c r="EQ2" s="1918"/>
      <c r="ER2" s="1918"/>
      <c r="ES2" s="1918"/>
      <c r="ET2" s="1918"/>
      <c r="EU2" s="1918"/>
      <c r="EV2" s="1918"/>
      <c r="EW2" s="1918"/>
      <c r="EX2" s="1918"/>
      <c r="EY2" s="1918"/>
      <c r="EZ2" s="1918"/>
      <c r="FA2" s="1918"/>
      <c r="FB2" s="1918"/>
      <c r="FC2" s="1918"/>
      <c r="FD2" s="1918"/>
      <c r="FE2" s="1918"/>
      <c r="FF2" s="1918"/>
      <c r="FG2" s="1918"/>
      <c r="FH2" s="1918"/>
      <c r="FI2" s="1918"/>
      <c r="FJ2" s="1918"/>
      <c r="FK2" s="1918"/>
      <c r="FL2" s="1918"/>
      <c r="FM2" s="1918"/>
      <c r="FN2" s="1918"/>
      <c r="FO2" s="1918"/>
      <c r="FP2" s="1918"/>
      <c r="FQ2" s="1918"/>
      <c r="FR2" s="1918"/>
      <c r="FS2" s="1918"/>
      <c r="FT2" s="1918"/>
      <c r="FU2" s="1918"/>
      <c r="FV2" s="1918"/>
      <c r="FW2" s="1918"/>
      <c r="FX2" s="1918"/>
      <c r="FY2" s="1918"/>
      <c r="FZ2" s="1918"/>
      <c r="GA2" s="1918"/>
      <c r="GB2" s="1918"/>
      <c r="GC2" s="1918"/>
      <c r="GD2" s="1918"/>
      <c r="GE2" s="1918"/>
      <c r="GF2" s="1918"/>
      <c r="GG2" s="1918"/>
      <c r="GH2" s="1918"/>
      <c r="GI2" s="1918"/>
      <c r="GJ2" s="1918"/>
      <c r="GK2" s="1918"/>
      <c r="GL2" s="1918"/>
      <c r="GM2" s="1918"/>
      <c r="GN2" s="1918"/>
      <c r="GO2" s="14"/>
      <c r="GP2" s="14"/>
      <c r="GQ2" s="14"/>
      <c r="GR2" s="15"/>
    </row>
    <row r="3" spans="1:245" ht="14.25" customHeight="1" x14ac:dyDescent="0.4">
      <c r="D3" s="492"/>
      <c r="E3" s="485"/>
      <c r="F3" s="485"/>
      <c r="G3" s="485"/>
      <c r="H3" s="485"/>
      <c r="I3" s="485"/>
      <c r="J3" s="1906">
        <f ca="1">IF(ENTRADAS!I15=0,0,IF(Q2=0,TODAY()+2*ENTRADAS!$Q$852,Q2))</f>
        <v>45919</v>
      </c>
      <c r="K3" s="1906"/>
      <c r="L3" s="1906"/>
      <c r="M3" s="485"/>
      <c r="N3" s="485"/>
      <c r="O3" s="485"/>
      <c r="P3" s="485"/>
      <c r="Q3" s="485"/>
      <c r="R3" s="485"/>
      <c r="S3" s="485"/>
      <c r="T3" s="485"/>
      <c r="U3" s="485"/>
      <c r="V3" s="485"/>
      <c r="W3" s="485"/>
      <c r="X3" s="485"/>
      <c r="Y3" s="485"/>
      <c r="Z3" s="485"/>
      <c r="AA3" s="485"/>
      <c r="AB3" s="485"/>
      <c r="AC3" s="485"/>
      <c r="AD3" s="485"/>
      <c r="AE3" s="485"/>
      <c r="AF3" s="485"/>
      <c r="AG3" s="485"/>
      <c r="AH3" s="485"/>
      <c r="AI3" s="485"/>
      <c r="AJ3" s="485"/>
      <c r="AK3" s="485"/>
      <c r="AL3" s="493" t="str">
        <f>IF(Q2=0,"SERÁ CONSIDERADA A DATA DE HOJE",0)</f>
        <v>SERÁ CONSIDERADA A DATA DE HOJE</v>
      </c>
      <c r="AM3" s="3"/>
      <c r="AN3" s="485"/>
      <c r="AO3" s="485"/>
      <c r="AP3" s="485"/>
      <c r="AQ3" s="485"/>
      <c r="AR3" s="485"/>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17"/>
      <c r="CV3" s="1202" t="s">
        <v>1564</v>
      </c>
      <c r="CW3" s="489"/>
      <c r="CX3" s="489"/>
      <c r="CY3" s="489"/>
      <c r="CZ3" s="489"/>
      <c r="DA3" s="489"/>
      <c r="DB3" s="489"/>
      <c r="DC3" s="489"/>
      <c r="DD3" s="489"/>
      <c r="DE3" s="489"/>
      <c r="DF3" s="489"/>
      <c r="DG3" s="489"/>
      <c r="DH3" s="489"/>
      <c r="DI3" s="489"/>
      <c r="DJ3" s="489"/>
      <c r="DK3" s="489"/>
      <c r="DL3" s="489"/>
      <c r="DM3" s="489"/>
      <c r="DN3" s="489"/>
      <c r="DO3" s="489"/>
      <c r="DP3" s="489"/>
      <c r="DQ3" s="489"/>
      <c r="DR3" s="489"/>
      <c r="DS3" s="489"/>
      <c r="DT3" s="489"/>
      <c r="DU3" s="489"/>
      <c r="DV3" s="489"/>
      <c r="DW3" s="489"/>
      <c r="DX3" s="489"/>
      <c r="DY3" s="489"/>
      <c r="DZ3" s="489"/>
      <c r="EA3" s="489"/>
      <c r="EB3" s="489"/>
      <c r="EC3" s="489"/>
      <c r="ED3" s="489"/>
      <c r="EE3" s="489"/>
      <c r="EF3" s="489"/>
      <c r="EG3" s="489"/>
      <c r="EH3" s="489"/>
      <c r="EI3" s="489"/>
      <c r="EJ3" s="489"/>
      <c r="EK3" s="489"/>
      <c r="EL3" s="489"/>
      <c r="EM3" s="489"/>
      <c r="EN3" s="489"/>
      <c r="EO3" s="489"/>
      <c r="EP3" s="489"/>
      <c r="EQ3" s="489"/>
      <c r="ER3" s="489"/>
      <c r="ES3" s="489"/>
      <c r="ET3" s="489"/>
      <c r="EU3" s="489"/>
      <c r="EV3" s="489"/>
      <c r="EW3" s="489"/>
      <c r="EX3" s="489"/>
      <c r="EY3" s="489"/>
      <c r="EZ3" s="489"/>
      <c r="FA3" s="489"/>
      <c r="FB3" s="489"/>
      <c r="FC3" s="489"/>
      <c r="FD3" s="489"/>
      <c r="FE3" s="489"/>
      <c r="FF3" s="489"/>
      <c r="FG3" s="489"/>
      <c r="FH3" s="489"/>
      <c r="FI3" s="489"/>
      <c r="FJ3" s="489"/>
      <c r="FK3" s="489"/>
      <c r="FL3" s="489"/>
      <c r="FM3" s="3"/>
      <c r="FN3" s="3"/>
      <c r="FO3" s="3"/>
      <c r="FP3" s="3"/>
      <c r="FQ3" s="3"/>
      <c r="FR3" s="3"/>
      <c r="FS3" s="3"/>
      <c r="FT3" s="3"/>
      <c r="FU3" s="3"/>
      <c r="FV3" s="3"/>
      <c r="FW3" s="3"/>
      <c r="FX3" s="3"/>
      <c r="FY3" s="3"/>
      <c r="FZ3" s="3"/>
      <c r="GA3" s="3"/>
      <c r="GB3" s="3"/>
      <c r="GC3" s="3"/>
      <c r="GD3" s="3"/>
      <c r="GE3" s="3"/>
      <c r="GF3" s="3"/>
      <c r="GG3" s="3"/>
      <c r="GH3" s="2005">
        <v>5</v>
      </c>
      <c r="GI3" s="2006"/>
      <c r="GJ3" s="2006"/>
      <c r="GK3" s="2006"/>
      <c r="GL3" s="2006"/>
      <c r="GM3" s="2006"/>
      <c r="GN3" s="2006"/>
      <c r="GO3" s="1441" t="s">
        <v>130</v>
      </c>
      <c r="GP3" s="1441"/>
      <c r="GQ3" s="1441"/>
      <c r="GR3" s="1339"/>
    </row>
    <row r="4" spans="1:245" ht="13.5" x14ac:dyDescent="0.35">
      <c r="B4" s="1998"/>
      <c r="C4" s="1999"/>
      <c r="D4" s="1994" t="str">
        <f>"CLIENTE:  "&amp;ENTRADAS!F3</f>
        <v>CLIENTE:  Passarelli</v>
      </c>
      <c r="E4" s="1995"/>
      <c r="F4" s="1995"/>
      <c r="G4" s="1995"/>
      <c r="H4" s="1995"/>
      <c r="I4" s="1995"/>
      <c r="J4" s="1995"/>
      <c r="K4" s="1995"/>
      <c r="L4" s="1995"/>
      <c r="M4" s="1995"/>
      <c r="N4" s="1995"/>
      <c r="O4" s="1995"/>
      <c r="P4" s="1995"/>
      <c r="Q4" s="1995"/>
      <c r="R4" s="1995"/>
      <c r="S4" s="1995"/>
      <c r="T4" s="1995"/>
      <c r="U4" s="1995"/>
      <c r="V4" s="1995"/>
      <c r="W4" s="1995"/>
      <c r="X4" s="1995"/>
      <c r="Y4" s="1995"/>
      <c r="Z4" s="1995"/>
      <c r="AA4" s="1995"/>
      <c r="AB4" s="1995"/>
      <c r="AC4" s="1995"/>
      <c r="AD4" s="1995"/>
      <c r="AE4" s="1995"/>
      <c r="AF4" s="1995"/>
      <c r="AG4" s="1995"/>
      <c r="AH4" s="1995"/>
      <c r="AI4" s="1995"/>
      <c r="AJ4" s="1995"/>
      <c r="AK4" s="1995"/>
      <c r="AL4" s="1995"/>
      <c r="AM4" s="1995"/>
      <c r="AN4" s="1995"/>
      <c r="AO4" s="1995"/>
      <c r="AP4" s="1995"/>
      <c r="AQ4" s="1995"/>
      <c r="AR4" s="1995"/>
      <c r="AS4" s="1995"/>
      <c r="AT4" s="1995"/>
      <c r="AU4" s="1995"/>
      <c r="AV4" s="1995"/>
      <c r="AW4" s="1995"/>
      <c r="AX4" s="1995"/>
      <c r="AY4" s="1995"/>
      <c r="AZ4" s="1995"/>
      <c r="BA4" s="1995"/>
      <c r="BB4" s="1995"/>
      <c r="BC4" s="1995"/>
      <c r="BD4" s="1996"/>
      <c r="BE4" s="1994" t="str">
        <f>"LOCAL:  "&amp;FECHAMENTO!M5</f>
        <v>LOCAL:  São Paulo - Tatuapé - SP</v>
      </c>
      <c r="BF4" s="1995"/>
      <c r="BG4" s="1995"/>
      <c r="BH4" s="1995"/>
      <c r="BI4" s="1995"/>
      <c r="BJ4" s="1995"/>
      <c r="BK4" s="1995"/>
      <c r="BL4" s="1995"/>
      <c r="BM4" s="1995"/>
      <c r="BN4" s="1995"/>
      <c r="BO4" s="1995"/>
      <c r="BP4" s="1995"/>
      <c r="BQ4" s="1995"/>
      <c r="BR4" s="1995"/>
      <c r="BS4" s="1995"/>
      <c r="BT4" s="1995"/>
      <c r="BU4" s="1995"/>
      <c r="BV4" s="1995"/>
      <c r="BW4" s="1995"/>
      <c r="BX4" s="1995"/>
      <c r="BY4" s="1995"/>
      <c r="BZ4" s="1995"/>
      <c r="CA4" s="1995"/>
      <c r="CB4" s="1995"/>
      <c r="CC4" s="1995"/>
      <c r="CD4" s="1995"/>
      <c r="CE4" s="1995"/>
      <c r="CF4" s="1995"/>
      <c r="CG4" s="1995"/>
      <c r="CH4" s="1995"/>
      <c r="CI4" s="1995"/>
      <c r="CJ4" s="1995"/>
      <c r="CK4" s="1995"/>
      <c r="CL4" s="1995"/>
      <c r="CM4" s="1995"/>
      <c r="CN4" s="1995"/>
      <c r="CO4" s="1995"/>
      <c r="CP4" s="1995"/>
      <c r="CQ4" s="1995"/>
      <c r="CR4" s="1995"/>
      <c r="CS4" s="1995"/>
      <c r="CT4" s="1995"/>
      <c r="CU4" s="1996"/>
      <c r="CV4" s="1919" t="s">
        <v>1565</v>
      </c>
      <c r="CW4" s="1919"/>
      <c r="CX4" s="1919"/>
      <c r="CY4" s="1919"/>
      <c r="CZ4" s="1919"/>
      <c r="DA4" s="1919"/>
      <c r="DB4" s="1919"/>
      <c r="DC4" s="1919"/>
      <c r="DD4" s="1919"/>
      <c r="DE4" s="1919"/>
      <c r="DF4" s="1919"/>
      <c r="DG4" s="1919"/>
      <c r="DH4" s="1919"/>
      <c r="DI4" s="1919"/>
      <c r="DJ4" s="1919"/>
      <c r="DK4" s="1066">
        <v>1</v>
      </c>
      <c r="DL4" s="1066">
        <v>2</v>
      </c>
      <c r="DM4" s="1066">
        <v>3</v>
      </c>
      <c r="DN4" s="1066">
        <v>4</v>
      </c>
      <c r="DO4" s="1066"/>
      <c r="DP4" s="1066"/>
      <c r="DQ4" s="1066"/>
      <c r="DR4" s="1066"/>
      <c r="DS4" s="1066"/>
      <c r="DT4" s="1066"/>
      <c r="DU4" s="1066"/>
      <c r="DV4" s="1066"/>
      <c r="DW4" s="1066"/>
      <c r="DX4" s="1066"/>
      <c r="DY4" s="1066"/>
      <c r="DZ4" s="1066"/>
      <c r="EA4" s="1066"/>
      <c r="EB4" s="1066"/>
      <c r="EC4" s="1066"/>
      <c r="ED4" s="1066"/>
      <c r="EE4" s="1066"/>
      <c r="EF4" s="1066"/>
      <c r="EG4" s="1066"/>
      <c r="EH4" s="1066"/>
      <c r="EI4" s="1066"/>
      <c r="EJ4" s="1066"/>
      <c r="EK4" s="1066"/>
      <c r="EL4" s="1066"/>
      <c r="EM4" s="1066"/>
      <c r="EN4" s="1066"/>
      <c r="EO4" s="1066"/>
      <c r="EP4" s="1066"/>
      <c r="EQ4" s="1066"/>
      <c r="ER4" s="1066"/>
      <c r="ES4" s="1066"/>
      <c r="ET4" s="1066"/>
      <c r="EU4" s="1066"/>
      <c r="EV4" s="1066"/>
      <c r="EW4" s="1066"/>
      <c r="EX4" s="1066"/>
      <c r="EY4" s="1066"/>
      <c r="EZ4" s="1066"/>
      <c r="FA4" s="1066"/>
      <c r="FB4" s="1066"/>
      <c r="FC4" s="1066"/>
      <c r="FD4" s="1066"/>
      <c r="FE4" s="1066"/>
      <c r="FF4" s="1066"/>
      <c r="FG4" s="1066"/>
      <c r="FH4" s="1066"/>
      <c r="FI4" s="1066"/>
      <c r="FJ4" s="1066"/>
      <c r="FK4" s="1066"/>
      <c r="FL4" s="1066"/>
      <c r="FM4" s="1066"/>
      <c r="FN4" s="1066"/>
      <c r="FO4" s="1066"/>
      <c r="FP4" s="1066"/>
      <c r="FQ4" s="1066"/>
      <c r="FR4" s="1066"/>
      <c r="FS4" s="1066"/>
      <c r="FT4" s="1066"/>
      <c r="FU4" s="1066"/>
      <c r="FV4" s="1066"/>
      <c r="FW4" s="1066"/>
      <c r="FX4" s="1066"/>
      <c r="FY4" s="1066"/>
      <c r="FZ4" s="1066"/>
      <c r="GA4" s="1066"/>
      <c r="GB4" s="1066"/>
      <c r="GC4" s="1066"/>
      <c r="GD4" s="1066"/>
      <c r="GE4" s="1066"/>
      <c r="GF4" s="1066"/>
      <c r="GG4" s="1066"/>
      <c r="GH4" s="1066"/>
      <c r="GI4" s="1066"/>
      <c r="GJ4" s="1066"/>
      <c r="GK4" s="1066"/>
      <c r="GL4" s="1066"/>
      <c r="GM4" s="1066"/>
      <c r="GN4" s="1066"/>
      <c r="GO4" s="1066"/>
      <c r="GP4" s="1066"/>
      <c r="GQ4" s="1066"/>
      <c r="GR4" s="1066"/>
      <c r="GS4" s="1066"/>
      <c r="GT4" s="1066"/>
      <c r="GU4" s="1066"/>
      <c r="GV4" s="1066"/>
      <c r="GW4" s="1066"/>
      <c r="GX4" s="1066"/>
      <c r="GY4" s="1066"/>
      <c r="GZ4" s="1066"/>
      <c r="HA4" s="1066"/>
      <c r="HB4" s="1066"/>
      <c r="HC4" s="1066"/>
      <c r="HD4" s="1066"/>
      <c r="HE4" s="1066"/>
      <c r="HF4" s="1066"/>
      <c r="HG4" s="1066"/>
      <c r="HH4" s="1066"/>
      <c r="HI4" s="1066"/>
      <c r="HJ4" s="1066"/>
      <c r="HK4" s="1066"/>
      <c r="HL4" s="1066"/>
      <c r="HM4" s="1066"/>
      <c r="HN4" s="1066"/>
      <c r="HO4" s="1066"/>
      <c r="HP4" s="1066"/>
      <c r="HQ4" s="1066"/>
      <c r="HR4" s="1066"/>
      <c r="HS4" s="1066"/>
      <c r="HT4" s="1066"/>
      <c r="HU4" s="1066"/>
      <c r="HV4" s="1066"/>
      <c r="HW4" s="1066"/>
      <c r="HX4" s="1066"/>
      <c r="HY4" s="1066"/>
      <c r="HZ4" s="1066"/>
      <c r="IA4" s="1066"/>
      <c r="IB4" s="1066"/>
      <c r="IC4" s="1066"/>
      <c r="ID4" s="1066"/>
      <c r="IE4" s="1066"/>
      <c r="IF4" s="1066"/>
      <c r="IG4" s="1066"/>
      <c r="IH4" s="1066"/>
      <c r="II4" s="1066"/>
      <c r="IJ4" s="1066"/>
      <c r="IK4" s="1058"/>
    </row>
    <row r="5" spans="1:245" ht="13.5" x14ac:dyDescent="0.35">
      <c r="A5" s="195">
        <f>IF(B5=0,0,"XXX")</f>
        <v>0</v>
      </c>
      <c r="B5" s="2000"/>
      <c r="C5" s="2001"/>
      <c r="D5" s="1994" t="str">
        <f>"OBRA:  "&amp;ENTRADAS!F4</f>
        <v>OBRA:  12 tqs Nereda</v>
      </c>
      <c r="E5" s="1995"/>
      <c r="F5" s="1995"/>
      <c r="G5" s="1995"/>
      <c r="H5" s="1995"/>
      <c r="I5" s="1995"/>
      <c r="J5" s="1995"/>
      <c r="K5" s="1995"/>
      <c r="L5" s="1995"/>
      <c r="M5" s="1995"/>
      <c r="N5" s="1995"/>
      <c r="O5" s="1995"/>
      <c r="P5" s="1995"/>
      <c r="Q5" s="1995"/>
      <c r="R5" s="1995"/>
      <c r="S5" s="1995"/>
      <c r="T5" s="1995"/>
      <c r="U5" s="1995"/>
      <c r="V5" s="1995"/>
      <c r="W5" s="1995"/>
      <c r="X5" s="1995"/>
      <c r="Y5" s="1995"/>
      <c r="Z5" s="1995"/>
      <c r="AA5" s="1995"/>
      <c r="AB5" s="1995"/>
      <c r="AC5" s="1995"/>
      <c r="AD5" s="1995"/>
      <c r="AE5" s="1995"/>
      <c r="AF5" s="1995"/>
      <c r="AG5" s="1995"/>
      <c r="AH5" s="1995"/>
      <c r="AI5" s="1995"/>
      <c r="AJ5" s="1995"/>
      <c r="AK5" s="1995"/>
      <c r="AL5" s="1995"/>
      <c r="AM5" s="1995"/>
      <c r="AN5" s="1995"/>
      <c r="AO5" s="1995"/>
      <c r="AP5" s="1995"/>
      <c r="AQ5" s="1995"/>
      <c r="AR5" s="1995"/>
      <c r="AS5" s="1995"/>
      <c r="AT5" s="1995"/>
      <c r="AU5" s="1995"/>
      <c r="AV5" s="1995"/>
      <c r="AW5" s="1995"/>
      <c r="AX5" s="1995"/>
      <c r="AY5" s="1995"/>
      <c r="AZ5" s="1995"/>
      <c r="BA5" s="1995"/>
      <c r="BB5" s="1995"/>
      <c r="BC5" s="1995"/>
      <c r="BD5" s="1996"/>
      <c r="BE5" s="456" t="s">
        <v>1566</v>
      </c>
      <c r="BF5" s="457"/>
      <c r="BG5" s="457"/>
      <c r="BH5" s="457"/>
      <c r="BI5" s="457"/>
      <c r="BJ5" s="457"/>
      <c r="BK5" s="457"/>
      <c r="BL5" s="457"/>
      <c r="BM5" s="457"/>
      <c r="BN5" s="1997">
        <f>ENTRADAS!O1</f>
        <v>45638</v>
      </c>
      <c r="BO5" s="1997"/>
      <c r="BP5" s="1997"/>
      <c r="BQ5" s="1997"/>
      <c r="BR5" s="1997"/>
      <c r="BS5" s="1997"/>
      <c r="BT5" s="1997"/>
      <c r="BU5" s="1997"/>
      <c r="BV5" s="1997"/>
      <c r="BW5" s="1997"/>
      <c r="BX5" s="1997"/>
      <c r="BY5" s="1997"/>
      <c r="BZ5" s="1997"/>
      <c r="CA5" s="1997"/>
      <c r="CB5" s="1997"/>
      <c r="CC5" s="458"/>
      <c r="CD5" s="458"/>
      <c r="CE5" s="458"/>
      <c r="CF5" s="458"/>
      <c r="CG5" s="458"/>
      <c r="CH5" s="458"/>
      <c r="CI5" s="458"/>
      <c r="CJ5" s="458"/>
      <c r="CK5" s="458"/>
      <c r="CL5" s="458"/>
      <c r="CM5" s="458"/>
      <c r="CN5" s="458"/>
      <c r="CO5" s="458"/>
      <c r="CP5" s="458"/>
      <c r="CQ5" s="458"/>
      <c r="CR5" s="458"/>
      <c r="CS5" s="459"/>
      <c r="CT5" s="459"/>
      <c r="CU5" s="460"/>
      <c r="CV5" s="1919">
        <f>IF(GUINDASTE!C123=1,2,IF(GUINDASTE!C125=1,1,2))</f>
        <v>2</v>
      </c>
      <c r="CW5" s="1919"/>
      <c r="CX5" s="1919"/>
      <c r="CY5" s="1919"/>
      <c r="CZ5" s="1919"/>
      <c r="DA5" s="1919"/>
      <c r="DB5" s="1919"/>
      <c r="DC5" s="1919"/>
      <c r="DD5" s="1919"/>
      <c r="DE5" s="1919"/>
      <c r="DF5" s="1919"/>
      <c r="DG5" s="1919"/>
      <c r="DH5" s="1919"/>
      <c r="DI5" s="1919"/>
      <c r="DJ5" s="1919"/>
      <c r="DK5" s="983"/>
      <c r="DL5" s="983"/>
      <c r="DM5" s="983"/>
      <c r="DN5" s="983"/>
      <c r="DO5" s="983"/>
      <c r="DP5" s="983"/>
      <c r="DQ5" s="983"/>
      <c r="DR5" s="983"/>
      <c r="DS5" s="983"/>
      <c r="DT5" s="983"/>
      <c r="DU5" s="983"/>
      <c r="DV5" s="983"/>
      <c r="DW5" s="983"/>
      <c r="DX5" s="983"/>
      <c r="DY5" s="983"/>
      <c r="DZ5" s="983"/>
      <c r="EA5" s="983"/>
      <c r="EB5" s="983"/>
      <c r="EC5" s="983"/>
      <c r="ED5" s="983"/>
      <c r="EE5" s="983"/>
      <c r="EF5" s="983"/>
      <c r="EG5" s="983"/>
      <c r="EH5" s="983"/>
      <c r="EI5" s="983"/>
      <c r="EJ5" s="983"/>
      <c r="EK5" s="983"/>
      <c r="EL5" s="983"/>
      <c r="EM5" s="983"/>
      <c r="EN5" s="983"/>
      <c r="EO5" s="983"/>
      <c r="EP5" s="983"/>
      <c r="EQ5" s="983"/>
      <c r="ER5" s="983"/>
      <c r="ES5" s="983"/>
      <c r="ET5" s="983"/>
      <c r="EU5" s="983"/>
      <c r="EV5" s="983"/>
      <c r="EW5" s="983"/>
      <c r="EX5" s="983"/>
      <c r="EY5" s="983"/>
      <c r="EZ5" s="983"/>
      <c r="FA5" s="983"/>
      <c r="FB5" s="983"/>
      <c r="FC5" s="983"/>
      <c r="FD5" s="983"/>
      <c r="FE5" s="983"/>
      <c r="FF5" s="983"/>
      <c r="FG5" s="983"/>
      <c r="FH5" s="983"/>
      <c r="FI5" s="983"/>
      <c r="FJ5" s="983"/>
      <c r="FK5" s="983"/>
      <c r="FL5" s="983"/>
      <c r="FM5" s="983"/>
      <c r="FN5" s="983"/>
      <c r="FO5" s="983"/>
      <c r="FP5" s="983"/>
      <c r="FQ5" s="983"/>
      <c r="FR5" s="983"/>
      <c r="FS5" s="983"/>
      <c r="FT5" s="983"/>
      <c r="FU5" s="983"/>
      <c r="FV5" s="983"/>
      <c r="FW5" s="983"/>
      <c r="FX5" s="983"/>
      <c r="FY5" s="983"/>
      <c r="FZ5" s="983"/>
      <c r="GA5" s="983"/>
      <c r="GB5" s="983"/>
      <c r="GC5" s="983"/>
      <c r="GD5" s="983"/>
      <c r="GE5" s="983"/>
      <c r="GF5" s="983"/>
      <c r="GG5" s="983"/>
      <c r="GH5" s="983"/>
      <c r="GI5" s="983"/>
      <c r="GJ5" s="983"/>
      <c r="GK5" s="983"/>
      <c r="GL5" s="983"/>
      <c r="GM5" s="983"/>
      <c r="GN5" s="983"/>
      <c r="GO5" s="983"/>
      <c r="GP5" s="983"/>
      <c r="GQ5" s="983"/>
      <c r="GR5" s="983"/>
      <c r="GS5" s="983"/>
      <c r="GT5" s="983"/>
      <c r="GU5" s="983"/>
      <c r="GV5" s="983"/>
      <c r="GW5" s="983"/>
      <c r="GX5" s="983"/>
      <c r="GY5" s="983"/>
      <c r="GZ5" s="983"/>
      <c r="HA5" s="983"/>
      <c r="HB5" s="983"/>
      <c r="HC5" s="983"/>
      <c r="HD5" s="983"/>
      <c r="HE5" s="983"/>
      <c r="HF5" s="983"/>
      <c r="HG5" s="983"/>
      <c r="HH5" s="983"/>
      <c r="HI5" s="983"/>
      <c r="HJ5" s="983"/>
      <c r="HK5" s="983"/>
      <c r="HL5" s="983"/>
      <c r="HM5" s="983"/>
      <c r="HN5" s="983"/>
      <c r="HO5" s="983"/>
      <c r="HP5" s="983"/>
      <c r="HQ5" s="983"/>
      <c r="HR5" s="983"/>
      <c r="HS5" s="983"/>
      <c r="HT5" s="983"/>
      <c r="HU5" s="983"/>
      <c r="HV5" s="983"/>
      <c r="HW5" s="983"/>
      <c r="HX5" s="983"/>
      <c r="HY5" s="983"/>
      <c r="HZ5" s="983"/>
      <c r="IA5" s="983"/>
      <c r="IB5" s="983"/>
      <c r="IC5" s="983"/>
      <c r="ID5" s="983"/>
      <c r="IE5" s="983"/>
      <c r="IF5" s="983"/>
      <c r="IG5" s="983"/>
      <c r="IH5" s="983"/>
      <c r="II5" s="983"/>
      <c r="IJ5" s="983"/>
      <c r="IK5" s="984"/>
    </row>
    <row r="6" spans="1:245" s="195" customFormat="1" hidden="1" x14ac:dyDescent="0.35">
      <c r="B6" s="2002"/>
      <c r="C6" s="2003"/>
      <c r="D6" s="461"/>
      <c r="E6" s="462"/>
      <c r="F6" s="362"/>
      <c r="G6" s="363"/>
      <c r="H6" s="350">
        <f>IF(ENTRADAS!$Q$852&gt;0,IF(ENTRADAS!$Q$852-H7&gt;=0,1000,H7),H7)</f>
        <v>1000</v>
      </c>
      <c r="I6" s="350">
        <f>IF(ENTRADAS!$Q$852&gt;0,IF(ENTRADAS!$Q$852-I7&gt;=0,1000,I7),I7)</f>
        <v>1000</v>
      </c>
      <c r="J6" s="350">
        <f>IF(ENTRADAS!$Q$852&gt;0,IF(ENTRADAS!$Q$852-J7&gt;=0,1000,J7),J7)</f>
        <v>1000</v>
      </c>
      <c r="K6" s="350">
        <f>IF(ENTRADAS!$Q$852&gt;0,IF(ENTRADAS!$Q$852-K7&gt;=0,1000,K7),K7)</f>
        <v>1000</v>
      </c>
      <c r="L6" s="350">
        <f>IF(ENTRADAS!$Q$852&gt;0,IF(ENTRADAS!$Q$852-L7&gt;=0,1000,L7),L7)</f>
        <v>1000</v>
      </c>
      <c r="M6" s="350">
        <f>IF(ENTRADAS!$Q$852&gt;0,IF(ENTRADAS!$Q$852-M7&gt;=0,1000,M7-ENTRADAS!$Q$852),M7)</f>
        <v>1</v>
      </c>
      <c r="N6" s="350">
        <f>IF(ENTRADAS!$Q$852&gt;0,IF(ENTRADAS!$Q$852-N7&gt;=0,1000,N7-ENTRADAS!$Q$852),N7)</f>
        <v>2</v>
      </c>
      <c r="O6" s="350">
        <f>IF(ENTRADAS!$Q$852&gt;0,IF(ENTRADAS!$Q$852-O7&gt;=0,1000,O7-ENTRADAS!$Q$852),O7)</f>
        <v>3</v>
      </c>
      <c r="P6" s="350">
        <f>IF(ENTRADAS!$Q$852&gt;0,IF(ENTRADAS!$Q$852-P7&gt;=0,1000,P7-ENTRADAS!$Q$852),P7)</f>
        <v>4</v>
      </c>
      <c r="Q6" s="350">
        <f>IF(ENTRADAS!$Q$852&gt;0,IF(ENTRADAS!$Q$852-Q7&gt;=0,1000,Q7-ENTRADAS!$Q$852),Q7)</f>
        <v>5</v>
      </c>
      <c r="R6" s="350">
        <f>IF(ENTRADAS!$Q$852&gt;0,IF(ENTRADAS!$Q$852-R7&gt;=0,1000,R7-ENTRADAS!$Q$852),R7)</f>
        <v>6</v>
      </c>
      <c r="S6" s="350">
        <f>IF(ENTRADAS!$Q$852&gt;0,IF(ENTRADAS!$Q$852-S7&gt;=0,1000,S7-ENTRADAS!$Q$852),S7)</f>
        <v>7</v>
      </c>
      <c r="T6" s="350">
        <f>IF(ENTRADAS!$Q$852&gt;0,IF(ENTRADAS!$Q$852-T7&gt;=0,1000,T7-ENTRADAS!$Q$852),T7)</f>
        <v>8</v>
      </c>
      <c r="U6" s="350">
        <f>IF(ENTRADAS!$Q$852&gt;0,IF(ENTRADAS!$Q$852-U7&gt;=0,1000,U7-ENTRADAS!$Q$852),U7)</f>
        <v>9</v>
      </c>
      <c r="V6" s="350">
        <f>IF(ENTRADAS!$Q$852&gt;0,IF(ENTRADAS!$Q$852-V7&gt;=0,1000,V7-ENTRADAS!$Q$852),V7)</f>
        <v>10</v>
      </c>
      <c r="W6" s="350">
        <f>IF(ENTRADAS!$Q$852&gt;0,IF(ENTRADAS!$Q$852-W7&gt;=0,1000,W7-ENTRADAS!$Q$852),W7)</f>
        <v>11</v>
      </c>
      <c r="X6" s="350">
        <f>IF(ENTRADAS!$Q$852&gt;0,IF(ENTRADAS!$Q$852-X7&gt;=0,1000,X7-ENTRADAS!$Q$852),X7)</f>
        <v>12</v>
      </c>
      <c r="Y6" s="350">
        <f>IF(ENTRADAS!$Q$852&gt;0,IF(ENTRADAS!$Q$852-Y7&gt;=0,1000,Y7-ENTRADAS!$Q$852),Y7)</f>
        <v>13</v>
      </c>
      <c r="Z6" s="350">
        <f>IF(ENTRADAS!$Q$852&gt;0,IF(ENTRADAS!$Q$852-Z7&gt;=0,1000,Z7-ENTRADAS!$Q$852),Z7)</f>
        <v>14</v>
      </c>
      <c r="AA6" s="350">
        <f>IF(ENTRADAS!$Q$852&gt;0,IF(ENTRADAS!$Q$852-AA7&gt;=0,1000,AA7-ENTRADAS!$Q$852),AA7)</f>
        <v>15</v>
      </c>
      <c r="AB6" s="350">
        <f>IF(ENTRADAS!$Q$852&gt;0,IF(ENTRADAS!$Q$852-AB7&gt;=0,1000,AB7-ENTRADAS!$Q$852),AB7)</f>
        <v>16</v>
      </c>
      <c r="AC6" s="350">
        <f>IF(ENTRADAS!$Q$852&gt;0,IF(ENTRADAS!$Q$852-AC7&gt;=0,1000,AC7-ENTRADAS!$Q$852),AC7)</f>
        <v>17</v>
      </c>
      <c r="AD6" s="350">
        <f>IF(ENTRADAS!$Q$852&gt;0,IF(ENTRADAS!$Q$852-AD7&gt;=0,1000,AD7-ENTRADAS!$Q$852),AD7)</f>
        <v>18</v>
      </c>
      <c r="AE6" s="350">
        <f>IF(ENTRADAS!$Q$852&gt;0,IF(ENTRADAS!$Q$852-AE7&gt;=0,1000,AE7-ENTRADAS!$Q$852),AE7)</f>
        <v>19</v>
      </c>
      <c r="AF6" s="350">
        <f>IF(ENTRADAS!$Q$852&gt;0,IF(ENTRADAS!$Q$852-AF7&gt;=0,1000,AF7-ENTRADAS!$Q$852),AF7)</f>
        <v>20</v>
      </c>
      <c r="AG6" s="350">
        <f>IF(ENTRADAS!$Q$852&gt;0,IF(ENTRADAS!$Q$852-AG7&gt;=0,1000,AG7-ENTRADAS!$Q$852),AG7)</f>
        <v>21</v>
      </c>
      <c r="AH6" s="350">
        <f>IF(ENTRADAS!$Q$852&gt;0,IF(ENTRADAS!$Q$852-AH7&gt;=0,1000,AH7-ENTRADAS!$Q$852),AH7)</f>
        <v>22</v>
      </c>
      <c r="AI6" s="350">
        <f>IF(ENTRADAS!$Q$852&gt;0,IF(ENTRADAS!$Q$852-AI7&gt;=0,1000,AI7-ENTRADAS!$Q$852),AI7)</f>
        <v>23</v>
      </c>
      <c r="AJ6" s="350">
        <f>IF(ENTRADAS!$Q$852&gt;0,IF(ENTRADAS!$Q$852-AJ7&gt;=0,1000,AJ7-ENTRADAS!$Q$852),AJ7)</f>
        <v>24</v>
      </c>
      <c r="AK6" s="350">
        <f>IF(ENTRADAS!$Q$852&gt;0,IF(ENTRADAS!$Q$852-AK7&gt;=0,1000,AK7-ENTRADAS!$Q$852),AK7)</f>
        <v>25</v>
      </c>
      <c r="AL6" s="350">
        <f>IF(ENTRADAS!$Q$852&gt;0,IF(ENTRADAS!$Q$852-AL7&gt;=0,1000,AL7-ENTRADAS!$Q$852),AL7)</f>
        <v>26</v>
      </c>
      <c r="AM6" s="350">
        <f>IF(ENTRADAS!$Q$852&gt;0,IF(ENTRADAS!$Q$852-AM7&gt;=0,1000,AM7-ENTRADAS!$Q$852),AM7)</f>
        <v>27</v>
      </c>
      <c r="AN6" s="350">
        <f>IF(ENTRADAS!$Q$852&gt;0,IF(ENTRADAS!$Q$852-AN7&gt;=0,1000,AN7-ENTRADAS!$Q$852),AN7)</f>
        <v>28</v>
      </c>
      <c r="AO6" s="350">
        <f>IF(ENTRADAS!$Q$852&gt;0,IF(ENTRADAS!$Q$852-AO7&gt;=0,1000,AO7-ENTRADAS!$Q$852),AO7)</f>
        <v>29</v>
      </c>
      <c r="AP6" s="350">
        <f>IF(ENTRADAS!$Q$852&gt;0,IF(ENTRADAS!$Q$852-AP7&gt;=0,1000,AP7-ENTRADAS!$Q$852),AP7)</f>
        <v>30</v>
      </c>
      <c r="AQ6" s="350">
        <f>IF(ENTRADAS!$Q$852&gt;0,IF(ENTRADAS!$Q$852-AQ7&gt;=0,1000,AQ7-ENTRADAS!$Q$852),AQ7)</f>
        <v>31</v>
      </c>
      <c r="AR6" s="350">
        <f>IF(ENTRADAS!$Q$852&gt;0,IF(ENTRADAS!$Q$852-AR7&gt;=0,1000,AR7-ENTRADAS!$Q$852),AR7)</f>
        <v>32</v>
      </c>
      <c r="AS6" s="350">
        <f>IF(ENTRADAS!$Q$852&gt;0,IF(ENTRADAS!$Q$852-AS7&gt;=0,1000,AS7-ENTRADAS!$Q$852),AS7)</f>
        <v>33</v>
      </c>
      <c r="AT6" s="350">
        <f>IF(ENTRADAS!$Q$852&gt;0,IF(ENTRADAS!$Q$852-AT7&gt;=0,1000,AT7-ENTRADAS!$Q$852),AT7)</f>
        <v>34</v>
      </c>
      <c r="AU6" s="350">
        <f>IF(ENTRADAS!$Q$852&gt;0,IF(ENTRADAS!$Q$852-AU7&gt;=0,1000,AU7-ENTRADAS!$Q$852),AU7)</f>
        <v>35</v>
      </c>
      <c r="AV6" s="350">
        <f>IF(ENTRADAS!$Q$852&gt;0,IF(ENTRADAS!$Q$852-AV7&gt;=0,1000,AV7-ENTRADAS!$Q$852),AV7)</f>
        <v>36</v>
      </c>
      <c r="AW6" s="350">
        <f>IF(ENTRADAS!$Q$852&gt;0,IF(ENTRADAS!$Q$852-AW7&gt;=0,1000,AW7-ENTRADAS!$Q$852),AW7)</f>
        <v>37</v>
      </c>
      <c r="AX6" s="350">
        <f>IF(ENTRADAS!$Q$852&gt;0,IF(ENTRADAS!$Q$852-AX7&gt;=0,1000,AX7-ENTRADAS!$Q$852),AX7)</f>
        <v>38</v>
      </c>
      <c r="AY6" s="350">
        <f>IF(ENTRADAS!$Q$852&gt;0,IF(ENTRADAS!$Q$852-AY7&gt;=0,1000,AY7-ENTRADAS!$Q$852),AY7)</f>
        <v>39</v>
      </c>
      <c r="AZ6" s="350">
        <f>IF(ENTRADAS!$Q$852&gt;0,IF(ENTRADAS!$Q$852-AZ7&gt;=0,1000,AZ7-ENTRADAS!$Q$852),AZ7)</f>
        <v>40</v>
      </c>
      <c r="BA6" s="350">
        <f>IF(ENTRADAS!$Q$852&gt;0,IF(ENTRADAS!$Q$852-BA7&gt;=0,1000,BA7-ENTRADAS!$Q$852),BA7)</f>
        <v>41</v>
      </c>
      <c r="BB6" s="350">
        <f>IF(ENTRADAS!$Q$852&gt;0,IF(ENTRADAS!$Q$852-BB7&gt;=0,1000,BB7-ENTRADAS!$Q$852),BB7)</f>
        <v>42</v>
      </c>
      <c r="BC6" s="350">
        <f>IF(ENTRADAS!$Q$852&gt;0,IF(ENTRADAS!$Q$852-BC7&gt;=0,1000,BC7-ENTRADAS!$Q$852),BC7)</f>
        <v>43</v>
      </c>
      <c r="BD6" s="350">
        <f>IF(ENTRADAS!$Q$852&gt;0,IF(ENTRADAS!$Q$852-BD7&gt;=0,1000,BD7-ENTRADAS!$Q$852),BD7)</f>
        <v>44</v>
      </c>
      <c r="BE6" s="350">
        <f>IF(ENTRADAS!$Q$852&gt;0,IF(ENTRADAS!$Q$852-BE7&gt;=0,1000,BE7-ENTRADAS!$Q$852),BE7)</f>
        <v>45</v>
      </c>
      <c r="BF6" s="350">
        <f>IF(ENTRADAS!$Q$852&gt;0,IF(ENTRADAS!$Q$852-BF7&gt;=0,1000,BF7-ENTRADAS!$Q$852),BF7)</f>
        <v>46</v>
      </c>
      <c r="BG6" s="350">
        <f>IF(ENTRADAS!$Q$852&gt;0,IF(ENTRADAS!$Q$852-BG7&gt;=0,1000,BG7-ENTRADAS!$Q$852),BG7)</f>
        <v>47</v>
      </c>
      <c r="BH6" s="350">
        <f>IF(ENTRADAS!$Q$852&gt;0,IF(ENTRADAS!$Q$852-BH7&gt;=0,1000,BH7-ENTRADAS!$Q$852),BH7)</f>
        <v>48</v>
      </c>
      <c r="BI6" s="350">
        <f>IF(ENTRADAS!$Q$852&gt;0,IF(ENTRADAS!$Q$852-BI7&gt;=0,1000,BI7-ENTRADAS!$Q$852),BI7)</f>
        <v>49</v>
      </c>
      <c r="BJ6" s="350">
        <f>IF(ENTRADAS!$Q$852&gt;0,IF(ENTRADAS!$Q$852-BJ7&gt;=0,1000,BJ7-ENTRADAS!$Q$852),BJ7)</f>
        <v>50</v>
      </c>
      <c r="BK6" s="350">
        <f>IF(ENTRADAS!$Q$852&gt;0,IF(ENTRADAS!$Q$852-BK7&gt;=0,1000,BK7-ENTRADAS!$Q$852),BK7)</f>
        <v>51</v>
      </c>
      <c r="BL6" s="350">
        <f>IF(ENTRADAS!$Q$852&gt;0,IF(ENTRADAS!$Q$852-BL7&gt;=0,1000,BL7-ENTRADAS!$Q$852),BL7)</f>
        <v>52</v>
      </c>
      <c r="BM6" s="350">
        <f>IF(ENTRADAS!$Q$852&gt;0,IF(ENTRADAS!$Q$852-BM7&gt;=0,1000,BM7-ENTRADAS!$Q$852),BM7)</f>
        <v>53</v>
      </c>
      <c r="BN6" s="350">
        <f>IF(ENTRADAS!$Q$852&gt;0,IF(ENTRADAS!$Q$852-BN7&gt;=0,1000,BN7-ENTRADAS!$Q$852),BN7)</f>
        <v>54</v>
      </c>
      <c r="BO6" s="350">
        <f>IF(ENTRADAS!$Q$852&gt;0,IF(ENTRADAS!$Q$852-BO7&gt;=0,1000,BO7-ENTRADAS!$Q$852),BO7)</f>
        <v>55</v>
      </c>
      <c r="BP6" s="350">
        <f>IF(ENTRADAS!$Q$852&gt;0,IF(ENTRADAS!$Q$852-BP7&gt;=0,1000,BP7-ENTRADAS!$Q$852),BP7)</f>
        <v>56</v>
      </c>
      <c r="BQ6" s="350">
        <f>IF(ENTRADAS!$Q$852&gt;0,IF(ENTRADAS!$Q$852-BQ7&gt;=0,1000,BQ7-ENTRADAS!$Q$852),BQ7)</f>
        <v>57</v>
      </c>
      <c r="BR6" s="350">
        <f>IF(ENTRADAS!$Q$852&gt;0,IF(ENTRADAS!$Q$852-BR7&gt;=0,1000,BR7-ENTRADAS!$Q$852),BR7)</f>
        <v>58</v>
      </c>
      <c r="BS6" s="350">
        <f>IF(ENTRADAS!$Q$852&gt;0,IF(ENTRADAS!$Q$852-BS7&gt;=0,1000,BS7-ENTRADAS!$Q$852),BS7)</f>
        <v>59</v>
      </c>
      <c r="BT6" s="350">
        <f>IF(ENTRADAS!$Q$852&gt;0,IF(ENTRADAS!$Q$852-BT7&gt;=0,1000,BT7-ENTRADAS!$Q$852),BT7)</f>
        <v>60</v>
      </c>
      <c r="BU6" s="350">
        <f>IF(ENTRADAS!$Q$852&gt;0,IF(ENTRADAS!$Q$852-BU7&gt;=0,1000,BU7-ENTRADAS!$Q$852),BU7)</f>
        <v>61</v>
      </c>
      <c r="BV6" s="350">
        <f>IF(ENTRADAS!$Q$852&gt;0,IF(ENTRADAS!$Q$852-BV7&gt;=0,1000,BV7-ENTRADAS!$Q$852),BV7)</f>
        <v>62</v>
      </c>
      <c r="BW6" s="350">
        <f>IF(ENTRADAS!$Q$852&gt;0,IF(ENTRADAS!$Q$852-BW7&gt;=0,1000,BW7-ENTRADAS!$Q$852),BW7)</f>
        <v>63</v>
      </c>
      <c r="BX6" s="350">
        <f>IF(ENTRADAS!$Q$852&gt;0,IF(ENTRADAS!$Q$852-BX7&gt;=0,1000,BX7-ENTRADAS!$Q$852),BX7)</f>
        <v>64</v>
      </c>
      <c r="BY6" s="350">
        <f>IF(ENTRADAS!$Q$852&gt;0,IF(ENTRADAS!$Q$852-BY7&gt;=0,1000,BY7-ENTRADAS!$Q$852),BY7)</f>
        <v>65</v>
      </c>
      <c r="BZ6" s="350">
        <f>IF(ENTRADAS!$Q$852&gt;0,IF(ENTRADAS!$Q$852-BZ7&gt;=0,1000,BZ7-ENTRADAS!$Q$852),BZ7)</f>
        <v>66</v>
      </c>
      <c r="CA6" s="350">
        <f>IF(ENTRADAS!$Q$852&gt;0,IF(ENTRADAS!$Q$852-CA7&gt;=0,1000,CA7-ENTRADAS!$Q$852),CA7)</f>
        <v>67</v>
      </c>
      <c r="CB6" s="350">
        <f>IF(ENTRADAS!$Q$852&gt;0,IF(ENTRADAS!$Q$852-CB7&gt;=0,1000,CB7-ENTRADAS!$Q$852),CB7)</f>
        <v>68</v>
      </c>
      <c r="CC6" s="350">
        <f>IF(ENTRADAS!$Q$852&gt;0,IF(ENTRADAS!$Q$852-CC7&gt;=0,1000,CC7-ENTRADAS!$Q$852),CC7)</f>
        <v>69</v>
      </c>
      <c r="CD6" s="350">
        <f>IF(ENTRADAS!$Q$852&gt;0,IF(ENTRADAS!$Q$852-CD7&gt;=0,1000,CD7-ENTRADAS!$Q$852),CD7)</f>
        <v>70</v>
      </c>
      <c r="CE6" s="350">
        <f>IF(ENTRADAS!$Q$852&gt;0,IF(ENTRADAS!$Q$852-CE7&gt;=0,1000,CE7-ENTRADAS!$Q$852),CE7)</f>
        <v>71</v>
      </c>
      <c r="CF6" s="350">
        <f>IF(ENTRADAS!$Q$852&gt;0,IF(ENTRADAS!$Q$852-CF7&gt;=0,1000,CF7-ENTRADAS!$Q$852),CF7)</f>
        <v>72</v>
      </c>
      <c r="CG6" s="350">
        <f>IF(ENTRADAS!$Q$852&gt;0,IF(ENTRADAS!$Q$852-CG7&gt;=0,1000,CG7-ENTRADAS!$Q$852),CG7)</f>
        <v>73</v>
      </c>
      <c r="CH6" s="350">
        <f>IF(ENTRADAS!$Q$852&gt;0,IF(ENTRADAS!$Q$852-CH7&gt;=0,1000,CH7-ENTRADAS!$Q$852),CH7)</f>
        <v>74</v>
      </c>
      <c r="CI6" s="350">
        <f>IF(ENTRADAS!$Q$852&gt;0,IF(ENTRADAS!$Q$852-CI7&gt;=0,1000,CI7-ENTRADAS!$Q$852),CI7)</f>
        <v>75</v>
      </c>
      <c r="CJ6" s="350">
        <f>IF(ENTRADAS!$Q$852&gt;0,IF(ENTRADAS!$Q$852-CJ7&gt;=0,1000,CJ7-ENTRADAS!$Q$852),CJ7)</f>
        <v>76</v>
      </c>
      <c r="CK6" s="350">
        <f>IF(ENTRADAS!$Q$852&gt;0,IF(ENTRADAS!$Q$852-CK7&gt;=0,1000,CK7-ENTRADAS!$Q$852),CK7)</f>
        <v>77</v>
      </c>
      <c r="CL6" s="350">
        <f>IF(ENTRADAS!$Q$852&gt;0,IF(ENTRADAS!$Q$852-CL7&gt;=0,1000,CL7-ENTRADAS!$Q$852),CL7)</f>
        <v>78</v>
      </c>
      <c r="CM6" s="350">
        <f>IF(ENTRADAS!$Q$852&gt;0,IF(ENTRADAS!$Q$852-CM7&gt;=0,1000,CM7-ENTRADAS!$Q$852),CM7)</f>
        <v>79</v>
      </c>
      <c r="CN6" s="350">
        <f>IF(ENTRADAS!$Q$852&gt;0,IF(ENTRADAS!$Q$852-CN7&gt;=0,1000,CN7-ENTRADAS!$Q$852),CN7)</f>
        <v>80</v>
      </c>
      <c r="CO6" s="350">
        <f>IF(ENTRADAS!$Q$852&gt;0,IF(ENTRADAS!$Q$852-CO7&gt;=0,1000,CO7-ENTRADAS!$Q$852),CO7)</f>
        <v>81</v>
      </c>
      <c r="CP6" s="350">
        <f>IF(ENTRADAS!$Q$852&gt;0,IF(ENTRADAS!$Q$852-CP7&gt;=0,1000,CP7-ENTRADAS!$Q$852),CP7)</f>
        <v>82</v>
      </c>
      <c r="CQ6" s="350">
        <f>IF(ENTRADAS!$Q$852&gt;0,IF(ENTRADAS!$Q$852-CQ7&gt;=0,1000,CQ7-ENTRADAS!$Q$852),CQ7)</f>
        <v>83</v>
      </c>
      <c r="CR6" s="350">
        <f>IF(ENTRADAS!$Q$852&gt;0,IF(ENTRADAS!$Q$852-CR7&gt;=0,1000,CR7-ENTRADAS!$Q$852),CR7)</f>
        <v>84</v>
      </c>
      <c r="CS6" s="350">
        <f>IF(ENTRADAS!$Q$852&gt;0,IF(ENTRADAS!$Q$852-CS7&gt;=0,1000,CS7-ENTRADAS!$Q$852),CS7)</f>
        <v>85</v>
      </c>
      <c r="CT6" s="350">
        <f>IF(ENTRADAS!$Q$852&gt;0,IF(ENTRADAS!$Q$852-CT7&gt;=0,1000,CT7-ENTRADAS!$Q$852),CT7)</f>
        <v>86</v>
      </c>
      <c r="CU6" s="350">
        <f>IF(ENTRADAS!$Q$852&gt;0,IF(ENTRADAS!$Q$852-CU7&gt;=0,1000,CU7-ENTRADAS!$Q$852),CU7)</f>
        <v>87</v>
      </c>
      <c r="CV6" s="350">
        <f>IF(ENTRADAS!$Q$852&gt;0,IF(ENTRADAS!$Q$852-CV7&gt;=0,1000,CV7-ENTRADAS!$Q$852),CV7)</f>
        <v>88</v>
      </c>
      <c r="CW6" s="350">
        <f>IF(ENTRADAS!$Q$852&gt;0,IF(ENTRADAS!$Q$852-CW7&gt;=0,1000,CW7-ENTRADAS!$Q$852),CW7)</f>
        <v>89</v>
      </c>
      <c r="CX6" s="350">
        <f>IF(ENTRADAS!$Q$852&gt;0,IF(ENTRADAS!$Q$852-CX7&gt;=0,1000,CX7-ENTRADAS!$Q$852),CX7)</f>
        <v>90</v>
      </c>
      <c r="CY6" s="350">
        <f>IF(ENTRADAS!$Q$852&gt;0,IF(ENTRADAS!$Q$852-CY7&gt;=0,1000,CY7-ENTRADAS!$Q$852),CY7)</f>
        <v>91</v>
      </c>
      <c r="CZ6" s="350">
        <f>IF(ENTRADAS!$Q$852&gt;0,IF(ENTRADAS!$Q$852-CZ7&gt;=0,1000,CZ7-ENTRADAS!$Q$852),CZ7)</f>
        <v>92</v>
      </c>
      <c r="DA6" s="350">
        <f>IF(ENTRADAS!$Q$852&gt;0,IF(ENTRADAS!$Q$852-DA7&gt;=0,1000,DA7-ENTRADAS!$Q$852),DA7)</f>
        <v>93</v>
      </c>
      <c r="DB6" s="350">
        <f>IF(ENTRADAS!$Q$852&gt;0,IF(ENTRADAS!$Q$852-DB7&gt;=0,1000,DB7-ENTRADAS!$Q$852),DB7)</f>
        <v>94</v>
      </c>
      <c r="DC6" s="350">
        <f>IF(ENTRADAS!$Q$852&gt;0,IF(ENTRADAS!$Q$852-DC7&gt;=0,1000,DC7-ENTRADAS!$Q$852),DC7)</f>
        <v>95</v>
      </c>
      <c r="DD6" s="350">
        <f>IF(ENTRADAS!$Q$852&gt;0,IF(ENTRADAS!$Q$852-DD7&gt;=0,1000,DD7-ENTRADAS!$Q$852),DD7)</f>
        <v>96</v>
      </c>
      <c r="DE6" s="350">
        <f>IF(ENTRADAS!$Q$852&gt;0,IF(ENTRADAS!$Q$852-DE7&gt;=0,1000,DE7-ENTRADAS!$Q$852),DE7)</f>
        <v>97</v>
      </c>
      <c r="DF6" s="350">
        <f>IF(ENTRADAS!$Q$852&gt;0,IF(ENTRADAS!$Q$852-DF7&gt;=0,1000,DF7-ENTRADAS!$Q$852),DF7)</f>
        <v>98</v>
      </c>
      <c r="DG6" s="350">
        <f>IF(ENTRADAS!$Q$852&gt;0,IF(ENTRADAS!$Q$852-DG7&gt;=0,1000,DG7-ENTRADAS!$Q$852),DG7)</f>
        <v>99</v>
      </c>
      <c r="DH6" s="350">
        <f>IF(ENTRADAS!$Q$852&gt;0,IF(ENTRADAS!$Q$852-DH7&gt;=0,1000,DH7-ENTRADAS!$Q$852),DH7)</f>
        <v>100</v>
      </c>
      <c r="DI6" s="350">
        <f>IF(ENTRADAS!$Q$852&gt;0,IF(ENTRADAS!$Q$852-DI7&gt;=0,1000,DI7-ENTRADAS!$Q$852),DI7)</f>
        <v>101</v>
      </c>
      <c r="DJ6" s="350">
        <f>IF(ENTRADAS!$Q$852&gt;0,IF(ENTRADAS!$Q$852-DJ7&gt;=0,1000,DJ7-ENTRADAS!$Q$852),DJ7)</f>
        <v>102</v>
      </c>
      <c r="DK6" s="350">
        <f>IF(ENTRADAS!$Q$852&gt;0,IF(ENTRADAS!$Q$852-DK7&gt;=0,1000,DK7-ENTRADAS!$Q$852),DK7)</f>
        <v>103</v>
      </c>
      <c r="DL6" s="350">
        <f>IF(ENTRADAS!$Q$852&gt;0,IF(ENTRADAS!$Q$852-DL7&gt;=0,1000,DL7-ENTRADAS!$Q$852),DL7)</f>
        <v>104</v>
      </c>
      <c r="DM6" s="350">
        <f>IF(ENTRADAS!$Q$852&gt;0,IF(ENTRADAS!$Q$852-DM7&gt;=0,1000,DM7-ENTRADAS!$Q$852),DM7)</f>
        <v>105</v>
      </c>
      <c r="DN6" s="350">
        <f>IF(ENTRADAS!$Q$852&gt;0,IF(ENTRADAS!$Q$852-DN7&gt;=0,1000,DN7-ENTRADAS!$Q$852),DN7)</f>
        <v>106</v>
      </c>
      <c r="DO6" s="350">
        <f>IF(ENTRADAS!$Q$852&gt;0,IF(ENTRADAS!$Q$852-DO7&gt;=0,1000,DO7-ENTRADAS!$Q$852),DO7)</f>
        <v>107</v>
      </c>
      <c r="DP6" s="350">
        <f>IF(ENTRADAS!$Q$852&gt;0,IF(ENTRADAS!$Q$852-DP7&gt;=0,1000,DP7-ENTRADAS!$Q$852),DP7)</f>
        <v>108</v>
      </c>
      <c r="DQ6" s="350">
        <f>IF(ENTRADAS!$Q$852&gt;0,IF(ENTRADAS!$Q$852-DQ7&gt;=0,1000,DQ7-ENTRADAS!$Q$852),DQ7)</f>
        <v>109</v>
      </c>
      <c r="DR6" s="350">
        <f>IF(ENTRADAS!$Q$852&gt;0,IF(ENTRADAS!$Q$852-DR7&gt;=0,1000,DR7-ENTRADAS!$Q$852),DR7)</f>
        <v>110</v>
      </c>
      <c r="DS6" s="350">
        <f>IF(ENTRADAS!$Q$852&gt;0,IF(ENTRADAS!$Q$852-DS7&gt;=0,1000,DS7-ENTRADAS!$Q$852),DS7)</f>
        <v>111</v>
      </c>
      <c r="DT6" s="350">
        <f>IF(ENTRADAS!$Q$852&gt;0,IF(ENTRADAS!$Q$852-DT7&gt;=0,1000,DT7-ENTRADAS!$Q$852),DT7)</f>
        <v>112</v>
      </c>
      <c r="DU6" s="350">
        <f>IF(ENTRADAS!$Q$852&gt;0,IF(ENTRADAS!$Q$852-DU7&gt;=0,1000,DU7-ENTRADAS!$Q$852),DU7)</f>
        <v>113</v>
      </c>
      <c r="DV6" s="350">
        <f>IF(ENTRADAS!$Q$852&gt;0,IF(ENTRADAS!$Q$852-DV7&gt;=0,1000,DV7-ENTRADAS!$Q$852),DV7)</f>
        <v>114</v>
      </c>
      <c r="DW6" s="350">
        <f>IF(ENTRADAS!$Q$852&gt;0,IF(ENTRADAS!$Q$852-DW7&gt;=0,1000,DW7-ENTRADAS!$Q$852),DW7)</f>
        <v>115</v>
      </c>
      <c r="DX6" s="350">
        <f>IF(ENTRADAS!$Q$852&gt;0,IF(ENTRADAS!$Q$852-DX7&gt;=0,1000,DX7-ENTRADAS!$Q$852),DX7)</f>
        <v>116</v>
      </c>
      <c r="DY6" s="350">
        <f>IF(ENTRADAS!$Q$852&gt;0,IF(ENTRADAS!$Q$852-DY7&gt;=0,1000,DY7-ENTRADAS!$Q$852),DY7)</f>
        <v>117</v>
      </c>
      <c r="DZ6" s="350">
        <f>IF(ENTRADAS!$Q$852&gt;0,IF(ENTRADAS!$Q$852-DZ7&gt;=0,1000,DZ7-ENTRADAS!$Q$852),DZ7)</f>
        <v>118</v>
      </c>
      <c r="EA6" s="350">
        <f>IF(ENTRADAS!$Q$852&gt;0,IF(ENTRADAS!$Q$852-EA7&gt;=0,1000,EA7-ENTRADAS!$Q$852),EA7)</f>
        <v>119</v>
      </c>
      <c r="EB6" s="350">
        <f>IF(ENTRADAS!$Q$852&gt;0,IF(ENTRADAS!$Q$852-EB7&gt;=0,1000,EB7-ENTRADAS!$Q$852),EB7)</f>
        <v>120</v>
      </c>
      <c r="EC6" s="350">
        <f>IF(ENTRADAS!$Q$852&gt;0,IF(ENTRADAS!$Q$852-EC7&gt;=0,1000,EC7-ENTRADAS!$Q$852),EC7)</f>
        <v>121</v>
      </c>
      <c r="ED6" s="350">
        <f>IF(ENTRADAS!$Q$852&gt;0,IF(ENTRADAS!$Q$852-ED7&gt;=0,1000,ED7-ENTRADAS!$Q$852),ED7)</f>
        <v>122</v>
      </c>
      <c r="EE6" s="350">
        <f>IF(ENTRADAS!$Q$852&gt;0,IF(ENTRADAS!$Q$852-EE7&gt;=0,1000,EE7-ENTRADAS!$Q$852),EE7)</f>
        <v>123</v>
      </c>
      <c r="EF6" s="350">
        <f>IF(ENTRADAS!$Q$852&gt;0,IF(ENTRADAS!$Q$852-EF7&gt;=0,1000,EF7-ENTRADAS!$Q$852),EF7)</f>
        <v>124</v>
      </c>
      <c r="EG6" s="350">
        <f>IF(ENTRADAS!$Q$852&gt;0,IF(ENTRADAS!$Q$852-EG7&gt;=0,1000,EG7-ENTRADAS!$Q$852),EG7)</f>
        <v>125</v>
      </c>
      <c r="EH6" s="350">
        <f>IF(ENTRADAS!$Q$852&gt;0,IF(ENTRADAS!$Q$852-EH7&gt;=0,1000,EH7-ENTRADAS!$Q$852),EH7)</f>
        <v>126</v>
      </c>
      <c r="EI6" s="350">
        <f>IF(ENTRADAS!$Q$852&gt;0,IF(ENTRADAS!$Q$852-EI7&gt;=0,1000,EI7-ENTRADAS!$Q$852),EI7)</f>
        <v>127</v>
      </c>
      <c r="EJ6" s="350">
        <f>IF(ENTRADAS!$Q$852&gt;0,IF(ENTRADAS!$Q$852-EJ7&gt;=0,1000,EJ7-ENTRADAS!$Q$852),EJ7)</f>
        <v>128</v>
      </c>
      <c r="EK6" s="350">
        <f>IF(ENTRADAS!$Q$852&gt;0,IF(ENTRADAS!$Q$852-EK7&gt;=0,1000,EK7-ENTRADAS!$Q$852),EK7)</f>
        <v>129</v>
      </c>
      <c r="EL6" s="350">
        <f>IF(ENTRADAS!$Q$852&gt;0,IF(ENTRADAS!$Q$852-EL7&gt;=0,1000,EL7-ENTRADAS!$Q$852),EL7)</f>
        <v>130</v>
      </c>
      <c r="EM6" s="350">
        <f>IF(ENTRADAS!$Q$852&gt;0,IF(ENTRADAS!$Q$852-EM7&gt;=0,1000,EM7-ENTRADAS!$Q$852),EM7)</f>
        <v>131</v>
      </c>
      <c r="EN6" s="350">
        <f>IF(ENTRADAS!$Q$852&gt;0,IF(ENTRADAS!$Q$852-EN7&gt;=0,1000,EN7-ENTRADAS!$Q$852),EN7)</f>
        <v>132</v>
      </c>
      <c r="EO6" s="350">
        <f>IF(ENTRADAS!$Q$852&gt;0,IF(ENTRADAS!$Q$852-EO7&gt;=0,1000,EO7-ENTRADAS!$Q$852),EO7)</f>
        <v>133</v>
      </c>
      <c r="EP6" s="350">
        <f>IF(ENTRADAS!$Q$852&gt;0,IF(ENTRADAS!$Q$852-EP7&gt;=0,1000,EP7-ENTRADAS!$Q$852),EP7)</f>
        <v>134</v>
      </c>
      <c r="EQ6" s="350">
        <f>IF(ENTRADAS!$Q$852&gt;0,IF(ENTRADAS!$Q$852-EQ7&gt;=0,1000,EQ7-ENTRADAS!$Q$852),EQ7)</f>
        <v>135</v>
      </c>
      <c r="ER6" s="350">
        <f>IF(ENTRADAS!$Q$852&gt;0,IF(ENTRADAS!$Q$852-ER7&gt;=0,1000,ER7-ENTRADAS!$Q$852),ER7)</f>
        <v>136</v>
      </c>
      <c r="ES6" s="350">
        <f>IF(ENTRADAS!$Q$852&gt;0,IF(ENTRADAS!$Q$852-ES7&gt;=0,1000,ES7-ENTRADAS!$Q$852),ES7)</f>
        <v>137</v>
      </c>
      <c r="ET6" s="350">
        <f>IF(ENTRADAS!$Q$852&gt;0,IF(ENTRADAS!$Q$852-ET7&gt;=0,1000,ET7-ENTRADAS!$Q$852),ET7)</f>
        <v>138</v>
      </c>
      <c r="EU6" s="350">
        <f>IF(ENTRADAS!$Q$852&gt;0,IF(ENTRADAS!$Q$852-EU7&gt;=0,1000,EU7-ENTRADAS!$Q$852),EU7)</f>
        <v>139</v>
      </c>
      <c r="EV6" s="350">
        <f>IF(ENTRADAS!$Q$852&gt;0,IF(ENTRADAS!$Q$852-EV7&gt;=0,1000,EV7-ENTRADAS!$Q$852),EV7)</f>
        <v>140</v>
      </c>
      <c r="EW6" s="350">
        <f>IF(ENTRADAS!$Q$852&gt;0,IF(ENTRADAS!$Q$852-EW7&gt;=0,1000,EW7-ENTRADAS!$Q$852),EW7)</f>
        <v>141</v>
      </c>
      <c r="EX6" s="350">
        <f>IF(ENTRADAS!$Q$852&gt;0,IF(ENTRADAS!$Q$852-EX7&gt;=0,1000,EX7-ENTRADAS!$Q$852),EX7)</f>
        <v>142</v>
      </c>
      <c r="EY6" s="350">
        <f>IF(ENTRADAS!$Q$852&gt;0,IF(ENTRADAS!$Q$852-EY7&gt;=0,1000,EY7-ENTRADAS!$Q$852),EY7)</f>
        <v>143</v>
      </c>
      <c r="EZ6" s="350">
        <f>IF(ENTRADAS!$Q$852&gt;0,IF(ENTRADAS!$Q$852-EZ7&gt;=0,1000,EZ7-ENTRADAS!$Q$852),EZ7)</f>
        <v>144</v>
      </c>
      <c r="FA6" s="350">
        <f>IF(ENTRADAS!$Q$852&gt;0,IF(ENTRADAS!$Q$852-FA7&gt;=0,1000,FA7-ENTRADAS!$Q$852),FA7)</f>
        <v>145</v>
      </c>
      <c r="FB6" s="350">
        <f>IF(ENTRADAS!$Q$852&gt;0,IF(ENTRADAS!$Q$852-FB7&gt;=0,1000,FB7-ENTRADAS!$Q$852),FB7)</f>
        <v>146</v>
      </c>
      <c r="FC6" s="350">
        <f>IF(ENTRADAS!$Q$852&gt;0,IF(ENTRADAS!$Q$852-FC7&gt;=0,1000,FC7-ENTRADAS!$Q$852),FC7)</f>
        <v>147</v>
      </c>
      <c r="FD6" s="350">
        <f>IF(ENTRADAS!$Q$852&gt;0,IF(ENTRADAS!$Q$852-FD7&gt;=0,1000,FD7-ENTRADAS!$Q$852),FD7)</f>
        <v>148</v>
      </c>
      <c r="FE6" s="350">
        <f>IF(ENTRADAS!$Q$852&gt;0,IF(ENTRADAS!$Q$852-FE7&gt;=0,1000,FE7-ENTRADAS!$Q$852),FE7)</f>
        <v>149</v>
      </c>
      <c r="FF6" s="350">
        <f>IF(ENTRADAS!$Q$852&gt;0,IF(ENTRADAS!$Q$852-FF7&gt;=0,1000,FF7-ENTRADAS!$Q$852),FF7)</f>
        <v>150</v>
      </c>
      <c r="FG6" s="350">
        <f>IF(ENTRADAS!$Q$852&gt;0,IF(ENTRADAS!$Q$852-FG7&gt;=0,1000,FG7-ENTRADAS!$Q$852),FG7)</f>
        <v>151</v>
      </c>
      <c r="FH6" s="350">
        <f>IF(ENTRADAS!$Q$852&gt;0,IF(ENTRADAS!$Q$852-FH7&gt;=0,1000,FH7-ENTRADAS!$Q$852),FH7)</f>
        <v>152</v>
      </c>
      <c r="FI6" s="350">
        <f>IF(ENTRADAS!$Q$852&gt;0,IF(ENTRADAS!$Q$852-FI7&gt;=0,1000,FI7-ENTRADAS!$Q$852),FI7)</f>
        <v>153</v>
      </c>
      <c r="FJ6" s="350">
        <f>IF(ENTRADAS!$Q$852&gt;0,IF(ENTRADAS!$Q$852-FJ7&gt;=0,1000,FJ7-ENTRADAS!$Q$852),FJ7)</f>
        <v>154</v>
      </c>
      <c r="FK6" s="350">
        <f>IF(ENTRADAS!$Q$852&gt;0,IF(ENTRADAS!$Q$852-FK7&gt;=0,1000,FK7-ENTRADAS!$Q$852),FK7)</f>
        <v>155</v>
      </c>
      <c r="FL6" s="350">
        <f>IF(ENTRADAS!$Q$852&gt;0,IF(ENTRADAS!$Q$852-FL7&gt;=0,1000,FL7-ENTRADAS!$Q$852),FL7)</f>
        <v>156</v>
      </c>
      <c r="FM6" s="350">
        <f>IF(ENTRADAS!$Q$852&gt;0,IF(ENTRADAS!$Q$852-FM7&gt;=0,1000,FM7-ENTRADAS!$Q$852),FM7)</f>
        <v>157</v>
      </c>
      <c r="FN6" s="350">
        <f>IF(ENTRADAS!$Q$852&gt;0,IF(ENTRADAS!$Q$852-FN7&gt;=0,1000,FN7-ENTRADAS!$Q$852),FN7)</f>
        <v>158</v>
      </c>
      <c r="FO6" s="350">
        <f>IF(ENTRADAS!$Q$852&gt;0,IF(ENTRADAS!$Q$852-FO7&gt;=0,1000,FO7-ENTRADAS!$Q$852),FO7)</f>
        <v>159</v>
      </c>
      <c r="FP6" s="350">
        <f>IF(ENTRADAS!$Q$852&gt;0,IF(ENTRADAS!$Q$852-FP7&gt;=0,1000,FP7-ENTRADAS!$Q$852),FP7)</f>
        <v>160</v>
      </c>
      <c r="FQ6" s="350">
        <f>IF(ENTRADAS!$Q$852&gt;0,IF(ENTRADAS!$Q$852-FQ7&gt;=0,1000,FQ7-ENTRADAS!$Q$852),FQ7)</f>
        <v>161</v>
      </c>
      <c r="FR6" s="350">
        <f>IF(ENTRADAS!$Q$852&gt;0,IF(ENTRADAS!$Q$852-FR7&gt;=0,1000,FR7-ENTRADAS!$Q$852),FR7)</f>
        <v>162</v>
      </c>
      <c r="FS6" s="350">
        <f>IF(ENTRADAS!$Q$852&gt;0,IF(ENTRADAS!$Q$852-FS7&gt;=0,1000,FS7-ENTRADAS!$Q$852),FS7)</f>
        <v>163</v>
      </c>
      <c r="FT6" s="350">
        <f>IF(ENTRADAS!$Q$852&gt;0,IF(ENTRADAS!$Q$852-FT7&gt;=0,1000,FT7-ENTRADAS!$Q$852),FT7)</f>
        <v>164</v>
      </c>
      <c r="FU6" s="350">
        <f>IF(ENTRADAS!$Q$852&gt;0,IF(ENTRADAS!$Q$852-FU7&gt;=0,1000,FU7-ENTRADAS!$Q$852),FU7)</f>
        <v>165</v>
      </c>
      <c r="FV6" s="350">
        <f>IF(ENTRADAS!$Q$852&gt;0,IF(ENTRADAS!$Q$852-FV7&gt;=0,1000,FV7-ENTRADAS!$Q$852),FV7)</f>
        <v>166</v>
      </c>
      <c r="FW6" s="350">
        <f>IF(ENTRADAS!$Q$852&gt;0,IF(ENTRADAS!$Q$852-FW7&gt;=0,1000,FW7-ENTRADAS!$Q$852),FW7)</f>
        <v>167</v>
      </c>
      <c r="FX6" s="350">
        <f>IF(ENTRADAS!$Q$852&gt;0,IF(ENTRADAS!$Q$852-FX7&gt;=0,1000,FX7-ENTRADAS!$Q$852),FX7)</f>
        <v>168</v>
      </c>
      <c r="FY6" s="350">
        <f>IF(ENTRADAS!$Q$852&gt;0,IF(ENTRADAS!$Q$852-FY7&gt;=0,1000,FY7-ENTRADAS!$Q$852),FY7)</f>
        <v>169</v>
      </c>
      <c r="FZ6" s="350">
        <f>IF(ENTRADAS!$Q$852&gt;0,IF(ENTRADAS!$Q$852-FZ7&gt;=0,1000,FZ7-ENTRADAS!$Q$852),FZ7)</f>
        <v>170</v>
      </c>
      <c r="GA6" s="350">
        <f>IF(ENTRADAS!$Q$852&gt;0,IF(ENTRADAS!$Q$852-GA7&gt;=0,1000,GA7-ENTRADAS!$Q$852),GA7)</f>
        <v>171</v>
      </c>
      <c r="GB6" s="350">
        <f>IF(ENTRADAS!$Q$852&gt;0,IF(ENTRADAS!$Q$852-GB7&gt;=0,1000,GB7-ENTRADAS!$Q$852),GB7)</f>
        <v>172</v>
      </c>
      <c r="GC6" s="350">
        <f>IF(ENTRADAS!$Q$852&gt;0,IF(ENTRADAS!$Q$852-GC7&gt;=0,1000,GC7-ENTRADAS!$Q$852),GC7)</f>
        <v>173</v>
      </c>
      <c r="GD6" s="350">
        <f>IF(ENTRADAS!$Q$852&gt;0,IF(ENTRADAS!$Q$852-GD7&gt;=0,1000,GD7-ENTRADAS!$Q$852),GD7)</f>
        <v>174</v>
      </c>
      <c r="GE6" s="350">
        <f>IF(ENTRADAS!$Q$852&gt;0,IF(ENTRADAS!$Q$852-GE7&gt;=0,1000,GE7-ENTRADAS!$Q$852),GE7)</f>
        <v>175</v>
      </c>
      <c r="GF6" s="350">
        <f>IF(ENTRADAS!$Q$852&gt;0,IF(ENTRADAS!$Q$852-GF7&gt;=0,1000,GF7-ENTRADAS!$Q$852),GF7)</f>
        <v>176</v>
      </c>
      <c r="GG6" s="350">
        <f>IF(ENTRADAS!$Q$852&gt;0,IF(ENTRADAS!$Q$852-GG7&gt;=0,1000,GG7-ENTRADAS!$Q$852),GG7)</f>
        <v>177</v>
      </c>
      <c r="GH6" s="350">
        <f>IF(ENTRADAS!$Q$852&gt;0,IF(ENTRADAS!$Q$852-GH7&gt;=0,1000,GH7-ENTRADAS!$Q$852),GH7)</f>
        <v>178</v>
      </c>
      <c r="GI6" s="350">
        <f>IF(ENTRADAS!$Q$852&gt;0,IF(ENTRADAS!$Q$852-GI7&gt;=0,1000,GI7-ENTRADAS!$Q$852),GI7)</f>
        <v>179</v>
      </c>
      <c r="GJ6" s="350">
        <f>IF(ENTRADAS!$Q$852&gt;0,IF(ENTRADAS!$Q$852-GJ7&gt;=0,1000,GJ7-ENTRADAS!$Q$852),GJ7)</f>
        <v>180</v>
      </c>
      <c r="GK6" s="350">
        <f>IF(ENTRADAS!$Q$852&gt;0,IF(ENTRADAS!$Q$852-GK7&gt;=0,1000,GK7-ENTRADAS!$Q$852),GK7)</f>
        <v>181</v>
      </c>
      <c r="GL6" s="350">
        <f>IF(ENTRADAS!$Q$852&gt;0,IF(ENTRADAS!$Q$852-GL7&gt;=0,1000,GL7-ENTRADAS!$Q$852),GL7)</f>
        <v>182</v>
      </c>
      <c r="GM6" s="350">
        <f>IF(ENTRADAS!$Q$852&gt;0,IF(ENTRADAS!$Q$852-GM7&gt;=0,1000,GM7-ENTRADAS!$Q$852),GM7)</f>
        <v>183</v>
      </c>
      <c r="GN6" s="350">
        <f>IF(ENTRADAS!$Q$852&gt;0,IF(ENTRADAS!$Q$852-GN7&gt;=0,1000,GN7-ENTRADAS!$Q$852),GN7)</f>
        <v>184</v>
      </c>
      <c r="GO6" s="350">
        <f>IF(ENTRADAS!$Q$852&gt;0,IF(ENTRADAS!$Q$852-GO7&gt;=0,1000,GO7-ENTRADAS!$Q$852),GO7)</f>
        <v>185</v>
      </c>
      <c r="GP6" s="350">
        <f>IF(ENTRADAS!$Q$852&gt;0,IF(ENTRADAS!$Q$852-GP7&gt;=0,1000,GP7-ENTRADAS!$Q$852),GP7)</f>
        <v>186</v>
      </c>
      <c r="GQ6" s="350">
        <f>IF(ENTRADAS!$Q$852&gt;0,IF(ENTRADAS!$Q$852-GQ7&gt;=0,1000,GQ7-ENTRADAS!$Q$852),GQ7)</f>
        <v>187</v>
      </c>
      <c r="GR6" s="350">
        <f>IF(ENTRADAS!$Q$852&gt;0,IF(ENTRADAS!$Q$852-GR7&gt;=0,1000,GR7-ENTRADAS!$Q$852),GR7)</f>
        <v>188</v>
      </c>
      <c r="GS6" s="350">
        <f>IF(ENTRADAS!$Q$852&gt;0,IF(ENTRADAS!$Q$852-GS7&gt;=0,1000,GS7-ENTRADAS!$Q$852),GS7)</f>
        <v>189</v>
      </c>
      <c r="GT6" s="350">
        <f>IF(ENTRADAS!$Q$852&gt;0,IF(ENTRADAS!$Q$852-GT7&gt;=0,1000,GT7-ENTRADAS!$Q$852),GT7)</f>
        <v>190</v>
      </c>
      <c r="GU6" s="350">
        <f>IF(ENTRADAS!$Q$852&gt;0,IF(ENTRADAS!$Q$852-GU7&gt;=0,1000,GU7-ENTRADAS!$Q$852),GU7)</f>
        <v>191</v>
      </c>
      <c r="GV6" s="350">
        <f>IF(ENTRADAS!$Q$852&gt;0,IF(ENTRADAS!$Q$852-GV7&gt;=0,1000,GV7-ENTRADAS!$Q$852),GV7)</f>
        <v>192</v>
      </c>
      <c r="GW6" s="350">
        <f>IF(ENTRADAS!$Q$852&gt;0,IF(ENTRADAS!$Q$852-GW7&gt;=0,1000,GW7-ENTRADAS!$Q$852),GW7)</f>
        <v>193</v>
      </c>
      <c r="GX6" s="350">
        <f>IF(ENTRADAS!$Q$852&gt;0,IF(ENTRADAS!$Q$852-GX7&gt;=0,1000,GX7-ENTRADAS!$Q$852),GX7)</f>
        <v>194</v>
      </c>
      <c r="GY6" s="350">
        <f>IF(ENTRADAS!$Q$852&gt;0,IF(ENTRADAS!$Q$852-GY7&gt;=0,1000,GY7-ENTRADAS!$Q$852),GY7)</f>
        <v>195</v>
      </c>
      <c r="GZ6" s="350">
        <f>IF(ENTRADAS!$Q$852&gt;0,IF(ENTRADAS!$Q$852-GZ7&gt;=0,1000,GZ7-ENTRADAS!$Q$852),GZ7)</f>
        <v>196</v>
      </c>
      <c r="HA6" s="350">
        <f>IF(ENTRADAS!$Q$852&gt;0,IF(ENTRADAS!$Q$852-HA7&gt;=0,1000,HA7-ENTRADAS!$Q$852),HA7)</f>
        <v>197</v>
      </c>
      <c r="HB6" s="350">
        <f>IF(ENTRADAS!$Q$852&gt;0,IF(ENTRADAS!$Q$852-HB7&gt;=0,1000,HB7-ENTRADAS!$Q$852),HB7)</f>
        <v>198</v>
      </c>
      <c r="HC6" s="350">
        <f>IF(ENTRADAS!$Q$852&gt;0,IF(ENTRADAS!$Q$852-HC7&gt;=0,1000,HC7-ENTRADAS!$Q$852),HC7)</f>
        <v>199</v>
      </c>
      <c r="HD6" s="350">
        <f>IF(ENTRADAS!$Q$852&gt;0,IF(ENTRADAS!$Q$852-HD7&gt;=0,1000,HD7-ENTRADAS!$Q$852),HD7)</f>
        <v>200</v>
      </c>
      <c r="HE6" s="350">
        <f>IF(ENTRADAS!$Q$852&gt;0,IF(ENTRADAS!$Q$852-HE7&gt;=0,1000,HE7-ENTRADAS!$Q$852),HE7)</f>
        <v>201</v>
      </c>
      <c r="HF6" s="350">
        <f>IF(ENTRADAS!$Q$852&gt;0,IF(ENTRADAS!$Q$852-HF7&gt;=0,1000,HF7-ENTRADAS!$Q$852),HF7)</f>
        <v>202</v>
      </c>
      <c r="HG6" s="350">
        <f>IF(ENTRADAS!$Q$852&gt;0,IF(ENTRADAS!$Q$852-HG7&gt;=0,1000,HG7-ENTRADAS!$Q$852),HG7)</f>
        <v>203</v>
      </c>
      <c r="HH6" s="350">
        <f>IF(ENTRADAS!$Q$852&gt;0,IF(ENTRADAS!$Q$852-HH7&gt;=0,1000,HH7-ENTRADAS!$Q$852),HH7)</f>
        <v>204</v>
      </c>
      <c r="HI6" s="350">
        <f>IF(ENTRADAS!$Q$852&gt;0,IF(ENTRADAS!$Q$852-HI7&gt;=0,1000,HI7-ENTRADAS!$Q$852),HI7)</f>
        <v>205</v>
      </c>
      <c r="HJ6" s="350">
        <f>IF(ENTRADAS!$Q$852&gt;0,IF(ENTRADAS!$Q$852-HJ7&gt;=0,1000,HJ7-ENTRADAS!$Q$852),HJ7)</f>
        <v>206</v>
      </c>
      <c r="HK6" s="350">
        <f>IF(ENTRADAS!$Q$852&gt;0,IF(ENTRADAS!$Q$852-HK7&gt;=0,1000,HK7-ENTRADAS!$Q$852),HK7)</f>
        <v>207</v>
      </c>
      <c r="HL6" s="350">
        <f>IF(ENTRADAS!$Q$852&gt;0,IF(ENTRADAS!$Q$852-HL7&gt;=0,1000,HL7-ENTRADAS!$Q$852),HL7)</f>
        <v>208</v>
      </c>
      <c r="HM6" s="350">
        <f>IF(ENTRADAS!$Q$852&gt;0,IF(ENTRADAS!$Q$852-HM7&gt;=0,1000,HM7-ENTRADAS!$Q$852),HM7)</f>
        <v>209</v>
      </c>
      <c r="HN6" s="350">
        <f>IF(ENTRADAS!$Q$852&gt;0,IF(ENTRADAS!$Q$852-HN7&gt;=0,1000,HN7-ENTRADAS!$Q$852),HN7)</f>
        <v>210</v>
      </c>
      <c r="HO6" s="350">
        <f>IF(ENTRADAS!$Q$852&gt;0,IF(ENTRADAS!$Q$852-HO7&gt;=0,1000,HO7-ENTRADAS!$Q$852),HO7)</f>
        <v>211</v>
      </c>
      <c r="HP6" s="350">
        <f>IF(ENTRADAS!$Q$852&gt;0,IF(ENTRADAS!$Q$852-HP7&gt;=0,1000,HP7-ENTRADAS!$Q$852),HP7)</f>
        <v>212</v>
      </c>
      <c r="HQ6" s="350">
        <f>IF(ENTRADAS!$Q$852&gt;0,IF(ENTRADAS!$Q$852-HQ7&gt;=0,1000,HQ7-ENTRADAS!$Q$852),HQ7)</f>
        <v>213</v>
      </c>
      <c r="HR6" s="350">
        <f>IF(ENTRADAS!$Q$852&gt;0,IF(ENTRADAS!$Q$852-HR7&gt;=0,1000,HR7-ENTRADAS!$Q$852),HR7)</f>
        <v>214</v>
      </c>
      <c r="HS6" s="350">
        <f>IF(ENTRADAS!$Q$852&gt;0,IF(ENTRADAS!$Q$852-HS7&gt;=0,1000,HS7-ENTRADAS!$Q$852),HS7)</f>
        <v>215</v>
      </c>
      <c r="HT6" s="350">
        <f>IF(ENTRADAS!$Q$852&gt;0,IF(ENTRADAS!$Q$852-HT7&gt;=0,1000,HT7-ENTRADAS!$Q$852),HT7)</f>
        <v>216</v>
      </c>
      <c r="HU6" s="350">
        <f>IF(ENTRADAS!$Q$852&gt;0,IF(ENTRADAS!$Q$852-HU7&gt;=0,1000,HU7-ENTRADAS!$Q$852),HU7)</f>
        <v>217</v>
      </c>
      <c r="HV6" s="350">
        <f>IF(ENTRADAS!$Q$852&gt;0,IF(ENTRADAS!$Q$852-HV7&gt;=0,1000,HV7-ENTRADAS!$Q$852),HV7)</f>
        <v>218</v>
      </c>
      <c r="HW6" s="350">
        <f>IF(ENTRADAS!$Q$852&gt;0,IF(ENTRADAS!$Q$852-HW7&gt;=0,1000,HW7-ENTRADAS!$Q$852),HW7)</f>
        <v>219</v>
      </c>
      <c r="HX6" s="350">
        <f>IF(ENTRADAS!$Q$852&gt;0,IF(ENTRADAS!$Q$852-HX7&gt;=0,1000,HX7-ENTRADAS!$Q$852),HX7)</f>
        <v>220</v>
      </c>
      <c r="HY6" s="350">
        <f>IF(ENTRADAS!$Q$852&gt;0,IF(ENTRADAS!$Q$852-HY7&gt;=0,1000,HY7-ENTRADAS!$Q$852),HY7)</f>
        <v>221</v>
      </c>
      <c r="HZ6" s="350">
        <f>IF(ENTRADAS!$Q$852&gt;0,IF(ENTRADAS!$Q$852-HZ7&gt;=0,1000,HZ7-ENTRADAS!$Q$852),HZ7)</f>
        <v>222</v>
      </c>
      <c r="IA6" s="350">
        <f>IF(ENTRADAS!$Q$852&gt;0,IF(ENTRADAS!$Q$852-IA7&gt;=0,1000,IA7-ENTRADAS!$Q$852),IA7)</f>
        <v>223</v>
      </c>
      <c r="IB6" s="350">
        <f>IF(ENTRADAS!$Q$852&gt;0,IF(ENTRADAS!$Q$852-IB7&gt;=0,1000,IB7-ENTRADAS!$Q$852),IB7)</f>
        <v>224</v>
      </c>
      <c r="IC6" s="350">
        <f>IF(ENTRADAS!$Q$852&gt;0,IF(ENTRADAS!$Q$852-IC7&gt;=0,1000,IC7-ENTRADAS!$Q$852),IC7)</f>
        <v>225</v>
      </c>
      <c r="ID6" s="350">
        <f>IF(ENTRADAS!$Q$852&gt;0,IF(ENTRADAS!$Q$852-ID7&gt;=0,1000,ID7-ENTRADAS!$Q$852),ID7)</f>
        <v>226</v>
      </c>
      <c r="IE6" s="350">
        <f>IF(ENTRADAS!$Q$852&gt;0,IF(ENTRADAS!$Q$852-IE7&gt;=0,1000,IE7-ENTRADAS!$Q$852),IE7)</f>
        <v>227</v>
      </c>
      <c r="IF6" s="350">
        <f>IF(ENTRADAS!$Q$852&gt;0,IF(ENTRADAS!$Q$852-IF7&gt;=0,1000,IF7-ENTRADAS!$Q$852),IF7)</f>
        <v>228</v>
      </c>
      <c r="IG6" s="350">
        <f>IF(ENTRADAS!$Q$852&gt;0,IF(ENTRADAS!$Q$852-IG7&gt;=0,1000,IG7-ENTRADAS!$Q$852),IG7)</f>
        <v>229</v>
      </c>
      <c r="IH6" s="350">
        <f>IF(ENTRADAS!$Q$852&gt;0,IF(ENTRADAS!$Q$852-IH7&gt;=0,1000,IH7-ENTRADAS!$Q$852),IH7)</f>
        <v>230</v>
      </c>
      <c r="II6" s="350">
        <f>IF(ENTRADAS!$Q$852&gt;0,IF(ENTRADAS!$Q$852-II7&gt;=0,1000,II7-ENTRADAS!$Q$852),II7)</f>
        <v>231</v>
      </c>
      <c r="IJ6" s="350">
        <f>IF(ENTRADAS!$Q$852&gt;0,IF(ENTRADAS!$Q$852-IJ7&gt;=0,1000,IJ7-ENTRADAS!$Q$852),IJ7)</f>
        <v>232</v>
      </c>
      <c r="IK6" s="350">
        <f>IF(ENTRADAS!$Q$852&gt;0,IF(ENTRADAS!$Q$852-IK7&gt;=0,1000,IK7-ENTRADAS!$Q$852),IK7)</f>
        <v>233</v>
      </c>
    </row>
    <row r="7" spans="1:245" s="195" customFormat="1" hidden="1" x14ac:dyDescent="0.35">
      <c r="B7" s="676"/>
      <c r="C7" s="677"/>
      <c r="D7" s="461"/>
      <c r="E7" s="462"/>
      <c r="F7" s="362"/>
      <c r="G7" s="363"/>
      <c r="H7" s="350">
        <v>1</v>
      </c>
      <c r="I7" s="350">
        <v>2</v>
      </c>
      <c r="J7" s="350">
        <v>3</v>
      </c>
      <c r="K7" s="350">
        <v>4</v>
      </c>
      <c r="L7" s="350">
        <v>5</v>
      </c>
      <c r="M7" s="350">
        <v>6</v>
      </c>
      <c r="N7" s="350">
        <v>7</v>
      </c>
      <c r="O7" s="350">
        <v>8</v>
      </c>
      <c r="P7" s="350">
        <v>9</v>
      </c>
      <c r="Q7" s="350">
        <v>10</v>
      </c>
      <c r="R7" s="350">
        <v>11</v>
      </c>
      <c r="S7" s="350">
        <v>12</v>
      </c>
      <c r="T7" s="350">
        <v>13</v>
      </c>
      <c r="U7" s="350">
        <v>14</v>
      </c>
      <c r="V7" s="350">
        <v>15</v>
      </c>
      <c r="W7" s="350">
        <v>16</v>
      </c>
      <c r="X7" s="350">
        <v>17</v>
      </c>
      <c r="Y7" s="350">
        <v>18</v>
      </c>
      <c r="Z7" s="350">
        <v>19</v>
      </c>
      <c r="AA7" s="350">
        <v>20</v>
      </c>
      <c r="AB7" s="350">
        <v>21</v>
      </c>
      <c r="AC7" s="350">
        <v>22</v>
      </c>
      <c r="AD7" s="350">
        <v>23</v>
      </c>
      <c r="AE7" s="350">
        <v>24</v>
      </c>
      <c r="AF7" s="350">
        <v>25</v>
      </c>
      <c r="AG7" s="350">
        <v>26</v>
      </c>
      <c r="AH7" s="350">
        <v>27</v>
      </c>
      <c r="AI7" s="350">
        <v>28</v>
      </c>
      <c r="AJ7" s="350">
        <v>29</v>
      </c>
      <c r="AK7" s="350">
        <v>30</v>
      </c>
      <c r="AL7" s="350">
        <v>31</v>
      </c>
      <c r="AM7" s="350">
        <v>32</v>
      </c>
      <c r="AN7" s="350">
        <v>33</v>
      </c>
      <c r="AO7" s="350">
        <v>34</v>
      </c>
      <c r="AP7" s="350">
        <v>35</v>
      </c>
      <c r="AQ7" s="350">
        <v>36</v>
      </c>
      <c r="AR7" s="350">
        <v>37</v>
      </c>
      <c r="AS7" s="350">
        <v>38</v>
      </c>
      <c r="AT7" s="350">
        <v>39</v>
      </c>
      <c r="AU7" s="350">
        <v>40</v>
      </c>
      <c r="AV7" s="350">
        <v>41</v>
      </c>
      <c r="AW7" s="350">
        <v>42</v>
      </c>
      <c r="AX7" s="350">
        <v>43</v>
      </c>
      <c r="AY7" s="350">
        <v>44</v>
      </c>
      <c r="AZ7" s="350">
        <v>45</v>
      </c>
      <c r="BA7" s="350">
        <v>46</v>
      </c>
      <c r="BB7" s="350">
        <v>47</v>
      </c>
      <c r="BC7" s="350">
        <v>48</v>
      </c>
      <c r="BD7" s="350">
        <v>49</v>
      </c>
      <c r="BE7" s="350">
        <v>50</v>
      </c>
      <c r="BF7" s="350">
        <v>51</v>
      </c>
      <c r="BG7" s="350">
        <v>52</v>
      </c>
      <c r="BH7" s="350">
        <v>53</v>
      </c>
      <c r="BI7" s="350">
        <v>54</v>
      </c>
      <c r="BJ7" s="350">
        <v>55</v>
      </c>
      <c r="BK7" s="350">
        <v>56</v>
      </c>
      <c r="BL7" s="350">
        <v>57</v>
      </c>
      <c r="BM7" s="350">
        <v>58</v>
      </c>
      <c r="BN7" s="350">
        <v>59</v>
      </c>
      <c r="BO7" s="350">
        <v>60</v>
      </c>
      <c r="BP7" s="350">
        <v>61</v>
      </c>
      <c r="BQ7" s="350">
        <v>62</v>
      </c>
      <c r="BR7" s="350">
        <v>63</v>
      </c>
      <c r="BS7" s="350">
        <v>64</v>
      </c>
      <c r="BT7" s="350">
        <v>65</v>
      </c>
      <c r="BU7" s="350">
        <v>66</v>
      </c>
      <c r="BV7" s="350">
        <v>67</v>
      </c>
      <c r="BW7" s="350">
        <v>68</v>
      </c>
      <c r="BX7" s="350">
        <v>69</v>
      </c>
      <c r="BY7" s="350">
        <v>70</v>
      </c>
      <c r="BZ7" s="350">
        <v>71</v>
      </c>
      <c r="CA7" s="350">
        <v>72</v>
      </c>
      <c r="CB7" s="350">
        <v>73</v>
      </c>
      <c r="CC7" s="350">
        <v>74</v>
      </c>
      <c r="CD7" s="350">
        <v>75</v>
      </c>
      <c r="CE7" s="350">
        <v>76</v>
      </c>
      <c r="CF7" s="350">
        <v>77</v>
      </c>
      <c r="CG7" s="350">
        <v>78</v>
      </c>
      <c r="CH7" s="350">
        <v>79</v>
      </c>
      <c r="CI7" s="350">
        <v>80</v>
      </c>
      <c r="CJ7" s="350">
        <v>81</v>
      </c>
      <c r="CK7" s="350">
        <v>82</v>
      </c>
      <c r="CL7" s="350">
        <v>83</v>
      </c>
      <c r="CM7" s="350">
        <v>84</v>
      </c>
      <c r="CN7" s="350">
        <v>85</v>
      </c>
      <c r="CO7" s="350">
        <v>86</v>
      </c>
      <c r="CP7" s="350">
        <v>87</v>
      </c>
      <c r="CQ7" s="350">
        <v>88</v>
      </c>
      <c r="CR7" s="350">
        <v>89</v>
      </c>
      <c r="CS7" s="350">
        <v>90</v>
      </c>
      <c r="CT7" s="350">
        <v>91</v>
      </c>
      <c r="CU7" s="350">
        <v>92</v>
      </c>
      <c r="CV7" s="350">
        <v>93</v>
      </c>
      <c r="CW7" s="350">
        <v>94</v>
      </c>
      <c r="CX7" s="350">
        <v>95</v>
      </c>
      <c r="CY7" s="350">
        <v>96</v>
      </c>
      <c r="CZ7" s="350">
        <v>97</v>
      </c>
      <c r="DA7" s="350">
        <v>98</v>
      </c>
      <c r="DB7" s="350">
        <v>99</v>
      </c>
      <c r="DC7" s="350">
        <v>100</v>
      </c>
      <c r="DD7" s="350">
        <v>101</v>
      </c>
      <c r="DE7" s="350">
        <v>102</v>
      </c>
      <c r="DF7" s="350">
        <v>103</v>
      </c>
      <c r="DG7" s="350">
        <v>104</v>
      </c>
      <c r="DH7" s="350">
        <v>105</v>
      </c>
      <c r="DI7" s="350">
        <v>106</v>
      </c>
      <c r="DJ7" s="350">
        <v>107</v>
      </c>
      <c r="DK7" s="350">
        <v>108</v>
      </c>
      <c r="DL7" s="350">
        <v>109</v>
      </c>
      <c r="DM7" s="350">
        <v>110</v>
      </c>
      <c r="DN7" s="350">
        <v>111</v>
      </c>
      <c r="DO7" s="350">
        <v>112</v>
      </c>
      <c r="DP7" s="350">
        <v>113</v>
      </c>
      <c r="DQ7" s="350">
        <v>114</v>
      </c>
      <c r="DR7" s="350">
        <v>115</v>
      </c>
      <c r="DS7" s="350">
        <v>116</v>
      </c>
      <c r="DT7" s="350">
        <v>117</v>
      </c>
      <c r="DU7" s="350">
        <v>118</v>
      </c>
      <c r="DV7" s="351">
        <v>119</v>
      </c>
      <c r="DW7" s="350">
        <v>120</v>
      </c>
      <c r="DX7" s="351">
        <v>121</v>
      </c>
      <c r="DY7" s="350">
        <v>122</v>
      </c>
      <c r="DZ7" s="351">
        <v>123</v>
      </c>
      <c r="EA7" s="350">
        <v>124</v>
      </c>
      <c r="EB7" s="351">
        <v>125</v>
      </c>
      <c r="EC7" s="350">
        <v>126</v>
      </c>
      <c r="ED7" s="351">
        <v>127</v>
      </c>
      <c r="EE7" s="350">
        <v>128</v>
      </c>
      <c r="EF7" s="351">
        <v>129</v>
      </c>
      <c r="EG7" s="350">
        <v>130</v>
      </c>
      <c r="EH7" s="351">
        <v>131</v>
      </c>
      <c r="EI7" s="350">
        <v>132</v>
      </c>
      <c r="EJ7" s="351">
        <v>133</v>
      </c>
      <c r="EK7" s="350">
        <v>134</v>
      </c>
      <c r="EL7" s="351">
        <v>135</v>
      </c>
      <c r="EM7" s="350">
        <v>136</v>
      </c>
      <c r="EN7" s="351">
        <v>137</v>
      </c>
      <c r="EO7" s="350">
        <v>138</v>
      </c>
      <c r="EP7" s="351">
        <v>139</v>
      </c>
      <c r="EQ7" s="350">
        <v>140</v>
      </c>
      <c r="ER7" s="351">
        <v>141</v>
      </c>
      <c r="ES7" s="350">
        <v>142</v>
      </c>
      <c r="ET7" s="351">
        <v>143</v>
      </c>
      <c r="EU7" s="350">
        <v>144</v>
      </c>
      <c r="EV7" s="351">
        <v>145</v>
      </c>
      <c r="EW7" s="350">
        <v>146</v>
      </c>
      <c r="EX7" s="350">
        <v>147</v>
      </c>
      <c r="EY7" s="351">
        <v>148</v>
      </c>
      <c r="EZ7" s="350">
        <v>149</v>
      </c>
      <c r="FA7" s="351">
        <v>150</v>
      </c>
      <c r="FB7" s="350">
        <v>151</v>
      </c>
      <c r="FC7" s="351">
        <v>152</v>
      </c>
      <c r="FD7" s="350">
        <v>153</v>
      </c>
      <c r="FE7" s="350">
        <v>154</v>
      </c>
      <c r="FF7" s="351">
        <v>155</v>
      </c>
      <c r="FG7" s="350">
        <v>156</v>
      </c>
      <c r="FH7" s="351">
        <v>157</v>
      </c>
      <c r="FI7" s="350">
        <v>158</v>
      </c>
      <c r="FJ7" s="351">
        <v>159</v>
      </c>
      <c r="FK7" s="350">
        <v>160</v>
      </c>
      <c r="FL7" s="350">
        <v>161</v>
      </c>
      <c r="FM7" s="351">
        <v>162</v>
      </c>
      <c r="FN7" s="350">
        <v>163</v>
      </c>
      <c r="FO7" s="351">
        <v>164</v>
      </c>
      <c r="FP7" s="350">
        <v>165</v>
      </c>
      <c r="FQ7" s="351">
        <v>166</v>
      </c>
      <c r="FR7" s="350">
        <v>167</v>
      </c>
      <c r="FS7" s="350">
        <v>168</v>
      </c>
      <c r="FT7" s="351">
        <v>169</v>
      </c>
      <c r="FU7" s="350">
        <v>170</v>
      </c>
      <c r="FV7" s="351">
        <v>171</v>
      </c>
      <c r="FW7" s="350">
        <v>172</v>
      </c>
      <c r="FX7" s="351">
        <v>173</v>
      </c>
      <c r="FY7" s="350">
        <v>174</v>
      </c>
      <c r="FZ7" s="350">
        <v>175</v>
      </c>
      <c r="GA7" s="351">
        <v>176</v>
      </c>
      <c r="GB7" s="350">
        <v>177</v>
      </c>
      <c r="GC7" s="351">
        <v>178</v>
      </c>
      <c r="GD7" s="350">
        <v>179</v>
      </c>
      <c r="GE7" s="351">
        <v>180</v>
      </c>
      <c r="GF7" s="350">
        <v>181</v>
      </c>
      <c r="GG7" s="350">
        <v>182</v>
      </c>
      <c r="GH7" s="351">
        <v>183</v>
      </c>
      <c r="GI7" s="350">
        <v>184</v>
      </c>
      <c r="GJ7" s="351">
        <v>185</v>
      </c>
      <c r="GK7" s="350">
        <v>186</v>
      </c>
      <c r="GL7" s="351">
        <v>187</v>
      </c>
      <c r="GM7" s="350">
        <v>188</v>
      </c>
      <c r="GN7" s="350">
        <v>189</v>
      </c>
      <c r="GO7" s="351">
        <v>190</v>
      </c>
      <c r="GP7" s="350">
        <v>191</v>
      </c>
      <c r="GQ7" s="351">
        <v>192</v>
      </c>
      <c r="GR7" s="350">
        <v>193</v>
      </c>
      <c r="GS7" s="351">
        <v>194</v>
      </c>
      <c r="GT7" s="350">
        <v>195</v>
      </c>
      <c r="GU7" s="350">
        <v>196</v>
      </c>
      <c r="GV7" s="351">
        <v>197</v>
      </c>
      <c r="GW7" s="350">
        <v>198</v>
      </c>
      <c r="GX7" s="351">
        <v>199</v>
      </c>
      <c r="GY7" s="350">
        <v>200</v>
      </c>
      <c r="GZ7" s="351">
        <v>201</v>
      </c>
      <c r="HA7" s="350">
        <v>202</v>
      </c>
      <c r="HB7" s="350">
        <v>203</v>
      </c>
      <c r="HC7" s="351">
        <v>204</v>
      </c>
      <c r="HD7" s="350">
        <v>205</v>
      </c>
      <c r="HE7" s="351">
        <v>206</v>
      </c>
      <c r="HF7" s="350">
        <v>207</v>
      </c>
      <c r="HG7" s="351">
        <v>208</v>
      </c>
      <c r="HH7" s="350">
        <v>209</v>
      </c>
      <c r="HI7" s="350">
        <v>210</v>
      </c>
      <c r="HJ7" s="351">
        <v>211</v>
      </c>
      <c r="HK7" s="350">
        <v>212</v>
      </c>
      <c r="HL7" s="351">
        <v>213</v>
      </c>
      <c r="HM7" s="350">
        <v>214</v>
      </c>
      <c r="HN7" s="351">
        <v>215</v>
      </c>
      <c r="HO7" s="350">
        <v>216</v>
      </c>
      <c r="HP7" s="350">
        <v>217</v>
      </c>
      <c r="HQ7" s="351">
        <v>218</v>
      </c>
      <c r="HR7" s="350">
        <v>219</v>
      </c>
      <c r="HS7" s="351">
        <v>220</v>
      </c>
      <c r="HT7" s="350">
        <v>221</v>
      </c>
      <c r="HU7" s="351">
        <v>222</v>
      </c>
      <c r="HV7" s="350">
        <v>223</v>
      </c>
      <c r="HW7" s="350">
        <v>224</v>
      </c>
      <c r="HX7" s="351">
        <v>225</v>
      </c>
      <c r="HY7" s="350">
        <v>226</v>
      </c>
      <c r="HZ7" s="351">
        <v>227</v>
      </c>
      <c r="IA7" s="350">
        <v>228</v>
      </c>
      <c r="IB7" s="351">
        <v>229</v>
      </c>
      <c r="IC7" s="350">
        <v>230</v>
      </c>
      <c r="ID7" s="350">
        <v>231</v>
      </c>
      <c r="IE7" s="351">
        <v>232</v>
      </c>
      <c r="IF7" s="350">
        <v>233</v>
      </c>
      <c r="IG7" s="351">
        <v>234</v>
      </c>
      <c r="IH7" s="350">
        <v>235</v>
      </c>
      <c r="II7" s="351">
        <v>236</v>
      </c>
      <c r="IJ7" s="350">
        <v>237</v>
      </c>
      <c r="IK7" s="350">
        <v>238</v>
      </c>
    </row>
    <row r="8" spans="1:245" hidden="1" x14ac:dyDescent="0.35">
      <c r="A8" s="205"/>
      <c r="B8" s="32"/>
      <c r="C8" s="32"/>
      <c r="D8" s="32"/>
      <c r="E8" s="32"/>
      <c r="F8" s="32"/>
      <c r="G8" s="32"/>
      <c r="H8" s="343"/>
      <c r="I8" s="343"/>
      <c r="J8" s="343"/>
      <c r="K8" s="343"/>
      <c r="L8" s="343"/>
      <c r="M8" s="343"/>
      <c r="N8" s="343"/>
      <c r="O8" s="343"/>
      <c r="P8" s="343"/>
      <c r="Q8" s="343"/>
      <c r="R8" s="343"/>
      <c r="S8" s="343"/>
      <c r="T8" s="343"/>
      <c r="U8" s="343"/>
      <c r="V8" s="343"/>
      <c r="W8" s="343"/>
      <c r="X8" s="343"/>
      <c r="Y8" s="343"/>
      <c r="Z8" s="343"/>
      <c r="AA8" s="343"/>
      <c r="AB8" s="343"/>
      <c r="AC8" s="343"/>
      <c r="AD8" s="343"/>
      <c r="AE8" s="343"/>
      <c r="AF8" s="343"/>
      <c r="AG8" s="343"/>
      <c r="AH8" s="343"/>
      <c r="AI8" s="343"/>
      <c r="AJ8" s="343"/>
      <c r="AK8" s="343"/>
      <c r="AL8" s="343"/>
      <c r="AM8" s="343"/>
      <c r="AN8" s="343"/>
      <c r="AO8" s="343"/>
      <c r="AP8" s="343"/>
      <c r="AQ8" s="343"/>
      <c r="AR8" s="343"/>
      <c r="AS8" s="343"/>
      <c r="AT8" s="343"/>
      <c r="AU8" s="343"/>
      <c r="AV8" s="343"/>
      <c r="AW8" s="343"/>
      <c r="AX8" s="343"/>
      <c r="AY8" s="343"/>
      <c r="AZ8" s="343"/>
      <c r="BA8" s="343"/>
      <c r="BB8" s="343"/>
      <c r="BC8" s="343"/>
      <c r="BD8" s="343"/>
      <c r="BE8" s="343"/>
      <c r="BF8" s="343"/>
      <c r="BG8" s="343"/>
      <c r="BH8" s="343"/>
      <c r="BI8" s="343"/>
      <c r="BJ8" s="343"/>
      <c r="BK8" s="343"/>
      <c r="BL8" s="343"/>
      <c r="BM8" s="343"/>
      <c r="BN8" s="343"/>
      <c r="BO8" s="343"/>
      <c r="BP8" s="343"/>
      <c r="BQ8" s="343"/>
      <c r="BR8" s="343"/>
      <c r="BS8" s="343"/>
      <c r="BT8" s="343"/>
      <c r="BU8" s="343"/>
      <c r="BV8" s="343"/>
      <c r="BW8" s="343"/>
      <c r="BX8" s="343"/>
      <c r="BY8" s="343"/>
      <c r="BZ8" s="343"/>
      <c r="CA8" s="343"/>
      <c r="CB8" s="343"/>
      <c r="CC8" s="343"/>
      <c r="CD8" s="343"/>
      <c r="CE8" s="343"/>
      <c r="CF8" s="343"/>
      <c r="CG8" s="343"/>
      <c r="CH8" s="343"/>
      <c r="CI8" s="343"/>
      <c r="CJ8" s="343"/>
      <c r="CK8" s="343"/>
      <c r="CL8" s="343"/>
      <c r="CM8" s="343"/>
      <c r="CN8" s="343"/>
      <c r="CO8" s="343"/>
      <c r="CP8" s="343"/>
      <c r="CQ8" s="343"/>
      <c r="CR8" s="343"/>
      <c r="CS8" s="343"/>
      <c r="CT8" s="343"/>
      <c r="CU8" s="343"/>
      <c r="CV8" s="343"/>
      <c r="CW8" s="343"/>
      <c r="CX8" s="343"/>
      <c r="CY8" s="343"/>
      <c r="CZ8" s="343"/>
      <c r="DA8" s="343"/>
      <c r="DB8" s="343"/>
      <c r="DC8" s="343"/>
      <c r="DD8" s="343"/>
      <c r="DE8" s="343"/>
      <c r="DF8" s="343"/>
      <c r="DG8" s="343"/>
      <c r="DH8" s="343"/>
      <c r="DI8" s="343"/>
      <c r="DJ8" s="343"/>
      <c r="DK8" s="343"/>
      <c r="DL8" s="343"/>
      <c r="DM8" s="343"/>
      <c r="DN8" s="343"/>
      <c r="DO8" s="343"/>
      <c r="DP8" s="343"/>
      <c r="DQ8" s="343"/>
      <c r="DR8" s="343"/>
      <c r="DS8" s="343"/>
      <c r="DT8" s="343"/>
      <c r="DU8" s="343"/>
      <c r="DV8" s="347"/>
      <c r="DW8" s="343"/>
      <c r="DX8" s="343"/>
      <c r="DY8" s="343"/>
      <c r="DZ8" s="343"/>
      <c r="EA8" s="343"/>
      <c r="EB8" s="343"/>
      <c r="EC8" s="347"/>
      <c r="ED8" s="343"/>
      <c r="EE8" s="343"/>
      <c r="EF8" s="343"/>
      <c r="EG8" s="343"/>
      <c r="EH8" s="343"/>
      <c r="EI8" s="343"/>
      <c r="EJ8" s="347"/>
      <c r="EK8" s="343"/>
      <c r="EL8" s="343"/>
      <c r="EM8" s="343"/>
      <c r="EN8" s="343"/>
      <c r="EO8" s="343"/>
      <c r="EP8" s="343"/>
      <c r="EQ8" s="347"/>
      <c r="ER8" s="343"/>
      <c r="ES8" s="343"/>
      <c r="ET8" s="343"/>
      <c r="EU8" s="343"/>
      <c r="EV8" s="343"/>
      <c r="EW8" s="343"/>
      <c r="EX8" s="343"/>
      <c r="EY8" s="343"/>
      <c r="EZ8" s="343"/>
      <c r="FA8" s="343"/>
      <c r="FB8" s="343"/>
      <c r="FC8" s="343"/>
      <c r="FD8" s="343"/>
      <c r="FE8" s="343"/>
      <c r="FF8" s="343"/>
      <c r="FG8" s="343"/>
      <c r="FH8" s="343"/>
      <c r="FI8" s="343"/>
      <c r="FJ8" s="343"/>
      <c r="FK8" s="343"/>
      <c r="FL8" s="343"/>
      <c r="FM8" s="343"/>
      <c r="FN8" s="343"/>
      <c r="FO8" s="343"/>
      <c r="FP8" s="343"/>
      <c r="FQ8" s="343"/>
      <c r="FR8" s="343"/>
      <c r="FS8" s="343"/>
      <c r="FT8" s="343"/>
      <c r="FU8" s="343"/>
      <c r="FV8" s="343"/>
      <c r="FW8" s="343"/>
      <c r="FX8" s="343"/>
      <c r="FY8" s="343"/>
      <c r="FZ8" s="343"/>
      <c r="GA8" s="343"/>
      <c r="GB8" s="343"/>
      <c r="GC8" s="343"/>
      <c r="GD8" s="343"/>
      <c r="GE8" s="343"/>
      <c r="GF8" s="343"/>
      <c r="GG8" s="343"/>
      <c r="GH8" s="343"/>
      <c r="GI8" s="343"/>
      <c r="GJ8" s="343"/>
      <c r="GK8" s="343"/>
      <c r="GL8" s="343"/>
      <c r="GM8" s="343"/>
      <c r="GN8" s="343"/>
      <c r="GO8" s="343"/>
      <c r="GP8" s="343"/>
      <c r="GQ8" s="343"/>
      <c r="GR8" s="343"/>
      <c r="GS8" s="343"/>
      <c r="GT8" s="343"/>
      <c r="GU8" s="343"/>
      <c r="GV8" s="343"/>
      <c r="GW8" s="343"/>
      <c r="GX8" s="343"/>
      <c r="GY8" s="343"/>
      <c r="GZ8" s="343"/>
      <c r="HA8" s="343"/>
      <c r="HB8" s="343"/>
      <c r="HC8" s="343"/>
      <c r="HD8" s="343"/>
      <c r="HE8" s="343"/>
      <c r="HF8" s="343"/>
      <c r="HG8" s="343"/>
      <c r="HH8" s="343"/>
      <c r="HI8" s="343"/>
      <c r="HJ8" s="343"/>
      <c r="HK8" s="343"/>
      <c r="HL8" s="343"/>
      <c r="HM8" s="343"/>
      <c r="HN8" s="343"/>
      <c r="HO8" s="343"/>
      <c r="HP8" s="343"/>
      <c r="HQ8" s="343"/>
      <c r="HR8" s="343"/>
      <c r="HS8" s="343"/>
      <c r="HT8" s="343"/>
      <c r="HU8" s="343"/>
      <c r="HV8" s="343"/>
      <c r="HW8" s="343"/>
      <c r="HX8" s="343"/>
      <c r="HY8" s="343"/>
      <c r="HZ8" s="343"/>
      <c r="IA8" s="343"/>
      <c r="IB8" s="343"/>
      <c r="IC8" s="343"/>
      <c r="ID8" s="343"/>
      <c r="IE8" s="343"/>
      <c r="IF8" s="343"/>
      <c r="IG8" s="343"/>
      <c r="IH8" s="343"/>
      <c r="II8" s="343"/>
      <c r="IJ8" s="343"/>
      <c r="IK8" s="343"/>
    </row>
    <row r="9" spans="1:245" hidden="1" x14ac:dyDescent="0.35">
      <c r="A9" s="205"/>
      <c r="B9" s="32"/>
      <c r="C9" s="32"/>
      <c r="D9" s="32"/>
      <c r="E9" s="32"/>
      <c r="F9" s="32"/>
      <c r="G9" s="32"/>
      <c r="H9" s="1915">
        <f ca="1">$J$2</f>
        <v>45914</v>
      </c>
      <c r="I9" s="1915">
        <f t="shared" ref="I9:BT9" ca="1" si="0">IF($J$2=0,0,H9+1)</f>
        <v>45915</v>
      </c>
      <c r="J9" s="1915">
        <f t="shared" ca="1" si="0"/>
        <v>45916</v>
      </c>
      <c r="K9" s="1915">
        <f t="shared" ca="1" si="0"/>
        <v>45917</v>
      </c>
      <c r="L9" s="1915">
        <f t="shared" ca="1" si="0"/>
        <v>45918</v>
      </c>
      <c r="M9" s="1915">
        <f t="shared" ca="1" si="0"/>
        <v>45919</v>
      </c>
      <c r="N9" s="1915">
        <f t="shared" ca="1" si="0"/>
        <v>45920</v>
      </c>
      <c r="O9" s="1915">
        <f t="shared" ca="1" si="0"/>
        <v>45921</v>
      </c>
      <c r="P9" s="1915">
        <f t="shared" ca="1" si="0"/>
        <v>45922</v>
      </c>
      <c r="Q9" s="1915">
        <f t="shared" ca="1" si="0"/>
        <v>45923</v>
      </c>
      <c r="R9" s="1915">
        <f t="shared" ca="1" si="0"/>
        <v>45924</v>
      </c>
      <c r="S9" s="1915">
        <f t="shared" ca="1" si="0"/>
        <v>45925</v>
      </c>
      <c r="T9" s="1915">
        <f t="shared" ca="1" si="0"/>
        <v>45926</v>
      </c>
      <c r="U9" s="1915">
        <f t="shared" ca="1" si="0"/>
        <v>45927</v>
      </c>
      <c r="V9" s="1915">
        <f t="shared" ca="1" si="0"/>
        <v>45928</v>
      </c>
      <c r="W9" s="1915">
        <f t="shared" ca="1" si="0"/>
        <v>45929</v>
      </c>
      <c r="X9" s="1915">
        <f t="shared" ca="1" si="0"/>
        <v>45930</v>
      </c>
      <c r="Y9" s="1915">
        <f t="shared" ca="1" si="0"/>
        <v>45931</v>
      </c>
      <c r="Z9" s="1915">
        <f t="shared" ca="1" si="0"/>
        <v>45932</v>
      </c>
      <c r="AA9" s="1915">
        <f t="shared" ca="1" si="0"/>
        <v>45933</v>
      </c>
      <c r="AB9" s="1915">
        <f t="shared" ca="1" si="0"/>
        <v>45934</v>
      </c>
      <c r="AC9" s="1915">
        <f t="shared" ca="1" si="0"/>
        <v>45935</v>
      </c>
      <c r="AD9" s="1915">
        <f t="shared" ca="1" si="0"/>
        <v>45936</v>
      </c>
      <c r="AE9" s="1915">
        <f t="shared" ca="1" si="0"/>
        <v>45937</v>
      </c>
      <c r="AF9" s="1915">
        <f t="shared" ca="1" si="0"/>
        <v>45938</v>
      </c>
      <c r="AG9" s="1915">
        <f t="shared" ca="1" si="0"/>
        <v>45939</v>
      </c>
      <c r="AH9" s="1915">
        <f t="shared" ca="1" si="0"/>
        <v>45940</v>
      </c>
      <c r="AI9" s="1915">
        <f t="shared" ca="1" si="0"/>
        <v>45941</v>
      </c>
      <c r="AJ9" s="1915">
        <f t="shared" ca="1" si="0"/>
        <v>45942</v>
      </c>
      <c r="AK9" s="1915">
        <f t="shared" ca="1" si="0"/>
        <v>45943</v>
      </c>
      <c r="AL9" s="1915">
        <f t="shared" ca="1" si="0"/>
        <v>45944</v>
      </c>
      <c r="AM9" s="1915">
        <f t="shared" ca="1" si="0"/>
        <v>45945</v>
      </c>
      <c r="AN9" s="1915">
        <f t="shared" ca="1" si="0"/>
        <v>45946</v>
      </c>
      <c r="AO9" s="1915">
        <f t="shared" ca="1" si="0"/>
        <v>45947</v>
      </c>
      <c r="AP9" s="1915">
        <f t="shared" ca="1" si="0"/>
        <v>45948</v>
      </c>
      <c r="AQ9" s="1915">
        <f t="shared" ca="1" si="0"/>
        <v>45949</v>
      </c>
      <c r="AR9" s="1915">
        <f t="shared" ca="1" si="0"/>
        <v>45950</v>
      </c>
      <c r="AS9" s="1915">
        <f t="shared" ca="1" si="0"/>
        <v>45951</v>
      </c>
      <c r="AT9" s="1915">
        <f t="shared" ca="1" si="0"/>
        <v>45952</v>
      </c>
      <c r="AU9" s="1915">
        <f t="shared" ca="1" si="0"/>
        <v>45953</v>
      </c>
      <c r="AV9" s="1915">
        <f t="shared" ca="1" si="0"/>
        <v>45954</v>
      </c>
      <c r="AW9" s="1915">
        <f t="shared" ca="1" si="0"/>
        <v>45955</v>
      </c>
      <c r="AX9" s="1915">
        <f t="shared" ca="1" si="0"/>
        <v>45956</v>
      </c>
      <c r="AY9" s="1915">
        <f t="shared" ca="1" si="0"/>
        <v>45957</v>
      </c>
      <c r="AZ9" s="1915">
        <f t="shared" ca="1" si="0"/>
        <v>45958</v>
      </c>
      <c r="BA9" s="1915">
        <f t="shared" ca="1" si="0"/>
        <v>45959</v>
      </c>
      <c r="BB9" s="1915">
        <f t="shared" ca="1" si="0"/>
        <v>45960</v>
      </c>
      <c r="BC9" s="1915">
        <f t="shared" ca="1" si="0"/>
        <v>45961</v>
      </c>
      <c r="BD9" s="1915">
        <f t="shared" ca="1" si="0"/>
        <v>45962</v>
      </c>
      <c r="BE9" s="1915">
        <f t="shared" ca="1" si="0"/>
        <v>45963</v>
      </c>
      <c r="BF9" s="1915">
        <f t="shared" ca="1" si="0"/>
        <v>45964</v>
      </c>
      <c r="BG9" s="1915">
        <f t="shared" ca="1" si="0"/>
        <v>45965</v>
      </c>
      <c r="BH9" s="1915">
        <f t="shared" ca="1" si="0"/>
        <v>45966</v>
      </c>
      <c r="BI9" s="1915">
        <f t="shared" ca="1" si="0"/>
        <v>45967</v>
      </c>
      <c r="BJ9" s="1915">
        <f t="shared" ca="1" si="0"/>
        <v>45968</v>
      </c>
      <c r="BK9" s="1915">
        <f t="shared" ca="1" si="0"/>
        <v>45969</v>
      </c>
      <c r="BL9" s="1915">
        <f t="shared" ca="1" si="0"/>
        <v>45970</v>
      </c>
      <c r="BM9" s="1915">
        <f t="shared" ca="1" si="0"/>
        <v>45971</v>
      </c>
      <c r="BN9" s="1915">
        <f t="shared" ca="1" si="0"/>
        <v>45972</v>
      </c>
      <c r="BO9" s="1915">
        <f t="shared" ca="1" si="0"/>
        <v>45973</v>
      </c>
      <c r="BP9" s="1915">
        <f t="shared" ca="1" si="0"/>
        <v>45974</v>
      </c>
      <c r="BQ9" s="1915">
        <f t="shared" ca="1" si="0"/>
        <v>45975</v>
      </c>
      <c r="BR9" s="1915">
        <f t="shared" ca="1" si="0"/>
        <v>45976</v>
      </c>
      <c r="BS9" s="1915">
        <f t="shared" ca="1" si="0"/>
        <v>45977</v>
      </c>
      <c r="BT9" s="1915">
        <f t="shared" ca="1" si="0"/>
        <v>45978</v>
      </c>
      <c r="BU9" s="1915">
        <f t="shared" ref="BU9:EF9" ca="1" si="1">IF($J$2=0,0,BT9+1)</f>
        <v>45979</v>
      </c>
      <c r="BV9" s="1915">
        <f t="shared" ca="1" si="1"/>
        <v>45980</v>
      </c>
      <c r="BW9" s="1915">
        <f t="shared" ca="1" si="1"/>
        <v>45981</v>
      </c>
      <c r="BX9" s="1915">
        <f t="shared" ca="1" si="1"/>
        <v>45982</v>
      </c>
      <c r="BY9" s="1915">
        <f t="shared" ca="1" si="1"/>
        <v>45983</v>
      </c>
      <c r="BZ9" s="1915">
        <f t="shared" ca="1" si="1"/>
        <v>45984</v>
      </c>
      <c r="CA9" s="1915">
        <f t="shared" ca="1" si="1"/>
        <v>45985</v>
      </c>
      <c r="CB9" s="1915">
        <f t="shared" ca="1" si="1"/>
        <v>45986</v>
      </c>
      <c r="CC9" s="1915">
        <f t="shared" ca="1" si="1"/>
        <v>45987</v>
      </c>
      <c r="CD9" s="1915">
        <f t="shared" ca="1" si="1"/>
        <v>45988</v>
      </c>
      <c r="CE9" s="1915">
        <f t="shared" ca="1" si="1"/>
        <v>45989</v>
      </c>
      <c r="CF9" s="1915">
        <f t="shared" ca="1" si="1"/>
        <v>45990</v>
      </c>
      <c r="CG9" s="1915">
        <f t="shared" ca="1" si="1"/>
        <v>45991</v>
      </c>
      <c r="CH9" s="1915">
        <f t="shared" ca="1" si="1"/>
        <v>45992</v>
      </c>
      <c r="CI9" s="1915">
        <f t="shared" ca="1" si="1"/>
        <v>45993</v>
      </c>
      <c r="CJ9" s="1915">
        <f t="shared" ca="1" si="1"/>
        <v>45994</v>
      </c>
      <c r="CK9" s="1915">
        <f t="shared" ca="1" si="1"/>
        <v>45995</v>
      </c>
      <c r="CL9" s="1915">
        <f t="shared" ca="1" si="1"/>
        <v>45996</v>
      </c>
      <c r="CM9" s="1915">
        <f t="shared" ca="1" si="1"/>
        <v>45997</v>
      </c>
      <c r="CN9" s="1915">
        <f t="shared" ca="1" si="1"/>
        <v>45998</v>
      </c>
      <c r="CO9" s="1915">
        <f t="shared" ca="1" si="1"/>
        <v>45999</v>
      </c>
      <c r="CP9" s="1915">
        <f t="shared" ca="1" si="1"/>
        <v>46000</v>
      </c>
      <c r="CQ9" s="1915">
        <f t="shared" ca="1" si="1"/>
        <v>46001</v>
      </c>
      <c r="CR9" s="1915">
        <f t="shared" ca="1" si="1"/>
        <v>46002</v>
      </c>
      <c r="CS9" s="1915">
        <f t="shared" ca="1" si="1"/>
        <v>46003</v>
      </c>
      <c r="CT9" s="1915">
        <f t="shared" ca="1" si="1"/>
        <v>46004</v>
      </c>
      <c r="CU9" s="1915">
        <f t="shared" ca="1" si="1"/>
        <v>46005</v>
      </c>
      <c r="CV9" s="1915">
        <f t="shared" ca="1" si="1"/>
        <v>46006</v>
      </c>
      <c r="CW9" s="1915">
        <f t="shared" ca="1" si="1"/>
        <v>46007</v>
      </c>
      <c r="CX9" s="1915">
        <f t="shared" ca="1" si="1"/>
        <v>46008</v>
      </c>
      <c r="CY9" s="1915">
        <f t="shared" ca="1" si="1"/>
        <v>46009</v>
      </c>
      <c r="CZ9" s="1915">
        <f t="shared" ca="1" si="1"/>
        <v>46010</v>
      </c>
      <c r="DA9" s="1915">
        <f t="shared" ca="1" si="1"/>
        <v>46011</v>
      </c>
      <c r="DB9" s="1915">
        <f t="shared" ca="1" si="1"/>
        <v>46012</v>
      </c>
      <c r="DC9" s="1915">
        <f t="shared" ca="1" si="1"/>
        <v>46013</v>
      </c>
      <c r="DD9" s="1915">
        <f t="shared" ca="1" si="1"/>
        <v>46014</v>
      </c>
      <c r="DE9" s="1915">
        <f t="shared" ca="1" si="1"/>
        <v>46015</v>
      </c>
      <c r="DF9" s="1915">
        <f t="shared" ca="1" si="1"/>
        <v>46016</v>
      </c>
      <c r="DG9" s="1915">
        <f t="shared" ca="1" si="1"/>
        <v>46017</v>
      </c>
      <c r="DH9" s="1915">
        <f t="shared" ca="1" si="1"/>
        <v>46018</v>
      </c>
      <c r="DI9" s="1915">
        <f t="shared" ca="1" si="1"/>
        <v>46019</v>
      </c>
      <c r="DJ9" s="1915">
        <f t="shared" ca="1" si="1"/>
        <v>46020</v>
      </c>
      <c r="DK9" s="1915">
        <f t="shared" ca="1" si="1"/>
        <v>46021</v>
      </c>
      <c r="DL9" s="1915">
        <f t="shared" ca="1" si="1"/>
        <v>46022</v>
      </c>
      <c r="DM9" s="1915">
        <f t="shared" ca="1" si="1"/>
        <v>46023</v>
      </c>
      <c r="DN9" s="1915">
        <f t="shared" ca="1" si="1"/>
        <v>46024</v>
      </c>
      <c r="DO9" s="1915">
        <f t="shared" ca="1" si="1"/>
        <v>46025</v>
      </c>
      <c r="DP9" s="1915">
        <f t="shared" ca="1" si="1"/>
        <v>46026</v>
      </c>
      <c r="DQ9" s="1915">
        <f t="shared" ca="1" si="1"/>
        <v>46027</v>
      </c>
      <c r="DR9" s="1915">
        <f t="shared" ca="1" si="1"/>
        <v>46028</v>
      </c>
      <c r="DS9" s="1915">
        <f t="shared" ca="1" si="1"/>
        <v>46029</v>
      </c>
      <c r="DT9" s="1915">
        <f t="shared" ca="1" si="1"/>
        <v>46030</v>
      </c>
      <c r="DU9" s="1915">
        <f t="shared" ca="1" si="1"/>
        <v>46031</v>
      </c>
      <c r="DV9" s="1957">
        <f t="shared" ca="1" si="1"/>
        <v>46032</v>
      </c>
      <c r="DW9" s="1915">
        <f t="shared" ca="1" si="1"/>
        <v>46033</v>
      </c>
      <c r="DX9" s="1915">
        <f t="shared" ca="1" si="1"/>
        <v>46034</v>
      </c>
      <c r="DY9" s="1915">
        <f t="shared" ca="1" si="1"/>
        <v>46035</v>
      </c>
      <c r="DZ9" s="1915">
        <f t="shared" ca="1" si="1"/>
        <v>46036</v>
      </c>
      <c r="EA9" s="1915">
        <f t="shared" ca="1" si="1"/>
        <v>46037</v>
      </c>
      <c r="EB9" s="1915">
        <f t="shared" ca="1" si="1"/>
        <v>46038</v>
      </c>
      <c r="EC9" s="1957">
        <f t="shared" ca="1" si="1"/>
        <v>46039</v>
      </c>
      <c r="ED9" s="1915">
        <f t="shared" ca="1" si="1"/>
        <v>46040</v>
      </c>
      <c r="EE9" s="1915">
        <f t="shared" ca="1" si="1"/>
        <v>46041</v>
      </c>
      <c r="EF9" s="1915">
        <f t="shared" ca="1" si="1"/>
        <v>46042</v>
      </c>
      <c r="EG9" s="1915">
        <f t="shared" ref="EG9:GR9" ca="1" si="2">IF($J$2=0,0,EF9+1)</f>
        <v>46043</v>
      </c>
      <c r="EH9" s="1915">
        <f t="shared" ca="1" si="2"/>
        <v>46044</v>
      </c>
      <c r="EI9" s="1915">
        <f t="shared" ca="1" si="2"/>
        <v>46045</v>
      </c>
      <c r="EJ9" s="1957">
        <f t="shared" ca="1" si="2"/>
        <v>46046</v>
      </c>
      <c r="EK9" s="1915">
        <f t="shared" ca="1" si="2"/>
        <v>46047</v>
      </c>
      <c r="EL9" s="1915">
        <f t="shared" ca="1" si="2"/>
        <v>46048</v>
      </c>
      <c r="EM9" s="1915">
        <f t="shared" ca="1" si="2"/>
        <v>46049</v>
      </c>
      <c r="EN9" s="1915">
        <f t="shared" ca="1" si="2"/>
        <v>46050</v>
      </c>
      <c r="EO9" s="1915">
        <f t="shared" ca="1" si="2"/>
        <v>46051</v>
      </c>
      <c r="EP9" s="1915">
        <f t="shared" ca="1" si="2"/>
        <v>46052</v>
      </c>
      <c r="EQ9" s="1957">
        <f t="shared" ca="1" si="2"/>
        <v>46053</v>
      </c>
      <c r="ER9" s="1915">
        <f t="shared" ca="1" si="2"/>
        <v>46054</v>
      </c>
      <c r="ES9" s="1915">
        <f t="shared" ca="1" si="2"/>
        <v>46055</v>
      </c>
      <c r="ET9" s="1915">
        <f t="shared" ca="1" si="2"/>
        <v>46056</v>
      </c>
      <c r="EU9" s="1915">
        <f t="shared" ca="1" si="2"/>
        <v>46057</v>
      </c>
      <c r="EV9" s="1915">
        <f t="shared" ca="1" si="2"/>
        <v>46058</v>
      </c>
      <c r="EW9" s="1915">
        <f t="shared" ca="1" si="2"/>
        <v>46059</v>
      </c>
      <c r="EX9" s="1915">
        <f t="shared" ca="1" si="2"/>
        <v>46060</v>
      </c>
      <c r="EY9" s="1915">
        <f t="shared" ca="1" si="2"/>
        <v>46061</v>
      </c>
      <c r="EZ9" s="1915">
        <f t="shared" ca="1" si="2"/>
        <v>46062</v>
      </c>
      <c r="FA9" s="1915">
        <f t="shared" ca="1" si="2"/>
        <v>46063</v>
      </c>
      <c r="FB9" s="1915">
        <f t="shared" ca="1" si="2"/>
        <v>46064</v>
      </c>
      <c r="FC9" s="1915">
        <f t="shared" ca="1" si="2"/>
        <v>46065</v>
      </c>
      <c r="FD9" s="1915">
        <f t="shared" ca="1" si="2"/>
        <v>46066</v>
      </c>
      <c r="FE9" s="1915">
        <f t="shared" ca="1" si="2"/>
        <v>46067</v>
      </c>
      <c r="FF9" s="1915">
        <f t="shared" ca="1" si="2"/>
        <v>46068</v>
      </c>
      <c r="FG9" s="1915">
        <f t="shared" ca="1" si="2"/>
        <v>46069</v>
      </c>
      <c r="FH9" s="1915">
        <f t="shared" ca="1" si="2"/>
        <v>46070</v>
      </c>
      <c r="FI9" s="1915">
        <f t="shared" ca="1" si="2"/>
        <v>46071</v>
      </c>
      <c r="FJ9" s="1915">
        <f t="shared" ca="1" si="2"/>
        <v>46072</v>
      </c>
      <c r="FK9" s="1915">
        <f t="shared" ca="1" si="2"/>
        <v>46073</v>
      </c>
      <c r="FL9" s="1915">
        <f t="shared" ca="1" si="2"/>
        <v>46074</v>
      </c>
      <c r="FM9" s="1915">
        <f t="shared" ca="1" si="2"/>
        <v>46075</v>
      </c>
      <c r="FN9" s="1915">
        <f t="shared" ca="1" si="2"/>
        <v>46076</v>
      </c>
      <c r="FO9" s="1915">
        <f t="shared" ca="1" si="2"/>
        <v>46077</v>
      </c>
      <c r="FP9" s="1915">
        <f t="shared" ca="1" si="2"/>
        <v>46078</v>
      </c>
      <c r="FQ9" s="1915">
        <f t="shared" ca="1" si="2"/>
        <v>46079</v>
      </c>
      <c r="FR9" s="1915">
        <f t="shared" ca="1" si="2"/>
        <v>46080</v>
      </c>
      <c r="FS9" s="1915">
        <f t="shared" ca="1" si="2"/>
        <v>46081</v>
      </c>
      <c r="FT9" s="1915">
        <f t="shared" ca="1" si="2"/>
        <v>46082</v>
      </c>
      <c r="FU9" s="1915">
        <f t="shared" ca="1" si="2"/>
        <v>46083</v>
      </c>
      <c r="FV9" s="1915">
        <f t="shared" ca="1" si="2"/>
        <v>46084</v>
      </c>
      <c r="FW9" s="1915">
        <f t="shared" ca="1" si="2"/>
        <v>46085</v>
      </c>
      <c r="FX9" s="1915">
        <f t="shared" ca="1" si="2"/>
        <v>46086</v>
      </c>
      <c r="FY9" s="1915">
        <f t="shared" ca="1" si="2"/>
        <v>46087</v>
      </c>
      <c r="FZ9" s="1915">
        <f t="shared" ca="1" si="2"/>
        <v>46088</v>
      </c>
      <c r="GA9" s="1915">
        <f t="shared" ca="1" si="2"/>
        <v>46089</v>
      </c>
      <c r="GB9" s="1915">
        <f t="shared" ca="1" si="2"/>
        <v>46090</v>
      </c>
      <c r="GC9" s="1915">
        <f t="shared" ca="1" si="2"/>
        <v>46091</v>
      </c>
      <c r="GD9" s="1915">
        <f t="shared" ca="1" si="2"/>
        <v>46092</v>
      </c>
      <c r="GE9" s="1915">
        <f t="shared" ca="1" si="2"/>
        <v>46093</v>
      </c>
      <c r="GF9" s="1915">
        <f t="shared" ca="1" si="2"/>
        <v>46094</v>
      </c>
      <c r="GG9" s="1915">
        <f t="shared" ca="1" si="2"/>
        <v>46095</v>
      </c>
      <c r="GH9" s="1915">
        <f t="shared" ca="1" si="2"/>
        <v>46096</v>
      </c>
      <c r="GI9" s="1915">
        <f t="shared" ca="1" si="2"/>
        <v>46097</v>
      </c>
      <c r="GJ9" s="1915">
        <f t="shared" ca="1" si="2"/>
        <v>46098</v>
      </c>
      <c r="GK9" s="1915">
        <f t="shared" ca="1" si="2"/>
        <v>46099</v>
      </c>
      <c r="GL9" s="1915">
        <f t="shared" ca="1" si="2"/>
        <v>46100</v>
      </c>
      <c r="GM9" s="1915">
        <f t="shared" ca="1" si="2"/>
        <v>46101</v>
      </c>
      <c r="GN9" s="1915">
        <f t="shared" ca="1" si="2"/>
        <v>46102</v>
      </c>
      <c r="GO9" s="1915">
        <f t="shared" ca="1" si="2"/>
        <v>46103</v>
      </c>
      <c r="GP9" s="1915">
        <f t="shared" ca="1" si="2"/>
        <v>46104</v>
      </c>
      <c r="GQ9" s="1915">
        <f t="shared" ca="1" si="2"/>
        <v>46105</v>
      </c>
      <c r="GR9" s="1915">
        <f t="shared" ca="1" si="2"/>
        <v>46106</v>
      </c>
      <c r="GS9" s="1915">
        <f t="shared" ref="GS9:IK9" ca="1" si="3">IF($J$2=0,0,GR9+1)</f>
        <v>46107</v>
      </c>
      <c r="GT9" s="1915">
        <f t="shared" ca="1" si="3"/>
        <v>46108</v>
      </c>
      <c r="GU9" s="1915">
        <f t="shared" ca="1" si="3"/>
        <v>46109</v>
      </c>
      <c r="GV9" s="1915">
        <f t="shared" ca="1" si="3"/>
        <v>46110</v>
      </c>
      <c r="GW9" s="1915">
        <f t="shared" ca="1" si="3"/>
        <v>46111</v>
      </c>
      <c r="GX9" s="1915">
        <f t="shared" ca="1" si="3"/>
        <v>46112</v>
      </c>
      <c r="GY9" s="1915">
        <f t="shared" ca="1" si="3"/>
        <v>46113</v>
      </c>
      <c r="GZ9" s="1915">
        <f t="shared" ca="1" si="3"/>
        <v>46114</v>
      </c>
      <c r="HA9" s="1915">
        <f t="shared" ca="1" si="3"/>
        <v>46115</v>
      </c>
      <c r="HB9" s="1915">
        <f t="shared" ca="1" si="3"/>
        <v>46116</v>
      </c>
      <c r="HC9" s="1915">
        <f t="shared" ca="1" si="3"/>
        <v>46117</v>
      </c>
      <c r="HD9" s="1915">
        <f t="shared" ca="1" si="3"/>
        <v>46118</v>
      </c>
      <c r="HE9" s="1915">
        <f t="shared" ca="1" si="3"/>
        <v>46119</v>
      </c>
      <c r="HF9" s="1915">
        <f t="shared" ca="1" si="3"/>
        <v>46120</v>
      </c>
      <c r="HG9" s="1915">
        <f t="shared" ca="1" si="3"/>
        <v>46121</v>
      </c>
      <c r="HH9" s="1915">
        <f t="shared" ca="1" si="3"/>
        <v>46122</v>
      </c>
      <c r="HI9" s="1915">
        <f t="shared" ca="1" si="3"/>
        <v>46123</v>
      </c>
      <c r="HJ9" s="1915">
        <f t="shared" ca="1" si="3"/>
        <v>46124</v>
      </c>
      <c r="HK9" s="1915">
        <f t="shared" ca="1" si="3"/>
        <v>46125</v>
      </c>
      <c r="HL9" s="1915">
        <f t="shared" ca="1" si="3"/>
        <v>46126</v>
      </c>
      <c r="HM9" s="1915">
        <f t="shared" ca="1" si="3"/>
        <v>46127</v>
      </c>
      <c r="HN9" s="1915">
        <f t="shared" ca="1" si="3"/>
        <v>46128</v>
      </c>
      <c r="HO9" s="1915">
        <f t="shared" ca="1" si="3"/>
        <v>46129</v>
      </c>
      <c r="HP9" s="1915">
        <f t="shared" ca="1" si="3"/>
        <v>46130</v>
      </c>
      <c r="HQ9" s="1915">
        <f t="shared" ca="1" si="3"/>
        <v>46131</v>
      </c>
      <c r="HR9" s="1915">
        <f t="shared" ca="1" si="3"/>
        <v>46132</v>
      </c>
      <c r="HS9" s="1915">
        <f t="shared" ca="1" si="3"/>
        <v>46133</v>
      </c>
      <c r="HT9" s="1915">
        <f t="shared" ca="1" si="3"/>
        <v>46134</v>
      </c>
      <c r="HU9" s="1915">
        <f t="shared" ca="1" si="3"/>
        <v>46135</v>
      </c>
      <c r="HV9" s="1915">
        <f t="shared" ca="1" si="3"/>
        <v>46136</v>
      </c>
      <c r="HW9" s="1915">
        <f t="shared" ca="1" si="3"/>
        <v>46137</v>
      </c>
      <c r="HX9" s="1915">
        <f t="shared" ca="1" si="3"/>
        <v>46138</v>
      </c>
      <c r="HY9" s="1915">
        <f t="shared" ca="1" si="3"/>
        <v>46139</v>
      </c>
      <c r="HZ9" s="1915">
        <f t="shared" ca="1" si="3"/>
        <v>46140</v>
      </c>
      <c r="IA9" s="1915">
        <f t="shared" ca="1" si="3"/>
        <v>46141</v>
      </c>
      <c r="IB9" s="1915">
        <f t="shared" ca="1" si="3"/>
        <v>46142</v>
      </c>
      <c r="IC9" s="1915">
        <f t="shared" ca="1" si="3"/>
        <v>46143</v>
      </c>
      <c r="ID9" s="1915">
        <f t="shared" ca="1" si="3"/>
        <v>46144</v>
      </c>
      <c r="IE9" s="1915">
        <f t="shared" ca="1" si="3"/>
        <v>46145</v>
      </c>
      <c r="IF9" s="1915">
        <f t="shared" ca="1" si="3"/>
        <v>46146</v>
      </c>
      <c r="IG9" s="1915">
        <f t="shared" ca="1" si="3"/>
        <v>46147</v>
      </c>
      <c r="IH9" s="1915">
        <f t="shared" ca="1" si="3"/>
        <v>46148</v>
      </c>
      <c r="II9" s="1915">
        <f t="shared" ca="1" si="3"/>
        <v>46149</v>
      </c>
      <c r="IJ9" s="1915">
        <f t="shared" ca="1" si="3"/>
        <v>46150</v>
      </c>
      <c r="IK9" s="1915">
        <f t="shared" ca="1" si="3"/>
        <v>46151</v>
      </c>
    </row>
    <row r="10" spans="1:245" hidden="1" x14ac:dyDescent="0.35">
      <c r="A10" s="205"/>
      <c r="B10" s="32"/>
      <c r="C10" s="32"/>
      <c r="D10" s="32"/>
      <c r="E10" s="32"/>
      <c r="F10" s="32"/>
      <c r="G10" s="32"/>
      <c r="H10" s="1915"/>
      <c r="I10" s="1915"/>
      <c r="J10" s="1915"/>
      <c r="K10" s="1915"/>
      <c r="L10" s="1915"/>
      <c r="M10" s="1915"/>
      <c r="N10" s="1915"/>
      <c r="O10" s="1915"/>
      <c r="P10" s="1915"/>
      <c r="Q10" s="1915"/>
      <c r="R10" s="1915"/>
      <c r="S10" s="1915"/>
      <c r="T10" s="1915"/>
      <c r="U10" s="1915"/>
      <c r="V10" s="1915"/>
      <c r="W10" s="1915"/>
      <c r="X10" s="1915"/>
      <c r="Y10" s="1915"/>
      <c r="Z10" s="1915"/>
      <c r="AA10" s="1915"/>
      <c r="AB10" s="1915"/>
      <c r="AC10" s="1915"/>
      <c r="AD10" s="1915"/>
      <c r="AE10" s="1915"/>
      <c r="AF10" s="1915"/>
      <c r="AG10" s="1915"/>
      <c r="AH10" s="1915"/>
      <c r="AI10" s="1915"/>
      <c r="AJ10" s="1915"/>
      <c r="AK10" s="1915"/>
      <c r="AL10" s="1915"/>
      <c r="AM10" s="1915"/>
      <c r="AN10" s="1915"/>
      <c r="AO10" s="1915"/>
      <c r="AP10" s="1915"/>
      <c r="AQ10" s="1915"/>
      <c r="AR10" s="1915"/>
      <c r="AS10" s="1915"/>
      <c r="AT10" s="1915"/>
      <c r="AU10" s="1915"/>
      <c r="AV10" s="1915"/>
      <c r="AW10" s="1915"/>
      <c r="AX10" s="1915"/>
      <c r="AY10" s="1915"/>
      <c r="AZ10" s="1915"/>
      <c r="BA10" s="1915"/>
      <c r="BB10" s="1915"/>
      <c r="BC10" s="1915"/>
      <c r="BD10" s="1915"/>
      <c r="BE10" s="1915"/>
      <c r="BF10" s="1915"/>
      <c r="BG10" s="1915"/>
      <c r="BH10" s="1915"/>
      <c r="BI10" s="1915"/>
      <c r="BJ10" s="1915"/>
      <c r="BK10" s="1915"/>
      <c r="BL10" s="1915"/>
      <c r="BM10" s="1915"/>
      <c r="BN10" s="1915"/>
      <c r="BO10" s="1915"/>
      <c r="BP10" s="1915"/>
      <c r="BQ10" s="1915"/>
      <c r="BR10" s="1915"/>
      <c r="BS10" s="1915"/>
      <c r="BT10" s="1915"/>
      <c r="BU10" s="1915"/>
      <c r="BV10" s="1915"/>
      <c r="BW10" s="1915"/>
      <c r="BX10" s="1915"/>
      <c r="BY10" s="1915"/>
      <c r="BZ10" s="1915"/>
      <c r="CA10" s="1915"/>
      <c r="CB10" s="1915"/>
      <c r="CC10" s="1915"/>
      <c r="CD10" s="1915"/>
      <c r="CE10" s="1915"/>
      <c r="CF10" s="1915"/>
      <c r="CG10" s="1915"/>
      <c r="CH10" s="1915"/>
      <c r="CI10" s="1915"/>
      <c r="CJ10" s="1915"/>
      <c r="CK10" s="1915"/>
      <c r="CL10" s="1915"/>
      <c r="CM10" s="1915"/>
      <c r="CN10" s="1915"/>
      <c r="CO10" s="1915"/>
      <c r="CP10" s="1915"/>
      <c r="CQ10" s="1915"/>
      <c r="CR10" s="1915"/>
      <c r="CS10" s="1915"/>
      <c r="CT10" s="1915"/>
      <c r="CU10" s="1915"/>
      <c r="CV10" s="1915"/>
      <c r="CW10" s="1915"/>
      <c r="CX10" s="1915"/>
      <c r="CY10" s="1915"/>
      <c r="CZ10" s="1915"/>
      <c r="DA10" s="1915"/>
      <c r="DB10" s="1915"/>
      <c r="DC10" s="1915"/>
      <c r="DD10" s="1915"/>
      <c r="DE10" s="1915"/>
      <c r="DF10" s="1915"/>
      <c r="DG10" s="1915"/>
      <c r="DH10" s="1915"/>
      <c r="DI10" s="1915"/>
      <c r="DJ10" s="1915"/>
      <c r="DK10" s="1915"/>
      <c r="DL10" s="1915"/>
      <c r="DM10" s="1915"/>
      <c r="DN10" s="1915"/>
      <c r="DO10" s="1915"/>
      <c r="DP10" s="1915"/>
      <c r="DQ10" s="1915"/>
      <c r="DR10" s="1915"/>
      <c r="DS10" s="1915"/>
      <c r="DT10" s="1915"/>
      <c r="DU10" s="1915"/>
      <c r="DV10" s="1957"/>
      <c r="DW10" s="1915"/>
      <c r="DX10" s="1915"/>
      <c r="DY10" s="1915"/>
      <c r="DZ10" s="1915"/>
      <c r="EA10" s="1915"/>
      <c r="EB10" s="1915"/>
      <c r="EC10" s="1957"/>
      <c r="ED10" s="1915"/>
      <c r="EE10" s="1915"/>
      <c r="EF10" s="1915"/>
      <c r="EG10" s="1915"/>
      <c r="EH10" s="1915"/>
      <c r="EI10" s="1915"/>
      <c r="EJ10" s="1957"/>
      <c r="EK10" s="1915"/>
      <c r="EL10" s="1915"/>
      <c r="EM10" s="1915"/>
      <c r="EN10" s="1915"/>
      <c r="EO10" s="1915"/>
      <c r="EP10" s="1915"/>
      <c r="EQ10" s="1957"/>
      <c r="ER10" s="1915"/>
      <c r="ES10" s="1915"/>
      <c r="ET10" s="1915"/>
      <c r="EU10" s="1915"/>
      <c r="EV10" s="1915"/>
      <c r="EW10" s="1915"/>
      <c r="EX10" s="1915"/>
      <c r="EY10" s="1915"/>
      <c r="EZ10" s="1915"/>
      <c r="FA10" s="1915"/>
      <c r="FB10" s="1915"/>
      <c r="FC10" s="1915"/>
      <c r="FD10" s="1915"/>
      <c r="FE10" s="1915"/>
      <c r="FF10" s="1915"/>
      <c r="FG10" s="1915"/>
      <c r="FH10" s="1915"/>
      <c r="FI10" s="1915"/>
      <c r="FJ10" s="1915"/>
      <c r="FK10" s="1915"/>
      <c r="FL10" s="1915"/>
      <c r="FM10" s="1915"/>
      <c r="FN10" s="1915"/>
      <c r="FO10" s="1915"/>
      <c r="FP10" s="1915"/>
      <c r="FQ10" s="1915"/>
      <c r="FR10" s="1915"/>
      <c r="FS10" s="1915"/>
      <c r="FT10" s="1915"/>
      <c r="FU10" s="1915"/>
      <c r="FV10" s="1915"/>
      <c r="FW10" s="1915"/>
      <c r="FX10" s="1915"/>
      <c r="FY10" s="1915"/>
      <c r="FZ10" s="1915"/>
      <c r="GA10" s="1915"/>
      <c r="GB10" s="1915"/>
      <c r="GC10" s="1915"/>
      <c r="GD10" s="1915"/>
      <c r="GE10" s="1915"/>
      <c r="GF10" s="1915"/>
      <c r="GG10" s="1915"/>
      <c r="GH10" s="1915"/>
      <c r="GI10" s="1915"/>
      <c r="GJ10" s="1915"/>
      <c r="GK10" s="1915"/>
      <c r="GL10" s="1915"/>
      <c r="GM10" s="1915"/>
      <c r="GN10" s="1915"/>
      <c r="GO10" s="1915"/>
      <c r="GP10" s="1915"/>
      <c r="GQ10" s="1915"/>
      <c r="GR10" s="1915"/>
      <c r="GS10" s="1915"/>
      <c r="GT10" s="1915"/>
      <c r="GU10" s="1915"/>
      <c r="GV10" s="1915"/>
      <c r="GW10" s="1915"/>
      <c r="GX10" s="1915"/>
      <c r="GY10" s="1915"/>
      <c r="GZ10" s="1915"/>
      <c r="HA10" s="1915"/>
      <c r="HB10" s="1915"/>
      <c r="HC10" s="1915"/>
      <c r="HD10" s="1915"/>
      <c r="HE10" s="1915"/>
      <c r="HF10" s="1915"/>
      <c r="HG10" s="1915"/>
      <c r="HH10" s="1915"/>
      <c r="HI10" s="1915"/>
      <c r="HJ10" s="1915"/>
      <c r="HK10" s="1915"/>
      <c r="HL10" s="1915"/>
      <c r="HM10" s="1915"/>
      <c r="HN10" s="1915"/>
      <c r="HO10" s="1915"/>
      <c r="HP10" s="1915"/>
      <c r="HQ10" s="1915"/>
      <c r="HR10" s="1915"/>
      <c r="HS10" s="1915"/>
      <c r="HT10" s="1915"/>
      <c r="HU10" s="1915"/>
      <c r="HV10" s="1915"/>
      <c r="HW10" s="1915"/>
      <c r="HX10" s="1915"/>
      <c r="HY10" s="1915"/>
      <c r="HZ10" s="1915"/>
      <c r="IA10" s="1915"/>
      <c r="IB10" s="1915"/>
      <c r="IC10" s="1915"/>
      <c r="ID10" s="1915"/>
      <c r="IE10" s="1915"/>
      <c r="IF10" s="1915"/>
      <c r="IG10" s="1915"/>
      <c r="IH10" s="1915"/>
      <c r="II10" s="1915"/>
      <c r="IJ10" s="1915"/>
      <c r="IK10" s="1915"/>
    </row>
    <row r="11" spans="1:245" hidden="1" x14ac:dyDescent="0.35">
      <c r="A11" s="205"/>
      <c r="B11" s="32"/>
      <c r="C11" s="32"/>
      <c r="D11" s="32"/>
      <c r="E11" s="32"/>
      <c r="F11" s="32"/>
      <c r="G11" s="32"/>
      <c r="H11" s="1916"/>
      <c r="I11" s="1916"/>
      <c r="J11" s="1916"/>
      <c r="K11" s="1916"/>
      <c r="L11" s="1916"/>
      <c r="M11" s="1916"/>
      <c r="N11" s="1916"/>
      <c r="O11" s="1916"/>
      <c r="P11" s="1916"/>
      <c r="Q11" s="1916"/>
      <c r="R11" s="1916"/>
      <c r="S11" s="1916"/>
      <c r="T11" s="1916"/>
      <c r="U11" s="1916"/>
      <c r="V11" s="1916"/>
      <c r="W11" s="1916"/>
      <c r="X11" s="1916"/>
      <c r="Y11" s="1916"/>
      <c r="Z11" s="1916"/>
      <c r="AA11" s="1916"/>
      <c r="AB11" s="1916"/>
      <c r="AC11" s="1916"/>
      <c r="AD11" s="1916"/>
      <c r="AE11" s="1916"/>
      <c r="AF11" s="1916"/>
      <c r="AG11" s="1916"/>
      <c r="AH11" s="1916"/>
      <c r="AI11" s="1916"/>
      <c r="AJ11" s="1916"/>
      <c r="AK11" s="1916"/>
      <c r="AL11" s="1916"/>
      <c r="AM11" s="1916"/>
      <c r="AN11" s="1916"/>
      <c r="AO11" s="1916"/>
      <c r="AP11" s="1916"/>
      <c r="AQ11" s="1916"/>
      <c r="AR11" s="1916"/>
      <c r="AS11" s="1916"/>
      <c r="AT11" s="1916"/>
      <c r="AU11" s="1916"/>
      <c r="AV11" s="1916"/>
      <c r="AW11" s="1916"/>
      <c r="AX11" s="1916"/>
      <c r="AY11" s="1916"/>
      <c r="AZ11" s="1916"/>
      <c r="BA11" s="1916"/>
      <c r="BB11" s="1916"/>
      <c r="BC11" s="1916"/>
      <c r="BD11" s="1916"/>
      <c r="BE11" s="1916"/>
      <c r="BF11" s="1916"/>
      <c r="BG11" s="1916"/>
      <c r="BH11" s="1916"/>
      <c r="BI11" s="1916"/>
      <c r="BJ11" s="1916"/>
      <c r="BK11" s="1916"/>
      <c r="BL11" s="1916"/>
      <c r="BM11" s="1916"/>
      <c r="BN11" s="1916"/>
      <c r="BO11" s="1916"/>
      <c r="BP11" s="1916"/>
      <c r="BQ11" s="1916"/>
      <c r="BR11" s="1916"/>
      <c r="BS11" s="1916"/>
      <c r="BT11" s="1916"/>
      <c r="BU11" s="1916"/>
      <c r="BV11" s="1916"/>
      <c r="BW11" s="1916"/>
      <c r="BX11" s="1916"/>
      <c r="BY11" s="1916"/>
      <c r="BZ11" s="1916"/>
      <c r="CA11" s="1916"/>
      <c r="CB11" s="1916"/>
      <c r="CC11" s="1916"/>
      <c r="CD11" s="1916"/>
      <c r="CE11" s="1916"/>
      <c r="CF11" s="1916"/>
      <c r="CG11" s="1916"/>
      <c r="CH11" s="1916"/>
      <c r="CI11" s="1916"/>
      <c r="CJ11" s="1916"/>
      <c r="CK11" s="1916"/>
      <c r="CL11" s="1916"/>
      <c r="CM11" s="1916"/>
      <c r="CN11" s="1916"/>
      <c r="CO11" s="1916"/>
      <c r="CP11" s="1916"/>
      <c r="CQ11" s="1916"/>
      <c r="CR11" s="1916"/>
      <c r="CS11" s="1916"/>
      <c r="CT11" s="1916"/>
      <c r="CU11" s="1916"/>
      <c r="CV11" s="1916"/>
      <c r="CW11" s="1916"/>
      <c r="CX11" s="1916"/>
      <c r="CY11" s="1916"/>
      <c r="CZ11" s="1916"/>
      <c r="DA11" s="1916"/>
      <c r="DB11" s="1916"/>
      <c r="DC11" s="1916"/>
      <c r="DD11" s="1916"/>
      <c r="DE11" s="1916"/>
      <c r="DF11" s="1916"/>
      <c r="DG11" s="1916"/>
      <c r="DH11" s="1916"/>
      <c r="DI11" s="1916"/>
      <c r="DJ11" s="1916"/>
      <c r="DK11" s="1916"/>
      <c r="DL11" s="1916"/>
      <c r="DM11" s="1916"/>
      <c r="DN11" s="1916"/>
      <c r="DO11" s="1916"/>
      <c r="DP11" s="1916"/>
      <c r="DQ11" s="1916"/>
      <c r="DR11" s="1916"/>
      <c r="DS11" s="1916"/>
      <c r="DT11" s="1916"/>
      <c r="DU11" s="1916"/>
      <c r="DV11" s="1958"/>
      <c r="DW11" s="1916"/>
      <c r="DX11" s="1916"/>
      <c r="DY11" s="1916"/>
      <c r="DZ11" s="1916"/>
      <c r="EA11" s="1916"/>
      <c r="EB11" s="1916"/>
      <c r="EC11" s="1958"/>
      <c r="ED11" s="1916"/>
      <c r="EE11" s="1916"/>
      <c r="EF11" s="1916"/>
      <c r="EG11" s="1916"/>
      <c r="EH11" s="1916"/>
      <c r="EI11" s="1916"/>
      <c r="EJ11" s="1958"/>
      <c r="EK11" s="1916"/>
      <c r="EL11" s="1916"/>
      <c r="EM11" s="1916"/>
      <c r="EN11" s="1916"/>
      <c r="EO11" s="1916"/>
      <c r="EP11" s="1916"/>
      <c r="EQ11" s="1958"/>
      <c r="ER11" s="1916"/>
      <c r="ES11" s="1916"/>
      <c r="ET11" s="1916"/>
      <c r="EU11" s="1916"/>
      <c r="EV11" s="1916"/>
      <c r="EW11" s="1916"/>
      <c r="EX11" s="1916"/>
      <c r="EY11" s="1916"/>
      <c r="EZ11" s="1916"/>
      <c r="FA11" s="1916"/>
      <c r="FB11" s="1916"/>
      <c r="FC11" s="1916"/>
      <c r="FD11" s="1916"/>
      <c r="FE11" s="1916"/>
      <c r="FF11" s="1916"/>
      <c r="FG11" s="1916"/>
      <c r="FH11" s="1916"/>
      <c r="FI11" s="1916"/>
      <c r="FJ11" s="1916"/>
      <c r="FK11" s="1916"/>
      <c r="FL11" s="1916"/>
      <c r="FM11" s="1916"/>
      <c r="FN11" s="1916"/>
      <c r="FO11" s="1916"/>
      <c r="FP11" s="1916"/>
      <c r="FQ11" s="1916"/>
      <c r="FR11" s="1916"/>
      <c r="FS11" s="1916"/>
      <c r="FT11" s="1916"/>
      <c r="FU11" s="1916"/>
      <c r="FV11" s="1916"/>
      <c r="FW11" s="1916"/>
      <c r="FX11" s="1916"/>
      <c r="FY11" s="1916"/>
      <c r="FZ11" s="1916"/>
      <c r="GA11" s="1916"/>
      <c r="GB11" s="1916"/>
      <c r="GC11" s="1916"/>
      <c r="GD11" s="1916"/>
      <c r="GE11" s="1916"/>
      <c r="GF11" s="1916"/>
      <c r="GG11" s="1916"/>
      <c r="GH11" s="1916"/>
      <c r="GI11" s="1916"/>
      <c r="GJ11" s="1916"/>
      <c r="GK11" s="1916"/>
      <c r="GL11" s="1916"/>
      <c r="GM11" s="1916"/>
      <c r="GN11" s="1916"/>
      <c r="GO11" s="1916"/>
      <c r="GP11" s="1916"/>
      <c r="GQ11" s="1916"/>
      <c r="GR11" s="1916"/>
      <c r="GS11" s="1916"/>
      <c r="GT11" s="1916"/>
      <c r="GU11" s="1916"/>
      <c r="GV11" s="1916"/>
      <c r="GW11" s="1916"/>
      <c r="GX11" s="1916"/>
      <c r="GY11" s="1916"/>
      <c r="GZ11" s="1916"/>
      <c r="HA11" s="1916"/>
      <c r="HB11" s="1916"/>
      <c r="HC11" s="1916"/>
      <c r="HD11" s="1916"/>
      <c r="HE11" s="1916"/>
      <c r="HF11" s="1916"/>
      <c r="HG11" s="1916"/>
      <c r="HH11" s="1916"/>
      <c r="HI11" s="1916"/>
      <c r="HJ11" s="1916"/>
      <c r="HK11" s="1916"/>
      <c r="HL11" s="1916"/>
      <c r="HM11" s="1916"/>
      <c r="HN11" s="1916"/>
      <c r="HO11" s="1916"/>
      <c r="HP11" s="1916"/>
      <c r="HQ11" s="1916"/>
      <c r="HR11" s="1916"/>
      <c r="HS11" s="1916"/>
      <c r="HT11" s="1916"/>
      <c r="HU11" s="1916"/>
      <c r="HV11" s="1916"/>
      <c r="HW11" s="1916"/>
      <c r="HX11" s="1916"/>
      <c r="HY11" s="1916"/>
      <c r="HZ11" s="1916"/>
      <c r="IA11" s="1916"/>
      <c r="IB11" s="1916"/>
      <c r="IC11" s="1916"/>
      <c r="ID11" s="1916"/>
      <c r="IE11" s="1916"/>
      <c r="IF11" s="1916"/>
      <c r="IG11" s="1916"/>
      <c r="IH11" s="1916"/>
      <c r="II11" s="1916"/>
      <c r="IJ11" s="1916"/>
      <c r="IK11" s="1916"/>
    </row>
    <row r="12" spans="1:245" s="195" customFormat="1" ht="19.5" customHeight="1" x14ac:dyDescent="0.35">
      <c r="B12" s="345" t="s">
        <v>35</v>
      </c>
      <c r="C12" s="1975">
        <f ca="1">IF(F40&lt;&gt;0,F40,IF(F90&lt;&gt;0,F90,IF(F41&lt;&gt;0,F41,IF(F42&lt;&gt;0,F42,IF(F42&lt;&gt;0,F43,IF(F44&lt;&gt;0,F44,0))))))</f>
        <v>0</v>
      </c>
      <c r="D12" s="1975"/>
      <c r="E12" s="1975"/>
      <c r="F12" s="1975"/>
      <c r="G12" s="1976"/>
      <c r="H12" s="1926" t="str">
        <f>"sem.
"&amp;N7/7</f>
        <v>sem.
1</v>
      </c>
      <c r="I12" s="1927"/>
      <c r="J12" s="1927"/>
      <c r="K12" s="1927"/>
      <c r="L12" s="1927"/>
      <c r="M12" s="1927"/>
      <c r="N12" s="1928"/>
      <c r="O12" s="1926" t="str">
        <f t="shared" ref="O12" si="4">"sem.
"&amp;U7/7</f>
        <v>sem.
2</v>
      </c>
      <c r="P12" s="1927"/>
      <c r="Q12" s="1927"/>
      <c r="R12" s="1927"/>
      <c r="S12" s="1927"/>
      <c r="T12" s="1927"/>
      <c r="U12" s="1928"/>
      <c r="V12" s="1926" t="str">
        <f t="shared" ref="V12" si="5">"sem.
"&amp;AB7/7</f>
        <v>sem.
3</v>
      </c>
      <c r="W12" s="1927"/>
      <c r="X12" s="1927"/>
      <c r="Y12" s="1927"/>
      <c r="Z12" s="1927"/>
      <c r="AA12" s="1927"/>
      <c r="AB12" s="1928"/>
      <c r="AC12" s="1926" t="str">
        <f t="shared" ref="AC12" si="6">"sem.
"&amp;AI7/7</f>
        <v>sem.
4</v>
      </c>
      <c r="AD12" s="1927"/>
      <c r="AE12" s="1927"/>
      <c r="AF12" s="1927"/>
      <c r="AG12" s="1927"/>
      <c r="AH12" s="1927"/>
      <c r="AI12" s="1928"/>
      <c r="AJ12" s="1926" t="str">
        <f t="shared" ref="AJ12" si="7">"sem.
"&amp;AP7/7</f>
        <v>sem.
5</v>
      </c>
      <c r="AK12" s="1927"/>
      <c r="AL12" s="1927"/>
      <c r="AM12" s="1927"/>
      <c r="AN12" s="1927"/>
      <c r="AO12" s="1927"/>
      <c r="AP12" s="1928"/>
      <c r="AQ12" s="1926" t="str">
        <f t="shared" ref="AQ12" si="8">"sem.
"&amp;AW7/7</f>
        <v>sem.
6</v>
      </c>
      <c r="AR12" s="1927"/>
      <c r="AS12" s="1927"/>
      <c r="AT12" s="1927"/>
      <c r="AU12" s="1927"/>
      <c r="AV12" s="1927"/>
      <c r="AW12" s="1928"/>
      <c r="AX12" s="1926" t="str">
        <f t="shared" ref="AX12" si="9">"sem.
"&amp;BD7/7</f>
        <v>sem.
7</v>
      </c>
      <c r="AY12" s="1927"/>
      <c r="AZ12" s="1927"/>
      <c r="BA12" s="1927"/>
      <c r="BB12" s="1927"/>
      <c r="BC12" s="1927"/>
      <c r="BD12" s="1928"/>
      <c r="BE12" s="1926" t="str">
        <f t="shared" ref="BE12" si="10">"sem.
"&amp;BK7/7</f>
        <v>sem.
8</v>
      </c>
      <c r="BF12" s="1927"/>
      <c r="BG12" s="1927"/>
      <c r="BH12" s="1927"/>
      <c r="BI12" s="1927"/>
      <c r="BJ12" s="1927"/>
      <c r="BK12" s="1928"/>
      <c r="BL12" s="1926" t="str">
        <f t="shared" ref="BL12" si="11">"sem.
"&amp;BR7/7</f>
        <v>sem.
9</v>
      </c>
      <c r="BM12" s="1927"/>
      <c r="BN12" s="1927"/>
      <c r="BO12" s="1927"/>
      <c r="BP12" s="1927"/>
      <c r="BQ12" s="1927"/>
      <c r="BR12" s="1928"/>
      <c r="BS12" s="1926" t="str">
        <f t="shared" ref="BS12" si="12">"sem.
"&amp;BY7/7</f>
        <v>sem.
10</v>
      </c>
      <c r="BT12" s="1927"/>
      <c r="BU12" s="1927"/>
      <c r="BV12" s="1927"/>
      <c r="BW12" s="1927"/>
      <c r="BX12" s="1927"/>
      <c r="BY12" s="1928"/>
      <c r="BZ12" s="1926" t="str">
        <f t="shared" ref="BZ12" si="13">"sem.
"&amp;CF7/7</f>
        <v>sem.
11</v>
      </c>
      <c r="CA12" s="1927"/>
      <c r="CB12" s="1927"/>
      <c r="CC12" s="1927"/>
      <c r="CD12" s="1927"/>
      <c r="CE12" s="1927"/>
      <c r="CF12" s="1928"/>
      <c r="CG12" s="1926" t="str">
        <f t="shared" ref="CG12" si="14">"sem.
"&amp;CM7/7</f>
        <v>sem.
12</v>
      </c>
      <c r="CH12" s="1927"/>
      <c r="CI12" s="1927"/>
      <c r="CJ12" s="1927"/>
      <c r="CK12" s="1927"/>
      <c r="CL12" s="1927"/>
      <c r="CM12" s="1928"/>
      <c r="CN12" s="1926" t="str">
        <f t="shared" ref="CN12" si="15">"sem.
"&amp;CT7/7</f>
        <v>sem.
13</v>
      </c>
      <c r="CO12" s="1927"/>
      <c r="CP12" s="1927"/>
      <c r="CQ12" s="1927"/>
      <c r="CR12" s="1927"/>
      <c r="CS12" s="1927"/>
      <c r="CT12" s="1928"/>
      <c r="CU12" s="1926" t="str">
        <f t="shared" ref="CU12" si="16">"sem.
"&amp;DA7/7</f>
        <v>sem.
14</v>
      </c>
      <c r="CV12" s="1927"/>
      <c r="CW12" s="1927"/>
      <c r="CX12" s="1927"/>
      <c r="CY12" s="1927"/>
      <c r="CZ12" s="1927"/>
      <c r="DA12" s="1928"/>
      <c r="DB12" s="1926" t="str">
        <f t="shared" ref="DB12" si="17">"sem.
"&amp;DH7/7</f>
        <v>sem.
15</v>
      </c>
      <c r="DC12" s="1927"/>
      <c r="DD12" s="1927"/>
      <c r="DE12" s="1927"/>
      <c r="DF12" s="1927"/>
      <c r="DG12" s="1927"/>
      <c r="DH12" s="1928"/>
      <c r="DI12" s="1926" t="str">
        <f t="shared" ref="DI12" si="18">"sem.
"&amp;DO7/7</f>
        <v>sem.
16</v>
      </c>
      <c r="DJ12" s="1927"/>
      <c r="DK12" s="1927"/>
      <c r="DL12" s="1927"/>
      <c r="DM12" s="1927"/>
      <c r="DN12" s="1927"/>
      <c r="DO12" s="1928"/>
      <c r="DP12" s="1926" t="str">
        <f t="shared" ref="DP12" si="19">"sem.
"&amp;DV7/7</f>
        <v>sem.
17</v>
      </c>
      <c r="DQ12" s="1927"/>
      <c r="DR12" s="1927"/>
      <c r="DS12" s="1927"/>
      <c r="DT12" s="1927"/>
      <c r="DU12" s="1927"/>
      <c r="DV12" s="1928"/>
      <c r="DW12" s="1926" t="str">
        <f t="shared" ref="DW12" si="20">"sem.
"&amp;EC7/7</f>
        <v>sem.
18</v>
      </c>
      <c r="DX12" s="1927"/>
      <c r="DY12" s="1927"/>
      <c r="DZ12" s="1927"/>
      <c r="EA12" s="1927"/>
      <c r="EB12" s="1927"/>
      <c r="EC12" s="1928"/>
      <c r="ED12" s="1926" t="str">
        <f t="shared" ref="ED12" si="21">"sem.
"&amp;EJ7/7</f>
        <v>sem.
19</v>
      </c>
      <c r="EE12" s="1927"/>
      <c r="EF12" s="1927"/>
      <c r="EG12" s="1927"/>
      <c r="EH12" s="1927"/>
      <c r="EI12" s="1927"/>
      <c r="EJ12" s="1928"/>
      <c r="EK12" s="1926" t="str">
        <f t="shared" ref="EK12" si="22">"sem.
"&amp;EQ7/7</f>
        <v>sem.
20</v>
      </c>
      <c r="EL12" s="1927"/>
      <c r="EM12" s="1927"/>
      <c r="EN12" s="1927"/>
      <c r="EO12" s="1927"/>
      <c r="EP12" s="1927"/>
      <c r="EQ12" s="1928"/>
      <c r="ER12" s="1926" t="str">
        <f t="shared" ref="ER12" si="23">"sem.
"&amp;EX7/7</f>
        <v>sem.
21</v>
      </c>
      <c r="ES12" s="1927"/>
      <c r="ET12" s="1927"/>
      <c r="EU12" s="1927"/>
      <c r="EV12" s="1927"/>
      <c r="EW12" s="1927"/>
      <c r="EX12" s="1928"/>
      <c r="EY12" s="1926" t="str">
        <f t="shared" ref="EY12" si="24">"sem.
"&amp;FE7/7</f>
        <v>sem.
22</v>
      </c>
      <c r="EZ12" s="1927"/>
      <c r="FA12" s="1927"/>
      <c r="FB12" s="1927"/>
      <c r="FC12" s="1927"/>
      <c r="FD12" s="1927"/>
      <c r="FE12" s="1928"/>
      <c r="FF12" s="1926" t="str">
        <f t="shared" ref="FF12" si="25">"sem.
"&amp;FL7/7</f>
        <v>sem.
23</v>
      </c>
      <c r="FG12" s="1927"/>
      <c r="FH12" s="1927"/>
      <c r="FI12" s="1927"/>
      <c r="FJ12" s="1927"/>
      <c r="FK12" s="1927"/>
      <c r="FL12" s="1928"/>
      <c r="FM12" s="1926" t="str">
        <f t="shared" ref="FM12" si="26">"sem.
"&amp;FS7/7</f>
        <v>sem.
24</v>
      </c>
      <c r="FN12" s="1927"/>
      <c r="FO12" s="1927"/>
      <c r="FP12" s="1927"/>
      <c r="FQ12" s="1927"/>
      <c r="FR12" s="1927"/>
      <c r="FS12" s="1928"/>
      <c r="FT12" s="1926" t="str">
        <f t="shared" ref="FT12" si="27">"sem.
"&amp;FZ7/7</f>
        <v>sem.
25</v>
      </c>
      <c r="FU12" s="1927"/>
      <c r="FV12" s="1927"/>
      <c r="FW12" s="1927"/>
      <c r="FX12" s="1927"/>
      <c r="FY12" s="1927"/>
      <c r="FZ12" s="1928"/>
      <c r="GA12" s="1926" t="str">
        <f t="shared" ref="GA12" si="28">"sem.
"&amp;GG7/7</f>
        <v>sem.
26</v>
      </c>
      <c r="GB12" s="1927"/>
      <c r="GC12" s="1927"/>
      <c r="GD12" s="1927"/>
      <c r="GE12" s="1927"/>
      <c r="GF12" s="1927"/>
      <c r="GG12" s="1928"/>
      <c r="GH12" s="1926" t="str">
        <f t="shared" ref="GH12" si="29">"sem.
"&amp;GN7/7</f>
        <v>sem.
27</v>
      </c>
      <c r="GI12" s="1927"/>
      <c r="GJ12" s="1927"/>
      <c r="GK12" s="1927"/>
      <c r="GL12" s="1927"/>
      <c r="GM12" s="1927"/>
      <c r="GN12" s="1928"/>
      <c r="GO12" s="1926" t="str">
        <f t="shared" ref="GO12" si="30">"sem.
"&amp;GU7/7</f>
        <v>sem.
28</v>
      </c>
      <c r="GP12" s="1927"/>
      <c r="GQ12" s="1927"/>
      <c r="GR12" s="1927"/>
      <c r="GS12" s="1927"/>
      <c r="GT12" s="1927"/>
      <c r="GU12" s="1928"/>
      <c r="GV12" s="1926" t="str">
        <f t="shared" ref="GV12" si="31">"sem.
"&amp;HB7/7</f>
        <v>sem.
29</v>
      </c>
      <c r="GW12" s="1927"/>
      <c r="GX12" s="1927"/>
      <c r="GY12" s="1927"/>
      <c r="GZ12" s="1927"/>
      <c r="HA12" s="1927"/>
      <c r="HB12" s="1928"/>
      <c r="HC12" s="1926" t="str">
        <f t="shared" ref="HC12" si="32">"sem.
"&amp;HI7/7</f>
        <v>sem.
30</v>
      </c>
      <c r="HD12" s="1927"/>
      <c r="HE12" s="1927"/>
      <c r="HF12" s="1927"/>
      <c r="HG12" s="1927"/>
      <c r="HH12" s="1927"/>
      <c r="HI12" s="1928"/>
      <c r="HJ12" s="1926" t="str">
        <f t="shared" ref="HJ12" si="33">"sem.
"&amp;HP7/7</f>
        <v>sem.
31</v>
      </c>
      <c r="HK12" s="1927"/>
      <c r="HL12" s="1927"/>
      <c r="HM12" s="1927"/>
      <c r="HN12" s="1927"/>
      <c r="HO12" s="1927"/>
      <c r="HP12" s="1928"/>
      <c r="HQ12" s="1926" t="str">
        <f t="shared" ref="HQ12" si="34">"sem.
"&amp;HW7/7</f>
        <v>sem.
32</v>
      </c>
      <c r="HR12" s="1927"/>
      <c r="HS12" s="1927"/>
      <c r="HT12" s="1927"/>
      <c r="HU12" s="1927"/>
      <c r="HV12" s="1927"/>
      <c r="HW12" s="1928"/>
      <c r="HX12" s="1926" t="str">
        <f t="shared" ref="HX12" si="35">"sem.
"&amp;ID7/7</f>
        <v>sem.
33</v>
      </c>
      <c r="HY12" s="1927"/>
      <c r="HZ12" s="1927"/>
      <c r="IA12" s="1927"/>
      <c r="IB12" s="1927"/>
      <c r="IC12" s="1927"/>
      <c r="ID12" s="1928"/>
      <c r="IE12" s="1926" t="str">
        <f t="shared" ref="IE12" si="36">"sem.
"&amp;IK7/7</f>
        <v>sem.
34</v>
      </c>
      <c r="IF12" s="1927"/>
      <c r="IG12" s="1927"/>
      <c r="IH12" s="1927"/>
      <c r="II12" s="1927"/>
      <c r="IJ12" s="1927"/>
      <c r="IK12" s="1928"/>
    </row>
    <row r="13" spans="1:245" s="195" customFormat="1" ht="9" customHeight="1" x14ac:dyDescent="0.35">
      <c r="A13" s="195" t="str">
        <f>IF($B$13=0,0,"XXX")</f>
        <v>XXX</v>
      </c>
      <c r="B13" s="346" t="s">
        <v>35</v>
      </c>
      <c r="C13" s="1977" t="s">
        <v>1567</v>
      </c>
      <c r="D13" s="1988" t="s">
        <v>1568</v>
      </c>
      <c r="E13" s="1989"/>
      <c r="F13" s="1982" t="s">
        <v>1569</v>
      </c>
      <c r="G13" s="1983"/>
      <c r="H13" s="1929">
        <f ca="1">H9</f>
        <v>45914</v>
      </c>
      <c r="I13" s="1930"/>
      <c r="J13" s="1930"/>
      <c r="K13" s="1933" t="s">
        <v>896</v>
      </c>
      <c r="L13" s="1930">
        <f ca="1">LARGE(H9:N11,1)</f>
        <v>45920</v>
      </c>
      <c r="M13" s="1930"/>
      <c r="N13" s="1936"/>
      <c r="O13" s="1929">
        <f ca="1">O9</f>
        <v>45921</v>
      </c>
      <c r="P13" s="1930"/>
      <c r="Q13" s="1930"/>
      <c r="R13" s="1933" t="s">
        <v>896</v>
      </c>
      <c r="S13" s="1930">
        <f ca="1">LARGE(O9:U11,1)</f>
        <v>45927</v>
      </c>
      <c r="T13" s="1930"/>
      <c r="U13" s="1936"/>
      <c r="V13" s="1929">
        <f ca="1">V9</f>
        <v>45928</v>
      </c>
      <c r="W13" s="1930"/>
      <c r="X13" s="1930"/>
      <c r="Y13" s="1933" t="s">
        <v>896</v>
      </c>
      <c r="Z13" s="1930">
        <f ca="1">LARGE(V9:AB11,1)</f>
        <v>45934</v>
      </c>
      <c r="AA13" s="1930"/>
      <c r="AB13" s="1936"/>
      <c r="AC13" s="1929">
        <f ca="1">AC9</f>
        <v>45935</v>
      </c>
      <c r="AD13" s="1930"/>
      <c r="AE13" s="1930"/>
      <c r="AF13" s="1933" t="s">
        <v>896</v>
      </c>
      <c r="AG13" s="1930">
        <f ca="1">LARGE(AC9:AI11,1)</f>
        <v>45941</v>
      </c>
      <c r="AH13" s="1930"/>
      <c r="AI13" s="1936"/>
      <c r="AJ13" s="1929">
        <f ca="1">AJ9</f>
        <v>45942</v>
      </c>
      <c r="AK13" s="1930"/>
      <c r="AL13" s="1930"/>
      <c r="AM13" s="1933" t="s">
        <v>896</v>
      </c>
      <c r="AN13" s="1930">
        <f ca="1">LARGE(AJ9:AP11,1)</f>
        <v>45948</v>
      </c>
      <c r="AO13" s="1930"/>
      <c r="AP13" s="1936"/>
      <c r="AQ13" s="1929">
        <f ca="1">AQ9</f>
        <v>45949</v>
      </c>
      <c r="AR13" s="1930"/>
      <c r="AS13" s="1930"/>
      <c r="AT13" s="1933" t="s">
        <v>896</v>
      </c>
      <c r="AU13" s="1930">
        <f ca="1">LARGE(AQ9:AW11,1)</f>
        <v>45955</v>
      </c>
      <c r="AV13" s="1930"/>
      <c r="AW13" s="1936"/>
      <c r="AX13" s="1929">
        <f ca="1">AX9</f>
        <v>45956</v>
      </c>
      <c r="AY13" s="1930"/>
      <c r="AZ13" s="1930"/>
      <c r="BA13" s="1933" t="s">
        <v>896</v>
      </c>
      <c r="BB13" s="1930">
        <f ca="1">LARGE(AX9:BD11,1)</f>
        <v>45962</v>
      </c>
      <c r="BC13" s="1930"/>
      <c r="BD13" s="1936"/>
      <c r="BE13" s="1929">
        <f ca="1">BE9</f>
        <v>45963</v>
      </c>
      <c r="BF13" s="1930"/>
      <c r="BG13" s="1930"/>
      <c r="BH13" s="1933" t="s">
        <v>896</v>
      </c>
      <c r="BI13" s="1930">
        <f ca="1">LARGE(BE9:BK11,1)</f>
        <v>45969</v>
      </c>
      <c r="BJ13" s="1930"/>
      <c r="BK13" s="1936"/>
      <c r="BL13" s="1929">
        <f ca="1">BL9</f>
        <v>45970</v>
      </c>
      <c r="BM13" s="1930"/>
      <c r="BN13" s="1930"/>
      <c r="BO13" s="1933" t="s">
        <v>896</v>
      </c>
      <c r="BP13" s="1930">
        <f ca="1">LARGE(BL9:BR11,1)</f>
        <v>45976</v>
      </c>
      <c r="BQ13" s="1930"/>
      <c r="BR13" s="1936"/>
      <c r="BS13" s="1929">
        <f ca="1">BS9</f>
        <v>45977</v>
      </c>
      <c r="BT13" s="1930"/>
      <c r="BU13" s="1930"/>
      <c r="BV13" s="1933" t="s">
        <v>896</v>
      </c>
      <c r="BW13" s="1930">
        <f ca="1">LARGE(BS9:BY11,1)</f>
        <v>45983</v>
      </c>
      <c r="BX13" s="1930"/>
      <c r="BY13" s="1936"/>
      <c r="BZ13" s="1929">
        <f ca="1">BZ9</f>
        <v>45984</v>
      </c>
      <c r="CA13" s="1930"/>
      <c r="CB13" s="1930"/>
      <c r="CC13" s="1933" t="s">
        <v>896</v>
      </c>
      <c r="CD13" s="1930">
        <f ca="1">LARGE(BZ9:CF11,1)</f>
        <v>45990</v>
      </c>
      <c r="CE13" s="1930"/>
      <c r="CF13" s="1936"/>
      <c r="CG13" s="1929">
        <f ca="1">CG9</f>
        <v>45991</v>
      </c>
      <c r="CH13" s="1930"/>
      <c r="CI13" s="1930"/>
      <c r="CJ13" s="1933" t="s">
        <v>896</v>
      </c>
      <c r="CK13" s="1930">
        <f ca="1">LARGE(CG9:CM11,1)</f>
        <v>45997</v>
      </c>
      <c r="CL13" s="1930"/>
      <c r="CM13" s="1936"/>
      <c r="CN13" s="1929">
        <f ca="1">CN9</f>
        <v>45998</v>
      </c>
      <c r="CO13" s="1930"/>
      <c r="CP13" s="1930"/>
      <c r="CQ13" s="1933" t="s">
        <v>896</v>
      </c>
      <c r="CR13" s="1930">
        <f ca="1">LARGE(CN9:CT11,1)</f>
        <v>46004</v>
      </c>
      <c r="CS13" s="1930"/>
      <c r="CT13" s="1936"/>
      <c r="CU13" s="1929">
        <f ca="1">CU9</f>
        <v>46005</v>
      </c>
      <c r="CV13" s="1930"/>
      <c r="CW13" s="1930"/>
      <c r="CX13" s="1933" t="s">
        <v>896</v>
      </c>
      <c r="CY13" s="1930">
        <f ca="1">LARGE(CU9:DA11,1)</f>
        <v>46011</v>
      </c>
      <c r="CZ13" s="1930"/>
      <c r="DA13" s="1936"/>
      <c r="DB13" s="1929">
        <f ca="1">DB9</f>
        <v>46012</v>
      </c>
      <c r="DC13" s="1930"/>
      <c r="DD13" s="1930"/>
      <c r="DE13" s="1933" t="s">
        <v>896</v>
      </c>
      <c r="DF13" s="1930">
        <f ca="1">LARGE(DB9:DH11,1)</f>
        <v>46018</v>
      </c>
      <c r="DG13" s="1930"/>
      <c r="DH13" s="1936"/>
      <c r="DI13" s="1929">
        <f ca="1">DI9</f>
        <v>46019</v>
      </c>
      <c r="DJ13" s="1930"/>
      <c r="DK13" s="1930"/>
      <c r="DL13" s="1933" t="s">
        <v>896</v>
      </c>
      <c r="DM13" s="1930">
        <f ca="1">LARGE(DI9:DO11,1)</f>
        <v>46025</v>
      </c>
      <c r="DN13" s="1930"/>
      <c r="DO13" s="1936"/>
      <c r="DP13" s="1929">
        <f ca="1">DP9</f>
        <v>46026</v>
      </c>
      <c r="DQ13" s="1930"/>
      <c r="DR13" s="1930"/>
      <c r="DS13" s="1933" t="s">
        <v>896</v>
      </c>
      <c r="DT13" s="1930">
        <f ca="1">LARGE(DP9:DV11,1)</f>
        <v>46032</v>
      </c>
      <c r="DU13" s="1930"/>
      <c r="DV13" s="1936"/>
      <c r="DW13" s="1929">
        <f ca="1">DW9</f>
        <v>46033</v>
      </c>
      <c r="DX13" s="1930"/>
      <c r="DY13" s="1930"/>
      <c r="DZ13" s="1933" t="s">
        <v>896</v>
      </c>
      <c r="EA13" s="1930">
        <f ca="1">LARGE(DW9:EC11,1)</f>
        <v>46039</v>
      </c>
      <c r="EB13" s="1930"/>
      <c r="EC13" s="1936"/>
      <c r="ED13" s="1929">
        <f ca="1">ED9</f>
        <v>46040</v>
      </c>
      <c r="EE13" s="1930"/>
      <c r="EF13" s="1930"/>
      <c r="EG13" s="1933" t="s">
        <v>896</v>
      </c>
      <c r="EH13" s="1930">
        <f ca="1">LARGE(ED9:EJ11,1)</f>
        <v>46046</v>
      </c>
      <c r="EI13" s="1930"/>
      <c r="EJ13" s="1936"/>
      <c r="EK13" s="1929">
        <f ca="1">EK9</f>
        <v>46047</v>
      </c>
      <c r="EL13" s="1930"/>
      <c r="EM13" s="1930"/>
      <c r="EN13" s="1933" t="s">
        <v>896</v>
      </c>
      <c r="EO13" s="1930">
        <f ca="1">LARGE(EK9:EQ11,1)</f>
        <v>46053</v>
      </c>
      <c r="EP13" s="1930"/>
      <c r="EQ13" s="1936"/>
      <c r="ER13" s="1929">
        <f ca="1">ER9</f>
        <v>46054</v>
      </c>
      <c r="ES13" s="1930"/>
      <c r="ET13" s="1930"/>
      <c r="EU13" s="1933" t="s">
        <v>896</v>
      </c>
      <c r="EV13" s="1930">
        <f ca="1">LARGE(ER9:EX11,1)</f>
        <v>46060</v>
      </c>
      <c r="EW13" s="1930"/>
      <c r="EX13" s="1936"/>
      <c r="EY13" s="1929">
        <f ca="1">EY9</f>
        <v>46061</v>
      </c>
      <c r="EZ13" s="1930"/>
      <c r="FA13" s="1930"/>
      <c r="FB13" s="1933" t="s">
        <v>896</v>
      </c>
      <c r="FC13" s="1930">
        <f ca="1">LARGE(EY9:FE11,1)</f>
        <v>46067</v>
      </c>
      <c r="FD13" s="1930"/>
      <c r="FE13" s="1936"/>
      <c r="FF13" s="1929">
        <f ca="1">FF9</f>
        <v>46068</v>
      </c>
      <c r="FG13" s="1930"/>
      <c r="FH13" s="1930"/>
      <c r="FI13" s="1933" t="s">
        <v>896</v>
      </c>
      <c r="FJ13" s="1930">
        <f ca="1">LARGE(FF9:FL11,1)</f>
        <v>46074</v>
      </c>
      <c r="FK13" s="1930"/>
      <c r="FL13" s="1936"/>
      <c r="FM13" s="1929">
        <f ca="1">FM9</f>
        <v>46075</v>
      </c>
      <c r="FN13" s="1930"/>
      <c r="FO13" s="1930"/>
      <c r="FP13" s="1933" t="s">
        <v>896</v>
      </c>
      <c r="FQ13" s="1930">
        <f ca="1">LARGE(FM9:FS11,1)</f>
        <v>46081</v>
      </c>
      <c r="FR13" s="1930"/>
      <c r="FS13" s="1936"/>
      <c r="FT13" s="1929">
        <f ca="1">FT9</f>
        <v>46082</v>
      </c>
      <c r="FU13" s="1930"/>
      <c r="FV13" s="1930"/>
      <c r="FW13" s="1933" t="s">
        <v>896</v>
      </c>
      <c r="FX13" s="1930">
        <f ca="1">LARGE(FT9:FZ11,1)</f>
        <v>46088</v>
      </c>
      <c r="FY13" s="1930"/>
      <c r="FZ13" s="1936"/>
      <c r="GA13" s="1929">
        <f ca="1">GA9</f>
        <v>46089</v>
      </c>
      <c r="GB13" s="1930"/>
      <c r="GC13" s="1930"/>
      <c r="GD13" s="1933" t="s">
        <v>896</v>
      </c>
      <c r="GE13" s="1930">
        <f ca="1">LARGE(GA9:GG11,1)</f>
        <v>46095</v>
      </c>
      <c r="GF13" s="1930"/>
      <c r="GG13" s="1936"/>
      <c r="GH13" s="1929">
        <f ca="1">GH9</f>
        <v>46096</v>
      </c>
      <c r="GI13" s="1930"/>
      <c r="GJ13" s="1930"/>
      <c r="GK13" s="1933" t="s">
        <v>896</v>
      </c>
      <c r="GL13" s="1930">
        <f ca="1">LARGE(GH9:GN11,1)</f>
        <v>46102</v>
      </c>
      <c r="GM13" s="1930"/>
      <c r="GN13" s="1936"/>
      <c r="GO13" s="1929">
        <f ca="1">GO9</f>
        <v>46103</v>
      </c>
      <c r="GP13" s="1930"/>
      <c r="GQ13" s="1930"/>
      <c r="GR13" s="1933" t="s">
        <v>896</v>
      </c>
      <c r="GS13" s="1930">
        <f ca="1">LARGE(GO9:GU11,1)</f>
        <v>46109</v>
      </c>
      <c r="GT13" s="1930"/>
      <c r="GU13" s="1936"/>
      <c r="GV13" s="1929">
        <f ca="1">GV9</f>
        <v>46110</v>
      </c>
      <c r="GW13" s="1930"/>
      <c r="GX13" s="1930"/>
      <c r="GY13" s="1933" t="s">
        <v>896</v>
      </c>
      <c r="GZ13" s="1930">
        <f ca="1">LARGE(GV9:HB11,1)</f>
        <v>46116</v>
      </c>
      <c r="HA13" s="1930"/>
      <c r="HB13" s="1936"/>
      <c r="HC13" s="1929">
        <f ca="1">HC9</f>
        <v>46117</v>
      </c>
      <c r="HD13" s="1930"/>
      <c r="HE13" s="1930"/>
      <c r="HF13" s="1933" t="s">
        <v>896</v>
      </c>
      <c r="HG13" s="1930">
        <f ca="1">LARGE(HC9:HI11,1)</f>
        <v>46123</v>
      </c>
      <c r="HH13" s="1930"/>
      <c r="HI13" s="1936"/>
      <c r="HJ13" s="1929">
        <f ca="1">HJ9</f>
        <v>46124</v>
      </c>
      <c r="HK13" s="1930"/>
      <c r="HL13" s="1930"/>
      <c r="HM13" s="1933" t="s">
        <v>896</v>
      </c>
      <c r="HN13" s="1930">
        <f ca="1">LARGE(HJ9:HP11,1)</f>
        <v>46130</v>
      </c>
      <c r="HO13" s="1930"/>
      <c r="HP13" s="1936"/>
      <c r="HQ13" s="1929">
        <f ca="1">HQ9</f>
        <v>46131</v>
      </c>
      <c r="HR13" s="1930"/>
      <c r="HS13" s="1930"/>
      <c r="HT13" s="1933" t="s">
        <v>896</v>
      </c>
      <c r="HU13" s="1930">
        <f ca="1">LARGE(HQ9:HW11,1)</f>
        <v>46137</v>
      </c>
      <c r="HV13" s="1930"/>
      <c r="HW13" s="1936"/>
      <c r="HX13" s="1929">
        <f ca="1">HX9</f>
        <v>46138</v>
      </c>
      <c r="HY13" s="1930"/>
      <c r="HZ13" s="1930"/>
      <c r="IA13" s="1933" t="s">
        <v>896</v>
      </c>
      <c r="IB13" s="1930">
        <f ca="1">LARGE(HX9:ID11,1)</f>
        <v>46144</v>
      </c>
      <c r="IC13" s="1930"/>
      <c r="ID13" s="1936"/>
      <c r="IE13" s="1929">
        <f ca="1">IE9</f>
        <v>46145</v>
      </c>
      <c r="IF13" s="1930"/>
      <c r="IG13" s="1930"/>
      <c r="IH13" s="1933" t="s">
        <v>896</v>
      </c>
      <c r="II13" s="1930">
        <f ca="1">LARGE(IE9:IK11,1)</f>
        <v>46151</v>
      </c>
      <c r="IJ13" s="1930"/>
      <c r="IK13" s="1936"/>
    </row>
    <row r="14" spans="1:245" s="195" customFormat="1" ht="9" customHeight="1" x14ac:dyDescent="0.35">
      <c r="A14" s="195" t="str">
        <f>IF($B$13=0,0,"XXX")</f>
        <v>XXX</v>
      </c>
      <c r="B14" s="2004" t="s">
        <v>737</v>
      </c>
      <c r="C14" s="1978"/>
      <c r="D14" s="1990"/>
      <c r="E14" s="1991"/>
      <c r="F14" s="1984"/>
      <c r="G14" s="1985"/>
      <c r="H14" s="1929"/>
      <c r="I14" s="1930"/>
      <c r="J14" s="1930"/>
      <c r="K14" s="1934"/>
      <c r="L14" s="1930"/>
      <c r="M14" s="1930"/>
      <c r="N14" s="1936"/>
      <c r="O14" s="1929"/>
      <c r="P14" s="1930"/>
      <c r="Q14" s="1930"/>
      <c r="R14" s="1934"/>
      <c r="S14" s="1930"/>
      <c r="T14" s="1930"/>
      <c r="U14" s="1936"/>
      <c r="V14" s="1929"/>
      <c r="W14" s="1930"/>
      <c r="X14" s="1930"/>
      <c r="Y14" s="1934"/>
      <c r="Z14" s="1930"/>
      <c r="AA14" s="1930"/>
      <c r="AB14" s="1936"/>
      <c r="AC14" s="1929"/>
      <c r="AD14" s="1930"/>
      <c r="AE14" s="1930"/>
      <c r="AF14" s="1934"/>
      <c r="AG14" s="1930"/>
      <c r="AH14" s="1930"/>
      <c r="AI14" s="1936"/>
      <c r="AJ14" s="1929"/>
      <c r="AK14" s="1930"/>
      <c r="AL14" s="1930"/>
      <c r="AM14" s="1934"/>
      <c r="AN14" s="1930"/>
      <c r="AO14" s="1930"/>
      <c r="AP14" s="1936"/>
      <c r="AQ14" s="1929"/>
      <c r="AR14" s="1930"/>
      <c r="AS14" s="1930"/>
      <c r="AT14" s="1934"/>
      <c r="AU14" s="1930"/>
      <c r="AV14" s="1930"/>
      <c r="AW14" s="1936"/>
      <c r="AX14" s="1929"/>
      <c r="AY14" s="1930"/>
      <c r="AZ14" s="1930"/>
      <c r="BA14" s="1934"/>
      <c r="BB14" s="1930"/>
      <c r="BC14" s="1930"/>
      <c r="BD14" s="1936"/>
      <c r="BE14" s="1929"/>
      <c r="BF14" s="1930"/>
      <c r="BG14" s="1930"/>
      <c r="BH14" s="1934"/>
      <c r="BI14" s="1930"/>
      <c r="BJ14" s="1930"/>
      <c r="BK14" s="1936"/>
      <c r="BL14" s="1929"/>
      <c r="BM14" s="1930"/>
      <c r="BN14" s="1930"/>
      <c r="BO14" s="1934"/>
      <c r="BP14" s="1930"/>
      <c r="BQ14" s="1930"/>
      <c r="BR14" s="1936"/>
      <c r="BS14" s="1929"/>
      <c r="BT14" s="1930"/>
      <c r="BU14" s="1930"/>
      <c r="BV14" s="1934"/>
      <c r="BW14" s="1930"/>
      <c r="BX14" s="1930"/>
      <c r="BY14" s="1936"/>
      <c r="BZ14" s="1929"/>
      <c r="CA14" s="1930"/>
      <c r="CB14" s="1930"/>
      <c r="CC14" s="1934"/>
      <c r="CD14" s="1930"/>
      <c r="CE14" s="1930"/>
      <c r="CF14" s="1936"/>
      <c r="CG14" s="1929"/>
      <c r="CH14" s="1930"/>
      <c r="CI14" s="1930"/>
      <c r="CJ14" s="1934"/>
      <c r="CK14" s="1930"/>
      <c r="CL14" s="1930"/>
      <c r="CM14" s="1936"/>
      <c r="CN14" s="1929"/>
      <c r="CO14" s="1930"/>
      <c r="CP14" s="1930"/>
      <c r="CQ14" s="1934"/>
      <c r="CR14" s="1930"/>
      <c r="CS14" s="1930"/>
      <c r="CT14" s="1936"/>
      <c r="CU14" s="1929"/>
      <c r="CV14" s="1930"/>
      <c r="CW14" s="1930"/>
      <c r="CX14" s="1934"/>
      <c r="CY14" s="1930"/>
      <c r="CZ14" s="1930"/>
      <c r="DA14" s="1936"/>
      <c r="DB14" s="1929"/>
      <c r="DC14" s="1930"/>
      <c r="DD14" s="1930"/>
      <c r="DE14" s="1934"/>
      <c r="DF14" s="1930"/>
      <c r="DG14" s="1930"/>
      <c r="DH14" s="1936"/>
      <c r="DI14" s="1929"/>
      <c r="DJ14" s="1930"/>
      <c r="DK14" s="1930"/>
      <c r="DL14" s="1934"/>
      <c r="DM14" s="1930"/>
      <c r="DN14" s="1930"/>
      <c r="DO14" s="1936"/>
      <c r="DP14" s="1929"/>
      <c r="DQ14" s="1930"/>
      <c r="DR14" s="1930"/>
      <c r="DS14" s="1934"/>
      <c r="DT14" s="1930"/>
      <c r="DU14" s="1930"/>
      <c r="DV14" s="1936"/>
      <c r="DW14" s="1929"/>
      <c r="DX14" s="1930"/>
      <c r="DY14" s="1930"/>
      <c r="DZ14" s="1934"/>
      <c r="EA14" s="1930"/>
      <c r="EB14" s="1930"/>
      <c r="EC14" s="1936"/>
      <c r="ED14" s="1929"/>
      <c r="EE14" s="1930"/>
      <c r="EF14" s="1930"/>
      <c r="EG14" s="1934"/>
      <c r="EH14" s="1930"/>
      <c r="EI14" s="1930"/>
      <c r="EJ14" s="1936"/>
      <c r="EK14" s="1929"/>
      <c r="EL14" s="1930"/>
      <c r="EM14" s="1930"/>
      <c r="EN14" s="1934"/>
      <c r="EO14" s="1930"/>
      <c r="EP14" s="1930"/>
      <c r="EQ14" s="1936"/>
      <c r="ER14" s="1929"/>
      <c r="ES14" s="1930"/>
      <c r="ET14" s="1930"/>
      <c r="EU14" s="1934"/>
      <c r="EV14" s="1930"/>
      <c r="EW14" s="1930"/>
      <c r="EX14" s="1936"/>
      <c r="EY14" s="1929"/>
      <c r="EZ14" s="1930"/>
      <c r="FA14" s="1930"/>
      <c r="FB14" s="1934"/>
      <c r="FC14" s="1930"/>
      <c r="FD14" s="1930"/>
      <c r="FE14" s="1936"/>
      <c r="FF14" s="1929"/>
      <c r="FG14" s="1930"/>
      <c r="FH14" s="1930"/>
      <c r="FI14" s="1934"/>
      <c r="FJ14" s="1930"/>
      <c r="FK14" s="1930"/>
      <c r="FL14" s="1936"/>
      <c r="FM14" s="1929"/>
      <c r="FN14" s="1930"/>
      <c r="FO14" s="1930"/>
      <c r="FP14" s="1934"/>
      <c r="FQ14" s="1930"/>
      <c r="FR14" s="1930"/>
      <c r="FS14" s="1936"/>
      <c r="FT14" s="1929"/>
      <c r="FU14" s="1930"/>
      <c r="FV14" s="1930"/>
      <c r="FW14" s="1934"/>
      <c r="FX14" s="1930"/>
      <c r="FY14" s="1930"/>
      <c r="FZ14" s="1936"/>
      <c r="GA14" s="1929"/>
      <c r="GB14" s="1930"/>
      <c r="GC14" s="1930"/>
      <c r="GD14" s="1934"/>
      <c r="GE14" s="1930"/>
      <c r="GF14" s="1930"/>
      <c r="GG14" s="1936"/>
      <c r="GH14" s="1929"/>
      <c r="GI14" s="1930"/>
      <c r="GJ14" s="1930"/>
      <c r="GK14" s="1934"/>
      <c r="GL14" s="1930"/>
      <c r="GM14" s="1930"/>
      <c r="GN14" s="1936"/>
      <c r="GO14" s="1929"/>
      <c r="GP14" s="1930"/>
      <c r="GQ14" s="1930"/>
      <c r="GR14" s="1934"/>
      <c r="GS14" s="1930"/>
      <c r="GT14" s="1930"/>
      <c r="GU14" s="1936"/>
      <c r="GV14" s="1929"/>
      <c r="GW14" s="1930"/>
      <c r="GX14" s="1930"/>
      <c r="GY14" s="1934"/>
      <c r="GZ14" s="1930"/>
      <c r="HA14" s="1930"/>
      <c r="HB14" s="1936"/>
      <c r="HC14" s="1929"/>
      <c r="HD14" s="1930"/>
      <c r="HE14" s="1930"/>
      <c r="HF14" s="1934"/>
      <c r="HG14" s="1930"/>
      <c r="HH14" s="1930"/>
      <c r="HI14" s="1936"/>
      <c r="HJ14" s="1929"/>
      <c r="HK14" s="1930"/>
      <c r="HL14" s="1930"/>
      <c r="HM14" s="1934"/>
      <c r="HN14" s="1930"/>
      <c r="HO14" s="1930"/>
      <c r="HP14" s="1936"/>
      <c r="HQ14" s="1929"/>
      <c r="HR14" s="1930"/>
      <c r="HS14" s="1930"/>
      <c r="HT14" s="1934"/>
      <c r="HU14" s="1930"/>
      <c r="HV14" s="1930"/>
      <c r="HW14" s="1936"/>
      <c r="HX14" s="1929"/>
      <c r="HY14" s="1930"/>
      <c r="HZ14" s="1930"/>
      <c r="IA14" s="1934"/>
      <c r="IB14" s="1930"/>
      <c r="IC14" s="1930"/>
      <c r="ID14" s="1936"/>
      <c r="IE14" s="1929"/>
      <c r="IF14" s="1930"/>
      <c r="IG14" s="1930"/>
      <c r="IH14" s="1934"/>
      <c r="II14" s="1930"/>
      <c r="IJ14" s="1930"/>
      <c r="IK14" s="1936"/>
    </row>
    <row r="15" spans="1:245" s="195" customFormat="1" ht="9" customHeight="1" x14ac:dyDescent="0.35">
      <c r="A15" s="195" t="str">
        <f>IF($B$13=0,0,"XXX")</f>
        <v>XXX</v>
      </c>
      <c r="B15" s="2004"/>
      <c r="C15" s="1978"/>
      <c r="D15" s="1990"/>
      <c r="E15" s="1991"/>
      <c r="F15" s="1984"/>
      <c r="G15" s="1985"/>
      <c r="H15" s="1929"/>
      <c r="I15" s="1930"/>
      <c r="J15" s="1930"/>
      <c r="K15" s="1934"/>
      <c r="L15" s="1930"/>
      <c r="M15" s="1930"/>
      <c r="N15" s="1936"/>
      <c r="O15" s="1929"/>
      <c r="P15" s="1930"/>
      <c r="Q15" s="1930"/>
      <c r="R15" s="1934"/>
      <c r="S15" s="1930"/>
      <c r="T15" s="1930"/>
      <c r="U15" s="1936"/>
      <c r="V15" s="1929"/>
      <c r="W15" s="1930"/>
      <c r="X15" s="1930"/>
      <c r="Y15" s="1934"/>
      <c r="Z15" s="1930"/>
      <c r="AA15" s="1930"/>
      <c r="AB15" s="1936"/>
      <c r="AC15" s="1929"/>
      <c r="AD15" s="1930"/>
      <c r="AE15" s="1930"/>
      <c r="AF15" s="1934"/>
      <c r="AG15" s="1930"/>
      <c r="AH15" s="1930"/>
      <c r="AI15" s="1936"/>
      <c r="AJ15" s="1929"/>
      <c r="AK15" s="1930"/>
      <c r="AL15" s="1930"/>
      <c r="AM15" s="1934"/>
      <c r="AN15" s="1930"/>
      <c r="AO15" s="1930"/>
      <c r="AP15" s="1936"/>
      <c r="AQ15" s="1929"/>
      <c r="AR15" s="1930"/>
      <c r="AS15" s="1930"/>
      <c r="AT15" s="1934"/>
      <c r="AU15" s="1930"/>
      <c r="AV15" s="1930"/>
      <c r="AW15" s="1936"/>
      <c r="AX15" s="1929"/>
      <c r="AY15" s="1930"/>
      <c r="AZ15" s="1930"/>
      <c r="BA15" s="1934"/>
      <c r="BB15" s="1930"/>
      <c r="BC15" s="1930"/>
      <c r="BD15" s="1936"/>
      <c r="BE15" s="1929"/>
      <c r="BF15" s="1930"/>
      <c r="BG15" s="1930"/>
      <c r="BH15" s="1934"/>
      <c r="BI15" s="1930"/>
      <c r="BJ15" s="1930"/>
      <c r="BK15" s="1936"/>
      <c r="BL15" s="1929"/>
      <c r="BM15" s="1930"/>
      <c r="BN15" s="1930"/>
      <c r="BO15" s="1934"/>
      <c r="BP15" s="1930"/>
      <c r="BQ15" s="1930"/>
      <c r="BR15" s="1936"/>
      <c r="BS15" s="1929"/>
      <c r="BT15" s="1930"/>
      <c r="BU15" s="1930"/>
      <c r="BV15" s="1934"/>
      <c r="BW15" s="1930"/>
      <c r="BX15" s="1930"/>
      <c r="BY15" s="1936"/>
      <c r="BZ15" s="1929"/>
      <c r="CA15" s="1930"/>
      <c r="CB15" s="1930"/>
      <c r="CC15" s="1934"/>
      <c r="CD15" s="1930"/>
      <c r="CE15" s="1930"/>
      <c r="CF15" s="1936"/>
      <c r="CG15" s="1929"/>
      <c r="CH15" s="1930"/>
      <c r="CI15" s="1930"/>
      <c r="CJ15" s="1934"/>
      <c r="CK15" s="1930"/>
      <c r="CL15" s="1930"/>
      <c r="CM15" s="1936"/>
      <c r="CN15" s="1929"/>
      <c r="CO15" s="1930"/>
      <c r="CP15" s="1930"/>
      <c r="CQ15" s="1934"/>
      <c r="CR15" s="1930"/>
      <c r="CS15" s="1930"/>
      <c r="CT15" s="1936"/>
      <c r="CU15" s="1929"/>
      <c r="CV15" s="1930"/>
      <c r="CW15" s="1930"/>
      <c r="CX15" s="1934"/>
      <c r="CY15" s="1930"/>
      <c r="CZ15" s="1930"/>
      <c r="DA15" s="1936"/>
      <c r="DB15" s="1929"/>
      <c r="DC15" s="1930"/>
      <c r="DD15" s="1930"/>
      <c r="DE15" s="1934"/>
      <c r="DF15" s="1930"/>
      <c r="DG15" s="1930"/>
      <c r="DH15" s="1936"/>
      <c r="DI15" s="1929"/>
      <c r="DJ15" s="1930"/>
      <c r="DK15" s="1930"/>
      <c r="DL15" s="1934"/>
      <c r="DM15" s="1930"/>
      <c r="DN15" s="1930"/>
      <c r="DO15" s="1936"/>
      <c r="DP15" s="1929"/>
      <c r="DQ15" s="1930"/>
      <c r="DR15" s="1930"/>
      <c r="DS15" s="1934"/>
      <c r="DT15" s="1930"/>
      <c r="DU15" s="1930"/>
      <c r="DV15" s="1936"/>
      <c r="DW15" s="1929"/>
      <c r="DX15" s="1930"/>
      <c r="DY15" s="1930"/>
      <c r="DZ15" s="1934"/>
      <c r="EA15" s="1930"/>
      <c r="EB15" s="1930"/>
      <c r="EC15" s="1936"/>
      <c r="ED15" s="1929"/>
      <c r="EE15" s="1930"/>
      <c r="EF15" s="1930"/>
      <c r="EG15" s="1934"/>
      <c r="EH15" s="1930"/>
      <c r="EI15" s="1930"/>
      <c r="EJ15" s="1936"/>
      <c r="EK15" s="1929"/>
      <c r="EL15" s="1930"/>
      <c r="EM15" s="1930"/>
      <c r="EN15" s="1934"/>
      <c r="EO15" s="1930"/>
      <c r="EP15" s="1930"/>
      <c r="EQ15" s="1936"/>
      <c r="ER15" s="1929"/>
      <c r="ES15" s="1930"/>
      <c r="ET15" s="1930"/>
      <c r="EU15" s="1934"/>
      <c r="EV15" s="1930"/>
      <c r="EW15" s="1930"/>
      <c r="EX15" s="1936"/>
      <c r="EY15" s="1929"/>
      <c r="EZ15" s="1930"/>
      <c r="FA15" s="1930"/>
      <c r="FB15" s="1934"/>
      <c r="FC15" s="1930"/>
      <c r="FD15" s="1930"/>
      <c r="FE15" s="1936"/>
      <c r="FF15" s="1929"/>
      <c r="FG15" s="1930"/>
      <c r="FH15" s="1930"/>
      <c r="FI15" s="1934"/>
      <c r="FJ15" s="1930"/>
      <c r="FK15" s="1930"/>
      <c r="FL15" s="1936"/>
      <c r="FM15" s="1929"/>
      <c r="FN15" s="1930"/>
      <c r="FO15" s="1930"/>
      <c r="FP15" s="1934"/>
      <c r="FQ15" s="1930"/>
      <c r="FR15" s="1930"/>
      <c r="FS15" s="1936"/>
      <c r="FT15" s="1929"/>
      <c r="FU15" s="1930"/>
      <c r="FV15" s="1930"/>
      <c r="FW15" s="1934"/>
      <c r="FX15" s="1930"/>
      <c r="FY15" s="1930"/>
      <c r="FZ15" s="1936"/>
      <c r="GA15" s="1929"/>
      <c r="GB15" s="1930"/>
      <c r="GC15" s="1930"/>
      <c r="GD15" s="1934"/>
      <c r="GE15" s="1930"/>
      <c r="GF15" s="1930"/>
      <c r="GG15" s="1936"/>
      <c r="GH15" s="1929"/>
      <c r="GI15" s="1930"/>
      <c r="GJ15" s="1930"/>
      <c r="GK15" s="1934"/>
      <c r="GL15" s="1930"/>
      <c r="GM15" s="1930"/>
      <c r="GN15" s="1936"/>
      <c r="GO15" s="1929"/>
      <c r="GP15" s="1930"/>
      <c r="GQ15" s="1930"/>
      <c r="GR15" s="1934"/>
      <c r="GS15" s="1930"/>
      <c r="GT15" s="1930"/>
      <c r="GU15" s="1936"/>
      <c r="GV15" s="1929"/>
      <c r="GW15" s="1930"/>
      <c r="GX15" s="1930"/>
      <c r="GY15" s="1934"/>
      <c r="GZ15" s="1930"/>
      <c r="HA15" s="1930"/>
      <c r="HB15" s="1936"/>
      <c r="HC15" s="1929"/>
      <c r="HD15" s="1930"/>
      <c r="HE15" s="1930"/>
      <c r="HF15" s="1934"/>
      <c r="HG15" s="1930"/>
      <c r="HH15" s="1930"/>
      <c r="HI15" s="1936"/>
      <c r="HJ15" s="1929"/>
      <c r="HK15" s="1930"/>
      <c r="HL15" s="1930"/>
      <c r="HM15" s="1934"/>
      <c r="HN15" s="1930"/>
      <c r="HO15" s="1930"/>
      <c r="HP15" s="1936"/>
      <c r="HQ15" s="1929"/>
      <c r="HR15" s="1930"/>
      <c r="HS15" s="1930"/>
      <c r="HT15" s="1934"/>
      <c r="HU15" s="1930"/>
      <c r="HV15" s="1930"/>
      <c r="HW15" s="1936"/>
      <c r="HX15" s="1929"/>
      <c r="HY15" s="1930"/>
      <c r="HZ15" s="1930"/>
      <c r="IA15" s="1934"/>
      <c r="IB15" s="1930"/>
      <c r="IC15" s="1930"/>
      <c r="ID15" s="1936"/>
      <c r="IE15" s="1929"/>
      <c r="IF15" s="1930"/>
      <c r="IG15" s="1930"/>
      <c r="IH15" s="1934"/>
      <c r="II15" s="1930"/>
      <c r="IJ15" s="1930"/>
      <c r="IK15" s="1936"/>
    </row>
    <row r="16" spans="1:245" s="195" customFormat="1" ht="9" customHeight="1" x14ac:dyDescent="0.35">
      <c r="A16" s="195" t="str">
        <f>IF($B$13=0,0,"XXX")</f>
        <v>XXX</v>
      </c>
      <c r="B16" s="2004"/>
      <c r="C16" s="1979"/>
      <c r="D16" s="1992"/>
      <c r="E16" s="1993"/>
      <c r="F16" s="1986"/>
      <c r="G16" s="1987"/>
      <c r="H16" s="1931"/>
      <c r="I16" s="1932"/>
      <c r="J16" s="1932"/>
      <c r="K16" s="1935"/>
      <c r="L16" s="1932"/>
      <c r="M16" s="1932"/>
      <c r="N16" s="1937"/>
      <c r="O16" s="1931"/>
      <c r="P16" s="1932"/>
      <c r="Q16" s="1932"/>
      <c r="R16" s="1935"/>
      <c r="S16" s="1932"/>
      <c r="T16" s="1932"/>
      <c r="U16" s="1937"/>
      <c r="V16" s="1931"/>
      <c r="W16" s="1932"/>
      <c r="X16" s="1932"/>
      <c r="Y16" s="1935"/>
      <c r="Z16" s="1932"/>
      <c r="AA16" s="1932"/>
      <c r="AB16" s="1937"/>
      <c r="AC16" s="1931"/>
      <c r="AD16" s="1932"/>
      <c r="AE16" s="1932"/>
      <c r="AF16" s="1935"/>
      <c r="AG16" s="1932"/>
      <c r="AH16" s="1932"/>
      <c r="AI16" s="1937"/>
      <c r="AJ16" s="1931"/>
      <c r="AK16" s="1932"/>
      <c r="AL16" s="1932"/>
      <c r="AM16" s="1935"/>
      <c r="AN16" s="1932"/>
      <c r="AO16" s="1932"/>
      <c r="AP16" s="1937"/>
      <c r="AQ16" s="1931"/>
      <c r="AR16" s="1932"/>
      <c r="AS16" s="1932"/>
      <c r="AT16" s="1935"/>
      <c r="AU16" s="1932"/>
      <c r="AV16" s="1932"/>
      <c r="AW16" s="1937"/>
      <c r="AX16" s="1931"/>
      <c r="AY16" s="1932"/>
      <c r="AZ16" s="1932"/>
      <c r="BA16" s="1935"/>
      <c r="BB16" s="1932"/>
      <c r="BC16" s="1932"/>
      <c r="BD16" s="1937"/>
      <c r="BE16" s="1931"/>
      <c r="BF16" s="1932"/>
      <c r="BG16" s="1932"/>
      <c r="BH16" s="1935"/>
      <c r="BI16" s="1932"/>
      <c r="BJ16" s="1932"/>
      <c r="BK16" s="1937"/>
      <c r="BL16" s="1931"/>
      <c r="BM16" s="1932"/>
      <c r="BN16" s="1932"/>
      <c r="BO16" s="1935"/>
      <c r="BP16" s="1932"/>
      <c r="BQ16" s="1932"/>
      <c r="BR16" s="1937"/>
      <c r="BS16" s="1931"/>
      <c r="BT16" s="1932"/>
      <c r="BU16" s="1932"/>
      <c r="BV16" s="1935"/>
      <c r="BW16" s="1932"/>
      <c r="BX16" s="1932"/>
      <c r="BY16" s="1937"/>
      <c r="BZ16" s="1931"/>
      <c r="CA16" s="1932"/>
      <c r="CB16" s="1932"/>
      <c r="CC16" s="1935"/>
      <c r="CD16" s="1932"/>
      <c r="CE16" s="1932"/>
      <c r="CF16" s="1937"/>
      <c r="CG16" s="1931"/>
      <c r="CH16" s="1932"/>
      <c r="CI16" s="1932"/>
      <c r="CJ16" s="1935"/>
      <c r="CK16" s="1932"/>
      <c r="CL16" s="1932"/>
      <c r="CM16" s="1937"/>
      <c r="CN16" s="1931"/>
      <c r="CO16" s="1932"/>
      <c r="CP16" s="1932"/>
      <c r="CQ16" s="1935"/>
      <c r="CR16" s="1932"/>
      <c r="CS16" s="1932"/>
      <c r="CT16" s="1937"/>
      <c r="CU16" s="1931"/>
      <c r="CV16" s="1932"/>
      <c r="CW16" s="1932"/>
      <c r="CX16" s="1935"/>
      <c r="CY16" s="1932"/>
      <c r="CZ16" s="1932"/>
      <c r="DA16" s="1937"/>
      <c r="DB16" s="1931"/>
      <c r="DC16" s="1932"/>
      <c r="DD16" s="1932"/>
      <c r="DE16" s="1935"/>
      <c r="DF16" s="1932"/>
      <c r="DG16" s="1932"/>
      <c r="DH16" s="1937"/>
      <c r="DI16" s="1931"/>
      <c r="DJ16" s="1932"/>
      <c r="DK16" s="1932"/>
      <c r="DL16" s="1935"/>
      <c r="DM16" s="1932"/>
      <c r="DN16" s="1932"/>
      <c r="DO16" s="1937"/>
      <c r="DP16" s="1931"/>
      <c r="DQ16" s="1932"/>
      <c r="DR16" s="1932"/>
      <c r="DS16" s="1935"/>
      <c r="DT16" s="1932"/>
      <c r="DU16" s="1932"/>
      <c r="DV16" s="1937"/>
      <c r="DW16" s="1931"/>
      <c r="DX16" s="1932"/>
      <c r="DY16" s="1932"/>
      <c r="DZ16" s="1935"/>
      <c r="EA16" s="1932"/>
      <c r="EB16" s="1932"/>
      <c r="EC16" s="1937"/>
      <c r="ED16" s="1931"/>
      <c r="EE16" s="1932"/>
      <c r="EF16" s="1932"/>
      <c r="EG16" s="1935"/>
      <c r="EH16" s="1932"/>
      <c r="EI16" s="1932"/>
      <c r="EJ16" s="1937"/>
      <c r="EK16" s="1931"/>
      <c r="EL16" s="1932"/>
      <c r="EM16" s="1932"/>
      <c r="EN16" s="1935"/>
      <c r="EO16" s="1932"/>
      <c r="EP16" s="1932"/>
      <c r="EQ16" s="1937"/>
      <c r="ER16" s="1931"/>
      <c r="ES16" s="1932"/>
      <c r="ET16" s="1932"/>
      <c r="EU16" s="1935"/>
      <c r="EV16" s="1932"/>
      <c r="EW16" s="1932"/>
      <c r="EX16" s="1937"/>
      <c r="EY16" s="1931"/>
      <c r="EZ16" s="1932"/>
      <c r="FA16" s="1932"/>
      <c r="FB16" s="1935"/>
      <c r="FC16" s="1932"/>
      <c r="FD16" s="1932"/>
      <c r="FE16" s="1937"/>
      <c r="FF16" s="1931"/>
      <c r="FG16" s="1932"/>
      <c r="FH16" s="1932"/>
      <c r="FI16" s="1935"/>
      <c r="FJ16" s="1932"/>
      <c r="FK16" s="1932"/>
      <c r="FL16" s="1937"/>
      <c r="FM16" s="1931"/>
      <c r="FN16" s="1932"/>
      <c r="FO16" s="1932"/>
      <c r="FP16" s="1935"/>
      <c r="FQ16" s="1932"/>
      <c r="FR16" s="1932"/>
      <c r="FS16" s="1937"/>
      <c r="FT16" s="1931"/>
      <c r="FU16" s="1932"/>
      <c r="FV16" s="1932"/>
      <c r="FW16" s="1935"/>
      <c r="FX16" s="1932"/>
      <c r="FY16" s="1932"/>
      <c r="FZ16" s="1937"/>
      <c r="GA16" s="1931"/>
      <c r="GB16" s="1932"/>
      <c r="GC16" s="1932"/>
      <c r="GD16" s="1935"/>
      <c r="GE16" s="1932"/>
      <c r="GF16" s="1932"/>
      <c r="GG16" s="1937"/>
      <c r="GH16" s="1931"/>
      <c r="GI16" s="1932"/>
      <c r="GJ16" s="1932"/>
      <c r="GK16" s="1935"/>
      <c r="GL16" s="1932"/>
      <c r="GM16" s="1932"/>
      <c r="GN16" s="1937"/>
      <c r="GO16" s="1931"/>
      <c r="GP16" s="1932"/>
      <c r="GQ16" s="1932"/>
      <c r="GR16" s="1935"/>
      <c r="GS16" s="1932"/>
      <c r="GT16" s="1932"/>
      <c r="GU16" s="1937"/>
      <c r="GV16" s="1931"/>
      <c r="GW16" s="1932"/>
      <c r="GX16" s="1932"/>
      <c r="GY16" s="1935"/>
      <c r="GZ16" s="1932"/>
      <c r="HA16" s="1932"/>
      <c r="HB16" s="1937"/>
      <c r="HC16" s="1931"/>
      <c r="HD16" s="1932"/>
      <c r="HE16" s="1932"/>
      <c r="HF16" s="1935"/>
      <c r="HG16" s="1932"/>
      <c r="HH16" s="1932"/>
      <c r="HI16" s="1937"/>
      <c r="HJ16" s="1931"/>
      <c r="HK16" s="1932"/>
      <c r="HL16" s="1932"/>
      <c r="HM16" s="1935"/>
      <c r="HN16" s="1932"/>
      <c r="HO16" s="1932"/>
      <c r="HP16" s="1937"/>
      <c r="HQ16" s="1931"/>
      <c r="HR16" s="1932"/>
      <c r="HS16" s="1932"/>
      <c r="HT16" s="1935"/>
      <c r="HU16" s="1932"/>
      <c r="HV16" s="1932"/>
      <c r="HW16" s="1937"/>
      <c r="HX16" s="1931"/>
      <c r="HY16" s="1932"/>
      <c r="HZ16" s="1932"/>
      <c r="IA16" s="1935"/>
      <c r="IB16" s="1932"/>
      <c r="IC16" s="1932"/>
      <c r="ID16" s="1937"/>
      <c r="IE16" s="1931"/>
      <c r="IF16" s="1932"/>
      <c r="IG16" s="1932"/>
      <c r="IH16" s="1935"/>
      <c r="II16" s="1932"/>
      <c r="IJ16" s="1932"/>
      <c r="IK16" s="1937"/>
    </row>
    <row r="17" spans="1:245" s="195" customFormat="1" ht="9" customHeight="1" x14ac:dyDescent="0.35">
      <c r="A17" s="195" t="str">
        <f>IF($B$17=0,0,"XXX")</f>
        <v>XXX</v>
      </c>
      <c r="B17" s="1967">
        <f>IF(ENTRADAS!$F$22=0,0,1)</f>
        <v>1</v>
      </c>
      <c r="C17" s="1969" t="str">
        <f>IF(ENTRADAS!$F$22=0,0,IF(ENTRADAS!$F$22=1,"PRAZO do TANQUE 01 ",IF(ENTRADAS!$F$22&gt;=2,"PRAZO dos TANQUES de 1 a "&amp;ENTRADAS!$F$22)))</f>
        <v>PRAZO dos TANQUES de 1 a 4</v>
      </c>
      <c r="D17" s="358" t="str">
        <f>IF(ENTRADAS!$F$22=0,0,"início:")</f>
        <v>início:</v>
      </c>
      <c r="E17" s="359">
        <f ca="1">IF(ENTRADAS!$F$22=0,0,$J$2)</f>
        <v>45914</v>
      </c>
      <c r="F17" s="1971">
        <f ca="1">RELATÓRIO!W215</f>
        <v>139.73750000000291</v>
      </c>
      <c r="G17" s="1973" t="str">
        <f>IF(ENTRADAS!$F$22=0,0,"dias")</f>
        <v>dias</v>
      </c>
      <c r="H17" s="1924" t="str">
        <f t="shared" ref="H17:AC17" ca="1" si="37">IF(OR(H7&lt;$F$17,H21=1000,H105=1000,H189=1000,H273=1000,H20="x",H6=1000),"X",0)</f>
        <v>X</v>
      </c>
      <c r="I17" s="1920" t="str">
        <f t="shared" ca="1" si="37"/>
        <v>X</v>
      </c>
      <c r="J17" s="1920" t="str">
        <f t="shared" ca="1" si="37"/>
        <v>X</v>
      </c>
      <c r="K17" s="1920" t="str">
        <f t="shared" ca="1" si="37"/>
        <v>X</v>
      </c>
      <c r="L17" s="1920" t="str">
        <f t="shared" ca="1" si="37"/>
        <v>X</v>
      </c>
      <c r="M17" s="1920" t="str">
        <f t="shared" ca="1" si="37"/>
        <v>X</v>
      </c>
      <c r="N17" s="1922" t="str">
        <f t="shared" ca="1" si="37"/>
        <v>X</v>
      </c>
      <c r="O17" s="1924" t="str">
        <f t="shared" ca="1" si="37"/>
        <v>X</v>
      </c>
      <c r="P17" s="1920" t="str">
        <f t="shared" ca="1" si="37"/>
        <v>X</v>
      </c>
      <c r="Q17" s="1920" t="str">
        <f t="shared" ca="1" si="37"/>
        <v>X</v>
      </c>
      <c r="R17" s="1920" t="str">
        <f t="shared" ca="1" si="37"/>
        <v>X</v>
      </c>
      <c r="S17" s="1920" t="str">
        <f t="shared" ca="1" si="37"/>
        <v>X</v>
      </c>
      <c r="T17" s="1920" t="str">
        <f t="shared" ca="1" si="37"/>
        <v>X</v>
      </c>
      <c r="U17" s="1922" t="str">
        <f t="shared" ca="1" si="37"/>
        <v>X</v>
      </c>
      <c r="V17" s="1924" t="str">
        <f t="shared" ca="1" si="37"/>
        <v>X</v>
      </c>
      <c r="W17" s="1920" t="str">
        <f t="shared" ca="1" si="37"/>
        <v>X</v>
      </c>
      <c r="X17" s="1920" t="str">
        <f t="shared" ca="1" si="37"/>
        <v>X</v>
      </c>
      <c r="Y17" s="1920" t="str">
        <f t="shared" ca="1" si="37"/>
        <v>X</v>
      </c>
      <c r="Z17" s="1920" t="str">
        <f t="shared" ca="1" si="37"/>
        <v>X</v>
      </c>
      <c r="AA17" s="1920" t="str">
        <f t="shared" ca="1" si="37"/>
        <v>X</v>
      </c>
      <c r="AB17" s="1922" t="str">
        <f t="shared" ca="1" si="37"/>
        <v>X</v>
      </c>
      <c r="AC17" s="1924" t="str">
        <f t="shared" ca="1" si="37"/>
        <v>X</v>
      </c>
      <c r="AD17" s="1920" t="str">
        <f t="shared" ref="AD17:CO17" ca="1" si="38">IF(OR(AD7&lt;$F$17,AD21=1000,AD105=1000,AD189=1000,AD273=1000,AD20="x",AD6=1000),"X",0)</f>
        <v>X</v>
      </c>
      <c r="AE17" s="1920" t="str">
        <f t="shared" ca="1" si="38"/>
        <v>X</v>
      </c>
      <c r="AF17" s="1920" t="str">
        <f t="shared" ca="1" si="38"/>
        <v>X</v>
      </c>
      <c r="AG17" s="1920" t="str">
        <f t="shared" ca="1" si="38"/>
        <v>X</v>
      </c>
      <c r="AH17" s="1920" t="str">
        <f t="shared" ca="1" si="38"/>
        <v>X</v>
      </c>
      <c r="AI17" s="1922" t="str">
        <f t="shared" ca="1" si="38"/>
        <v>X</v>
      </c>
      <c r="AJ17" s="1924" t="str">
        <f t="shared" ca="1" si="38"/>
        <v>X</v>
      </c>
      <c r="AK17" s="1920" t="str">
        <f t="shared" ca="1" si="38"/>
        <v>X</v>
      </c>
      <c r="AL17" s="1920" t="str">
        <f t="shared" ca="1" si="38"/>
        <v>X</v>
      </c>
      <c r="AM17" s="1920" t="str">
        <f t="shared" ca="1" si="38"/>
        <v>X</v>
      </c>
      <c r="AN17" s="1920" t="str">
        <f t="shared" ca="1" si="38"/>
        <v>X</v>
      </c>
      <c r="AO17" s="1920" t="str">
        <f t="shared" ca="1" si="38"/>
        <v>X</v>
      </c>
      <c r="AP17" s="1922" t="str">
        <f t="shared" ca="1" si="38"/>
        <v>X</v>
      </c>
      <c r="AQ17" s="1924" t="str">
        <f t="shared" ca="1" si="38"/>
        <v>X</v>
      </c>
      <c r="AR17" s="1920" t="str">
        <f t="shared" ca="1" si="38"/>
        <v>X</v>
      </c>
      <c r="AS17" s="1920" t="str">
        <f t="shared" ca="1" si="38"/>
        <v>X</v>
      </c>
      <c r="AT17" s="1920" t="str">
        <f t="shared" ca="1" si="38"/>
        <v>X</v>
      </c>
      <c r="AU17" s="1920" t="str">
        <f t="shared" ca="1" si="38"/>
        <v>X</v>
      </c>
      <c r="AV17" s="1920" t="str">
        <f t="shared" ca="1" si="38"/>
        <v>X</v>
      </c>
      <c r="AW17" s="1922" t="str">
        <f t="shared" ca="1" si="38"/>
        <v>X</v>
      </c>
      <c r="AX17" s="1924" t="str">
        <f t="shared" ca="1" si="38"/>
        <v>X</v>
      </c>
      <c r="AY17" s="1920" t="str">
        <f t="shared" ca="1" si="38"/>
        <v>X</v>
      </c>
      <c r="AZ17" s="1920" t="str">
        <f t="shared" ca="1" si="38"/>
        <v>X</v>
      </c>
      <c r="BA17" s="1920" t="str">
        <f t="shared" ca="1" si="38"/>
        <v>X</v>
      </c>
      <c r="BB17" s="1920" t="str">
        <f t="shared" ca="1" si="38"/>
        <v>X</v>
      </c>
      <c r="BC17" s="1920" t="str">
        <f t="shared" ca="1" si="38"/>
        <v>X</v>
      </c>
      <c r="BD17" s="1922" t="str">
        <f t="shared" ca="1" si="38"/>
        <v>X</v>
      </c>
      <c r="BE17" s="1924" t="str">
        <f t="shared" ca="1" si="38"/>
        <v>X</v>
      </c>
      <c r="BF17" s="1920" t="str">
        <f t="shared" ca="1" si="38"/>
        <v>X</v>
      </c>
      <c r="BG17" s="1920" t="str">
        <f t="shared" ca="1" si="38"/>
        <v>X</v>
      </c>
      <c r="BH17" s="1920" t="str">
        <f t="shared" ca="1" si="38"/>
        <v>X</v>
      </c>
      <c r="BI17" s="1920" t="str">
        <f t="shared" ca="1" si="38"/>
        <v>X</v>
      </c>
      <c r="BJ17" s="1920" t="str">
        <f t="shared" ca="1" si="38"/>
        <v>X</v>
      </c>
      <c r="BK17" s="1922" t="str">
        <f t="shared" ca="1" si="38"/>
        <v>X</v>
      </c>
      <c r="BL17" s="1924" t="str">
        <f t="shared" ca="1" si="38"/>
        <v>X</v>
      </c>
      <c r="BM17" s="1920" t="str">
        <f t="shared" ca="1" si="38"/>
        <v>X</v>
      </c>
      <c r="BN17" s="1920" t="str">
        <f t="shared" ca="1" si="38"/>
        <v>X</v>
      </c>
      <c r="BO17" s="1920" t="str">
        <f t="shared" ca="1" si="38"/>
        <v>X</v>
      </c>
      <c r="BP17" s="1920" t="str">
        <f t="shared" ca="1" si="38"/>
        <v>X</v>
      </c>
      <c r="BQ17" s="1920" t="str">
        <f t="shared" ca="1" si="38"/>
        <v>X</v>
      </c>
      <c r="BR17" s="1922" t="str">
        <f t="shared" ca="1" si="38"/>
        <v>X</v>
      </c>
      <c r="BS17" s="1924" t="str">
        <f t="shared" ca="1" si="38"/>
        <v>X</v>
      </c>
      <c r="BT17" s="1920" t="str">
        <f t="shared" ca="1" si="38"/>
        <v>X</v>
      </c>
      <c r="BU17" s="1920" t="str">
        <f t="shared" ca="1" si="38"/>
        <v>X</v>
      </c>
      <c r="BV17" s="1920" t="str">
        <f t="shared" ca="1" si="38"/>
        <v>X</v>
      </c>
      <c r="BW17" s="1920" t="str">
        <f t="shared" ca="1" si="38"/>
        <v>X</v>
      </c>
      <c r="BX17" s="1920" t="str">
        <f t="shared" ca="1" si="38"/>
        <v>X</v>
      </c>
      <c r="BY17" s="1922" t="str">
        <f t="shared" ca="1" si="38"/>
        <v>X</v>
      </c>
      <c r="BZ17" s="1924" t="str">
        <f t="shared" ca="1" si="38"/>
        <v>X</v>
      </c>
      <c r="CA17" s="1920" t="str">
        <f t="shared" ca="1" si="38"/>
        <v>X</v>
      </c>
      <c r="CB17" s="1920" t="str">
        <f t="shared" ca="1" si="38"/>
        <v>X</v>
      </c>
      <c r="CC17" s="1920" t="str">
        <f t="shared" ca="1" si="38"/>
        <v>X</v>
      </c>
      <c r="CD17" s="1920" t="str">
        <f t="shared" ca="1" si="38"/>
        <v>X</v>
      </c>
      <c r="CE17" s="1920" t="str">
        <f t="shared" ca="1" si="38"/>
        <v>X</v>
      </c>
      <c r="CF17" s="1922" t="str">
        <f t="shared" ca="1" si="38"/>
        <v>X</v>
      </c>
      <c r="CG17" s="1924" t="str">
        <f t="shared" ca="1" si="38"/>
        <v>X</v>
      </c>
      <c r="CH17" s="1920" t="str">
        <f t="shared" ca="1" si="38"/>
        <v>X</v>
      </c>
      <c r="CI17" s="1920" t="str">
        <f t="shared" ca="1" si="38"/>
        <v>X</v>
      </c>
      <c r="CJ17" s="1920" t="str">
        <f t="shared" ca="1" si="38"/>
        <v>X</v>
      </c>
      <c r="CK17" s="1920" t="str">
        <f t="shared" ca="1" si="38"/>
        <v>X</v>
      </c>
      <c r="CL17" s="1920" t="str">
        <f t="shared" ca="1" si="38"/>
        <v>X</v>
      </c>
      <c r="CM17" s="1922" t="str">
        <f t="shared" ca="1" si="38"/>
        <v>X</v>
      </c>
      <c r="CN17" s="1924" t="str">
        <f t="shared" ca="1" si="38"/>
        <v>X</v>
      </c>
      <c r="CO17" s="1920" t="str">
        <f t="shared" ca="1" si="38"/>
        <v>X</v>
      </c>
      <c r="CP17" s="1920" t="str">
        <f t="shared" ref="CP17:FA17" ca="1" si="39">IF(OR(CP7&lt;$F$17,CP21=1000,CP105=1000,CP189=1000,CP273=1000,CP20="x",CP6=1000),"X",0)</f>
        <v>X</v>
      </c>
      <c r="CQ17" s="1920" t="str">
        <f t="shared" ca="1" si="39"/>
        <v>X</v>
      </c>
      <c r="CR17" s="1920" t="str">
        <f t="shared" ca="1" si="39"/>
        <v>X</v>
      </c>
      <c r="CS17" s="1920" t="str">
        <f t="shared" ca="1" si="39"/>
        <v>X</v>
      </c>
      <c r="CT17" s="1922" t="str">
        <f t="shared" ca="1" si="39"/>
        <v>X</v>
      </c>
      <c r="CU17" s="1924" t="str">
        <f t="shared" ca="1" si="39"/>
        <v>X</v>
      </c>
      <c r="CV17" s="1920" t="str">
        <f t="shared" ca="1" si="39"/>
        <v>X</v>
      </c>
      <c r="CW17" s="1920" t="str">
        <f t="shared" ca="1" si="39"/>
        <v>X</v>
      </c>
      <c r="CX17" s="1920" t="str">
        <f t="shared" ca="1" si="39"/>
        <v>X</v>
      </c>
      <c r="CY17" s="1920" t="str">
        <f t="shared" ca="1" si="39"/>
        <v>X</v>
      </c>
      <c r="CZ17" s="1920" t="str">
        <f t="shared" ca="1" si="39"/>
        <v>X</v>
      </c>
      <c r="DA17" s="1922" t="str">
        <f t="shared" ca="1" si="39"/>
        <v>X</v>
      </c>
      <c r="DB17" s="1924" t="str">
        <f t="shared" ca="1" si="39"/>
        <v>X</v>
      </c>
      <c r="DC17" s="1920" t="str">
        <f t="shared" ca="1" si="39"/>
        <v>X</v>
      </c>
      <c r="DD17" s="1920" t="str">
        <f t="shared" ca="1" si="39"/>
        <v>X</v>
      </c>
      <c r="DE17" s="1920" t="str">
        <f t="shared" ca="1" si="39"/>
        <v>X</v>
      </c>
      <c r="DF17" s="1920" t="str">
        <f t="shared" ca="1" si="39"/>
        <v>X</v>
      </c>
      <c r="DG17" s="1920" t="str">
        <f t="shared" ca="1" si="39"/>
        <v>X</v>
      </c>
      <c r="DH17" s="1922" t="str">
        <f t="shared" ca="1" si="39"/>
        <v>X</v>
      </c>
      <c r="DI17" s="1924" t="str">
        <f t="shared" ca="1" si="39"/>
        <v>X</v>
      </c>
      <c r="DJ17" s="1920" t="str">
        <f t="shared" ca="1" si="39"/>
        <v>X</v>
      </c>
      <c r="DK17" s="1920" t="str">
        <f t="shared" ca="1" si="39"/>
        <v>X</v>
      </c>
      <c r="DL17" s="1920" t="str">
        <f t="shared" ca="1" si="39"/>
        <v>X</v>
      </c>
      <c r="DM17" s="1920" t="str">
        <f t="shared" ca="1" si="39"/>
        <v>X</v>
      </c>
      <c r="DN17" s="1920" t="str">
        <f t="shared" ca="1" si="39"/>
        <v>X</v>
      </c>
      <c r="DO17" s="1922" t="str">
        <f t="shared" ca="1" si="39"/>
        <v>X</v>
      </c>
      <c r="DP17" s="1924" t="str">
        <f t="shared" ca="1" si="39"/>
        <v>X</v>
      </c>
      <c r="DQ17" s="1920" t="str">
        <f t="shared" ca="1" si="39"/>
        <v>X</v>
      </c>
      <c r="DR17" s="1920" t="str">
        <f t="shared" ca="1" si="39"/>
        <v>X</v>
      </c>
      <c r="DS17" s="1920" t="str">
        <f t="shared" ca="1" si="39"/>
        <v>X</v>
      </c>
      <c r="DT17" s="1920" t="str">
        <f t="shared" ca="1" si="39"/>
        <v>X</v>
      </c>
      <c r="DU17" s="1920" t="str">
        <f t="shared" ca="1" si="39"/>
        <v>X</v>
      </c>
      <c r="DV17" s="1922" t="str">
        <f t="shared" ca="1" si="39"/>
        <v>X</v>
      </c>
      <c r="DW17" s="1924" t="str">
        <f t="shared" ca="1" si="39"/>
        <v>X</v>
      </c>
      <c r="DX17" s="1920" t="str">
        <f t="shared" ca="1" si="39"/>
        <v>X</v>
      </c>
      <c r="DY17" s="1920" t="str">
        <f t="shared" ca="1" si="39"/>
        <v>X</v>
      </c>
      <c r="DZ17" s="1920" t="str">
        <f t="shared" ca="1" si="39"/>
        <v>X</v>
      </c>
      <c r="EA17" s="1920" t="str">
        <f t="shared" ca="1" si="39"/>
        <v>X</v>
      </c>
      <c r="EB17" s="1920" t="str">
        <f t="shared" ca="1" si="39"/>
        <v>X</v>
      </c>
      <c r="EC17" s="1922" t="str">
        <f t="shared" ca="1" si="39"/>
        <v>X</v>
      </c>
      <c r="ED17" s="1924" t="str">
        <f t="shared" ca="1" si="39"/>
        <v>X</v>
      </c>
      <c r="EE17" s="1920" t="str">
        <f t="shared" ca="1" si="39"/>
        <v>X</v>
      </c>
      <c r="EF17" s="1920" t="str">
        <f t="shared" ca="1" si="39"/>
        <v>X</v>
      </c>
      <c r="EG17" s="1920" t="str">
        <f t="shared" ca="1" si="39"/>
        <v>X</v>
      </c>
      <c r="EH17" s="1920" t="str">
        <f t="shared" ca="1" si="39"/>
        <v>X</v>
      </c>
      <c r="EI17" s="1920" t="str">
        <f t="shared" ca="1" si="39"/>
        <v>X</v>
      </c>
      <c r="EJ17" s="1922" t="str">
        <f t="shared" ca="1" si="39"/>
        <v>X</v>
      </c>
      <c r="EK17" s="1924" t="str">
        <f t="shared" ca="1" si="39"/>
        <v>X</v>
      </c>
      <c r="EL17" s="1920" t="str">
        <f t="shared" ca="1" si="39"/>
        <v>X</v>
      </c>
      <c r="EM17" s="1920" t="str">
        <f t="shared" ca="1" si="39"/>
        <v>X</v>
      </c>
      <c r="EN17" s="1920" t="str">
        <f t="shared" ca="1" si="39"/>
        <v>X</v>
      </c>
      <c r="EO17" s="1920" t="str">
        <f t="shared" ca="1" si="39"/>
        <v>X</v>
      </c>
      <c r="EP17" s="1920" t="str">
        <f t="shared" ca="1" si="39"/>
        <v>X</v>
      </c>
      <c r="EQ17" s="1922">
        <f t="shared" ca="1" si="39"/>
        <v>0</v>
      </c>
      <c r="ER17" s="1924">
        <f t="shared" ca="1" si="39"/>
        <v>0</v>
      </c>
      <c r="ES17" s="1920">
        <f t="shared" ca="1" si="39"/>
        <v>0</v>
      </c>
      <c r="ET17" s="1920">
        <f t="shared" ca="1" si="39"/>
        <v>0</v>
      </c>
      <c r="EU17" s="1920">
        <f t="shared" ca="1" si="39"/>
        <v>0</v>
      </c>
      <c r="EV17" s="1920">
        <f t="shared" ca="1" si="39"/>
        <v>0</v>
      </c>
      <c r="EW17" s="1920">
        <f t="shared" ca="1" si="39"/>
        <v>0</v>
      </c>
      <c r="EX17" s="1922">
        <f t="shared" ca="1" si="39"/>
        <v>0</v>
      </c>
      <c r="EY17" s="1924">
        <f t="shared" ca="1" si="39"/>
        <v>0</v>
      </c>
      <c r="EZ17" s="1920">
        <f t="shared" ca="1" si="39"/>
        <v>0</v>
      </c>
      <c r="FA17" s="1920">
        <f t="shared" ca="1" si="39"/>
        <v>0</v>
      </c>
      <c r="FB17" s="1920">
        <f t="shared" ref="FB17:HM17" ca="1" si="40">IF(OR(FB7&lt;$F$17,FB21=1000,FB105=1000,FB189=1000,FB273=1000,FB20="x",FB6=1000),"X",0)</f>
        <v>0</v>
      </c>
      <c r="FC17" s="1920">
        <f t="shared" ca="1" si="40"/>
        <v>0</v>
      </c>
      <c r="FD17" s="1920">
        <f t="shared" ca="1" si="40"/>
        <v>0</v>
      </c>
      <c r="FE17" s="1922">
        <f t="shared" ca="1" si="40"/>
        <v>0</v>
      </c>
      <c r="FF17" s="1924">
        <f t="shared" ca="1" si="40"/>
        <v>0</v>
      </c>
      <c r="FG17" s="1920">
        <f t="shared" ca="1" si="40"/>
        <v>0</v>
      </c>
      <c r="FH17" s="1920">
        <f t="shared" ca="1" si="40"/>
        <v>0</v>
      </c>
      <c r="FI17" s="1920">
        <f t="shared" ca="1" si="40"/>
        <v>0</v>
      </c>
      <c r="FJ17" s="1920">
        <f t="shared" ca="1" si="40"/>
        <v>0</v>
      </c>
      <c r="FK17" s="1920">
        <f t="shared" ca="1" si="40"/>
        <v>0</v>
      </c>
      <c r="FL17" s="1922">
        <f t="shared" ca="1" si="40"/>
        <v>0</v>
      </c>
      <c r="FM17" s="1924">
        <f t="shared" ca="1" si="40"/>
        <v>0</v>
      </c>
      <c r="FN17" s="1920">
        <f t="shared" ca="1" si="40"/>
        <v>0</v>
      </c>
      <c r="FO17" s="1920">
        <f t="shared" ca="1" si="40"/>
        <v>0</v>
      </c>
      <c r="FP17" s="1920">
        <f t="shared" ca="1" si="40"/>
        <v>0</v>
      </c>
      <c r="FQ17" s="1920">
        <f t="shared" ca="1" si="40"/>
        <v>0</v>
      </c>
      <c r="FR17" s="1920">
        <f t="shared" ca="1" si="40"/>
        <v>0</v>
      </c>
      <c r="FS17" s="1922">
        <f t="shared" ca="1" si="40"/>
        <v>0</v>
      </c>
      <c r="FT17" s="1924">
        <f t="shared" ca="1" si="40"/>
        <v>0</v>
      </c>
      <c r="FU17" s="1920">
        <f t="shared" ca="1" si="40"/>
        <v>0</v>
      </c>
      <c r="FV17" s="1920">
        <f t="shared" ca="1" si="40"/>
        <v>0</v>
      </c>
      <c r="FW17" s="1920">
        <f t="shared" ca="1" si="40"/>
        <v>0</v>
      </c>
      <c r="FX17" s="1920">
        <f t="shared" ca="1" si="40"/>
        <v>0</v>
      </c>
      <c r="FY17" s="1920">
        <f t="shared" ca="1" si="40"/>
        <v>0</v>
      </c>
      <c r="FZ17" s="1922">
        <f t="shared" ca="1" si="40"/>
        <v>0</v>
      </c>
      <c r="GA17" s="1924">
        <f t="shared" ca="1" si="40"/>
        <v>0</v>
      </c>
      <c r="GB17" s="1920">
        <f t="shared" ca="1" si="40"/>
        <v>0</v>
      </c>
      <c r="GC17" s="1920">
        <f t="shared" ca="1" si="40"/>
        <v>0</v>
      </c>
      <c r="GD17" s="1920">
        <f t="shared" ca="1" si="40"/>
        <v>0</v>
      </c>
      <c r="GE17" s="1920">
        <f t="shared" ca="1" si="40"/>
        <v>0</v>
      </c>
      <c r="GF17" s="1920">
        <f t="shared" ca="1" si="40"/>
        <v>0</v>
      </c>
      <c r="GG17" s="1922">
        <f t="shared" ca="1" si="40"/>
        <v>0</v>
      </c>
      <c r="GH17" s="1924">
        <f t="shared" ca="1" si="40"/>
        <v>0</v>
      </c>
      <c r="GI17" s="1920">
        <f t="shared" ca="1" si="40"/>
        <v>0</v>
      </c>
      <c r="GJ17" s="1920">
        <f t="shared" ca="1" si="40"/>
        <v>0</v>
      </c>
      <c r="GK17" s="1920">
        <f t="shared" ca="1" si="40"/>
        <v>0</v>
      </c>
      <c r="GL17" s="1920">
        <f t="shared" ca="1" si="40"/>
        <v>0</v>
      </c>
      <c r="GM17" s="1920">
        <f t="shared" ca="1" si="40"/>
        <v>0</v>
      </c>
      <c r="GN17" s="1922">
        <f t="shared" ca="1" si="40"/>
        <v>0</v>
      </c>
      <c r="GO17" s="1924">
        <f t="shared" ca="1" si="40"/>
        <v>0</v>
      </c>
      <c r="GP17" s="1920">
        <f t="shared" ca="1" si="40"/>
        <v>0</v>
      </c>
      <c r="GQ17" s="1920">
        <f t="shared" ca="1" si="40"/>
        <v>0</v>
      </c>
      <c r="GR17" s="1920">
        <f t="shared" ca="1" si="40"/>
        <v>0</v>
      </c>
      <c r="GS17" s="1920">
        <f t="shared" ca="1" si="40"/>
        <v>0</v>
      </c>
      <c r="GT17" s="1920">
        <f t="shared" ca="1" si="40"/>
        <v>0</v>
      </c>
      <c r="GU17" s="1922">
        <f t="shared" ca="1" si="40"/>
        <v>0</v>
      </c>
      <c r="GV17" s="1924">
        <f t="shared" ca="1" si="40"/>
        <v>0</v>
      </c>
      <c r="GW17" s="1920">
        <f t="shared" ca="1" si="40"/>
        <v>0</v>
      </c>
      <c r="GX17" s="1920">
        <f t="shared" ca="1" si="40"/>
        <v>0</v>
      </c>
      <c r="GY17" s="1920">
        <f t="shared" ca="1" si="40"/>
        <v>0</v>
      </c>
      <c r="GZ17" s="1920">
        <f t="shared" ca="1" si="40"/>
        <v>0</v>
      </c>
      <c r="HA17" s="1920">
        <f t="shared" ca="1" si="40"/>
        <v>0</v>
      </c>
      <c r="HB17" s="1922">
        <f t="shared" ca="1" si="40"/>
        <v>0</v>
      </c>
      <c r="HC17" s="1924">
        <f t="shared" ca="1" si="40"/>
        <v>0</v>
      </c>
      <c r="HD17" s="1920">
        <f t="shared" ca="1" si="40"/>
        <v>0</v>
      </c>
      <c r="HE17" s="1920">
        <f t="shared" ca="1" si="40"/>
        <v>0</v>
      </c>
      <c r="HF17" s="1920">
        <f t="shared" ca="1" si="40"/>
        <v>0</v>
      </c>
      <c r="HG17" s="1920">
        <f t="shared" ca="1" si="40"/>
        <v>0</v>
      </c>
      <c r="HH17" s="1920">
        <f t="shared" ca="1" si="40"/>
        <v>0</v>
      </c>
      <c r="HI17" s="1922">
        <f t="shared" ca="1" si="40"/>
        <v>0</v>
      </c>
      <c r="HJ17" s="1924">
        <f t="shared" ca="1" si="40"/>
        <v>0</v>
      </c>
      <c r="HK17" s="1920">
        <f t="shared" ca="1" si="40"/>
        <v>0</v>
      </c>
      <c r="HL17" s="1920">
        <f t="shared" ca="1" si="40"/>
        <v>0</v>
      </c>
      <c r="HM17" s="1920">
        <f t="shared" ca="1" si="40"/>
        <v>0</v>
      </c>
      <c r="HN17" s="1920">
        <f t="shared" ref="HN17:IK17" ca="1" si="41">IF(OR(HN7&lt;$F$17,HN21=1000,HN105=1000,HN189=1000,HN273=1000,HN20="x",HN6=1000),"X",0)</f>
        <v>0</v>
      </c>
      <c r="HO17" s="1920">
        <f t="shared" ca="1" si="41"/>
        <v>0</v>
      </c>
      <c r="HP17" s="1922">
        <f t="shared" ca="1" si="41"/>
        <v>0</v>
      </c>
      <c r="HQ17" s="1924">
        <f t="shared" ca="1" si="41"/>
        <v>0</v>
      </c>
      <c r="HR17" s="1920">
        <f t="shared" ca="1" si="41"/>
        <v>0</v>
      </c>
      <c r="HS17" s="1920">
        <f t="shared" ca="1" si="41"/>
        <v>0</v>
      </c>
      <c r="HT17" s="1920">
        <f t="shared" ca="1" si="41"/>
        <v>0</v>
      </c>
      <c r="HU17" s="1920">
        <f t="shared" ca="1" si="41"/>
        <v>0</v>
      </c>
      <c r="HV17" s="1920">
        <f t="shared" ca="1" si="41"/>
        <v>0</v>
      </c>
      <c r="HW17" s="1922">
        <f t="shared" ca="1" si="41"/>
        <v>0</v>
      </c>
      <c r="HX17" s="1924">
        <f t="shared" ca="1" si="41"/>
        <v>0</v>
      </c>
      <c r="HY17" s="1920">
        <f t="shared" ca="1" si="41"/>
        <v>0</v>
      </c>
      <c r="HZ17" s="1920">
        <f t="shared" ca="1" si="41"/>
        <v>0</v>
      </c>
      <c r="IA17" s="1920">
        <f t="shared" ca="1" si="41"/>
        <v>0</v>
      </c>
      <c r="IB17" s="1920">
        <f t="shared" ca="1" si="41"/>
        <v>0</v>
      </c>
      <c r="IC17" s="1920">
        <f t="shared" ca="1" si="41"/>
        <v>0</v>
      </c>
      <c r="ID17" s="1922">
        <f t="shared" ca="1" si="41"/>
        <v>0</v>
      </c>
      <c r="IE17" s="1924">
        <f t="shared" ca="1" si="41"/>
        <v>0</v>
      </c>
      <c r="IF17" s="1920">
        <f t="shared" ca="1" si="41"/>
        <v>0</v>
      </c>
      <c r="IG17" s="1920">
        <f t="shared" ca="1" si="41"/>
        <v>0</v>
      </c>
      <c r="IH17" s="1920">
        <f t="shared" ca="1" si="41"/>
        <v>0</v>
      </c>
      <c r="II17" s="1920">
        <f t="shared" ca="1" si="41"/>
        <v>0</v>
      </c>
      <c r="IJ17" s="1920">
        <f t="shared" ca="1" si="41"/>
        <v>0</v>
      </c>
      <c r="IK17" s="1922">
        <f t="shared" ca="1" si="41"/>
        <v>0</v>
      </c>
    </row>
    <row r="18" spans="1:245" s="195" customFormat="1" ht="9" customHeight="1" x14ac:dyDescent="0.35">
      <c r="A18" s="195" t="str">
        <f>IF($B$17=0,0,"XXX")</f>
        <v>XXX</v>
      </c>
      <c r="B18" s="1968"/>
      <c r="C18" s="1970"/>
      <c r="D18" s="360" t="str">
        <f>IF(ENTRADAS!$F$22=0,0,"término:")</f>
        <v>término:</v>
      </c>
      <c r="E18" s="361">
        <f ca="1">IF(ENTRADAS!$F$22=0,0,E17+F17)</f>
        <v>46053.737500000003</v>
      </c>
      <c r="F18" s="1972"/>
      <c r="G18" s="1974"/>
      <c r="H18" s="1925"/>
      <c r="I18" s="1921"/>
      <c r="J18" s="1921"/>
      <c r="K18" s="1921"/>
      <c r="L18" s="1921"/>
      <c r="M18" s="1921"/>
      <c r="N18" s="1923"/>
      <c r="O18" s="1925"/>
      <c r="P18" s="1921"/>
      <c r="Q18" s="1921"/>
      <c r="R18" s="1921"/>
      <c r="S18" s="1921"/>
      <c r="T18" s="1921"/>
      <c r="U18" s="1923"/>
      <c r="V18" s="1925"/>
      <c r="W18" s="1921"/>
      <c r="X18" s="1921"/>
      <c r="Y18" s="1921"/>
      <c r="Z18" s="1921"/>
      <c r="AA18" s="1921"/>
      <c r="AB18" s="1923"/>
      <c r="AC18" s="1925"/>
      <c r="AD18" s="1921"/>
      <c r="AE18" s="1921"/>
      <c r="AF18" s="1921"/>
      <c r="AG18" s="1921"/>
      <c r="AH18" s="1921"/>
      <c r="AI18" s="1923"/>
      <c r="AJ18" s="1925"/>
      <c r="AK18" s="1921"/>
      <c r="AL18" s="1921"/>
      <c r="AM18" s="1921"/>
      <c r="AN18" s="1921"/>
      <c r="AO18" s="1921"/>
      <c r="AP18" s="1923"/>
      <c r="AQ18" s="1925"/>
      <c r="AR18" s="1921"/>
      <c r="AS18" s="1921"/>
      <c r="AT18" s="1921"/>
      <c r="AU18" s="1921"/>
      <c r="AV18" s="1921"/>
      <c r="AW18" s="1923"/>
      <c r="AX18" s="1925"/>
      <c r="AY18" s="1921"/>
      <c r="AZ18" s="1921"/>
      <c r="BA18" s="1921"/>
      <c r="BB18" s="1921"/>
      <c r="BC18" s="1921"/>
      <c r="BD18" s="1923"/>
      <c r="BE18" s="1925"/>
      <c r="BF18" s="1921"/>
      <c r="BG18" s="1921"/>
      <c r="BH18" s="1921"/>
      <c r="BI18" s="1921"/>
      <c r="BJ18" s="1921"/>
      <c r="BK18" s="1923"/>
      <c r="BL18" s="1925"/>
      <c r="BM18" s="1921"/>
      <c r="BN18" s="1921"/>
      <c r="BO18" s="1921"/>
      <c r="BP18" s="1921"/>
      <c r="BQ18" s="1921"/>
      <c r="BR18" s="1923"/>
      <c r="BS18" s="1925"/>
      <c r="BT18" s="1921"/>
      <c r="BU18" s="1921"/>
      <c r="BV18" s="1921"/>
      <c r="BW18" s="1921"/>
      <c r="BX18" s="1921"/>
      <c r="BY18" s="1923"/>
      <c r="BZ18" s="1925"/>
      <c r="CA18" s="1921"/>
      <c r="CB18" s="1921"/>
      <c r="CC18" s="1921"/>
      <c r="CD18" s="1921"/>
      <c r="CE18" s="1921"/>
      <c r="CF18" s="1923"/>
      <c r="CG18" s="1925"/>
      <c r="CH18" s="1921"/>
      <c r="CI18" s="1921"/>
      <c r="CJ18" s="1921"/>
      <c r="CK18" s="1921"/>
      <c r="CL18" s="1921"/>
      <c r="CM18" s="1923"/>
      <c r="CN18" s="1925"/>
      <c r="CO18" s="1921"/>
      <c r="CP18" s="1921"/>
      <c r="CQ18" s="1921"/>
      <c r="CR18" s="1921"/>
      <c r="CS18" s="1921"/>
      <c r="CT18" s="1923"/>
      <c r="CU18" s="1925"/>
      <c r="CV18" s="1921"/>
      <c r="CW18" s="1921"/>
      <c r="CX18" s="1921"/>
      <c r="CY18" s="1921"/>
      <c r="CZ18" s="1921"/>
      <c r="DA18" s="1923"/>
      <c r="DB18" s="1925"/>
      <c r="DC18" s="1921"/>
      <c r="DD18" s="1921"/>
      <c r="DE18" s="1921"/>
      <c r="DF18" s="1921"/>
      <c r="DG18" s="1921"/>
      <c r="DH18" s="1923"/>
      <c r="DI18" s="1925"/>
      <c r="DJ18" s="1921"/>
      <c r="DK18" s="1921"/>
      <c r="DL18" s="1921"/>
      <c r="DM18" s="1921"/>
      <c r="DN18" s="1921"/>
      <c r="DO18" s="1923"/>
      <c r="DP18" s="1925"/>
      <c r="DQ18" s="1921"/>
      <c r="DR18" s="1921"/>
      <c r="DS18" s="1921"/>
      <c r="DT18" s="1921"/>
      <c r="DU18" s="1921"/>
      <c r="DV18" s="1923"/>
      <c r="DW18" s="1925"/>
      <c r="DX18" s="1921"/>
      <c r="DY18" s="1921"/>
      <c r="DZ18" s="1921"/>
      <c r="EA18" s="1921"/>
      <c r="EB18" s="1921"/>
      <c r="EC18" s="1923"/>
      <c r="ED18" s="1925"/>
      <c r="EE18" s="1921"/>
      <c r="EF18" s="1921"/>
      <c r="EG18" s="1921"/>
      <c r="EH18" s="1921"/>
      <c r="EI18" s="1921"/>
      <c r="EJ18" s="1923"/>
      <c r="EK18" s="1925"/>
      <c r="EL18" s="1921"/>
      <c r="EM18" s="1921"/>
      <c r="EN18" s="1921"/>
      <c r="EO18" s="1921"/>
      <c r="EP18" s="1921"/>
      <c r="EQ18" s="1923"/>
      <c r="ER18" s="1925"/>
      <c r="ES18" s="1921"/>
      <c r="ET18" s="1921"/>
      <c r="EU18" s="1921"/>
      <c r="EV18" s="1921"/>
      <c r="EW18" s="1921"/>
      <c r="EX18" s="1923"/>
      <c r="EY18" s="1925"/>
      <c r="EZ18" s="1921"/>
      <c r="FA18" s="1921"/>
      <c r="FB18" s="1921"/>
      <c r="FC18" s="1921"/>
      <c r="FD18" s="1921"/>
      <c r="FE18" s="1923"/>
      <c r="FF18" s="1925"/>
      <c r="FG18" s="1921"/>
      <c r="FH18" s="1921"/>
      <c r="FI18" s="1921"/>
      <c r="FJ18" s="1921"/>
      <c r="FK18" s="1921"/>
      <c r="FL18" s="1923"/>
      <c r="FM18" s="1925"/>
      <c r="FN18" s="1921"/>
      <c r="FO18" s="1921"/>
      <c r="FP18" s="1921"/>
      <c r="FQ18" s="1921"/>
      <c r="FR18" s="1921"/>
      <c r="FS18" s="1923"/>
      <c r="FT18" s="1925"/>
      <c r="FU18" s="1921"/>
      <c r="FV18" s="1921"/>
      <c r="FW18" s="1921"/>
      <c r="FX18" s="1921"/>
      <c r="FY18" s="1921"/>
      <c r="FZ18" s="1923"/>
      <c r="GA18" s="1925"/>
      <c r="GB18" s="1921"/>
      <c r="GC18" s="1921"/>
      <c r="GD18" s="1921"/>
      <c r="GE18" s="1921"/>
      <c r="GF18" s="1921"/>
      <c r="GG18" s="1923"/>
      <c r="GH18" s="1925"/>
      <c r="GI18" s="1921"/>
      <c r="GJ18" s="1921"/>
      <c r="GK18" s="1921"/>
      <c r="GL18" s="1921"/>
      <c r="GM18" s="1921"/>
      <c r="GN18" s="1923"/>
      <c r="GO18" s="1925"/>
      <c r="GP18" s="1921"/>
      <c r="GQ18" s="1921"/>
      <c r="GR18" s="1921"/>
      <c r="GS18" s="1921"/>
      <c r="GT18" s="1921"/>
      <c r="GU18" s="1923"/>
      <c r="GV18" s="1925"/>
      <c r="GW18" s="1921"/>
      <c r="GX18" s="1921"/>
      <c r="GY18" s="1921"/>
      <c r="GZ18" s="1921"/>
      <c r="HA18" s="1921"/>
      <c r="HB18" s="1923"/>
      <c r="HC18" s="1925"/>
      <c r="HD18" s="1921"/>
      <c r="HE18" s="1921"/>
      <c r="HF18" s="1921"/>
      <c r="HG18" s="1921"/>
      <c r="HH18" s="1921"/>
      <c r="HI18" s="1923"/>
      <c r="HJ18" s="1925"/>
      <c r="HK18" s="1921"/>
      <c r="HL18" s="1921"/>
      <c r="HM18" s="1921"/>
      <c r="HN18" s="1921"/>
      <c r="HO18" s="1921"/>
      <c r="HP18" s="1923"/>
      <c r="HQ18" s="1925"/>
      <c r="HR18" s="1921"/>
      <c r="HS18" s="1921"/>
      <c r="HT18" s="1921"/>
      <c r="HU18" s="1921"/>
      <c r="HV18" s="1921"/>
      <c r="HW18" s="1923"/>
      <c r="HX18" s="1925"/>
      <c r="HY18" s="1921"/>
      <c r="HZ18" s="1921"/>
      <c r="IA18" s="1921"/>
      <c r="IB18" s="1921"/>
      <c r="IC18" s="1921"/>
      <c r="ID18" s="1923"/>
      <c r="IE18" s="1925"/>
      <c r="IF18" s="1921"/>
      <c r="IG18" s="1921"/>
      <c r="IH18" s="1921"/>
      <c r="II18" s="1921"/>
      <c r="IJ18" s="1921"/>
      <c r="IK18" s="1923"/>
    </row>
    <row r="19" spans="1:245" s="195" customFormat="1" ht="7.5" customHeight="1" x14ac:dyDescent="0.35">
      <c r="A19" s="195" t="str">
        <f>IF(B19=0,0,"XXX")</f>
        <v>XXX</v>
      </c>
      <c r="B19" s="195" t="s">
        <v>35</v>
      </c>
      <c r="H19" s="195">
        <f t="shared" ref="H19:BS19" ca="1" si="42">IF(H7&lt;$F$17,H7,IF(OR(H21=1000,H105=1000,H189=1000,H273=1000),H7,0))</f>
        <v>1</v>
      </c>
      <c r="I19" s="195">
        <f t="shared" ca="1" si="42"/>
        <v>2</v>
      </c>
      <c r="J19" s="195">
        <f t="shared" ca="1" si="42"/>
        <v>3</v>
      </c>
      <c r="K19" s="195">
        <f t="shared" ca="1" si="42"/>
        <v>4</v>
      </c>
      <c r="L19" s="195">
        <f t="shared" ca="1" si="42"/>
        <v>5</v>
      </c>
      <c r="M19" s="195">
        <f t="shared" ca="1" si="42"/>
        <v>6</v>
      </c>
      <c r="N19" s="195">
        <f t="shared" ca="1" si="42"/>
        <v>7</v>
      </c>
      <c r="O19" s="195">
        <f t="shared" ca="1" si="42"/>
        <v>8</v>
      </c>
      <c r="P19" s="195">
        <f t="shared" ca="1" si="42"/>
        <v>9</v>
      </c>
      <c r="Q19" s="195">
        <f t="shared" ca="1" si="42"/>
        <v>10</v>
      </c>
      <c r="R19" s="195">
        <f t="shared" ca="1" si="42"/>
        <v>11</v>
      </c>
      <c r="S19" s="195">
        <f t="shared" ca="1" si="42"/>
        <v>12</v>
      </c>
      <c r="T19" s="195">
        <f t="shared" ca="1" si="42"/>
        <v>13</v>
      </c>
      <c r="U19" s="195">
        <f t="shared" ca="1" si="42"/>
        <v>14</v>
      </c>
      <c r="V19" s="195">
        <f t="shared" ca="1" si="42"/>
        <v>15</v>
      </c>
      <c r="W19" s="195">
        <f t="shared" ca="1" si="42"/>
        <v>16</v>
      </c>
      <c r="X19" s="195">
        <f t="shared" ca="1" si="42"/>
        <v>17</v>
      </c>
      <c r="Y19" s="195">
        <f t="shared" ca="1" si="42"/>
        <v>18</v>
      </c>
      <c r="Z19" s="195">
        <f t="shared" ca="1" si="42"/>
        <v>19</v>
      </c>
      <c r="AA19" s="195">
        <f t="shared" ca="1" si="42"/>
        <v>20</v>
      </c>
      <c r="AB19" s="195">
        <f t="shared" ca="1" si="42"/>
        <v>21</v>
      </c>
      <c r="AC19" s="195">
        <f t="shared" ca="1" si="42"/>
        <v>22</v>
      </c>
      <c r="AD19" s="195">
        <f t="shared" ca="1" si="42"/>
        <v>23</v>
      </c>
      <c r="AE19" s="195">
        <f t="shared" ca="1" si="42"/>
        <v>24</v>
      </c>
      <c r="AF19" s="195">
        <f t="shared" ca="1" si="42"/>
        <v>25</v>
      </c>
      <c r="AG19" s="195">
        <f t="shared" ca="1" si="42"/>
        <v>26</v>
      </c>
      <c r="AH19" s="195">
        <f t="shared" ca="1" si="42"/>
        <v>27</v>
      </c>
      <c r="AI19" s="195">
        <f t="shared" ca="1" si="42"/>
        <v>28</v>
      </c>
      <c r="AJ19" s="195">
        <f t="shared" ca="1" si="42"/>
        <v>29</v>
      </c>
      <c r="AK19" s="195">
        <f t="shared" ca="1" si="42"/>
        <v>30</v>
      </c>
      <c r="AL19" s="195">
        <f t="shared" ca="1" si="42"/>
        <v>31</v>
      </c>
      <c r="AM19" s="195">
        <f t="shared" ca="1" si="42"/>
        <v>32</v>
      </c>
      <c r="AN19" s="195">
        <f t="shared" ca="1" si="42"/>
        <v>33</v>
      </c>
      <c r="AO19" s="195">
        <f t="shared" ca="1" si="42"/>
        <v>34</v>
      </c>
      <c r="AP19" s="195">
        <f t="shared" ca="1" si="42"/>
        <v>35</v>
      </c>
      <c r="AQ19" s="195">
        <f t="shared" ca="1" si="42"/>
        <v>36</v>
      </c>
      <c r="AR19" s="195">
        <f t="shared" ca="1" si="42"/>
        <v>37</v>
      </c>
      <c r="AS19" s="195">
        <f t="shared" ca="1" si="42"/>
        <v>38</v>
      </c>
      <c r="AT19" s="195">
        <f t="shared" ca="1" si="42"/>
        <v>39</v>
      </c>
      <c r="AU19" s="195">
        <f t="shared" ca="1" si="42"/>
        <v>40</v>
      </c>
      <c r="AV19" s="195">
        <f t="shared" ca="1" si="42"/>
        <v>41</v>
      </c>
      <c r="AW19" s="195">
        <f t="shared" ca="1" si="42"/>
        <v>42</v>
      </c>
      <c r="AX19" s="195">
        <f t="shared" ca="1" si="42"/>
        <v>43</v>
      </c>
      <c r="AY19" s="195">
        <f t="shared" ca="1" si="42"/>
        <v>44</v>
      </c>
      <c r="AZ19" s="195">
        <f t="shared" ca="1" si="42"/>
        <v>45</v>
      </c>
      <c r="BA19" s="195">
        <f t="shared" ca="1" si="42"/>
        <v>46</v>
      </c>
      <c r="BB19" s="195">
        <f t="shared" ca="1" si="42"/>
        <v>47</v>
      </c>
      <c r="BC19" s="195">
        <f t="shared" ca="1" si="42"/>
        <v>48</v>
      </c>
      <c r="BD19" s="195">
        <f t="shared" ca="1" si="42"/>
        <v>49</v>
      </c>
      <c r="BE19" s="195">
        <f t="shared" ca="1" si="42"/>
        <v>50</v>
      </c>
      <c r="BF19" s="195">
        <f t="shared" ca="1" si="42"/>
        <v>51</v>
      </c>
      <c r="BG19" s="195">
        <f t="shared" ca="1" si="42"/>
        <v>52</v>
      </c>
      <c r="BH19" s="195">
        <f t="shared" ca="1" si="42"/>
        <v>53</v>
      </c>
      <c r="BI19" s="195">
        <f t="shared" ca="1" si="42"/>
        <v>54</v>
      </c>
      <c r="BJ19" s="195">
        <f t="shared" ca="1" si="42"/>
        <v>55</v>
      </c>
      <c r="BK19" s="195">
        <f t="shared" ca="1" si="42"/>
        <v>56</v>
      </c>
      <c r="BL19" s="195">
        <f t="shared" ca="1" si="42"/>
        <v>57</v>
      </c>
      <c r="BM19" s="195">
        <f t="shared" ca="1" si="42"/>
        <v>58</v>
      </c>
      <c r="BN19" s="195">
        <f t="shared" ca="1" si="42"/>
        <v>59</v>
      </c>
      <c r="BO19" s="195">
        <f t="shared" ca="1" si="42"/>
        <v>60</v>
      </c>
      <c r="BP19" s="195">
        <f t="shared" ca="1" si="42"/>
        <v>61</v>
      </c>
      <c r="BQ19" s="195">
        <f t="shared" ca="1" si="42"/>
        <v>62</v>
      </c>
      <c r="BR19" s="195">
        <f t="shared" ca="1" si="42"/>
        <v>63</v>
      </c>
      <c r="BS19" s="195">
        <f t="shared" ca="1" si="42"/>
        <v>64</v>
      </c>
      <c r="BT19" s="195">
        <f t="shared" ref="BT19:EE19" ca="1" si="43">IF(BT7&lt;$F$17,BT7,IF(OR(BT21=1000,BT105=1000,BT189=1000,BT273=1000),BT7,0))</f>
        <v>65</v>
      </c>
      <c r="BU19" s="195">
        <f t="shared" ca="1" si="43"/>
        <v>66</v>
      </c>
      <c r="BV19" s="195">
        <f t="shared" ca="1" si="43"/>
        <v>67</v>
      </c>
      <c r="BW19" s="195">
        <f t="shared" ca="1" si="43"/>
        <v>68</v>
      </c>
      <c r="BX19" s="195">
        <f t="shared" ca="1" si="43"/>
        <v>69</v>
      </c>
      <c r="BY19" s="195">
        <f t="shared" ca="1" si="43"/>
        <v>70</v>
      </c>
      <c r="BZ19" s="195">
        <f t="shared" ca="1" si="43"/>
        <v>71</v>
      </c>
      <c r="CA19" s="195">
        <f t="shared" ca="1" si="43"/>
        <v>72</v>
      </c>
      <c r="CB19" s="195">
        <f t="shared" ca="1" si="43"/>
        <v>73</v>
      </c>
      <c r="CC19" s="195">
        <f t="shared" ca="1" si="43"/>
        <v>74</v>
      </c>
      <c r="CD19" s="195">
        <f t="shared" ca="1" si="43"/>
        <v>75</v>
      </c>
      <c r="CE19" s="195">
        <f t="shared" ca="1" si="43"/>
        <v>76</v>
      </c>
      <c r="CF19" s="195">
        <f t="shared" ca="1" si="43"/>
        <v>77</v>
      </c>
      <c r="CG19" s="195">
        <f t="shared" ca="1" si="43"/>
        <v>78</v>
      </c>
      <c r="CH19" s="195">
        <f t="shared" ca="1" si="43"/>
        <v>79</v>
      </c>
      <c r="CI19" s="195">
        <f t="shared" ca="1" si="43"/>
        <v>80</v>
      </c>
      <c r="CJ19" s="195">
        <f t="shared" ca="1" si="43"/>
        <v>81</v>
      </c>
      <c r="CK19" s="195">
        <f t="shared" ca="1" si="43"/>
        <v>82</v>
      </c>
      <c r="CL19" s="195">
        <f t="shared" ca="1" si="43"/>
        <v>83</v>
      </c>
      <c r="CM19" s="195">
        <f t="shared" ca="1" si="43"/>
        <v>84</v>
      </c>
      <c r="CN19" s="195">
        <f t="shared" ca="1" si="43"/>
        <v>85</v>
      </c>
      <c r="CO19" s="195">
        <f t="shared" ca="1" si="43"/>
        <v>86</v>
      </c>
      <c r="CP19" s="195">
        <f t="shared" ca="1" si="43"/>
        <v>87</v>
      </c>
      <c r="CQ19" s="195">
        <f t="shared" ca="1" si="43"/>
        <v>88</v>
      </c>
      <c r="CR19" s="195">
        <f t="shared" ca="1" si="43"/>
        <v>89</v>
      </c>
      <c r="CS19" s="195">
        <f t="shared" ca="1" si="43"/>
        <v>90</v>
      </c>
      <c r="CT19" s="195">
        <f t="shared" ca="1" si="43"/>
        <v>91</v>
      </c>
      <c r="CU19" s="195">
        <f t="shared" ca="1" si="43"/>
        <v>92</v>
      </c>
      <c r="CV19" s="195">
        <f t="shared" ca="1" si="43"/>
        <v>93</v>
      </c>
      <c r="CW19" s="195">
        <f t="shared" ca="1" si="43"/>
        <v>94</v>
      </c>
      <c r="CX19" s="195">
        <f t="shared" ca="1" si="43"/>
        <v>95</v>
      </c>
      <c r="CY19" s="195">
        <f t="shared" ca="1" si="43"/>
        <v>96</v>
      </c>
      <c r="CZ19" s="195">
        <f t="shared" ca="1" si="43"/>
        <v>97</v>
      </c>
      <c r="DA19" s="195">
        <f t="shared" ca="1" si="43"/>
        <v>98</v>
      </c>
      <c r="DB19" s="195">
        <f t="shared" ca="1" si="43"/>
        <v>99</v>
      </c>
      <c r="DC19" s="195">
        <f t="shared" ca="1" si="43"/>
        <v>100</v>
      </c>
      <c r="DD19" s="195">
        <f t="shared" ca="1" si="43"/>
        <v>101</v>
      </c>
      <c r="DE19" s="195">
        <f t="shared" ca="1" si="43"/>
        <v>102</v>
      </c>
      <c r="DF19" s="195">
        <f t="shared" ca="1" si="43"/>
        <v>103</v>
      </c>
      <c r="DG19" s="195">
        <f t="shared" ca="1" si="43"/>
        <v>104</v>
      </c>
      <c r="DH19" s="195">
        <f t="shared" ca="1" si="43"/>
        <v>105</v>
      </c>
      <c r="DI19" s="195">
        <f t="shared" ca="1" si="43"/>
        <v>106</v>
      </c>
      <c r="DJ19" s="195">
        <f t="shared" ca="1" si="43"/>
        <v>107</v>
      </c>
      <c r="DK19" s="195">
        <f t="shared" ca="1" si="43"/>
        <v>108</v>
      </c>
      <c r="DL19" s="195">
        <f t="shared" ca="1" si="43"/>
        <v>109</v>
      </c>
      <c r="DM19" s="195">
        <f t="shared" ca="1" si="43"/>
        <v>110</v>
      </c>
      <c r="DN19" s="195">
        <f t="shared" ca="1" si="43"/>
        <v>111</v>
      </c>
      <c r="DO19" s="195">
        <f t="shared" ca="1" si="43"/>
        <v>112</v>
      </c>
      <c r="DP19" s="195">
        <f t="shared" ca="1" si="43"/>
        <v>113</v>
      </c>
      <c r="DQ19" s="195">
        <f t="shared" ca="1" si="43"/>
        <v>114</v>
      </c>
      <c r="DR19" s="195">
        <f t="shared" ca="1" si="43"/>
        <v>115</v>
      </c>
      <c r="DS19" s="195">
        <f t="shared" ca="1" si="43"/>
        <v>116</v>
      </c>
      <c r="DT19" s="195">
        <f t="shared" ca="1" si="43"/>
        <v>117</v>
      </c>
      <c r="DU19" s="195">
        <f t="shared" ca="1" si="43"/>
        <v>118</v>
      </c>
      <c r="DV19" s="195">
        <f t="shared" ca="1" si="43"/>
        <v>119</v>
      </c>
      <c r="DW19" s="195">
        <f t="shared" ca="1" si="43"/>
        <v>120</v>
      </c>
      <c r="DX19" s="675">
        <f ca="1">IF(DX7&lt;$F$17,DX7,IF(OR(DX21=1000,DX105=1000,DX189=1000,DX273=1000),DX7,0))</f>
        <v>121</v>
      </c>
      <c r="DY19" s="675">
        <f t="shared" ca="1" si="43"/>
        <v>122</v>
      </c>
      <c r="DZ19" s="675">
        <f t="shared" ca="1" si="43"/>
        <v>123</v>
      </c>
      <c r="EA19" s="675">
        <f t="shared" ca="1" si="43"/>
        <v>124</v>
      </c>
      <c r="EB19" s="675">
        <f t="shared" ca="1" si="43"/>
        <v>125</v>
      </c>
      <c r="EC19" s="675">
        <f t="shared" ca="1" si="43"/>
        <v>126</v>
      </c>
      <c r="ED19" s="675">
        <f t="shared" ca="1" si="43"/>
        <v>127</v>
      </c>
      <c r="EE19" s="675">
        <f t="shared" ca="1" si="43"/>
        <v>128</v>
      </c>
      <c r="EF19" s="675">
        <f t="shared" ref="EF19:EL19" ca="1" si="44">IF(EF7&lt;$F$17,EF7,IF(OR(EF21=1000,EF105=1000,EF189=1000,EF273=1000),EF7,0))</f>
        <v>129</v>
      </c>
      <c r="EG19" s="675">
        <f t="shared" ca="1" si="44"/>
        <v>130</v>
      </c>
      <c r="EH19" s="675">
        <f t="shared" ca="1" si="44"/>
        <v>131</v>
      </c>
      <c r="EI19" s="675">
        <f t="shared" ca="1" si="44"/>
        <v>132</v>
      </c>
      <c r="EJ19" s="675">
        <f t="shared" ca="1" si="44"/>
        <v>133</v>
      </c>
      <c r="EK19" s="675">
        <f t="shared" ca="1" si="44"/>
        <v>134</v>
      </c>
      <c r="EL19" s="675">
        <f t="shared" ca="1" si="44"/>
        <v>135</v>
      </c>
      <c r="EM19" s="195">
        <f ca="1">IF(EM7&lt;$F$17,EM7,IF(OR(EM21=1000,EM105=1000,EM189=1000,EM273=1000),EM7,0))</f>
        <v>136</v>
      </c>
      <c r="EN19" s="195">
        <f t="shared" ref="EN19:GY19" ca="1" si="45">IF(EN7&lt;$F$17,EN7,IF(OR(EN21=1000,EN105=1000,EN189=1000,EN273=1000),EN7,0))</f>
        <v>137</v>
      </c>
      <c r="EO19" s="195">
        <f t="shared" ca="1" si="45"/>
        <v>138</v>
      </c>
      <c r="EP19" s="195">
        <f t="shared" ca="1" si="45"/>
        <v>139</v>
      </c>
      <c r="EQ19" s="195">
        <f t="shared" ca="1" si="45"/>
        <v>0</v>
      </c>
      <c r="ER19" s="195">
        <f t="shared" ca="1" si="45"/>
        <v>0</v>
      </c>
      <c r="ES19" s="195">
        <f t="shared" ca="1" si="45"/>
        <v>0</v>
      </c>
      <c r="ET19" s="195">
        <f t="shared" ca="1" si="45"/>
        <v>0</v>
      </c>
      <c r="EU19" s="195">
        <f t="shared" ca="1" si="45"/>
        <v>0</v>
      </c>
      <c r="EV19" s="195">
        <f t="shared" ca="1" si="45"/>
        <v>0</v>
      </c>
      <c r="EW19" s="195">
        <f t="shared" ca="1" si="45"/>
        <v>0</v>
      </c>
      <c r="EX19" s="195">
        <f t="shared" ca="1" si="45"/>
        <v>0</v>
      </c>
      <c r="EY19" s="195">
        <f t="shared" ca="1" si="45"/>
        <v>0</v>
      </c>
      <c r="EZ19" s="195">
        <f t="shared" ca="1" si="45"/>
        <v>0</v>
      </c>
      <c r="FA19" s="195">
        <f t="shared" ca="1" si="45"/>
        <v>0</v>
      </c>
      <c r="FB19" s="195">
        <f t="shared" ca="1" si="45"/>
        <v>0</v>
      </c>
      <c r="FC19" s="195">
        <f t="shared" ca="1" si="45"/>
        <v>0</v>
      </c>
      <c r="FD19" s="195">
        <f t="shared" ca="1" si="45"/>
        <v>0</v>
      </c>
      <c r="FE19" s="195">
        <f t="shared" ca="1" si="45"/>
        <v>0</v>
      </c>
      <c r="FF19" s="195">
        <f t="shared" ca="1" si="45"/>
        <v>0</v>
      </c>
      <c r="FG19" s="195">
        <f t="shared" ca="1" si="45"/>
        <v>0</v>
      </c>
      <c r="FH19" s="195">
        <f t="shared" ca="1" si="45"/>
        <v>0</v>
      </c>
      <c r="FI19" s="195">
        <f t="shared" ca="1" si="45"/>
        <v>0</v>
      </c>
      <c r="FJ19" s="195">
        <f t="shared" ca="1" si="45"/>
        <v>0</v>
      </c>
      <c r="FK19" s="195">
        <f t="shared" ca="1" si="45"/>
        <v>0</v>
      </c>
      <c r="FL19" s="195">
        <f t="shared" ca="1" si="45"/>
        <v>0</v>
      </c>
      <c r="FM19" s="195">
        <f t="shared" ca="1" si="45"/>
        <v>0</v>
      </c>
      <c r="FN19" s="195">
        <f t="shared" ca="1" si="45"/>
        <v>0</v>
      </c>
      <c r="FO19" s="195">
        <f t="shared" ca="1" si="45"/>
        <v>0</v>
      </c>
      <c r="FP19" s="195">
        <f t="shared" ca="1" si="45"/>
        <v>0</v>
      </c>
      <c r="FQ19" s="195">
        <f t="shared" ca="1" si="45"/>
        <v>0</v>
      </c>
      <c r="FR19" s="195">
        <f t="shared" ca="1" si="45"/>
        <v>0</v>
      </c>
      <c r="FS19" s="195">
        <f t="shared" ca="1" si="45"/>
        <v>0</v>
      </c>
      <c r="FT19" s="195">
        <f t="shared" ca="1" si="45"/>
        <v>0</v>
      </c>
      <c r="FU19" s="195">
        <f t="shared" ca="1" si="45"/>
        <v>0</v>
      </c>
      <c r="FV19" s="195">
        <f t="shared" ca="1" si="45"/>
        <v>0</v>
      </c>
      <c r="FW19" s="195">
        <f t="shared" ca="1" si="45"/>
        <v>0</v>
      </c>
      <c r="FX19" s="195">
        <f t="shared" ca="1" si="45"/>
        <v>0</v>
      </c>
      <c r="FY19" s="195">
        <f t="shared" ca="1" si="45"/>
        <v>0</v>
      </c>
      <c r="FZ19" s="195">
        <f t="shared" ca="1" si="45"/>
        <v>0</v>
      </c>
      <c r="GA19" s="195">
        <f t="shared" ca="1" si="45"/>
        <v>0</v>
      </c>
      <c r="GB19" s="195">
        <f t="shared" ca="1" si="45"/>
        <v>0</v>
      </c>
      <c r="GC19" s="195">
        <f t="shared" ca="1" si="45"/>
        <v>0</v>
      </c>
      <c r="GD19" s="195">
        <f t="shared" ca="1" si="45"/>
        <v>0</v>
      </c>
      <c r="GE19" s="195">
        <f t="shared" ca="1" si="45"/>
        <v>0</v>
      </c>
      <c r="GF19" s="195">
        <f t="shared" ca="1" si="45"/>
        <v>0</v>
      </c>
      <c r="GG19" s="195">
        <f t="shared" ca="1" si="45"/>
        <v>0</v>
      </c>
      <c r="GH19" s="195">
        <f t="shared" ca="1" si="45"/>
        <v>0</v>
      </c>
      <c r="GI19" s="195">
        <f t="shared" ca="1" si="45"/>
        <v>0</v>
      </c>
      <c r="GJ19" s="195">
        <f t="shared" ca="1" si="45"/>
        <v>0</v>
      </c>
      <c r="GK19" s="195">
        <f t="shared" ca="1" si="45"/>
        <v>0</v>
      </c>
      <c r="GL19" s="195">
        <f t="shared" ca="1" si="45"/>
        <v>0</v>
      </c>
      <c r="GM19" s="195">
        <f t="shared" ca="1" si="45"/>
        <v>0</v>
      </c>
      <c r="GN19" s="195">
        <f t="shared" ca="1" si="45"/>
        <v>0</v>
      </c>
      <c r="GO19" s="195">
        <f t="shared" ca="1" si="45"/>
        <v>0</v>
      </c>
      <c r="GP19" s="195">
        <f t="shared" ca="1" si="45"/>
        <v>0</v>
      </c>
      <c r="GQ19" s="195">
        <f t="shared" ca="1" si="45"/>
        <v>0</v>
      </c>
      <c r="GR19" s="195">
        <f t="shared" ca="1" si="45"/>
        <v>0</v>
      </c>
      <c r="GS19" s="195">
        <f t="shared" ca="1" si="45"/>
        <v>0</v>
      </c>
      <c r="GT19" s="195">
        <f t="shared" ca="1" si="45"/>
        <v>0</v>
      </c>
      <c r="GU19" s="195">
        <f t="shared" ca="1" si="45"/>
        <v>0</v>
      </c>
      <c r="GV19" s="195">
        <f t="shared" ca="1" si="45"/>
        <v>0</v>
      </c>
      <c r="GW19" s="195">
        <f t="shared" ca="1" si="45"/>
        <v>0</v>
      </c>
      <c r="GX19" s="195">
        <f t="shared" ca="1" si="45"/>
        <v>0</v>
      </c>
      <c r="GY19" s="195">
        <f t="shared" ca="1" si="45"/>
        <v>0</v>
      </c>
      <c r="GZ19" s="195">
        <f t="shared" ref="GZ19:IK19" ca="1" si="46">IF(GZ7&lt;$F$17,GZ7,IF(OR(GZ21=1000,GZ105=1000,GZ189=1000,GZ273=1000),GZ7,0))</f>
        <v>0</v>
      </c>
      <c r="HA19" s="195">
        <f t="shared" ca="1" si="46"/>
        <v>0</v>
      </c>
      <c r="HB19" s="195">
        <f t="shared" ca="1" si="46"/>
        <v>0</v>
      </c>
      <c r="HC19" s="195">
        <f t="shared" ca="1" si="46"/>
        <v>0</v>
      </c>
      <c r="HD19" s="195">
        <f t="shared" ca="1" si="46"/>
        <v>0</v>
      </c>
      <c r="HE19" s="195">
        <f t="shared" ca="1" si="46"/>
        <v>0</v>
      </c>
      <c r="HF19" s="195">
        <f t="shared" ca="1" si="46"/>
        <v>0</v>
      </c>
      <c r="HG19" s="195">
        <f t="shared" ca="1" si="46"/>
        <v>0</v>
      </c>
      <c r="HH19" s="195">
        <f t="shared" ca="1" si="46"/>
        <v>0</v>
      </c>
      <c r="HI19" s="195">
        <f t="shared" ca="1" si="46"/>
        <v>0</v>
      </c>
      <c r="HJ19" s="195">
        <f t="shared" ca="1" si="46"/>
        <v>0</v>
      </c>
      <c r="HK19" s="195">
        <f t="shared" ca="1" si="46"/>
        <v>0</v>
      </c>
      <c r="HL19" s="195">
        <f t="shared" ca="1" si="46"/>
        <v>0</v>
      </c>
      <c r="HM19" s="195">
        <f t="shared" ca="1" si="46"/>
        <v>0</v>
      </c>
      <c r="HN19" s="195">
        <f t="shared" ca="1" si="46"/>
        <v>0</v>
      </c>
      <c r="HO19" s="195">
        <f t="shared" ca="1" si="46"/>
        <v>0</v>
      </c>
      <c r="HP19" s="195">
        <f t="shared" ca="1" si="46"/>
        <v>0</v>
      </c>
      <c r="HQ19" s="195">
        <f t="shared" ca="1" si="46"/>
        <v>0</v>
      </c>
      <c r="HR19" s="195">
        <f t="shared" ca="1" si="46"/>
        <v>0</v>
      </c>
      <c r="HS19" s="195">
        <f t="shared" ca="1" si="46"/>
        <v>0</v>
      </c>
      <c r="HT19" s="195">
        <f t="shared" ca="1" si="46"/>
        <v>0</v>
      </c>
      <c r="HU19" s="195">
        <f t="shared" ca="1" si="46"/>
        <v>0</v>
      </c>
      <c r="HV19" s="195">
        <f t="shared" ca="1" si="46"/>
        <v>0</v>
      </c>
      <c r="HW19" s="195">
        <f t="shared" ca="1" si="46"/>
        <v>0</v>
      </c>
      <c r="HX19" s="195">
        <f t="shared" ca="1" si="46"/>
        <v>0</v>
      </c>
      <c r="HY19" s="195">
        <f t="shared" ca="1" si="46"/>
        <v>0</v>
      </c>
      <c r="HZ19" s="195">
        <f t="shared" ca="1" si="46"/>
        <v>0</v>
      </c>
      <c r="IA19" s="195">
        <f t="shared" ca="1" si="46"/>
        <v>0</v>
      </c>
      <c r="IB19" s="195">
        <f t="shared" ca="1" si="46"/>
        <v>0</v>
      </c>
      <c r="IC19" s="195">
        <f t="shared" ca="1" si="46"/>
        <v>0</v>
      </c>
      <c r="ID19" s="195">
        <f t="shared" ca="1" si="46"/>
        <v>0</v>
      </c>
      <c r="IE19" s="195">
        <f t="shared" ca="1" si="46"/>
        <v>0</v>
      </c>
      <c r="IF19" s="195">
        <f t="shared" ca="1" si="46"/>
        <v>0</v>
      </c>
      <c r="IG19" s="195">
        <f t="shared" ca="1" si="46"/>
        <v>0</v>
      </c>
      <c r="IH19" s="195">
        <f t="shared" ca="1" si="46"/>
        <v>0</v>
      </c>
      <c r="II19" s="195">
        <f t="shared" ca="1" si="46"/>
        <v>0</v>
      </c>
      <c r="IJ19" s="195">
        <f t="shared" ca="1" si="46"/>
        <v>0</v>
      </c>
      <c r="IK19" s="195">
        <f t="shared" ca="1" si="46"/>
        <v>0</v>
      </c>
    </row>
    <row r="20" spans="1:245" s="195" customFormat="1" ht="8.25" hidden="1" customHeight="1" x14ac:dyDescent="0.35">
      <c r="H20" s="675">
        <f ca="1">IF(AND(H7&gt;LARGE($H$19:$IK$19,1),H7&lt;LARGE($H$19:$IK$19,1)+1),"x",0)</f>
        <v>0</v>
      </c>
      <c r="I20" s="675">
        <f t="shared" ref="I20:BT20" ca="1" si="47">IF(AND(I7&gt;LARGE($H$19:$IK$19,1),I7&lt;LARGE($H$19:$IK$19,1)+1),"x",0)</f>
        <v>0</v>
      </c>
      <c r="J20" s="675">
        <f t="shared" ca="1" si="47"/>
        <v>0</v>
      </c>
      <c r="K20" s="675">
        <f t="shared" ca="1" si="47"/>
        <v>0</v>
      </c>
      <c r="L20" s="675">
        <f t="shared" ca="1" si="47"/>
        <v>0</v>
      </c>
      <c r="M20" s="675">
        <f t="shared" ca="1" si="47"/>
        <v>0</v>
      </c>
      <c r="N20" s="675">
        <f t="shared" ca="1" si="47"/>
        <v>0</v>
      </c>
      <c r="O20" s="675">
        <f t="shared" ca="1" si="47"/>
        <v>0</v>
      </c>
      <c r="P20" s="675">
        <f t="shared" ca="1" si="47"/>
        <v>0</v>
      </c>
      <c r="Q20" s="675">
        <f t="shared" ca="1" si="47"/>
        <v>0</v>
      </c>
      <c r="R20" s="675">
        <f t="shared" ca="1" si="47"/>
        <v>0</v>
      </c>
      <c r="S20" s="675">
        <f t="shared" ca="1" si="47"/>
        <v>0</v>
      </c>
      <c r="T20" s="675">
        <f t="shared" ca="1" si="47"/>
        <v>0</v>
      </c>
      <c r="U20" s="675">
        <f t="shared" ca="1" si="47"/>
        <v>0</v>
      </c>
      <c r="V20" s="675">
        <f t="shared" ca="1" si="47"/>
        <v>0</v>
      </c>
      <c r="W20" s="675">
        <f t="shared" ca="1" si="47"/>
        <v>0</v>
      </c>
      <c r="X20" s="675">
        <f t="shared" ca="1" si="47"/>
        <v>0</v>
      </c>
      <c r="Y20" s="675">
        <f t="shared" ca="1" si="47"/>
        <v>0</v>
      </c>
      <c r="Z20" s="675">
        <f t="shared" ca="1" si="47"/>
        <v>0</v>
      </c>
      <c r="AA20" s="675">
        <f t="shared" ca="1" si="47"/>
        <v>0</v>
      </c>
      <c r="AB20" s="675">
        <f t="shared" ca="1" si="47"/>
        <v>0</v>
      </c>
      <c r="AC20" s="675">
        <f t="shared" ca="1" si="47"/>
        <v>0</v>
      </c>
      <c r="AD20" s="675">
        <f t="shared" ca="1" si="47"/>
        <v>0</v>
      </c>
      <c r="AE20" s="675">
        <f t="shared" ca="1" si="47"/>
        <v>0</v>
      </c>
      <c r="AF20" s="675">
        <f t="shared" ca="1" si="47"/>
        <v>0</v>
      </c>
      <c r="AG20" s="675">
        <f t="shared" ca="1" si="47"/>
        <v>0</v>
      </c>
      <c r="AH20" s="675">
        <f t="shared" ca="1" si="47"/>
        <v>0</v>
      </c>
      <c r="AI20" s="675">
        <f t="shared" ca="1" si="47"/>
        <v>0</v>
      </c>
      <c r="AJ20" s="675">
        <f t="shared" ca="1" si="47"/>
        <v>0</v>
      </c>
      <c r="AK20" s="675">
        <f t="shared" ca="1" si="47"/>
        <v>0</v>
      </c>
      <c r="AL20" s="675">
        <f t="shared" ca="1" si="47"/>
        <v>0</v>
      </c>
      <c r="AM20" s="675">
        <f t="shared" ca="1" si="47"/>
        <v>0</v>
      </c>
      <c r="AN20" s="675">
        <f t="shared" ca="1" si="47"/>
        <v>0</v>
      </c>
      <c r="AO20" s="675">
        <f t="shared" ca="1" si="47"/>
        <v>0</v>
      </c>
      <c r="AP20" s="675">
        <f t="shared" ca="1" si="47"/>
        <v>0</v>
      </c>
      <c r="AQ20" s="675">
        <f t="shared" ca="1" si="47"/>
        <v>0</v>
      </c>
      <c r="AR20" s="675">
        <f t="shared" ca="1" si="47"/>
        <v>0</v>
      </c>
      <c r="AS20" s="675">
        <f t="shared" ca="1" si="47"/>
        <v>0</v>
      </c>
      <c r="AT20" s="675">
        <f t="shared" ca="1" si="47"/>
        <v>0</v>
      </c>
      <c r="AU20" s="675">
        <f t="shared" ca="1" si="47"/>
        <v>0</v>
      </c>
      <c r="AV20" s="675">
        <f t="shared" ca="1" si="47"/>
        <v>0</v>
      </c>
      <c r="AW20" s="675">
        <f t="shared" ca="1" si="47"/>
        <v>0</v>
      </c>
      <c r="AX20" s="675">
        <f t="shared" ca="1" si="47"/>
        <v>0</v>
      </c>
      <c r="AY20" s="675">
        <f t="shared" ca="1" si="47"/>
        <v>0</v>
      </c>
      <c r="AZ20" s="675">
        <f t="shared" ca="1" si="47"/>
        <v>0</v>
      </c>
      <c r="BA20" s="675">
        <f t="shared" ca="1" si="47"/>
        <v>0</v>
      </c>
      <c r="BB20" s="675">
        <f t="shared" ca="1" si="47"/>
        <v>0</v>
      </c>
      <c r="BC20" s="675">
        <f t="shared" ca="1" si="47"/>
        <v>0</v>
      </c>
      <c r="BD20" s="675">
        <f t="shared" ca="1" si="47"/>
        <v>0</v>
      </c>
      <c r="BE20" s="675">
        <f t="shared" ca="1" si="47"/>
        <v>0</v>
      </c>
      <c r="BF20" s="675">
        <f t="shared" ca="1" si="47"/>
        <v>0</v>
      </c>
      <c r="BG20" s="675">
        <f t="shared" ca="1" si="47"/>
        <v>0</v>
      </c>
      <c r="BH20" s="675">
        <f t="shared" ca="1" si="47"/>
        <v>0</v>
      </c>
      <c r="BI20" s="675">
        <f t="shared" ca="1" si="47"/>
        <v>0</v>
      </c>
      <c r="BJ20" s="675">
        <f t="shared" ca="1" si="47"/>
        <v>0</v>
      </c>
      <c r="BK20" s="675">
        <f t="shared" ca="1" si="47"/>
        <v>0</v>
      </c>
      <c r="BL20" s="675">
        <f t="shared" ca="1" si="47"/>
        <v>0</v>
      </c>
      <c r="BM20" s="675">
        <f t="shared" ca="1" si="47"/>
        <v>0</v>
      </c>
      <c r="BN20" s="675">
        <f t="shared" ca="1" si="47"/>
        <v>0</v>
      </c>
      <c r="BO20" s="675">
        <f t="shared" ca="1" si="47"/>
        <v>0</v>
      </c>
      <c r="BP20" s="675">
        <f t="shared" ca="1" si="47"/>
        <v>0</v>
      </c>
      <c r="BQ20" s="675">
        <f t="shared" ca="1" si="47"/>
        <v>0</v>
      </c>
      <c r="BR20" s="675">
        <f t="shared" ca="1" si="47"/>
        <v>0</v>
      </c>
      <c r="BS20" s="675">
        <f t="shared" ca="1" si="47"/>
        <v>0</v>
      </c>
      <c r="BT20" s="675">
        <f t="shared" ca="1" si="47"/>
        <v>0</v>
      </c>
      <c r="BU20" s="675">
        <f t="shared" ref="BU20:EF20" ca="1" si="48">IF(AND(BU7&gt;LARGE($H$19:$IK$19,1),BU7&lt;LARGE($H$19:$IK$19,1)+1),"x",0)</f>
        <v>0</v>
      </c>
      <c r="BV20" s="675">
        <f t="shared" ca="1" si="48"/>
        <v>0</v>
      </c>
      <c r="BW20" s="675">
        <f t="shared" ca="1" si="48"/>
        <v>0</v>
      </c>
      <c r="BX20" s="675">
        <f t="shared" ca="1" si="48"/>
        <v>0</v>
      </c>
      <c r="BY20" s="675">
        <f t="shared" ca="1" si="48"/>
        <v>0</v>
      </c>
      <c r="BZ20" s="675">
        <f t="shared" ca="1" si="48"/>
        <v>0</v>
      </c>
      <c r="CA20" s="675">
        <f t="shared" ca="1" si="48"/>
        <v>0</v>
      </c>
      <c r="CB20" s="675">
        <f t="shared" ca="1" si="48"/>
        <v>0</v>
      </c>
      <c r="CC20" s="675">
        <f t="shared" ca="1" si="48"/>
        <v>0</v>
      </c>
      <c r="CD20" s="675">
        <f t="shared" ca="1" si="48"/>
        <v>0</v>
      </c>
      <c r="CE20" s="675">
        <f t="shared" ca="1" si="48"/>
        <v>0</v>
      </c>
      <c r="CF20" s="675">
        <f t="shared" ca="1" si="48"/>
        <v>0</v>
      </c>
      <c r="CG20" s="675">
        <f t="shared" ca="1" si="48"/>
        <v>0</v>
      </c>
      <c r="CH20" s="675">
        <f t="shared" ca="1" si="48"/>
        <v>0</v>
      </c>
      <c r="CI20" s="675">
        <f t="shared" ca="1" si="48"/>
        <v>0</v>
      </c>
      <c r="CJ20" s="675">
        <f t="shared" ca="1" si="48"/>
        <v>0</v>
      </c>
      <c r="CK20" s="675">
        <f t="shared" ca="1" si="48"/>
        <v>0</v>
      </c>
      <c r="CL20" s="675">
        <f t="shared" ca="1" si="48"/>
        <v>0</v>
      </c>
      <c r="CM20" s="675">
        <f t="shared" ca="1" si="48"/>
        <v>0</v>
      </c>
      <c r="CN20" s="675">
        <f t="shared" ca="1" si="48"/>
        <v>0</v>
      </c>
      <c r="CO20" s="675">
        <f t="shared" ca="1" si="48"/>
        <v>0</v>
      </c>
      <c r="CP20" s="675">
        <f t="shared" ca="1" si="48"/>
        <v>0</v>
      </c>
      <c r="CQ20" s="675">
        <f t="shared" ca="1" si="48"/>
        <v>0</v>
      </c>
      <c r="CR20" s="675">
        <f t="shared" ca="1" si="48"/>
        <v>0</v>
      </c>
      <c r="CS20" s="675">
        <f t="shared" ca="1" si="48"/>
        <v>0</v>
      </c>
      <c r="CT20" s="675">
        <f t="shared" ca="1" si="48"/>
        <v>0</v>
      </c>
      <c r="CU20" s="675">
        <f t="shared" ca="1" si="48"/>
        <v>0</v>
      </c>
      <c r="CV20" s="675">
        <f t="shared" ca="1" si="48"/>
        <v>0</v>
      </c>
      <c r="CW20" s="675">
        <f t="shared" ca="1" si="48"/>
        <v>0</v>
      </c>
      <c r="CX20" s="675">
        <f t="shared" ca="1" si="48"/>
        <v>0</v>
      </c>
      <c r="CY20" s="675">
        <f t="shared" ca="1" si="48"/>
        <v>0</v>
      </c>
      <c r="CZ20" s="675">
        <f t="shared" ca="1" si="48"/>
        <v>0</v>
      </c>
      <c r="DA20" s="675">
        <f t="shared" ca="1" si="48"/>
        <v>0</v>
      </c>
      <c r="DB20" s="675">
        <f t="shared" ca="1" si="48"/>
        <v>0</v>
      </c>
      <c r="DC20" s="675">
        <f t="shared" ca="1" si="48"/>
        <v>0</v>
      </c>
      <c r="DD20" s="675">
        <f t="shared" ca="1" si="48"/>
        <v>0</v>
      </c>
      <c r="DE20" s="675">
        <f t="shared" ca="1" si="48"/>
        <v>0</v>
      </c>
      <c r="DF20" s="675">
        <f t="shared" ca="1" si="48"/>
        <v>0</v>
      </c>
      <c r="DG20" s="675">
        <f t="shared" ca="1" si="48"/>
        <v>0</v>
      </c>
      <c r="DH20" s="675">
        <f t="shared" ca="1" si="48"/>
        <v>0</v>
      </c>
      <c r="DI20" s="675">
        <f t="shared" ca="1" si="48"/>
        <v>0</v>
      </c>
      <c r="DJ20" s="675">
        <f t="shared" ca="1" si="48"/>
        <v>0</v>
      </c>
      <c r="DK20" s="675">
        <f t="shared" ca="1" si="48"/>
        <v>0</v>
      </c>
      <c r="DL20" s="675">
        <f t="shared" ca="1" si="48"/>
        <v>0</v>
      </c>
      <c r="DM20" s="675">
        <f t="shared" ca="1" si="48"/>
        <v>0</v>
      </c>
      <c r="DN20" s="675">
        <f t="shared" ca="1" si="48"/>
        <v>0</v>
      </c>
      <c r="DO20" s="675">
        <f t="shared" ca="1" si="48"/>
        <v>0</v>
      </c>
      <c r="DP20" s="675">
        <f t="shared" ca="1" si="48"/>
        <v>0</v>
      </c>
      <c r="DQ20" s="675">
        <f t="shared" ca="1" si="48"/>
        <v>0</v>
      </c>
      <c r="DR20" s="675">
        <f t="shared" ca="1" si="48"/>
        <v>0</v>
      </c>
      <c r="DS20" s="675">
        <f t="shared" ca="1" si="48"/>
        <v>0</v>
      </c>
      <c r="DT20" s="675">
        <f t="shared" ca="1" si="48"/>
        <v>0</v>
      </c>
      <c r="DU20" s="675">
        <f t="shared" ca="1" si="48"/>
        <v>0</v>
      </c>
      <c r="DV20" s="675">
        <f t="shared" ca="1" si="48"/>
        <v>0</v>
      </c>
      <c r="DW20" s="675">
        <f t="shared" ca="1" si="48"/>
        <v>0</v>
      </c>
      <c r="DX20" s="675">
        <f t="shared" ca="1" si="48"/>
        <v>0</v>
      </c>
      <c r="DY20" s="675">
        <f t="shared" ca="1" si="48"/>
        <v>0</v>
      </c>
      <c r="DZ20" s="675">
        <f t="shared" ca="1" si="48"/>
        <v>0</v>
      </c>
      <c r="EA20" s="675">
        <f t="shared" ca="1" si="48"/>
        <v>0</v>
      </c>
      <c r="EB20" s="675">
        <f t="shared" ca="1" si="48"/>
        <v>0</v>
      </c>
      <c r="EC20" s="675">
        <f t="shared" ca="1" si="48"/>
        <v>0</v>
      </c>
      <c r="ED20" s="675">
        <f t="shared" ca="1" si="48"/>
        <v>0</v>
      </c>
      <c r="EE20" s="675">
        <f t="shared" ca="1" si="48"/>
        <v>0</v>
      </c>
      <c r="EF20" s="675">
        <f t="shared" ca="1" si="48"/>
        <v>0</v>
      </c>
      <c r="EG20" s="675">
        <f t="shared" ref="EG20:FP20" ca="1" si="49">IF(AND(EG7&gt;LARGE($H$19:$IK$19,1),EG7&lt;LARGE($H$19:$IK$19,1)+1),"x",0)</f>
        <v>0</v>
      </c>
      <c r="EH20" s="675">
        <f t="shared" ca="1" si="49"/>
        <v>0</v>
      </c>
      <c r="EI20" s="675">
        <f t="shared" ca="1" si="49"/>
        <v>0</v>
      </c>
      <c r="EJ20" s="675">
        <f t="shared" ca="1" si="49"/>
        <v>0</v>
      </c>
      <c r="EK20" s="675">
        <f t="shared" ca="1" si="49"/>
        <v>0</v>
      </c>
      <c r="EL20" s="675">
        <f t="shared" ca="1" si="49"/>
        <v>0</v>
      </c>
      <c r="EM20" s="675">
        <f t="shared" ca="1" si="49"/>
        <v>0</v>
      </c>
      <c r="EN20" s="675">
        <f t="shared" ca="1" si="49"/>
        <v>0</v>
      </c>
      <c r="EO20" s="675">
        <f t="shared" ca="1" si="49"/>
        <v>0</v>
      </c>
      <c r="EP20" s="675">
        <f t="shared" ca="1" si="49"/>
        <v>0</v>
      </c>
      <c r="EQ20" s="675">
        <f t="shared" ca="1" si="49"/>
        <v>0</v>
      </c>
      <c r="ER20" s="675">
        <f t="shared" ca="1" si="49"/>
        <v>0</v>
      </c>
      <c r="ES20" s="675">
        <f t="shared" ca="1" si="49"/>
        <v>0</v>
      </c>
      <c r="ET20" s="675">
        <f t="shared" ca="1" si="49"/>
        <v>0</v>
      </c>
      <c r="EU20" s="675">
        <f t="shared" ca="1" si="49"/>
        <v>0</v>
      </c>
      <c r="EV20" s="675">
        <f t="shared" ca="1" si="49"/>
        <v>0</v>
      </c>
      <c r="EW20" s="675">
        <f t="shared" ca="1" si="49"/>
        <v>0</v>
      </c>
      <c r="EX20" s="675">
        <f t="shared" ca="1" si="49"/>
        <v>0</v>
      </c>
      <c r="EY20" s="675">
        <f t="shared" ca="1" si="49"/>
        <v>0</v>
      </c>
      <c r="EZ20" s="675">
        <f t="shared" ca="1" si="49"/>
        <v>0</v>
      </c>
      <c r="FA20" s="675">
        <f t="shared" ca="1" si="49"/>
        <v>0</v>
      </c>
      <c r="FB20" s="675">
        <f t="shared" ca="1" si="49"/>
        <v>0</v>
      </c>
      <c r="FC20" s="675">
        <f t="shared" ca="1" si="49"/>
        <v>0</v>
      </c>
      <c r="FD20" s="675">
        <f t="shared" ca="1" si="49"/>
        <v>0</v>
      </c>
      <c r="FE20" s="675">
        <f t="shared" ca="1" si="49"/>
        <v>0</v>
      </c>
      <c r="FF20" s="675">
        <f t="shared" ca="1" si="49"/>
        <v>0</v>
      </c>
      <c r="FG20" s="675">
        <f t="shared" ca="1" si="49"/>
        <v>0</v>
      </c>
      <c r="FH20" s="675">
        <f t="shared" ca="1" si="49"/>
        <v>0</v>
      </c>
      <c r="FI20" s="675">
        <f t="shared" ca="1" si="49"/>
        <v>0</v>
      </c>
      <c r="FJ20" s="675">
        <f t="shared" ca="1" si="49"/>
        <v>0</v>
      </c>
      <c r="FK20" s="675">
        <f t="shared" ca="1" si="49"/>
        <v>0</v>
      </c>
      <c r="FL20" s="675">
        <f t="shared" ca="1" si="49"/>
        <v>0</v>
      </c>
      <c r="FM20" s="675">
        <f t="shared" ca="1" si="49"/>
        <v>0</v>
      </c>
      <c r="FN20" s="675">
        <f t="shared" ca="1" si="49"/>
        <v>0</v>
      </c>
      <c r="FO20" s="675">
        <f t="shared" ca="1" si="49"/>
        <v>0</v>
      </c>
      <c r="FP20" s="675">
        <f t="shared" ca="1" si="49"/>
        <v>0</v>
      </c>
      <c r="FQ20" s="675">
        <f ca="1">IF(AND(FQ7&gt;LARGE($H$19:$IK$19,1),FQ7&lt;LARGE($H$19:$IK$19,1)+1),"x",0)</f>
        <v>0</v>
      </c>
      <c r="FR20" s="675">
        <f t="shared" ref="FR20:IC20" ca="1" si="50">IF(AND(FR7&gt;LARGE($H$19:$IK$19,1),FR7&lt;LARGE($H$19:$IK$19,1)+1),"x",0)</f>
        <v>0</v>
      </c>
      <c r="FS20" s="675">
        <f t="shared" ca="1" si="50"/>
        <v>0</v>
      </c>
      <c r="FT20" s="675">
        <f t="shared" ca="1" si="50"/>
        <v>0</v>
      </c>
      <c r="FU20" s="675">
        <f t="shared" ca="1" si="50"/>
        <v>0</v>
      </c>
      <c r="FV20" s="675">
        <f t="shared" ca="1" si="50"/>
        <v>0</v>
      </c>
      <c r="FW20" s="675">
        <f t="shared" ca="1" si="50"/>
        <v>0</v>
      </c>
      <c r="FX20" s="675">
        <f t="shared" ca="1" si="50"/>
        <v>0</v>
      </c>
      <c r="FY20" s="675">
        <f t="shared" ca="1" si="50"/>
        <v>0</v>
      </c>
      <c r="FZ20" s="675">
        <f t="shared" ca="1" si="50"/>
        <v>0</v>
      </c>
      <c r="GA20" s="675">
        <f t="shared" ca="1" si="50"/>
        <v>0</v>
      </c>
      <c r="GB20" s="675">
        <f t="shared" ca="1" si="50"/>
        <v>0</v>
      </c>
      <c r="GC20" s="675">
        <f t="shared" ca="1" si="50"/>
        <v>0</v>
      </c>
      <c r="GD20" s="675">
        <f t="shared" ca="1" si="50"/>
        <v>0</v>
      </c>
      <c r="GE20" s="675">
        <f t="shared" ca="1" si="50"/>
        <v>0</v>
      </c>
      <c r="GF20" s="675">
        <f t="shared" ca="1" si="50"/>
        <v>0</v>
      </c>
      <c r="GG20" s="675">
        <f t="shared" ca="1" si="50"/>
        <v>0</v>
      </c>
      <c r="GH20" s="675">
        <f t="shared" ca="1" si="50"/>
        <v>0</v>
      </c>
      <c r="GI20" s="675">
        <f t="shared" ca="1" si="50"/>
        <v>0</v>
      </c>
      <c r="GJ20" s="675">
        <f t="shared" ca="1" si="50"/>
        <v>0</v>
      </c>
      <c r="GK20" s="675">
        <f t="shared" ca="1" si="50"/>
        <v>0</v>
      </c>
      <c r="GL20" s="675">
        <f t="shared" ca="1" si="50"/>
        <v>0</v>
      </c>
      <c r="GM20" s="675">
        <f t="shared" ca="1" si="50"/>
        <v>0</v>
      </c>
      <c r="GN20" s="675">
        <f t="shared" ca="1" si="50"/>
        <v>0</v>
      </c>
      <c r="GO20" s="675">
        <f t="shared" ca="1" si="50"/>
        <v>0</v>
      </c>
      <c r="GP20" s="675">
        <f t="shared" ca="1" si="50"/>
        <v>0</v>
      </c>
      <c r="GQ20" s="675">
        <f t="shared" ca="1" si="50"/>
        <v>0</v>
      </c>
      <c r="GR20" s="675">
        <f t="shared" ca="1" si="50"/>
        <v>0</v>
      </c>
      <c r="GS20" s="675">
        <f t="shared" ca="1" si="50"/>
        <v>0</v>
      </c>
      <c r="GT20" s="675">
        <f t="shared" ca="1" si="50"/>
        <v>0</v>
      </c>
      <c r="GU20" s="675">
        <f t="shared" ca="1" si="50"/>
        <v>0</v>
      </c>
      <c r="GV20" s="675">
        <f t="shared" ca="1" si="50"/>
        <v>0</v>
      </c>
      <c r="GW20" s="675">
        <f t="shared" ca="1" si="50"/>
        <v>0</v>
      </c>
      <c r="GX20" s="675">
        <f t="shared" ca="1" si="50"/>
        <v>0</v>
      </c>
      <c r="GY20" s="675">
        <f t="shared" ca="1" si="50"/>
        <v>0</v>
      </c>
      <c r="GZ20" s="675">
        <f t="shared" ca="1" si="50"/>
        <v>0</v>
      </c>
      <c r="HA20" s="675">
        <f t="shared" ca="1" si="50"/>
        <v>0</v>
      </c>
      <c r="HB20" s="675">
        <f t="shared" ca="1" si="50"/>
        <v>0</v>
      </c>
      <c r="HC20" s="675">
        <f t="shared" ca="1" si="50"/>
        <v>0</v>
      </c>
      <c r="HD20" s="675">
        <f t="shared" ca="1" si="50"/>
        <v>0</v>
      </c>
      <c r="HE20" s="675">
        <f t="shared" ca="1" si="50"/>
        <v>0</v>
      </c>
      <c r="HF20" s="675">
        <f t="shared" ca="1" si="50"/>
        <v>0</v>
      </c>
      <c r="HG20" s="675">
        <f t="shared" ca="1" si="50"/>
        <v>0</v>
      </c>
      <c r="HH20" s="675">
        <f t="shared" ca="1" si="50"/>
        <v>0</v>
      </c>
      <c r="HI20" s="675">
        <f t="shared" ca="1" si="50"/>
        <v>0</v>
      </c>
      <c r="HJ20" s="675">
        <f t="shared" ca="1" si="50"/>
        <v>0</v>
      </c>
      <c r="HK20" s="675">
        <f t="shared" ca="1" si="50"/>
        <v>0</v>
      </c>
      <c r="HL20" s="675">
        <f t="shared" ca="1" si="50"/>
        <v>0</v>
      </c>
      <c r="HM20" s="675">
        <f t="shared" ca="1" si="50"/>
        <v>0</v>
      </c>
      <c r="HN20" s="675">
        <f t="shared" ca="1" si="50"/>
        <v>0</v>
      </c>
      <c r="HO20" s="675">
        <f t="shared" ca="1" si="50"/>
        <v>0</v>
      </c>
      <c r="HP20" s="675">
        <f t="shared" ca="1" si="50"/>
        <v>0</v>
      </c>
      <c r="HQ20" s="675">
        <f t="shared" ca="1" si="50"/>
        <v>0</v>
      </c>
      <c r="HR20" s="675">
        <f t="shared" ca="1" si="50"/>
        <v>0</v>
      </c>
      <c r="HS20" s="675">
        <f t="shared" ca="1" si="50"/>
        <v>0</v>
      </c>
      <c r="HT20" s="675">
        <f t="shared" ca="1" si="50"/>
        <v>0</v>
      </c>
      <c r="HU20" s="675">
        <f t="shared" ca="1" si="50"/>
        <v>0</v>
      </c>
      <c r="HV20" s="675">
        <f t="shared" ca="1" si="50"/>
        <v>0</v>
      </c>
      <c r="HW20" s="675">
        <f t="shared" ca="1" si="50"/>
        <v>0</v>
      </c>
      <c r="HX20" s="675">
        <f t="shared" ca="1" si="50"/>
        <v>0</v>
      </c>
      <c r="HY20" s="675">
        <f t="shared" ca="1" si="50"/>
        <v>0</v>
      </c>
      <c r="HZ20" s="675">
        <f t="shared" ca="1" si="50"/>
        <v>0</v>
      </c>
      <c r="IA20" s="675">
        <f t="shared" ca="1" si="50"/>
        <v>0</v>
      </c>
      <c r="IB20" s="675">
        <f t="shared" ca="1" si="50"/>
        <v>0</v>
      </c>
      <c r="IC20" s="675">
        <f t="shared" ca="1" si="50"/>
        <v>0</v>
      </c>
      <c r="ID20" s="675">
        <f t="shared" ref="ID20:IK20" ca="1" si="51">IF(AND(ID7&gt;LARGE($H$19:$IK$19,1),ID7&lt;LARGE($H$19:$IK$19,1)+1),"x",0)</f>
        <v>0</v>
      </c>
      <c r="IE20" s="675">
        <f t="shared" ca="1" si="51"/>
        <v>0</v>
      </c>
      <c r="IF20" s="675">
        <f t="shared" ca="1" si="51"/>
        <v>0</v>
      </c>
      <c r="IG20" s="675">
        <f t="shared" ca="1" si="51"/>
        <v>0</v>
      </c>
      <c r="IH20" s="675">
        <f t="shared" ca="1" si="51"/>
        <v>0</v>
      </c>
      <c r="II20" s="675">
        <f t="shared" ca="1" si="51"/>
        <v>0</v>
      </c>
      <c r="IJ20" s="675">
        <f t="shared" ca="1" si="51"/>
        <v>0</v>
      </c>
      <c r="IK20" s="675">
        <f t="shared" ca="1" si="51"/>
        <v>0</v>
      </c>
    </row>
    <row r="21" spans="1:245" ht="7.5" customHeight="1" x14ac:dyDescent="0.35">
      <c r="A21" s="195" t="str">
        <f>IF(B21=0,0,"XXX")</f>
        <v>XXX</v>
      </c>
      <c r="B21" s="1967" t="str">
        <f>IF(ENTRADAS!$F$22=0,0,"1.1")</f>
        <v>1.1</v>
      </c>
      <c r="C21" s="1969" t="str">
        <f>IF(ENTRADAS!$F$22=0,0,"EXECUÇÃO DO TANQUE "&amp;D43)</f>
        <v>EXECUÇÃO DO TANQUE 1</v>
      </c>
      <c r="D21" s="358" t="str">
        <f>IF(ENTRADAS!$F$22=0,0,"início:")</f>
        <v>início:</v>
      </c>
      <c r="E21" s="359">
        <f ca="1">IF(ENTRADAS!$F$22=0,0,D45)</f>
        <v>45919</v>
      </c>
      <c r="F21" s="1971">
        <f ca="1">COUNTIF(H21:IK22,1000)</f>
        <v>55</v>
      </c>
      <c r="G21" s="1973" t="str">
        <f>IF(ENTRADAS!$F$22=0,0,"dias")</f>
        <v>dias</v>
      </c>
      <c r="H21" s="1953">
        <f ca="1">IF(OR(H33+H35+H37&gt;=10,H88=1000),1000,0)</f>
        <v>0</v>
      </c>
      <c r="I21" s="1955">
        <f ca="1">IF(OR(I33+I35+I37&gt;=10,I88=1000),1000,0)</f>
        <v>0</v>
      </c>
      <c r="J21" s="1955">
        <f t="shared" ref="J21:BK21" ca="1" si="52">IF(OR(J33+J35+J37&gt;=10,J88=1000),1000,0)</f>
        <v>0</v>
      </c>
      <c r="K21" s="1955">
        <f t="shared" ca="1" si="52"/>
        <v>0</v>
      </c>
      <c r="L21" s="1955">
        <f t="shared" ca="1" si="52"/>
        <v>0</v>
      </c>
      <c r="M21" s="1955">
        <f t="shared" ca="1" si="52"/>
        <v>1000</v>
      </c>
      <c r="N21" s="1951">
        <f t="shared" ca="1" si="52"/>
        <v>1000</v>
      </c>
      <c r="O21" s="1953">
        <f t="shared" ca="1" si="52"/>
        <v>1000</v>
      </c>
      <c r="P21" s="1955">
        <f t="shared" ca="1" si="52"/>
        <v>1000</v>
      </c>
      <c r="Q21" s="1955">
        <f t="shared" ca="1" si="52"/>
        <v>1000</v>
      </c>
      <c r="R21" s="1955">
        <f t="shared" ca="1" si="52"/>
        <v>1000</v>
      </c>
      <c r="S21" s="1955">
        <f t="shared" ca="1" si="52"/>
        <v>1000</v>
      </c>
      <c r="T21" s="1955">
        <f t="shared" ca="1" si="52"/>
        <v>1000</v>
      </c>
      <c r="U21" s="1951">
        <f t="shared" ca="1" si="52"/>
        <v>1000</v>
      </c>
      <c r="V21" s="1953">
        <f t="shared" ca="1" si="52"/>
        <v>1000</v>
      </c>
      <c r="W21" s="1955">
        <f t="shared" ca="1" si="52"/>
        <v>1000</v>
      </c>
      <c r="X21" s="1955">
        <f t="shared" ca="1" si="52"/>
        <v>1000</v>
      </c>
      <c r="Y21" s="1955">
        <f t="shared" ca="1" si="52"/>
        <v>1000</v>
      </c>
      <c r="Z21" s="1955">
        <f t="shared" ca="1" si="52"/>
        <v>1000</v>
      </c>
      <c r="AA21" s="1955">
        <f t="shared" ca="1" si="52"/>
        <v>1000</v>
      </c>
      <c r="AB21" s="1951">
        <f t="shared" ca="1" si="52"/>
        <v>1000</v>
      </c>
      <c r="AC21" s="1953">
        <f t="shared" ca="1" si="52"/>
        <v>1000</v>
      </c>
      <c r="AD21" s="1955">
        <f t="shared" ca="1" si="52"/>
        <v>1000</v>
      </c>
      <c r="AE21" s="1955">
        <f t="shared" ca="1" si="52"/>
        <v>1000</v>
      </c>
      <c r="AF21" s="1955">
        <f t="shared" ca="1" si="52"/>
        <v>1000</v>
      </c>
      <c r="AG21" s="1955">
        <f t="shared" ca="1" si="52"/>
        <v>1000</v>
      </c>
      <c r="AH21" s="1955">
        <f t="shared" ca="1" si="52"/>
        <v>1000</v>
      </c>
      <c r="AI21" s="1951">
        <f t="shared" ca="1" si="52"/>
        <v>1000</v>
      </c>
      <c r="AJ21" s="1953">
        <f t="shared" ca="1" si="52"/>
        <v>1000</v>
      </c>
      <c r="AK21" s="1955">
        <f t="shared" ca="1" si="52"/>
        <v>1000</v>
      </c>
      <c r="AL21" s="1955">
        <f t="shared" ca="1" si="52"/>
        <v>1000</v>
      </c>
      <c r="AM21" s="1955">
        <f t="shared" ca="1" si="52"/>
        <v>1000</v>
      </c>
      <c r="AN21" s="1955">
        <f t="shared" ca="1" si="52"/>
        <v>1000</v>
      </c>
      <c r="AO21" s="1955">
        <f t="shared" ca="1" si="52"/>
        <v>1000</v>
      </c>
      <c r="AP21" s="1951">
        <f t="shared" ca="1" si="52"/>
        <v>1000</v>
      </c>
      <c r="AQ21" s="1953">
        <f t="shared" ca="1" si="52"/>
        <v>1000</v>
      </c>
      <c r="AR21" s="1955">
        <f t="shared" ca="1" si="52"/>
        <v>1000</v>
      </c>
      <c r="AS21" s="1955">
        <f t="shared" ca="1" si="52"/>
        <v>1000</v>
      </c>
      <c r="AT21" s="1955">
        <f t="shared" ca="1" si="52"/>
        <v>1000</v>
      </c>
      <c r="AU21" s="1955">
        <f t="shared" ca="1" si="52"/>
        <v>1000</v>
      </c>
      <c r="AV21" s="1955">
        <f t="shared" ca="1" si="52"/>
        <v>1000</v>
      </c>
      <c r="AW21" s="1951">
        <f t="shared" ca="1" si="52"/>
        <v>1000</v>
      </c>
      <c r="AX21" s="1953">
        <f t="shared" ca="1" si="52"/>
        <v>1000</v>
      </c>
      <c r="AY21" s="1955">
        <f t="shared" ca="1" si="52"/>
        <v>1000</v>
      </c>
      <c r="AZ21" s="1955">
        <f t="shared" ca="1" si="52"/>
        <v>1000</v>
      </c>
      <c r="BA21" s="1955">
        <f t="shared" ca="1" si="52"/>
        <v>1000</v>
      </c>
      <c r="BB21" s="1955">
        <f t="shared" ca="1" si="52"/>
        <v>1000</v>
      </c>
      <c r="BC21" s="1955">
        <f t="shared" ca="1" si="52"/>
        <v>1000</v>
      </c>
      <c r="BD21" s="1951">
        <f t="shared" ca="1" si="52"/>
        <v>1000</v>
      </c>
      <c r="BE21" s="1953">
        <f t="shared" ca="1" si="52"/>
        <v>1000</v>
      </c>
      <c r="BF21" s="1955">
        <f t="shared" ca="1" si="52"/>
        <v>1000</v>
      </c>
      <c r="BG21" s="1955">
        <f t="shared" ca="1" si="52"/>
        <v>1000</v>
      </c>
      <c r="BH21" s="1955">
        <f t="shared" ca="1" si="52"/>
        <v>1000</v>
      </c>
      <c r="BI21" s="1955">
        <f t="shared" ca="1" si="52"/>
        <v>1000</v>
      </c>
      <c r="BJ21" s="1955">
        <f t="shared" ca="1" si="52"/>
        <v>1000</v>
      </c>
      <c r="BK21" s="1951">
        <f t="shared" ca="1" si="52"/>
        <v>1000</v>
      </c>
      <c r="BL21" s="1953">
        <f t="shared" ref="BL21:DW21" ca="1" si="53">IF(OR(BL33+BL35+BL37&gt;=10,BL88=1000),1000,0)</f>
        <v>1000</v>
      </c>
      <c r="BM21" s="1955">
        <f t="shared" ca="1" si="53"/>
        <v>1000</v>
      </c>
      <c r="BN21" s="1955">
        <f t="shared" ca="1" si="53"/>
        <v>1000</v>
      </c>
      <c r="BO21" s="1955">
        <f t="shared" ca="1" si="53"/>
        <v>1000</v>
      </c>
      <c r="BP21" s="1955">
        <f t="shared" ca="1" si="53"/>
        <v>0</v>
      </c>
      <c r="BQ21" s="1955">
        <f t="shared" ca="1" si="53"/>
        <v>0</v>
      </c>
      <c r="BR21" s="1951">
        <f t="shared" ca="1" si="53"/>
        <v>0</v>
      </c>
      <c r="BS21" s="1953">
        <f t="shared" ca="1" si="53"/>
        <v>0</v>
      </c>
      <c r="BT21" s="1955">
        <f t="shared" ca="1" si="53"/>
        <v>0</v>
      </c>
      <c r="BU21" s="1955">
        <f t="shared" ca="1" si="53"/>
        <v>0</v>
      </c>
      <c r="BV21" s="1955">
        <f t="shared" ca="1" si="53"/>
        <v>0</v>
      </c>
      <c r="BW21" s="1955">
        <f t="shared" ca="1" si="53"/>
        <v>0</v>
      </c>
      <c r="BX21" s="1955">
        <f t="shared" ca="1" si="53"/>
        <v>0</v>
      </c>
      <c r="BY21" s="1951">
        <f t="shared" ca="1" si="53"/>
        <v>0</v>
      </c>
      <c r="BZ21" s="1953">
        <f t="shared" ca="1" si="53"/>
        <v>0</v>
      </c>
      <c r="CA21" s="1955">
        <f t="shared" ca="1" si="53"/>
        <v>0</v>
      </c>
      <c r="CB21" s="1955">
        <f t="shared" ca="1" si="53"/>
        <v>0</v>
      </c>
      <c r="CC21" s="1955">
        <f t="shared" ca="1" si="53"/>
        <v>0</v>
      </c>
      <c r="CD21" s="1955">
        <f t="shared" ca="1" si="53"/>
        <v>0</v>
      </c>
      <c r="CE21" s="1955">
        <f t="shared" ca="1" si="53"/>
        <v>0</v>
      </c>
      <c r="CF21" s="1951">
        <f t="shared" ca="1" si="53"/>
        <v>0</v>
      </c>
      <c r="CG21" s="1953">
        <f t="shared" ca="1" si="53"/>
        <v>0</v>
      </c>
      <c r="CH21" s="1955">
        <f t="shared" ca="1" si="53"/>
        <v>0</v>
      </c>
      <c r="CI21" s="1955">
        <f t="shared" ca="1" si="53"/>
        <v>0</v>
      </c>
      <c r="CJ21" s="1955">
        <f t="shared" ca="1" si="53"/>
        <v>0</v>
      </c>
      <c r="CK21" s="1955">
        <f t="shared" ca="1" si="53"/>
        <v>0</v>
      </c>
      <c r="CL21" s="1955">
        <f t="shared" ca="1" si="53"/>
        <v>0</v>
      </c>
      <c r="CM21" s="1951">
        <f t="shared" ca="1" si="53"/>
        <v>0</v>
      </c>
      <c r="CN21" s="1953">
        <f t="shared" ca="1" si="53"/>
        <v>0</v>
      </c>
      <c r="CO21" s="1955">
        <f t="shared" ca="1" si="53"/>
        <v>0</v>
      </c>
      <c r="CP21" s="1955">
        <f t="shared" ca="1" si="53"/>
        <v>0</v>
      </c>
      <c r="CQ21" s="1955">
        <f t="shared" ca="1" si="53"/>
        <v>0</v>
      </c>
      <c r="CR21" s="1955">
        <f t="shared" ca="1" si="53"/>
        <v>0</v>
      </c>
      <c r="CS21" s="1955">
        <f t="shared" ca="1" si="53"/>
        <v>0</v>
      </c>
      <c r="CT21" s="1951">
        <f t="shared" ca="1" si="53"/>
        <v>0</v>
      </c>
      <c r="CU21" s="1953">
        <f t="shared" ca="1" si="53"/>
        <v>0</v>
      </c>
      <c r="CV21" s="1955">
        <f t="shared" ca="1" si="53"/>
        <v>0</v>
      </c>
      <c r="CW21" s="1955">
        <f t="shared" ca="1" si="53"/>
        <v>0</v>
      </c>
      <c r="CX21" s="1955">
        <f t="shared" ca="1" si="53"/>
        <v>0</v>
      </c>
      <c r="CY21" s="1955">
        <f t="shared" ca="1" si="53"/>
        <v>0</v>
      </c>
      <c r="CZ21" s="1955">
        <f t="shared" ca="1" si="53"/>
        <v>0</v>
      </c>
      <c r="DA21" s="1951">
        <f t="shared" ca="1" si="53"/>
        <v>0</v>
      </c>
      <c r="DB21" s="1953">
        <f t="shared" ca="1" si="53"/>
        <v>0</v>
      </c>
      <c r="DC21" s="1955">
        <f t="shared" ca="1" si="53"/>
        <v>0</v>
      </c>
      <c r="DD21" s="1955">
        <f t="shared" ca="1" si="53"/>
        <v>0</v>
      </c>
      <c r="DE21" s="1955">
        <f t="shared" ca="1" si="53"/>
        <v>0</v>
      </c>
      <c r="DF21" s="1955">
        <f t="shared" ca="1" si="53"/>
        <v>0</v>
      </c>
      <c r="DG21" s="1955">
        <f t="shared" ca="1" si="53"/>
        <v>0</v>
      </c>
      <c r="DH21" s="1951">
        <f t="shared" ca="1" si="53"/>
        <v>0</v>
      </c>
      <c r="DI21" s="1953">
        <f t="shared" ca="1" si="53"/>
        <v>0</v>
      </c>
      <c r="DJ21" s="1955">
        <f t="shared" ca="1" si="53"/>
        <v>0</v>
      </c>
      <c r="DK21" s="1955">
        <f t="shared" ca="1" si="53"/>
        <v>0</v>
      </c>
      <c r="DL21" s="1955">
        <f t="shared" ca="1" si="53"/>
        <v>0</v>
      </c>
      <c r="DM21" s="1955">
        <f t="shared" ca="1" si="53"/>
        <v>0</v>
      </c>
      <c r="DN21" s="1955">
        <f t="shared" ca="1" si="53"/>
        <v>0</v>
      </c>
      <c r="DO21" s="1951">
        <f t="shared" ca="1" si="53"/>
        <v>0</v>
      </c>
      <c r="DP21" s="1953">
        <f t="shared" ca="1" si="53"/>
        <v>0</v>
      </c>
      <c r="DQ21" s="1955">
        <f t="shared" ca="1" si="53"/>
        <v>0</v>
      </c>
      <c r="DR21" s="1955">
        <f t="shared" ca="1" si="53"/>
        <v>0</v>
      </c>
      <c r="DS21" s="1955">
        <f t="shared" ca="1" si="53"/>
        <v>0</v>
      </c>
      <c r="DT21" s="1955">
        <f t="shared" ca="1" si="53"/>
        <v>0</v>
      </c>
      <c r="DU21" s="1955">
        <f t="shared" ca="1" si="53"/>
        <v>0</v>
      </c>
      <c r="DV21" s="1951">
        <f t="shared" ca="1" si="53"/>
        <v>0</v>
      </c>
      <c r="DW21" s="1953">
        <f t="shared" ca="1" si="53"/>
        <v>0</v>
      </c>
      <c r="DX21" s="1955">
        <f t="shared" ref="DX21:GI21" ca="1" si="54">IF(OR(DX33+DX35+DX37&gt;=10,DX88=1000),1000,0)</f>
        <v>0</v>
      </c>
      <c r="DY21" s="1955">
        <f t="shared" ca="1" si="54"/>
        <v>0</v>
      </c>
      <c r="DZ21" s="1955">
        <f t="shared" ca="1" si="54"/>
        <v>0</v>
      </c>
      <c r="EA21" s="1955">
        <f t="shared" ca="1" si="54"/>
        <v>0</v>
      </c>
      <c r="EB21" s="1955">
        <f t="shared" ca="1" si="54"/>
        <v>0</v>
      </c>
      <c r="EC21" s="1951">
        <f t="shared" ca="1" si="54"/>
        <v>0</v>
      </c>
      <c r="ED21" s="1953">
        <f t="shared" ca="1" si="54"/>
        <v>0</v>
      </c>
      <c r="EE21" s="1955">
        <f t="shared" ca="1" si="54"/>
        <v>0</v>
      </c>
      <c r="EF21" s="1955">
        <f t="shared" ca="1" si="54"/>
        <v>0</v>
      </c>
      <c r="EG21" s="1955">
        <f t="shared" ca="1" si="54"/>
        <v>0</v>
      </c>
      <c r="EH21" s="1955">
        <f t="shared" ca="1" si="54"/>
        <v>0</v>
      </c>
      <c r="EI21" s="1955">
        <f t="shared" ca="1" si="54"/>
        <v>0</v>
      </c>
      <c r="EJ21" s="1951">
        <f t="shared" ca="1" si="54"/>
        <v>0</v>
      </c>
      <c r="EK21" s="1953">
        <f t="shared" ca="1" si="54"/>
        <v>0</v>
      </c>
      <c r="EL21" s="1955">
        <f t="shared" ca="1" si="54"/>
        <v>0</v>
      </c>
      <c r="EM21" s="1955">
        <f t="shared" ca="1" si="54"/>
        <v>0</v>
      </c>
      <c r="EN21" s="1955">
        <f t="shared" ca="1" si="54"/>
        <v>0</v>
      </c>
      <c r="EO21" s="1955">
        <f t="shared" ca="1" si="54"/>
        <v>0</v>
      </c>
      <c r="EP21" s="1955">
        <f t="shared" ca="1" si="54"/>
        <v>0</v>
      </c>
      <c r="EQ21" s="1951">
        <f t="shared" ca="1" si="54"/>
        <v>0</v>
      </c>
      <c r="ER21" s="1953">
        <f t="shared" ca="1" si="54"/>
        <v>0</v>
      </c>
      <c r="ES21" s="1955">
        <f t="shared" ca="1" si="54"/>
        <v>0</v>
      </c>
      <c r="ET21" s="1955">
        <f t="shared" ca="1" si="54"/>
        <v>0</v>
      </c>
      <c r="EU21" s="1955">
        <f t="shared" ca="1" si="54"/>
        <v>0</v>
      </c>
      <c r="EV21" s="1955">
        <f t="shared" ca="1" si="54"/>
        <v>0</v>
      </c>
      <c r="EW21" s="1955">
        <f t="shared" ca="1" si="54"/>
        <v>0</v>
      </c>
      <c r="EX21" s="1951">
        <f t="shared" ca="1" si="54"/>
        <v>0</v>
      </c>
      <c r="EY21" s="1953">
        <f t="shared" ca="1" si="54"/>
        <v>0</v>
      </c>
      <c r="EZ21" s="1955">
        <f t="shared" ca="1" si="54"/>
        <v>0</v>
      </c>
      <c r="FA21" s="1955">
        <f t="shared" ca="1" si="54"/>
        <v>0</v>
      </c>
      <c r="FB21" s="1955">
        <f t="shared" ca="1" si="54"/>
        <v>0</v>
      </c>
      <c r="FC21" s="1955">
        <f t="shared" ca="1" si="54"/>
        <v>0</v>
      </c>
      <c r="FD21" s="1955">
        <f t="shared" ca="1" si="54"/>
        <v>0</v>
      </c>
      <c r="FE21" s="1951">
        <f t="shared" ca="1" si="54"/>
        <v>0</v>
      </c>
      <c r="FF21" s="1953">
        <f t="shared" ca="1" si="54"/>
        <v>0</v>
      </c>
      <c r="FG21" s="1955">
        <f t="shared" ca="1" si="54"/>
        <v>0</v>
      </c>
      <c r="FH21" s="1955">
        <f t="shared" ca="1" si="54"/>
        <v>0</v>
      </c>
      <c r="FI21" s="1955">
        <f t="shared" ca="1" si="54"/>
        <v>0</v>
      </c>
      <c r="FJ21" s="1955">
        <f t="shared" ca="1" si="54"/>
        <v>0</v>
      </c>
      <c r="FK21" s="1955">
        <f t="shared" ca="1" si="54"/>
        <v>0</v>
      </c>
      <c r="FL21" s="1951">
        <f t="shared" ca="1" si="54"/>
        <v>0</v>
      </c>
      <c r="FM21" s="1953">
        <f t="shared" ca="1" si="54"/>
        <v>0</v>
      </c>
      <c r="FN21" s="1955">
        <f t="shared" ca="1" si="54"/>
        <v>0</v>
      </c>
      <c r="FO21" s="1955">
        <f t="shared" ca="1" si="54"/>
        <v>0</v>
      </c>
      <c r="FP21" s="1955">
        <f t="shared" ca="1" si="54"/>
        <v>0</v>
      </c>
      <c r="FQ21" s="1955">
        <f t="shared" ca="1" si="54"/>
        <v>0</v>
      </c>
      <c r="FR21" s="1955">
        <f t="shared" ca="1" si="54"/>
        <v>0</v>
      </c>
      <c r="FS21" s="1951">
        <f t="shared" ca="1" si="54"/>
        <v>0</v>
      </c>
      <c r="FT21" s="1953">
        <f t="shared" ca="1" si="54"/>
        <v>0</v>
      </c>
      <c r="FU21" s="1955">
        <f t="shared" ca="1" si="54"/>
        <v>0</v>
      </c>
      <c r="FV21" s="1955">
        <f t="shared" ca="1" si="54"/>
        <v>0</v>
      </c>
      <c r="FW21" s="1955">
        <f t="shared" ca="1" si="54"/>
        <v>0</v>
      </c>
      <c r="FX21" s="1955">
        <f t="shared" ca="1" si="54"/>
        <v>0</v>
      </c>
      <c r="FY21" s="1955">
        <f t="shared" ca="1" si="54"/>
        <v>0</v>
      </c>
      <c r="FZ21" s="1951">
        <f t="shared" ca="1" si="54"/>
        <v>0</v>
      </c>
      <c r="GA21" s="1953">
        <f t="shared" ca="1" si="54"/>
        <v>0</v>
      </c>
      <c r="GB21" s="1955">
        <f t="shared" ca="1" si="54"/>
        <v>0</v>
      </c>
      <c r="GC21" s="1955">
        <f t="shared" ca="1" si="54"/>
        <v>0</v>
      </c>
      <c r="GD21" s="1955">
        <f t="shared" ca="1" si="54"/>
        <v>0</v>
      </c>
      <c r="GE21" s="1955">
        <f t="shared" ca="1" si="54"/>
        <v>0</v>
      </c>
      <c r="GF21" s="1955">
        <f t="shared" ca="1" si="54"/>
        <v>0</v>
      </c>
      <c r="GG21" s="1951">
        <f t="shared" ca="1" si="54"/>
        <v>0</v>
      </c>
      <c r="GH21" s="1953">
        <f t="shared" ca="1" si="54"/>
        <v>0</v>
      </c>
      <c r="GI21" s="1955">
        <f t="shared" ca="1" si="54"/>
        <v>0</v>
      </c>
      <c r="GJ21" s="1955">
        <f t="shared" ref="GJ21:IK21" ca="1" si="55">IF(OR(GJ33+GJ35+GJ37&gt;=10,GJ88=1000),1000,0)</f>
        <v>0</v>
      </c>
      <c r="GK21" s="1955">
        <f t="shared" ca="1" si="55"/>
        <v>0</v>
      </c>
      <c r="GL21" s="1955">
        <f t="shared" ca="1" si="55"/>
        <v>0</v>
      </c>
      <c r="GM21" s="1955">
        <f t="shared" ca="1" si="55"/>
        <v>0</v>
      </c>
      <c r="GN21" s="1951">
        <f t="shared" ca="1" si="55"/>
        <v>0</v>
      </c>
      <c r="GO21" s="1953">
        <f t="shared" ca="1" si="55"/>
        <v>0</v>
      </c>
      <c r="GP21" s="1955">
        <f t="shared" ca="1" si="55"/>
        <v>0</v>
      </c>
      <c r="GQ21" s="1955">
        <f t="shared" ca="1" si="55"/>
        <v>0</v>
      </c>
      <c r="GR21" s="1955">
        <f t="shared" ca="1" si="55"/>
        <v>0</v>
      </c>
      <c r="GS21" s="1955">
        <f t="shared" ca="1" si="55"/>
        <v>0</v>
      </c>
      <c r="GT21" s="1955">
        <f t="shared" ca="1" si="55"/>
        <v>0</v>
      </c>
      <c r="GU21" s="1951">
        <f t="shared" ca="1" si="55"/>
        <v>0</v>
      </c>
      <c r="GV21" s="1953">
        <f t="shared" ca="1" si="55"/>
        <v>0</v>
      </c>
      <c r="GW21" s="1955">
        <f t="shared" ca="1" si="55"/>
        <v>0</v>
      </c>
      <c r="GX21" s="1955">
        <f t="shared" ca="1" si="55"/>
        <v>0</v>
      </c>
      <c r="GY21" s="1955">
        <f t="shared" ca="1" si="55"/>
        <v>0</v>
      </c>
      <c r="GZ21" s="1955">
        <f t="shared" ca="1" si="55"/>
        <v>0</v>
      </c>
      <c r="HA21" s="1955">
        <f t="shared" ca="1" si="55"/>
        <v>0</v>
      </c>
      <c r="HB21" s="1951">
        <f t="shared" ca="1" si="55"/>
        <v>0</v>
      </c>
      <c r="HC21" s="1953">
        <f t="shared" ca="1" si="55"/>
        <v>0</v>
      </c>
      <c r="HD21" s="1955">
        <f t="shared" ca="1" si="55"/>
        <v>0</v>
      </c>
      <c r="HE21" s="1955">
        <f t="shared" ca="1" si="55"/>
        <v>0</v>
      </c>
      <c r="HF21" s="1955">
        <f t="shared" ca="1" si="55"/>
        <v>0</v>
      </c>
      <c r="HG21" s="1955">
        <f t="shared" ca="1" si="55"/>
        <v>0</v>
      </c>
      <c r="HH21" s="1955">
        <f t="shared" ca="1" si="55"/>
        <v>0</v>
      </c>
      <c r="HI21" s="1951">
        <f t="shared" ca="1" si="55"/>
        <v>0</v>
      </c>
      <c r="HJ21" s="1953">
        <f t="shared" ca="1" si="55"/>
        <v>0</v>
      </c>
      <c r="HK21" s="1955">
        <f t="shared" ca="1" si="55"/>
        <v>0</v>
      </c>
      <c r="HL21" s="1955">
        <f t="shared" ca="1" si="55"/>
        <v>0</v>
      </c>
      <c r="HM21" s="1955">
        <f t="shared" ca="1" si="55"/>
        <v>0</v>
      </c>
      <c r="HN21" s="1955">
        <f t="shared" ca="1" si="55"/>
        <v>0</v>
      </c>
      <c r="HO21" s="1955">
        <f t="shared" ca="1" si="55"/>
        <v>0</v>
      </c>
      <c r="HP21" s="1951">
        <f t="shared" ca="1" si="55"/>
        <v>0</v>
      </c>
      <c r="HQ21" s="1953">
        <f t="shared" ca="1" si="55"/>
        <v>0</v>
      </c>
      <c r="HR21" s="1955">
        <f t="shared" ca="1" si="55"/>
        <v>0</v>
      </c>
      <c r="HS21" s="1955">
        <f t="shared" ca="1" si="55"/>
        <v>0</v>
      </c>
      <c r="HT21" s="1955">
        <f t="shared" ca="1" si="55"/>
        <v>0</v>
      </c>
      <c r="HU21" s="1955">
        <f t="shared" ca="1" si="55"/>
        <v>0</v>
      </c>
      <c r="HV21" s="1955">
        <f t="shared" ca="1" si="55"/>
        <v>0</v>
      </c>
      <c r="HW21" s="1951">
        <f t="shared" ca="1" si="55"/>
        <v>0</v>
      </c>
      <c r="HX21" s="1953">
        <f t="shared" ca="1" si="55"/>
        <v>0</v>
      </c>
      <c r="HY21" s="1955">
        <f t="shared" ca="1" si="55"/>
        <v>0</v>
      </c>
      <c r="HZ21" s="1955">
        <f t="shared" ca="1" si="55"/>
        <v>0</v>
      </c>
      <c r="IA21" s="1955">
        <f t="shared" ca="1" si="55"/>
        <v>0</v>
      </c>
      <c r="IB21" s="1955">
        <f t="shared" ca="1" si="55"/>
        <v>0</v>
      </c>
      <c r="IC21" s="1955">
        <f t="shared" ca="1" si="55"/>
        <v>0</v>
      </c>
      <c r="ID21" s="1951">
        <f t="shared" ca="1" si="55"/>
        <v>0</v>
      </c>
      <c r="IE21" s="1953">
        <f t="shared" ca="1" si="55"/>
        <v>0</v>
      </c>
      <c r="IF21" s="1955">
        <f t="shared" ca="1" si="55"/>
        <v>0</v>
      </c>
      <c r="IG21" s="1955">
        <f t="shared" ca="1" si="55"/>
        <v>0</v>
      </c>
      <c r="IH21" s="1955">
        <f t="shared" ca="1" si="55"/>
        <v>0</v>
      </c>
      <c r="II21" s="1955">
        <f t="shared" ca="1" si="55"/>
        <v>0</v>
      </c>
      <c r="IJ21" s="1955">
        <f t="shared" ca="1" si="55"/>
        <v>0</v>
      </c>
      <c r="IK21" s="1951">
        <f t="shared" ca="1" si="55"/>
        <v>0</v>
      </c>
    </row>
    <row r="22" spans="1:245" ht="8.1" customHeight="1" x14ac:dyDescent="0.35">
      <c r="A22" s="195" t="str">
        <f>IF(B21=0,0,"XXX")</f>
        <v>XXX</v>
      </c>
      <c r="B22" s="1968"/>
      <c r="C22" s="1970"/>
      <c r="D22" s="360" t="str">
        <f>IF(ENTRADAS!$F$22=0,0,"término:")</f>
        <v>término:</v>
      </c>
      <c r="E22" s="361">
        <f ca="1">IF(ENTRADAS!$F$22=0,0,IF(ENTRADAS!$D$912&lt;&gt;0,E32,E30))</f>
        <v>45972.25</v>
      </c>
      <c r="F22" s="1972"/>
      <c r="G22" s="1974"/>
      <c r="H22" s="1954"/>
      <c r="I22" s="1956"/>
      <c r="J22" s="1956"/>
      <c r="K22" s="1956"/>
      <c r="L22" s="1956"/>
      <c r="M22" s="1956"/>
      <c r="N22" s="1952"/>
      <c r="O22" s="1954"/>
      <c r="P22" s="1956"/>
      <c r="Q22" s="1956"/>
      <c r="R22" s="1956"/>
      <c r="S22" s="1956"/>
      <c r="T22" s="1956"/>
      <c r="U22" s="1952"/>
      <c r="V22" s="1954"/>
      <c r="W22" s="1956"/>
      <c r="X22" s="1956"/>
      <c r="Y22" s="1956"/>
      <c r="Z22" s="1956"/>
      <c r="AA22" s="1956"/>
      <c r="AB22" s="1952"/>
      <c r="AC22" s="1954"/>
      <c r="AD22" s="1956"/>
      <c r="AE22" s="1956"/>
      <c r="AF22" s="1956"/>
      <c r="AG22" s="1956"/>
      <c r="AH22" s="1956"/>
      <c r="AI22" s="1952"/>
      <c r="AJ22" s="1954"/>
      <c r="AK22" s="1956"/>
      <c r="AL22" s="1956"/>
      <c r="AM22" s="1956"/>
      <c r="AN22" s="1956"/>
      <c r="AO22" s="1956"/>
      <c r="AP22" s="1952"/>
      <c r="AQ22" s="1954"/>
      <c r="AR22" s="1956"/>
      <c r="AS22" s="1956"/>
      <c r="AT22" s="1956"/>
      <c r="AU22" s="1956"/>
      <c r="AV22" s="1956"/>
      <c r="AW22" s="1952"/>
      <c r="AX22" s="1954"/>
      <c r="AY22" s="1956"/>
      <c r="AZ22" s="1956"/>
      <c r="BA22" s="1956"/>
      <c r="BB22" s="1956"/>
      <c r="BC22" s="1956"/>
      <c r="BD22" s="1952"/>
      <c r="BE22" s="1954"/>
      <c r="BF22" s="1956"/>
      <c r="BG22" s="1956"/>
      <c r="BH22" s="1956"/>
      <c r="BI22" s="1956"/>
      <c r="BJ22" s="1956"/>
      <c r="BK22" s="1952"/>
      <c r="BL22" s="1954"/>
      <c r="BM22" s="1956"/>
      <c r="BN22" s="1956"/>
      <c r="BO22" s="1956"/>
      <c r="BP22" s="1956"/>
      <c r="BQ22" s="1956"/>
      <c r="BR22" s="1952"/>
      <c r="BS22" s="1954"/>
      <c r="BT22" s="1956"/>
      <c r="BU22" s="1956"/>
      <c r="BV22" s="1956"/>
      <c r="BW22" s="1956"/>
      <c r="BX22" s="1956"/>
      <c r="BY22" s="1952"/>
      <c r="BZ22" s="1954"/>
      <c r="CA22" s="1956"/>
      <c r="CB22" s="1956"/>
      <c r="CC22" s="1956"/>
      <c r="CD22" s="1956"/>
      <c r="CE22" s="1956"/>
      <c r="CF22" s="1952"/>
      <c r="CG22" s="1954"/>
      <c r="CH22" s="1956"/>
      <c r="CI22" s="1956"/>
      <c r="CJ22" s="1956"/>
      <c r="CK22" s="1956"/>
      <c r="CL22" s="1956"/>
      <c r="CM22" s="1952"/>
      <c r="CN22" s="1954"/>
      <c r="CO22" s="1956"/>
      <c r="CP22" s="1956"/>
      <c r="CQ22" s="1956"/>
      <c r="CR22" s="1956"/>
      <c r="CS22" s="1956"/>
      <c r="CT22" s="1952"/>
      <c r="CU22" s="1954"/>
      <c r="CV22" s="1956"/>
      <c r="CW22" s="1956"/>
      <c r="CX22" s="1956"/>
      <c r="CY22" s="1956"/>
      <c r="CZ22" s="1956"/>
      <c r="DA22" s="1952"/>
      <c r="DB22" s="1954"/>
      <c r="DC22" s="1956"/>
      <c r="DD22" s="1956"/>
      <c r="DE22" s="1956"/>
      <c r="DF22" s="1956"/>
      <c r="DG22" s="1956"/>
      <c r="DH22" s="1952"/>
      <c r="DI22" s="1954"/>
      <c r="DJ22" s="1956"/>
      <c r="DK22" s="1956"/>
      <c r="DL22" s="1956"/>
      <c r="DM22" s="1956"/>
      <c r="DN22" s="1956"/>
      <c r="DO22" s="1952"/>
      <c r="DP22" s="1954"/>
      <c r="DQ22" s="1956"/>
      <c r="DR22" s="1956"/>
      <c r="DS22" s="1956"/>
      <c r="DT22" s="1956"/>
      <c r="DU22" s="1956"/>
      <c r="DV22" s="1952"/>
      <c r="DW22" s="1954"/>
      <c r="DX22" s="1956"/>
      <c r="DY22" s="1956"/>
      <c r="DZ22" s="1956"/>
      <c r="EA22" s="1956"/>
      <c r="EB22" s="1956"/>
      <c r="EC22" s="1952"/>
      <c r="ED22" s="1954"/>
      <c r="EE22" s="1956"/>
      <c r="EF22" s="1956"/>
      <c r="EG22" s="1956"/>
      <c r="EH22" s="1956"/>
      <c r="EI22" s="1956"/>
      <c r="EJ22" s="1952"/>
      <c r="EK22" s="1954"/>
      <c r="EL22" s="1956"/>
      <c r="EM22" s="1956"/>
      <c r="EN22" s="1956"/>
      <c r="EO22" s="1956"/>
      <c r="EP22" s="1956"/>
      <c r="EQ22" s="1952"/>
      <c r="ER22" s="1954"/>
      <c r="ES22" s="1956"/>
      <c r="ET22" s="1956"/>
      <c r="EU22" s="1956"/>
      <c r="EV22" s="1956"/>
      <c r="EW22" s="1956"/>
      <c r="EX22" s="1952"/>
      <c r="EY22" s="1954"/>
      <c r="EZ22" s="1956"/>
      <c r="FA22" s="1956"/>
      <c r="FB22" s="1956"/>
      <c r="FC22" s="1956"/>
      <c r="FD22" s="1956"/>
      <c r="FE22" s="1952"/>
      <c r="FF22" s="1954"/>
      <c r="FG22" s="1956"/>
      <c r="FH22" s="1956"/>
      <c r="FI22" s="1956"/>
      <c r="FJ22" s="1956"/>
      <c r="FK22" s="1956"/>
      <c r="FL22" s="1952"/>
      <c r="FM22" s="1954"/>
      <c r="FN22" s="1956"/>
      <c r="FO22" s="1956"/>
      <c r="FP22" s="1956"/>
      <c r="FQ22" s="1956"/>
      <c r="FR22" s="1956"/>
      <c r="FS22" s="1952"/>
      <c r="FT22" s="1954"/>
      <c r="FU22" s="1956"/>
      <c r="FV22" s="1956"/>
      <c r="FW22" s="1956"/>
      <c r="FX22" s="1956"/>
      <c r="FY22" s="1956"/>
      <c r="FZ22" s="1952"/>
      <c r="GA22" s="1954"/>
      <c r="GB22" s="1956"/>
      <c r="GC22" s="1956"/>
      <c r="GD22" s="1956"/>
      <c r="GE22" s="1956"/>
      <c r="GF22" s="1956"/>
      <c r="GG22" s="1952"/>
      <c r="GH22" s="1954"/>
      <c r="GI22" s="1956"/>
      <c r="GJ22" s="1956"/>
      <c r="GK22" s="1956"/>
      <c r="GL22" s="1956"/>
      <c r="GM22" s="1956"/>
      <c r="GN22" s="1952"/>
      <c r="GO22" s="1954"/>
      <c r="GP22" s="1956"/>
      <c r="GQ22" s="1956"/>
      <c r="GR22" s="1956"/>
      <c r="GS22" s="1956"/>
      <c r="GT22" s="1956"/>
      <c r="GU22" s="1952"/>
      <c r="GV22" s="1954"/>
      <c r="GW22" s="1956"/>
      <c r="GX22" s="1956"/>
      <c r="GY22" s="1956"/>
      <c r="GZ22" s="1956"/>
      <c r="HA22" s="1956"/>
      <c r="HB22" s="1952"/>
      <c r="HC22" s="1954"/>
      <c r="HD22" s="1956"/>
      <c r="HE22" s="1956"/>
      <c r="HF22" s="1956"/>
      <c r="HG22" s="1956"/>
      <c r="HH22" s="1956"/>
      <c r="HI22" s="1952"/>
      <c r="HJ22" s="1954"/>
      <c r="HK22" s="1956"/>
      <c r="HL22" s="1956"/>
      <c r="HM22" s="1956"/>
      <c r="HN22" s="1956"/>
      <c r="HO22" s="1956"/>
      <c r="HP22" s="1952"/>
      <c r="HQ22" s="1954"/>
      <c r="HR22" s="1956"/>
      <c r="HS22" s="1956"/>
      <c r="HT22" s="1956"/>
      <c r="HU22" s="1956"/>
      <c r="HV22" s="1956"/>
      <c r="HW22" s="1952"/>
      <c r="HX22" s="1954"/>
      <c r="HY22" s="1956"/>
      <c r="HZ22" s="1956"/>
      <c r="IA22" s="1956"/>
      <c r="IB22" s="1956"/>
      <c r="IC22" s="1956"/>
      <c r="ID22" s="1952"/>
      <c r="IE22" s="1954"/>
      <c r="IF22" s="1956"/>
      <c r="IG22" s="1956"/>
      <c r="IH22" s="1956"/>
      <c r="II22" s="1956"/>
      <c r="IJ22" s="1956"/>
      <c r="IK22" s="1952"/>
    </row>
    <row r="23" spans="1:245" ht="8.1" customHeight="1" x14ac:dyDescent="0.35">
      <c r="A23" s="195" t="str">
        <f>IF(B23=0,0,"XXX")</f>
        <v>XXX</v>
      </c>
      <c r="B23" s="1959" t="str">
        <f>IF(ENTRADAS!$F$22=0,0,"1.1.1")</f>
        <v>1.1.1</v>
      </c>
      <c r="C23" s="1965" t="str">
        <f>IF(ENTRADAS!$F$22=0,0,"CONFECÇÃO DE PAREDES")</f>
        <v>CONFECÇÃO DE PAREDES</v>
      </c>
      <c r="D23" s="358" t="str">
        <f>IF(ENTRADAS!$F$22=0,0,"início:")</f>
        <v>início:</v>
      </c>
      <c r="E23" s="359">
        <f ca="1">D49</f>
        <v>45919</v>
      </c>
      <c r="F23" s="1961">
        <f ca="1">D48</f>
        <v>25.25</v>
      </c>
      <c r="G23" s="1963" t="str">
        <f>IF(ENTRADAS!$F$22=0,0,"dias")</f>
        <v>dias</v>
      </c>
      <c r="H23" s="1947">
        <f ca="1">H48</f>
        <v>0</v>
      </c>
      <c r="I23" s="1947">
        <f t="shared" ref="I23:O23" ca="1" si="56">I48</f>
        <v>0</v>
      </c>
      <c r="J23" s="1947">
        <f t="shared" ca="1" si="56"/>
        <v>0</v>
      </c>
      <c r="K23" s="1947">
        <f t="shared" ca="1" si="56"/>
        <v>0</v>
      </c>
      <c r="L23" s="1947">
        <f t="shared" ca="1" si="56"/>
        <v>0</v>
      </c>
      <c r="M23" s="1947">
        <f t="shared" ca="1" si="56"/>
        <v>10</v>
      </c>
      <c r="N23" s="1949">
        <f t="shared" ca="1" si="56"/>
        <v>10</v>
      </c>
      <c r="O23" s="1947">
        <f t="shared" ca="1" si="56"/>
        <v>10</v>
      </c>
      <c r="P23" s="1947">
        <f t="shared" ref="P23:U23" ca="1" si="57">P48</f>
        <v>10</v>
      </c>
      <c r="Q23" s="1947">
        <f t="shared" ca="1" si="57"/>
        <v>10</v>
      </c>
      <c r="R23" s="1947">
        <f t="shared" ca="1" si="57"/>
        <v>10</v>
      </c>
      <c r="S23" s="1947">
        <f t="shared" ca="1" si="57"/>
        <v>10</v>
      </c>
      <c r="T23" s="1947">
        <f t="shared" ca="1" si="57"/>
        <v>10</v>
      </c>
      <c r="U23" s="1949">
        <f t="shared" ca="1" si="57"/>
        <v>10</v>
      </c>
      <c r="V23" s="1947">
        <f ca="1">V48</f>
        <v>10</v>
      </c>
      <c r="W23" s="1947">
        <f t="shared" ref="W23:AB23" ca="1" si="58">W48</f>
        <v>10</v>
      </c>
      <c r="X23" s="1947">
        <f t="shared" ca="1" si="58"/>
        <v>10</v>
      </c>
      <c r="Y23" s="1947">
        <f t="shared" ca="1" si="58"/>
        <v>10</v>
      </c>
      <c r="Z23" s="1947">
        <f t="shared" ca="1" si="58"/>
        <v>10</v>
      </c>
      <c r="AA23" s="1947">
        <f t="shared" ca="1" si="58"/>
        <v>10</v>
      </c>
      <c r="AB23" s="1949">
        <f t="shared" ca="1" si="58"/>
        <v>10</v>
      </c>
      <c r="AC23" s="1947">
        <f ca="1">AC48</f>
        <v>10</v>
      </c>
      <c r="AD23" s="1947">
        <f t="shared" ref="AD23:AI23" ca="1" si="59">AD48</f>
        <v>10</v>
      </c>
      <c r="AE23" s="1947">
        <f t="shared" ca="1" si="59"/>
        <v>10</v>
      </c>
      <c r="AF23" s="1947">
        <f t="shared" ca="1" si="59"/>
        <v>10</v>
      </c>
      <c r="AG23" s="1947">
        <f t="shared" ca="1" si="59"/>
        <v>10</v>
      </c>
      <c r="AH23" s="1947">
        <f t="shared" ca="1" si="59"/>
        <v>10</v>
      </c>
      <c r="AI23" s="1949">
        <f t="shared" ca="1" si="59"/>
        <v>10</v>
      </c>
      <c r="AJ23" s="1947">
        <f ca="1">AJ48</f>
        <v>10</v>
      </c>
      <c r="AK23" s="1947">
        <f t="shared" ref="AK23:AP23" ca="1" si="60">AK48</f>
        <v>10</v>
      </c>
      <c r="AL23" s="1947">
        <f t="shared" ca="1" si="60"/>
        <v>10</v>
      </c>
      <c r="AM23" s="1947">
        <f t="shared" ca="1" si="60"/>
        <v>0</v>
      </c>
      <c r="AN23" s="1947">
        <f t="shared" ca="1" si="60"/>
        <v>0</v>
      </c>
      <c r="AO23" s="1947">
        <f t="shared" ca="1" si="60"/>
        <v>0</v>
      </c>
      <c r="AP23" s="1949">
        <f t="shared" ca="1" si="60"/>
        <v>0</v>
      </c>
      <c r="AQ23" s="1947">
        <f ca="1">AQ48</f>
        <v>0</v>
      </c>
      <c r="AR23" s="1947">
        <f t="shared" ref="AR23:AW23" ca="1" si="61">AR48</f>
        <v>0</v>
      </c>
      <c r="AS23" s="1947">
        <f t="shared" ca="1" si="61"/>
        <v>0</v>
      </c>
      <c r="AT23" s="1947">
        <f t="shared" ca="1" si="61"/>
        <v>0</v>
      </c>
      <c r="AU23" s="1947">
        <f t="shared" ca="1" si="61"/>
        <v>0</v>
      </c>
      <c r="AV23" s="1947">
        <f t="shared" ca="1" si="61"/>
        <v>0</v>
      </c>
      <c r="AW23" s="1949">
        <f t="shared" ca="1" si="61"/>
        <v>0</v>
      </c>
      <c r="AX23" s="1947">
        <f ca="1">AX48</f>
        <v>0</v>
      </c>
      <c r="AY23" s="1947">
        <f t="shared" ref="AY23:BD23" ca="1" si="62">AY48</f>
        <v>0</v>
      </c>
      <c r="AZ23" s="1947">
        <f t="shared" ca="1" si="62"/>
        <v>0</v>
      </c>
      <c r="BA23" s="1947">
        <f t="shared" ca="1" si="62"/>
        <v>0</v>
      </c>
      <c r="BB23" s="1947">
        <f t="shared" ca="1" si="62"/>
        <v>0</v>
      </c>
      <c r="BC23" s="1947">
        <f t="shared" ca="1" si="62"/>
        <v>0</v>
      </c>
      <c r="BD23" s="1949">
        <f t="shared" ca="1" si="62"/>
        <v>0</v>
      </c>
      <c r="BE23" s="1947">
        <f ca="1">BE48</f>
        <v>0</v>
      </c>
      <c r="BF23" s="1947">
        <f t="shared" ref="BF23:BK23" ca="1" si="63">BF48</f>
        <v>0</v>
      </c>
      <c r="BG23" s="1947">
        <f t="shared" ca="1" si="63"/>
        <v>0</v>
      </c>
      <c r="BH23" s="1947">
        <f t="shared" ca="1" si="63"/>
        <v>0</v>
      </c>
      <c r="BI23" s="1947">
        <f t="shared" ca="1" si="63"/>
        <v>0</v>
      </c>
      <c r="BJ23" s="1947">
        <f t="shared" ca="1" si="63"/>
        <v>0</v>
      </c>
      <c r="BK23" s="1949">
        <f t="shared" ca="1" si="63"/>
        <v>0</v>
      </c>
      <c r="BL23" s="1947">
        <f ca="1">BL48</f>
        <v>0</v>
      </c>
      <c r="BM23" s="1947">
        <f t="shared" ref="BM23:BR23" ca="1" si="64">BM48</f>
        <v>0</v>
      </c>
      <c r="BN23" s="1947">
        <f t="shared" ca="1" si="64"/>
        <v>0</v>
      </c>
      <c r="BO23" s="1947">
        <f t="shared" ca="1" si="64"/>
        <v>0</v>
      </c>
      <c r="BP23" s="1947">
        <f t="shared" ca="1" si="64"/>
        <v>0</v>
      </c>
      <c r="BQ23" s="1947">
        <f t="shared" ca="1" si="64"/>
        <v>0</v>
      </c>
      <c r="BR23" s="1949">
        <f t="shared" ca="1" si="64"/>
        <v>0</v>
      </c>
      <c r="BS23" s="1947">
        <f ca="1">BS48</f>
        <v>0</v>
      </c>
      <c r="BT23" s="1947">
        <f t="shared" ref="BT23:EE23" ca="1" si="65">BT48</f>
        <v>0</v>
      </c>
      <c r="BU23" s="1947">
        <f t="shared" ca="1" si="65"/>
        <v>0</v>
      </c>
      <c r="BV23" s="1947">
        <f t="shared" ca="1" si="65"/>
        <v>0</v>
      </c>
      <c r="BW23" s="1947">
        <f t="shared" ca="1" si="65"/>
        <v>0</v>
      </c>
      <c r="BX23" s="1947">
        <f t="shared" ca="1" si="65"/>
        <v>0</v>
      </c>
      <c r="BY23" s="1949">
        <f t="shared" ca="1" si="65"/>
        <v>0</v>
      </c>
      <c r="BZ23" s="1947">
        <f t="shared" ca="1" si="65"/>
        <v>0</v>
      </c>
      <c r="CA23" s="1947">
        <f t="shared" ca="1" si="65"/>
        <v>0</v>
      </c>
      <c r="CB23" s="1947">
        <f t="shared" ca="1" si="65"/>
        <v>0</v>
      </c>
      <c r="CC23" s="1947">
        <f t="shared" ca="1" si="65"/>
        <v>0</v>
      </c>
      <c r="CD23" s="1947">
        <f t="shared" ca="1" si="65"/>
        <v>0</v>
      </c>
      <c r="CE23" s="1947">
        <f t="shared" ca="1" si="65"/>
        <v>0</v>
      </c>
      <c r="CF23" s="1949">
        <f t="shared" ca="1" si="65"/>
        <v>0</v>
      </c>
      <c r="CG23" s="1947">
        <f t="shared" ca="1" si="65"/>
        <v>0</v>
      </c>
      <c r="CH23" s="1947">
        <f t="shared" ca="1" si="65"/>
        <v>0</v>
      </c>
      <c r="CI23" s="1947">
        <f t="shared" ca="1" si="65"/>
        <v>0</v>
      </c>
      <c r="CJ23" s="1947">
        <f t="shared" ca="1" si="65"/>
        <v>0</v>
      </c>
      <c r="CK23" s="1947">
        <f t="shared" ca="1" si="65"/>
        <v>0</v>
      </c>
      <c r="CL23" s="1947">
        <f t="shared" ca="1" si="65"/>
        <v>0</v>
      </c>
      <c r="CM23" s="1949">
        <f t="shared" ca="1" si="65"/>
        <v>0</v>
      </c>
      <c r="CN23" s="1947">
        <f t="shared" ca="1" si="65"/>
        <v>0</v>
      </c>
      <c r="CO23" s="1947">
        <f t="shared" ca="1" si="65"/>
        <v>0</v>
      </c>
      <c r="CP23" s="1947">
        <f t="shared" ca="1" si="65"/>
        <v>0</v>
      </c>
      <c r="CQ23" s="1947">
        <f t="shared" ca="1" si="65"/>
        <v>0</v>
      </c>
      <c r="CR23" s="1947">
        <f t="shared" ca="1" si="65"/>
        <v>0</v>
      </c>
      <c r="CS23" s="1947">
        <f t="shared" ca="1" si="65"/>
        <v>0</v>
      </c>
      <c r="CT23" s="1949">
        <f t="shared" ca="1" si="65"/>
        <v>0</v>
      </c>
      <c r="CU23" s="1947">
        <f t="shared" ca="1" si="65"/>
        <v>0</v>
      </c>
      <c r="CV23" s="1947">
        <f t="shared" ca="1" si="65"/>
        <v>0</v>
      </c>
      <c r="CW23" s="1947">
        <f t="shared" ca="1" si="65"/>
        <v>0</v>
      </c>
      <c r="CX23" s="1947">
        <f t="shared" ca="1" si="65"/>
        <v>0</v>
      </c>
      <c r="CY23" s="1947">
        <f t="shared" ca="1" si="65"/>
        <v>0</v>
      </c>
      <c r="CZ23" s="1947">
        <f t="shared" ca="1" si="65"/>
        <v>0</v>
      </c>
      <c r="DA23" s="1949">
        <f t="shared" ca="1" si="65"/>
        <v>0</v>
      </c>
      <c r="DB23" s="1947">
        <f t="shared" ca="1" si="65"/>
        <v>0</v>
      </c>
      <c r="DC23" s="1947">
        <f t="shared" ca="1" si="65"/>
        <v>0</v>
      </c>
      <c r="DD23" s="1947">
        <f t="shared" ca="1" si="65"/>
        <v>0</v>
      </c>
      <c r="DE23" s="1947">
        <f t="shared" ca="1" si="65"/>
        <v>0</v>
      </c>
      <c r="DF23" s="1947">
        <f t="shared" ca="1" si="65"/>
        <v>0</v>
      </c>
      <c r="DG23" s="1947">
        <f t="shared" ca="1" si="65"/>
        <v>0</v>
      </c>
      <c r="DH23" s="1949">
        <f t="shared" ca="1" si="65"/>
        <v>0</v>
      </c>
      <c r="DI23" s="1947">
        <f t="shared" ca="1" si="65"/>
        <v>0</v>
      </c>
      <c r="DJ23" s="1947">
        <f t="shared" ca="1" si="65"/>
        <v>0</v>
      </c>
      <c r="DK23" s="1947">
        <f t="shared" ca="1" si="65"/>
        <v>0</v>
      </c>
      <c r="DL23" s="1947">
        <f t="shared" ca="1" si="65"/>
        <v>0</v>
      </c>
      <c r="DM23" s="1947">
        <f t="shared" ca="1" si="65"/>
        <v>0</v>
      </c>
      <c r="DN23" s="1947">
        <f t="shared" ca="1" si="65"/>
        <v>0</v>
      </c>
      <c r="DO23" s="1949">
        <f t="shared" ca="1" si="65"/>
        <v>0</v>
      </c>
      <c r="DP23" s="1947">
        <f t="shared" ca="1" si="65"/>
        <v>0</v>
      </c>
      <c r="DQ23" s="1947">
        <f t="shared" ca="1" si="65"/>
        <v>0</v>
      </c>
      <c r="DR23" s="1947">
        <f t="shared" ca="1" si="65"/>
        <v>0</v>
      </c>
      <c r="DS23" s="1947">
        <f t="shared" ca="1" si="65"/>
        <v>0</v>
      </c>
      <c r="DT23" s="1947">
        <f t="shared" ca="1" si="65"/>
        <v>0</v>
      </c>
      <c r="DU23" s="1947">
        <f t="shared" ca="1" si="65"/>
        <v>0</v>
      </c>
      <c r="DV23" s="1949">
        <f t="shared" ca="1" si="65"/>
        <v>0</v>
      </c>
      <c r="DW23" s="1947">
        <f t="shared" ca="1" si="65"/>
        <v>0</v>
      </c>
      <c r="DX23" s="1947">
        <f t="shared" ca="1" si="65"/>
        <v>0</v>
      </c>
      <c r="DY23" s="1947">
        <f t="shared" ca="1" si="65"/>
        <v>0</v>
      </c>
      <c r="DZ23" s="1947">
        <f t="shared" ca="1" si="65"/>
        <v>0</v>
      </c>
      <c r="EA23" s="1947">
        <f t="shared" ca="1" si="65"/>
        <v>0</v>
      </c>
      <c r="EB23" s="1947">
        <f t="shared" ca="1" si="65"/>
        <v>0</v>
      </c>
      <c r="EC23" s="1949">
        <f t="shared" ca="1" si="65"/>
        <v>0</v>
      </c>
      <c r="ED23" s="1947">
        <f t="shared" ca="1" si="65"/>
        <v>0</v>
      </c>
      <c r="EE23" s="1947">
        <f t="shared" ca="1" si="65"/>
        <v>0</v>
      </c>
      <c r="EF23" s="1947">
        <f t="shared" ref="EF23:GQ23" ca="1" si="66">EF48</f>
        <v>0</v>
      </c>
      <c r="EG23" s="1947">
        <f t="shared" ca="1" si="66"/>
        <v>0</v>
      </c>
      <c r="EH23" s="1947">
        <f t="shared" ca="1" si="66"/>
        <v>0</v>
      </c>
      <c r="EI23" s="1947">
        <f t="shared" ca="1" si="66"/>
        <v>0</v>
      </c>
      <c r="EJ23" s="1949">
        <f t="shared" ca="1" si="66"/>
        <v>0</v>
      </c>
      <c r="EK23" s="1947">
        <f t="shared" ca="1" si="66"/>
        <v>0</v>
      </c>
      <c r="EL23" s="1947">
        <f t="shared" ca="1" si="66"/>
        <v>0</v>
      </c>
      <c r="EM23" s="1947">
        <f t="shared" ca="1" si="66"/>
        <v>0</v>
      </c>
      <c r="EN23" s="1947">
        <f t="shared" ca="1" si="66"/>
        <v>0</v>
      </c>
      <c r="EO23" s="1947">
        <f t="shared" ca="1" si="66"/>
        <v>0</v>
      </c>
      <c r="EP23" s="1947">
        <f t="shared" ca="1" si="66"/>
        <v>0</v>
      </c>
      <c r="EQ23" s="1949">
        <f t="shared" ca="1" si="66"/>
        <v>0</v>
      </c>
      <c r="ER23" s="1947">
        <f t="shared" ca="1" si="66"/>
        <v>0</v>
      </c>
      <c r="ES23" s="1947">
        <f t="shared" ca="1" si="66"/>
        <v>0</v>
      </c>
      <c r="ET23" s="1947">
        <f t="shared" ca="1" si="66"/>
        <v>0</v>
      </c>
      <c r="EU23" s="1947">
        <f t="shared" ca="1" si="66"/>
        <v>0</v>
      </c>
      <c r="EV23" s="1947">
        <f t="shared" ca="1" si="66"/>
        <v>0</v>
      </c>
      <c r="EW23" s="1947">
        <f t="shared" ca="1" si="66"/>
        <v>0</v>
      </c>
      <c r="EX23" s="1949">
        <f t="shared" ca="1" si="66"/>
        <v>0</v>
      </c>
      <c r="EY23" s="1947">
        <f t="shared" ca="1" si="66"/>
        <v>0</v>
      </c>
      <c r="EZ23" s="1947">
        <f t="shared" ca="1" si="66"/>
        <v>0</v>
      </c>
      <c r="FA23" s="1947">
        <f t="shared" ca="1" si="66"/>
        <v>0</v>
      </c>
      <c r="FB23" s="1947">
        <f t="shared" ca="1" si="66"/>
        <v>0</v>
      </c>
      <c r="FC23" s="1947">
        <f t="shared" ca="1" si="66"/>
        <v>0</v>
      </c>
      <c r="FD23" s="1947">
        <f t="shared" ca="1" si="66"/>
        <v>0</v>
      </c>
      <c r="FE23" s="1949">
        <f t="shared" ca="1" si="66"/>
        <v>0</v>
      </c>
      <c r="FF23" s="1947">
        <f t="shared" ca="1" si="66"/>
        <v>0</v>
      </c>
      <c r="FG23" s="1947">
        <f t="shared" ca="1" si="66"/>
        <v>0</v>
      </c>
      <c r="FH23" s="1947">
        <f t="shared" ca="1" si="66"/>
        <v>0</v>
      </c>
      <c r="FI23" s="1947">
        <f t="shared" ca="1" si="66"/>
        <v>0</v>
      </c>
      <c r="FJ23" s="1947">
        <f t="shared" ca="1" si="66"/>
        <v>0</v>
      </c>
      <c r="FK23" s="1947">
        <f t="shared" ca="1" si="66"/>
        <v>0</v>
      </c>
      <c r="FL23" s="1949">
        <f t="shared" ca="1" si="66"/>
        <v>0</v>
      </c>
      <c r="FM23" s="1947">
        <f t="shared" ca="1" si="66"/>
        <v>0</v>
      </c>
      <c r="FN23" s="1947">
        <f t="shared" ca="1" si="66"/>
        <v>0</v>
      </c>
      <c r="FO23" s="1947">
        <f t="shared" ca="1" si="66"/>
        <v>0</v>
      </c>
      <c r="FP23" s="1947">
        <f t="shared" ca="1" si="66"/>
        <v>0</v>
      </c>
      <c r="FQ23" s="1947">
        <f t="shared" ca="1" si="66"/>
        <v>0</v>
      </c>
      <c r="FR23" s="1947">
        <f t="shared" ca="1" si="66"/>
        <v>0</v>
      </c>
      <c r="FS23" s="1949">
        <f t="shared" ca="1" si="66"/>
        <v>0</v>
      </c>
      <c r="FT23" s="1947">
        <f t="shared" ca="1" si="66"/>
        <v>0</v>
      </c>
      <c r="FU23" s="1947">
        <f t="shared" ca="1" si="66"/>
        <v>0</v>
      </c>
      <c r="FV23" s="1947">
        <f t="shared" ca="1" si="66"/>
        <v>0</v>
      </c>
      <c r="FW23" s="1947">
        <f t="shared" ca="1" si="66"/>
        <v>0</v>
      </c>
      <c r="FX23" s="1947">
        <f t="shared" ca="1" si="66"/>
        <v>0</v>
      </c>
      <c r="FY23" s="1947">
        <f t="shared" ca="1" si="66"/>
        <v>0</v>
      </c>
      <c r="FZ23" s="1949">
        <f t="shared" ca="1" si="66"/>
        <v>0</v>
      </c>
      <c r="GA23" s="1947">
        <f t="shared" ca="1" si="66"/>
        <v>0</v>
      </c>
      <c r="GB23" s="1947">
        <f t="shared" ca="1" si="66"/>
        <v>0</v>
      </c>
      <c r="GC23" s="1947">
        <f t="shared" ca="1" si="66"/>
        <v>0</v>
      </c>
      <c r="GD23" s="1947">
        <f t="shared" ca="1" si="66"/>
        <v>0</v>
      </c>
      <c r="GE23" s="1947">
        <f t="shared" ca="1" si="66"/>
        <v>0</v>
      </c>
      <c r="GF23" s="1947">
        <f t="shared" ca="1" si="66"/>
        <v>0</v>
      </c>
      <c r="GG23" s="1949">
        <f t="shared" ca="1" si="66"/>
        <v>0</v>
      </c>
      <c r="GH23" s="1947">
        <f t="shared" ca="1" si="66"/>
        <v>0</v>
      </c>
      <c r="GI23" s="1947">
        <f t="shared" ca="1" si="66"/>
        <v>0</v>
      </c>
      <c r="GJ23" s="1947">
        <f t="shared" ca="1" si="66"/>
        <v>0</v>
      </c>
      <c r="GK23" s="1947">
        <f t="shared" ca="1" si="66"/>
        <v>0</v>
      </c>
      <c r="GL23" s="1947">
        <f t="shared" ca="1" si="66"/>
        <v>0</v>
      </c>
      <c r="GM23" s="1947">
        <f t="shared" ca="1" si="66"/>
        <v>0</v>
      </c>
      <c r="GN23" s="1949">
        <f t="shared" ca="1" si="66"/>
        <v>0</v>
      </c>
      <c r="GO23" s="1947">
        <f t="shared" ca="1" si="66"/>
        <v>0</v>
      </c>
      <c r="GP23" s="1947">
        <f t="shared" ca="1" si="66"/>
        <v>0</v>
      </c>
      <c r="GQ23" s="1947">
        <f t="shared" ca="1" si="66"/>
        <v>0</v>
      </c>
      <c r="GR23" s="1947">
        <f t="shared" ref="GR23:IK23" ca="1" si="67">GR48</f>
        <v>0</v>
      </c>
      <c r="GS23" s="1947">
        <f t="shared" ca="1" si="67"/>
        <v>0</v>
      </c>
      <c r="GT23" s="1947">
        <f t="shared" ca="1" si="67"/>
        <v>0</v>
      </c>
      <c r="GU23" s="1949">
        <f t="shared" ca="1" si="67"/>
        <v>0</v>
      </c>
      <c r="GV23" s="1947">
        <f t="shared" ca="1" si="67"/>
        <v>0</v>
      </c>
      <c r="GW23" s="1947">
        <f t="shared" ca="1" si="67"/>
        <v>0</v>
      </c>
      <c r="GX23" s="1947">
        <f t="shared" ca="1" si="67"/>
        <v>0</v>
      </c>
      <c r="GY23" s="1947">
        <f t="shared" ca="1" si="67"/>
        <v>0</v>
      </c>
      <c r="GZ23" s="1947">
        <f t="shared" ca="1" si="67"/>
        <v>0</v>
      </c>
      <c r="HA23" s="1947">
        <f t="shared" ca="1" si="67"/>
        <v>0</v>
      </c>
      <c r="HB23" s="1949">
        <f t="shared" ca="1" si="67"/>
        <v>0</v>
      </c>
      <c r="HC23" s="1947">
        <f t="shared" ca="1" si="67"/>
        <v>0</v>
      </c>
      <c r="HD23" s="1947">
        <f t="shared" ca="1" si="67"/>
        <v>0</v>
      </c>
      <c r="HE23" s="1947">
        <f t="shared" ca="1" si="67"/>
        <v>0</v>
      </c>
      <c r="HF23" s="1947">
        <f t="shared" ca="1" si="67"/>
        <v>0</v>
      </c>
      <c r="HG23" s="1947">
        <f t="shared" ca="1" si="67"/>
        <v>0</v>
      </c>
      <c r="HH23" s="1947">
        <f t="shared" ca="1" si="67"/>
        <v>0</v>
      </c>
      <c r="HI23" s="1949">
        <f t="shared" ca="1" si="67"/>
        <v>0</v>
      </c>
      <c r="HJ23" s="1947">
        <f t="shared" ca="1" si="67"/>
        <v>0</v>
      </c>
      <c r="HK23" s="1947">
        <f t="shared" ca="1" si="67"/>
        <v>0</v>
      </c>
      <c r="HL23" s="1947">
        <f t="shared" ca="1" si="67"/>
        <v>0</v>
      </c>
      <c r="HM23" s="1947">
        <f t="shared" ca="1" si="67"/>
        <v>0</v>
      </c>
      <c r="HN23" s="1947">
        <f t="shared" ca="1" si="67"/>
        <v>0</v>
      </c>
      <c r="HO23" s="1947">
        <f t="shared" ca="1" si="67"/>
        <v>0</v>
      </c>
      <c r="HP23" s="1949">
        <f t="shared" ca="1" si="67"/>
        <v>0</v>
      </c>
      <c r="HQ23" s="1947">
        <f t="shared" ca="1" si="67"/>
        <v>0</v>
      </c>
      <c r="HR23" s="1947">
        <f t="shared" ca="1" si="67"/>
        <v>0</v>
      </c>
      <c r="HS23" s="1947">
        <f t="shared" ca="1" si="67"/>
        <v>0</v>
      </c>
      <c r="HT23" s="1947">
        <f t="shared" ca="1" si="67"/>
        <v>0</v>
      </c>
      <c r="HU23" s="1947">
        <f t="shared" ca="1" si="67"/>
        <v>0</v>
      </c>
      <c r="HV23" s="1947">
        <f t="shared" ca="1" si="67"/>
        <v>0</v>
      </c>
      <c r="HW23" s="1949">
        <f t="shared" ca="1" si="67"/>
        <v>0</v>
      </c>
      <c r="HX23" s="1947">
        <f t="shared" ca="1" si="67"/>
        <v>0</v>
      </c>
      <c r="HY23" s="1947">
        <f t="shared" ca="1" si="67"/>
        <v>0</v>
      </c>
      <c r="HZ23" s="1947">
        <f t="shared" ca="1" si="67"/>
        <v>0</v>
      </c>
      <c r="IA23" s="1947">
        <f t="shared" ca="1" si="67"/>
        <v>0</v>
      </c>
      <c r="IB23" s="1947">
        <f t="shared" ca="1" si="67"/>
        <v>0</v>
      </c>
      <c r="IC23" s="1947">
        <f t="shared" ca="1" si="67"/>
        <v>0</v>
      </c>
      <c r="ID23" s="1949">
        <f t="shared" ca="1" si="67"/>
        <v>0</v>
      </c>
      <c r="IE23" s="1947">
        <f t="shared" ca="1" si="67"/>
        <v>0</v>
      </c>
      <c r="IF23" s="1947">
        <f t="shared" ca="1" si="67"/>
        <v>0</v>
      </c>
      <c r="IG23" s="1947">
        <f t="shared" ca="1" si="67"/>
        <v>0</v>
      </c>
      <c r="IH23" s="1947">
        <f t="shared" ca="1" si="67"/>
        <v>0</v>
      </c>
      <c r="II23" s="1947">
        <f t="shared" ca="1" si="67"/>
        <v>0</v>
      </c>
      <c r="IJ23" s="1947">
        <f t="shared" ca="1" si="67"/>
        <v>0</v>
      </c>
      <c r="IK23" s="1949">
        <f t="shared" ca="1" si="67"/>
        <v>0</v>
      </c>
    </row>
    <row r="24" spans="1:245" ht="8.1" customHeight="1" x14ac:dyDescent="0.35">
      <c r="A24" s="195" t="str">
        <f>IF(B23=0,0,"XXX")</f>
        <v>XXX</v>
      </c>
      <c r="B24" s="1960"/>
      <c r="C24" s="1966"/>
      <c r="D24" s="360" t="str">
        <f>IF(ENTRADAS!$F$22=0,0,"término:")</f>
        <v>término:</v>
      </c>
      <c r="E24" s="361">
        <f ca="1">D50</f>
        <v>45943.25</v>
      </c>
      <c r="F24" s="1962"/>
      <c r="G24" s="1964"/>
      <c r="H24" s="1948"/>
      <c r="I24" s="1948"/>
      <c r="J24" s="1948"/>
      <c r="K24" s="1948"/>
      <c r="L24" s="1948"/>
      <c r="M24" s="1948"/>
      <c r="N24" s="1950"/>
      <c r="O24" s="1948"/>
      <c r="P24" s="1948"/>
      <c r="Q24" s="1948"/>
      <c r="R24" s="1948"/>
      <c r="S24" s="1948"/>
      <c r="T24" s="1948"/>
      <c r="U24" s="1950"/>
      <c r="V24" s="1948"/>
      <c r="W24" s="1948"/>
      <c r="X24" s="1948"/>
      <c r="Y24" s="1948"/>
      <c r="Z24" s="1948"/>
      <c r="AA24" s="1948"/>
      <c r="AB24" s="1950"/>
      <c r="AC24" s="1948"/>
      <c r="AD24" s="1948"/>
      <c r="AE24" s="1948"/>
      <c r="AF24" s="1948"/>
      <c r="AG24" s="1948"/>
      <c r="AH24" s="1948"/>
      <c r="AI24" s="1950"/>
      <c r="AJ24" s="1948"/>
      <c r="AK24" s="1948"/>
      <c r="AL24" s="1948"/>
      <c r="AM24" s="1948"/>
      <c r="AN24" s="1948"/>
      <c r="AO24" s="1948"/>
      <c r="AP24" s="1950"/>
      <c r="AQ24" s="1948"/>
      <c r="AR24" s="1948"/>
      <c r="AS24" s="1948"/>
      <c r="AT24" s="1948"/>
      <c r="AU24" s="1948"/>
      <c r="AV24" s="1948"/>
      <c r="AW24" s="1950"/>
      <c r="AX24" s="1948"/>
      <c r="AY24" s="1948"/>
      <c r="AZ24" s="1948"/>
      <c r="BA24" s="1948"/>
      <c r="BB24" s="1948"/>
      <c r="BC24" s="1948"/>
      <c r="BD24" s="1950"/>
      <c r="BE24" s="1948"/>
      <c r="BF24" s="1948"/>
      <c r="BG24" s="1948"/>
      <c r="BH24" s="1948"/>
      <c r="BI24" s="1948"/>
      <c r="BJ24" s="1948"/>
      <c r="BK24" s="1950"/>
      <c r="BL24" s="1948"/>
      <c r="BM24" s="1948"/>
      <c r="BN24" s="1948"/>
      <c r="BO24" s="1948"/>
      <c r="BP24" s="1948"/>
      <c r="BQ24" s="1948"/>
      <c r="BR24" s="1950"/>
      <c r="BS24" s="1948"/>
      <c r="BT24" s="1948"/>
      <c r="BU24" s="1948"/>
      <c r="BV24" s="1948"/>
      <c r="BW24" s="1948"/>
      <c r="BX24" s="1948"/>
      <c r="BY24" s="1950"/>
      <c r="BZ24" s="1948"/>
      <c r="CA24" s="1948"/>
      <c r="CB24" s="1948"/>
      <c r="CC24" s="1948"/>
      <c r="CD24" s="1948"/>
      <c r="CE24" s="1948"/>
      <c r="CF24" s="1950"/>
      <c r="CG24" s="1948"/>
      <c r="CH24" s="1948"/>
      <c r="CI24" s="1948"/>
      <c r="CJ24" s="1948"/>
      <c r="CK24" s="1948"/>
      <c r="CL24" s="1948"/>
      <c r="CM24" s="1950"/>
      <c r="CN24" s="1948"/>
      <c r="CO24" s="1948"/>
      <c r="CP24" s="1948"/>
      <c r="CQ24" s="1948"/>
      <c r="CR24" s="1948"/>
      <c r="CS24" s="1948"/>
      <c r="CT24" s="1950"/>
      <c r="CU24" s="1948"/>
      <c r="CV24" s="1948"/>
      <c r="CW24" s="1948"/>
      <c r="CX24" s="1948"/>
      <c r="CY24" s="1948"/>
      <c r="CZ24" s="1948"/>
      <c r="DA24" s="1950"/>
      <c r="DB24" s="1948"/>
      <c r="DC24" s="1948"/>
      <c r="DD24" s="1948"/>
      <c r="DE24" s="1948"/>
      <c r="DF24" s="1948"/>
      <c r="DG24" s="1948"/>
      <c r="DH24" s="1950"/>
      <c r="DI24" s="1948"/>
      <c r="DJ24" s="1948"/>
      <c r="DK24" s="1948"/>
      <c r="DL24" s="1948"/>
      <c r="DM24" s="1948"/>
      <c r="DN24" s="1948"/>
      <c r="DO24" s="1950"/>
      <c r="DP24" s="1948"/>
      <c r="DQ24" s="1948"/>
      <c r="DR24" s="1948"/>
      <c r="DS24" s="1948"/>
      <c r="DT24" s="1948"/>
      <c r="DU24" s="1948"/>
      <c r="DV24" s="1950"/>
      <c r="DW24" s="1948"/>
      <c r="DX24" s="1948"/>
      <c r="DY24" s="1948"/>
      <c r="DZ24" s="1948"/>
      <c r="EA24" s="1948"/>
      <c r="EB24" s="1948"/>
      <c r="EC24" s="1950"/>
      <c r="ED24" s="1948"/>
      <c r="EE24" s="1948"/>
      <c r="EF24" s="1948"/>
      <c r="EG24" s="1948"/>
      <c r="EH24" s="1948"/>
      <c r="EI24" s="1948"/>
      <c r="EJ24" s="1950"/>
      <c r="EK24" s="1948"/>
      <c r="EL24" s="1948"/>
      <c r="EM24" s="1948"/>
      <c r="EN24" s="1948"/>
      <c r="EO24" s="1948"/>
      <c r="EP24" s="1948"/>
      <c r="EQ24" s="1950"/>
      <c r="ER24" s="1948"/>
      <c r="ES24" s="1948"/>
      <c r="ET24" s="1948"/>
      <c r="EU24" s="1948"/>
      <c r="EV24" s="1948"/>
      <c r="EW24" s="1948"/>
      <c r="EX24" s="1950"/>
      <c r="EY24" s="1948"/>
      <c r="EZ24" s="1948"/>
      <c r="FA24" s="1948"/>
      <c r="FB24" s="1948"/>
      <c r="FC24" s="1948"/>
      <c r="FD24" s="1948"/>
      <c r="FE24" s="1950"/>
      <c r="FF24" s="1948"/>
      <c r="FG24" s="1948"/>
      <c r="FH24" s="1948"/>
      <c r="FI24" s="1948"/>
      <c r="FJ24" s="1948"/>
      <c r="FK24" s="1948"/>
      <c r="FL24" s="1950"/>
      <c r="FM24" s="1948"/>
      <c r="FN24" s="1948"/>
      <c r="FO24" s="1948"/>
      <c r="FP24" s="1948"/>
      <c r="FQ24" s="1948"/>
      <c r="FR24" s="1948"/>
      <c r="FS24" s="1950"/>
      <c r="FT24" s="1948"/>
      <c r="FU24" s="1948"/>
      <c r="FV24" s="1948"/>
      <c r="FW24" s="1948"/>
      <c r="FX24" s="1948"/>
      <c r="FY24" s="1948"/>
      <c r="FZ24" s="1950"/>
      <c r="GA24" s="1948"/>
      <c r="GB24" s="1948"/>
      <c r="GC24" s="1948"/>
      <c r="GD24" s="1948"/>
      <c r="GE24" s="1948"/>
      <c r="GF24" s="1948"/>
      <c r="GG24" s="1950"/>
      <c r="GH24" s="1948"/>
      <c r="GI24" s="1948"/>
      <c r="GJ24" s="1948"/>
      <c r="GK24" s="1948"/>
      <c r="GL24" s="1948"/>
      <c r="GM24" s="1948"/>
      <c r="GN24" s="1950"/>
      <c r="GO24" s="1948"/>
      <c r="GP24" s="1948"/>
      <c r="GQ24" s="1948"/>
      <c r="GR24" s="1948"/>
      <c r="GS24" s="1948"/>
      <c r="GT24" s="1948"/>
      <c r="GU24" s="1950"/>
      <c r="GV24" s="1948"/>
      <c r="GW24" s="1948"/>
      <c r="GX24" s="1948"/>
      <c r="GY24" s="1948"/>
      <c r="GZ24" s="1948"/>
      <c r="HA24" s="1948"/>
      <c r="HB24" s="1950"/>
      <c r="HC24" s="1948"/>
      <c r="HD24" s="1948"/>
      <c r="HE24" s="1948"/>
      <c r="HF24" s="1948"/>
      <c r="HG24" s="1948"/>
      <c r="HH24" s="1948"/>
      <c r="HI24" s="1950"/>
      <c r="HJ24" s="1948"/>
      <c r="HK24" s="1948"/>
      <c r="HL24" s="1948"/>
      <c r="HM24" s="1948"/>
      <c r="HN24" s="1948"/>
      <c r="HO24" s="1948"/>
      <c r="HP24" s="1950"/>
      <c r="HQ24" s="1948"/>
      <c r="HR24" s="1948"/>
      <c r="HS24" s="1948"/>
      <c r="HT24" s="1948"/>
      <c r="HU24" s="1948"/>
      <c r="HV24" s="1948"/>
      <c r="HW24" s="1950"/>
      <c r="HX24" s="1948"/>
      <c r="HY24" s="1948"/>
      <c r="HZ24" s="1948"/>
      <c r="IA24" s="1948"/>
      <c r="IB24" s="1948"/>
      <c r="IC24" s="1948"/>
      <c r="ID24" s="1950"/>
      <c r="IE24" s="1948"/>
      <c r="IF24" s="1948"/>
      <c r="IG24" s="1948"/>
      <c r="IH24" s="1948"/>
      <c r="II24" s="1948"/>
      <c r="IJ24" s="1948"/>
      <c r="IK24" s="1950"/>
    </row>
    <row r="25" spans="1:245" ht="8.1" hidden="1" customHeight="1" x14ac:dyDescent="0.35">
      <c r="A25" s="195">
        <f>IF(B25=0,0,"XXX")</f>
        <v>0</v>
      </c>
      <c r="B25" s="1959">
        <f>IF(F25=0,0,"1.1.2")</f>
        <v>0</v>
      </c>
      <c r="C25" s="453">
        <f>IF(F25=0,0,"CONFECÇÃO DE COBERTURA")</f>
        <v>0</v>
      </c>
      <c r="D25" s="358">
        <f>IF(F25=0,0,"início:")</f>
        <v>0</v>
      </c>
      <c r="E25" s="359">
        <f>IF(F25=0,0,IF(D54&lt;&gt;0,D54,D55))</f>
        <v>0</v>
      </c>
      <c r="F25" s="1961">
        <f>IF(ENTRADAS!D912=0,0,E56-E55-E54)</f>
        <v>0</v>
      </c>
      <c r="G25" s="1963">
        <f>IF(F25=0,0,"dias")</f>
        <v>0</v>
      </c>
      <c r="H25" s="1945">
        <f>H52</f>
        <v>0</v>
      </c>
      <c r="I25" s="1941">
        <f t="shared" ref="I25:O25" si="68">I52</f>
        <v>0</v>
      </c>
      <c r="J25" s="1941">
        <f t="shared" si="68"/>
        <v>0</v>
      </c>
      <c r="K25" s="1941">
        <f t="shared" si="68"/>
        <v>0</v>
      </c>
      <c r="L25" s="1941">
        <f t="shared" si="68"/>
        <v>0</v>
      </c>
      <c r="M25" s="1941">
        <f t="shared" si="68"/>
        <v>0</v>
      </c>
      <c r="N25" s="1941">
        <f t="shared" si="68"/>
        <v>0</v>
      </c>
      <c r="O25" s="1945">
        <f t="shared" si="68"/>
        <v>0</v>
      </c>
      <c r="P25" s="1941">
        <f t="shared" ref="P25:CA25" si="69">P52</f>
        <v>0</v>
      </c>
      <c r="Q25" s="1941">
        <f t="shared" si="69"/>
        <v>0</v>
      </c>
      <c r="R25" s="1941">
        <f t="shared" si="69"/>
        <v>0</v>
      </c>
      <c r="S25" s="1941">
        <f t="shared" si="69"/>
        <v>0</v>
      </c>
      <c r="T25" s="1941">
        <f t="shared" si="69"/>
        <v>0</v>
      </c>
      <c r="U25" s="1941">
        <f t="shared" si="69"/>
        <v>0</v>
      </c>
      <c r="V25" s="1945">
        <f t="shared" si="69"/>
        <v>0</v>
      </c>
      <c r="W25" s="1941">
        <f t="shared" si="69"/>
        <v>0</v>
      </c>
      <c r="X25" s="1941">
        <f t="shared" si="69"/>
        <v>0</v>
      </c>
      <c r="Y25" s="1941">
        <f t="shared" si="69"/>
        <v>0</v>
      </c>
      <c r="Z25" s="1941">
        <f t="shared" si="69"/>
        <v>0</v>
      </c>
      <c r="AA25" s="1941">
        <f t="shared" si="69"/>
        <v>0</v>
      </c>
      <c r="AB25" s="1941">
        <f t="shared" si="69"/>
        <v>0</v>
      </c>
      <c r="AC25" s="1945">
        <f t="shared" si="69"/>
        <v>0</v>
      </c>
      <c r="AD25" s="1941">
        <f t="shared" si="69"/>
        <v>0</v>
      </c>
      <c r="AE25" s="1941">
        <f t="shared" si="69"/>
        <v>0</v>
      </c>
      <c r="AF25" s="1941">
        <f t="shared" si="69"/>
        <v>0</v>
      </c>
      <c r="AG25" s="1941">
        <f t="shared" si="69"/>
        <v>0</v>
      </c>
      <c r="AH25" s="1941">
        <f t="shared" si="69"/>
        <v>0</v>
      </c>
      <c r="AI25" s="1941">
        <f t="shared" si="69"/>
        <v>0</v>
      </c>
      <c r="AJ25" s="1945">
        <f t="shared" si="69"/>
        <v>0</v>
      </c>
      <c r="AK25" s="1941">
        <f t="shared" si="69"/>
        <v>0</v>
      </c>
      <c r="AL25" s="1941">
        <f t="shared" si="69"/>
        <v>0</v>
      </c>
      <c r="AM25" s="1941">
        <f t="shared" si="69"/>
        <v>0</v>
      </c>
      <c r="AN25" s="1941">
        <f t="shared" si="69"/>
        <v>0</v>
      </c>
      <c r="AO25" s="1941">
        <f t="shared" si="69"/>
        <v>0</v>
      </c>
      <c r="AP25" s="1941">
        <f t="shared" si="69"/>
        <v>0</v>
      </c>
      <c r="AQ25" s="1945">
        <f t="shared" si="69"/>
        <v>0</v>
      </c>
      <c r="AR25" s="1941">
        <f t="shared" si="69"/>
        <v>0</v>
      </c>
      <c r="AS25" s="1941">
        <f t="shared" si="69"/>
        <v>0</v>
      </c>
      <c r="AT25" s="1941">
        <f t="shared" si="69"/>
        <v>0</v>
      </c>
      <c r="AU25" s="1941">
        <f t="shared" si="69"/>
        <v>0</v>
      </c>
      <c r="AV25" s="1941">
        <f t="shared" si="69"/>
        <v>0</v>
      </c>
      <c r="AW25" s="1941">
        <f t="shared" si="69"/>
        <v>0</v>
      </c>
      <c r="AX25" s="1945">
        <f t="shared" si="69"/>
        <v>0</v>
      </c>
      <c r="AY25" s="1941">
        <f t="shared" si="69"/>
        <v>0</v>
      </c>
      <c r="AZ25" s="1941">
        <f t="shared" si="69"/>
        <v>0</v>
      </c>
      <c r="BA25" s="1941">
        <f t="shared" si="69"/>
        <v>0</v>
      </c>
      <c r="BB25" s="1941">
        <f t="shared" si="69"/>
        <v>0</v>
      </c>
      <c r="BC25" s="1941">
        <f t="shared" si="69"/>
        <v>0</v>
      </c>
      <c r="BD25" s="1941">
        <f t="shared" si="69"/>
        <v>0</v>
      </c>
      <c r="BE25" s="1945">
        <f t="shared" si="69"/>
        <v>0</v>
      </c>
      <c r="BF25" s="1941">
        <f t="shared" si="69"/>
        <v>0</v>
      </c>
      <c r="BG25" s="1941">
        <f t="shared" si="69"/>
        <v>0</v>
      </c>
      <c r="BH25" s="1941">
        <f t="shared" si="69"/>
        <v>0</v>
      </c>
      <c r="BI25" s="1941">
        <f t="shared" si="69"/>
        <v>0</v>
      </c>
      <c r="BJ25" s="1941">
        <f t="shared" si="69"/>
        <v>0</v>
      </c>
      <c r="BK25" s="1941">
        <f t="shared" si="69"/>
        <v>0</v>
      </c>
      <c r="BL25" s="1945">
        <f t="shared" si="69"/>
        <v>0</v>
      </c>
      <c r="BM25" s="1941">
        <f t="shared" si="69"/>
        <v>0</v>
      </c>
      <c r="BN25" s="1941">
        <f t="shared" si="69"/>
        <v>0</v>
      </c>
      <c r="BO25" s="1941">
        <f t="shared" si="69"/>
        <v>0</v>
      </c>
      <c r="BP25" s="1941">
        <f t="shared" si="69"/>
        <v>0</v>
      </c>
      <c r="BQ25" s="1941">
        <f t="shared" si="69"/>
        <v>0</v>
      </c>
      <c r="BR25" s="1941">
        <f t="shared" si="69"/>
        <v>0</v>
      </c>
      <c r="BS25" s="1945">
        <f t="shared" si="69"/>
        <v>0</v>
      </c>
      <c r="BT25" s="1941">
        <f t="shared" si="69"/>
        <v>0</v>
      </c>
      <c r="BU25" s="1941">
        <f t="shared" si="69"/>
        <v>0</v>
      </c>
      <c r="BV25" s="1941">
        <f t="shared" si="69"/>
        <v>0</v>
      </c>
      <c r="BW25" s="1941">
        <f t="shared" si="69"/>
        <v>0</v>
      </c>
      <c r="BX25" s="1941">
        <f t="shared" si="69"/>
        <v>0</v>
      </c>
      <c r="BY25" s="1941">
        <f t="shared" si="69"/>
        <v>0</v>
      </c>
      <c r="BZ25" s="1945">
        <f t="shared" si="69"/>
        <v>0</v>
      </c>
      <c r="CA25" s="1941">
        <f t="shared" si="69"/>
        <v>0</v>
      </c>
      <c r="CB25" s="1941">
        <f t="shared" ref="CB25:EM25" si="70">CB52</f>
        <v>0</v>
      </c>
      <c r="CC25" s="1941">
        <f t="shared" si="70"/>
        <v>0</v>
      </c>
      <c r="CD25" s="1941">
        <f t="shared" si="70"/>
        <v>0</v>
      </c>
      <c r="CE25" s="1941">
        <f t="shared" si="70"/>
        <v>0</v>
      </c>
      <c r="CF25" s="1941">
        <f t="shared" si="70"/>
        <v>0</v>
      </c>
      <c r="CG25" s="1945">
        <f t="shared" si="70"/>
        <v>0</v>
      </c>
      <c r="CH25" s="1941">
        <f t="shared" si="70"/>
        <v>0</v>
      </c>
      <c r="CI25" s="1941">
        <f t="shared" si="70"/>
        <v>0</v>
      </c>
      <c r="CJ25" s="1941">
        <f t="shared" si="70"/>
        <v>0</v>
      </c>
      <c r="CK25" s="1941">
        <f t="shared" si="70"/>
        <v>0</v>
      </c>
      <c r="CL25" s="1941">
        <f t="shared" si="70"/>
        <v>0</v>
      </c>
      <c r="CM25" s="1941">
        <f t="shared" si="70"/>
        <v>0</v>
      </c>
      <c r="CN25" s="1945">
        <f t="shared" si="70"/>
        <v>0</v>
      </c>
      <c r="CO25" s="1941">
        <f t="shared" si="70"/>
        <v>0</v>
      </c>
      <c r="CP25" s="1941">
        <f t="shared" si="70"/>
        <v>0</v>
      </c>
      <c r="CQ25" s="1941">
        <f t="shared" si="70"/>
        <v>0</v>
      </c>
      <c r="CR25" s="1941">
        <f t="shared" si="70"/>
        <v>0</v>
      </c>
      <c r="CS25" s="1941">
        <f t="shared" si="70"/>
        <v>0</v>
      </c>
      <c r="CT25" s="1941">
        <f t="shared" si="70"/>
        <v>0</v>
      </c>
      <c r="CU25" s="1945">
        <f t="shared" si="70"/>
        <v>0</v>
      </c>
      <c r="CV25" s="1941">
        <f t="shared" si="70"/>
        <v>0</v>
      </c>
      <c r="CW25" s="1941">
        <f t="shared" si="70"/>
        <v>0</v>
      </c>
      <c r="CX25" s="1941">
        <f t="shared" si="70"/>
        <v>0</v>
      </c>
      <c r="CY25" s="1941">
        <f t="shared" si="70"/>
        <v>0</v>
      </c>
      <c r="CZ25" s="1941">
        <f t="shared" si="70"/>
        <v>0</v>
      </c>
      <c r="DA25" s="1941">
        <f t="shared" si="70"/>
        <v>0</v>
      </c>
      <c r="DB25" s="1945">
        <f t="shared" si="70"/>
        <v>0</v>
      </c>
      <c r="DC25" s="1941">
        <f t="shared" si="70"/>
        <v>0</v>
      </c>
      <c r="DD25" s="1941">
        <f t="shared" si="70"/>
        <v>0</v>
      </c>
      <c r="DE25" s="1941">
        <f t="shared" si="70"/>
        <v>0</v>
      </c>
      <c r="DF25" s="1941">
        <f t="shared" si="70"/>
        <v>0</v>
      </c>
      <c r="DG25" s="1941">
        <f t="shared" si="70"/>
        <v>0</v>
      </c>
      <c r="DH25" s="1941">
        <f t="shared" si="70"/>
        <v>0</v>
      </c>
      <c r="DI25" s="1945">
        <f t="shared" si="70"/>
        <v>0</v>
      </c>
      <c r="DJ25" s="1941">
        <f t="shared" si="70"/>
        <v>0</v>
      </c>
      <c r="DK25" s="1941">
        <f t="shared" si="70"/>
        <v>0</v>
      </c>
      <c r="DL25" s="1941">
        <f t="shared" si="70"/>
        <v>0</v>
      </c>
      <c r="DM25" s="1941">
        <f t="shared" si="70"/>
        <v>0</v>
      </c>
      <c r="DN25" s="1941">
        <f t="shared" si="70"/>
        <v>0</v>
      </c>
      <c r="DO25" s="1941">
        <f t="shared" si="70"/>
        <v>0</v>
      </c>
      <c r="DP25" s="1945">
        <f t="shared" si="70"/>
        <v>0</v>
      </c>
      <c r="DQ25" s="1941">
        <f t="shared" si="70"/>
        <v>0</v>
      </c>
      <c r="DR25" s="1941">
        <f t="shared" si="70"/>
        <v>0</v>
      </c>
      <c r="DS25" s="1941">
        <f t="shared" si="70"/>
        <v>0</v>
      </c>
      <c r="DT25" s="1941">
        <f t="shared" si="70"/>
        <v>0</v>
      </c>
      <c r="DU25" s="1941">
        <f t="shared" si="70"/>
        <v>0</v>
      </c>
      <c r="DV25" s="1941">
        <f t="shared" si="70"/>
        <v>0</v>
      </c>
      <c r="DW25" s="1945">
        <f t="shared" si="70"/>
        <v>0</v>
      </c>
      <c r="DX25" s="1941">
        <f t="shared" si="70"/>
        <v>0</v>
      </c>
      <c r="DY25" s="1941">
        <f t="shared" si="70"/>
        <v>0</v>
      </c>
      <c r="DZ25" s="1941">
        <f t="shared" si="70"/>
        <v>0</v>
      </c>
      <c r="EA25" s="1941">
        <f t="shared" si="70"/>
        <v>0</v>
      </c>
      <c r="EB25" s="1941">
        <f t="shared" si="70"/>
        <v>0</v>
      </c>
      <c r="EC25" s="1941">
        <f t="shared" si="70"/>
        <v>0</v>
      </c>
      <c r="ED25" s="1945">
        <f t="shared" si="70"/>
        <v>0</v>
      </c>
      <c r="EE25" s="1941">
        <f t="shared" si="70"/>
        <v>0</v>
      </c>
      <c r="EF25" s="1941">
        <f t="shared" si="70"/>
        <v>0</v>
      </c>
      <c r="EG25" s="1941">
        <f t="shared" si="70"/>
        <v>0</v>
      </c>
      <c r="EH25" s="1941">
        <f t="shared" si="70"/>
        <v>0</v>
      </c>
      <c r="EI25" s="1941">
        <f t="shared" si="70"/>
        <v>0</v>
      </c>
      <c r="EJ25" s="1941">
        <f t="shared" si="70"/>
        <v>0</v>
      </c>
      <c r="EK25" s="1945">
        <f t="shared" si="70"/>
        <v>0</v>
      </c>
      <c r="EL25" s="1941">
        <f t="shared" si="70"/>
        <v>0</v>
      </c>
      <c r="EM25" s="1941">
        <f t="shared" si="70"/>
        <v>0</v>
      </c>
      <c r="EN25" s="1941">
        <f t="shared" ref="EN25:GY25" si="71">EN52</f>
        <v>0</v>
      </c>
      <c r="EO25" s="1941">
        <f t="shared" si="71"/>
        <v>0</v>
      </c>
      <c r="EP25" s="1941">
        <f t="shared" si="71"/>
        <v>0</v>
      </c>
      <c r="EQ25" s="1941">
        <f t="shared" si="71"/>
        <v>0</v>
      </c>
      <c r="ER25" s="1945">
        <f t="shared" si="71"/>
        <v>0</v>
      </c>
      <c r="ES25" s="1941">
        <f t="shared" si="71"/>
        <v>0</v>
      </c>
      <c r="ET25" s="1941">
        <f t="shared" si="71"/>
        <v>0</v>
      </c>
      <c r="EU25" s="1941">
        <f t="shared" si="71"/>
        <v>0</v>
      </c>
      <c r="EV25" s="1941">
        <f t="shared" si="71"/>
        <v>0</v>
      </c>
      <c r="EW25" s="1941">
        <f t="shared" si="71"/>
        <v>0</v>
      </c>
      <c r="EX25" s="1941">
        <f t="shared" si="71"/>
        <v>0</v>
      </c>
      <c r="EY25" s="1945">
        <f t="shared" si="71"/>
        <v>0</v>
      </c>
      <c r="EZ25" s="1941">
        <f t="shared" si="71"/>
        <v>0</v>
      </c>
      <c r="FA25" s="1941">
        <f t="shared" si="71"/>
        <v>0</v>
      </c>
      <c r="FB25" s="1941">
        <f t="shared" si="71"/>
        <v>0</v>
      </c>
      <c r="FC25" s="1941">
        <f t="shared" si="71"/>
        <v>0</v>
      </c>
      <c r="FD25" s="1941">
        <f t="shared" si="71"/>
        <v>0</v>
      </c>
      <c r="FE25" s="1941">
        <f t="shared" si="71"/>
        <v>0</v>
      </c>
      <c r="FF25" s="1945">
        <f t="shared" si="71"/>
        <v>0</v>
      </c>
      <c r="FG25" s="1941">
        <f t="shared" si="71"/>
        <v>0</v>
      </c>
      <c r="FH25" s="1941">
        <f t="shared" si="71"/>
        <v>0</v>
      </c>
      <c r="FI25" s="1941">
        <f t="shared" si="71"/>
        <v>0</v>
      </c>
      <c r="FJ25" s="1941">
        <f t="shared" si="71"/>
        <v>0</v>
      </c>
      <c r="FK25" s="1941">
        <f t="shared" si="71"/>
        <v>0</v>
      </c>
      <c r="FL25" s="1941">
        <f t="shared" si="71"/>
        <v>0</v>
      </c>
      <c r="FM25" s="1945">
        <f t="shared" si="71"/>
        <v>0</v>
      </c>
      <c r="FN25" s="1941">
        <f t="shared" si="71"/>
        <v>0</v>
      </c>
      <c r="FO25" s="1941">
        <f t="shared" si="71"/>
        <v>0</v>
      </c>
      <c r="FP25" s="1941">
        <f t="shared" si="71"/>
        <v>0</v>
      </c>
      <c r="FQ25" s="1941">
        <f t="shared" si="71"/>
        <v>0</v>
      </c>
      <c r="FR25" s="1941">
        <f t="shared" si="71"/>
        <v>0</v>
      </c>
      <c r="FS25" s="1941">
        <f t="shared" si="71"/>
        <v>0</v>
      </c>
      <c r="FT25" s="1945">
        <f t="shared" si="71"/>
        <v>0</v>
      </c>
      <c r="FU25" s="1941">
        <f t="shared" si="71"/>
        <v>0</v>
      </c>
      <c r="FV25" s="1941">
        <f t="shared" si="71"/>
        <v>0</v>
      </c>
      <c r="FW25" s="1941">
        <f t="shared" si="71"/>
        <v>0</v>
      </c>
      <c r="FX25" s="1941">
        <f t="shared" si="71"/>
        <v>0</v>
      </c>
      <c r="FY25" s="1941">
        <f t="shared" si="71"/>
        <v>0</v>
      </c>
      <c r="FZ25" s="1941">
        <f t="shared" si="71"/>
        <v>0</v>
      </c>
      <c r="GA25" s="1945">
        <f t="shared" si="71"/>
        <v>0</v>
      </c>
      <c r="GB25" s="1941">
        <f t="shared" si="71"/>
        <v>0</v>
      </c>
      <c r="GC25" s="1941">
        <f t="shared" si="71"/>
        <v>0</v>
      </c>
      <c r="GD25" s="1941">
        <f t="shared" si="71"/>
        <v>0</v>
      </c>
      <c r="GE25" s="1941">
        <f t="shared" si="71"/>
        <v>0</v>
      </c>
      <c r="GF25" s="1941">
        <f t="shared" si="71"/>
        <v>0</v>
      </c>
      <c r="GG25" s="1941">
        <f t="shared" si="71"/>
        <v>0</v>
      </c>
      <c r="GH25" s="1945">
        <f t="shared" si="71"/>
        <v>0</v>
      </c>
      <c r="GI25" s="1941">
        <f t="shared" si="71"/>
        <v>0</v>
      </c>
      <c r="GJ25" s="1941">
        <f t="shared" si="71"/>
        <v>0</v>
      </c>
      <c r="GK25" s="1941">
        <f t="shared" si="71"/>
        <v>0</v>
      </c>
      <c r="GL25" s="1941">
        <f t="shared" si="71"/>
        <v>0</v>
      </c>
      <c r="GM25" s="1941">
        <f t="shared" si="71"/>
        <v>0</v>
      </c>
      <c r="GN25" s="1941">
        <f t="shared" si="71"/>
        <v>0</v>
      </c>
      <c r="GO25" s="1945">
        <f t="shared" si="71"/>
        <v>0</v>
      </c>
      <c r="GP25" s="1941">
        <f t="shared" si="71"/>
        <v>0</v>
      </c>
      <c r="GQ25" s="1941">
        <f t="shared" si="71"/>
        <v>0</v>
      </c>
      <c r="GR25" s="1941">
        <f t="shared" si="71"/>
        <v>0</v>
      </c>
      <c r="GS25" s="1941">
        <f t="shared" si="71"/>
        <v>0</v>
      </c>
      <c r="GT25" s="1941">
        <f t="shared" si="71"/>
        <v>0</v>
      </c>
      <c r="GU25" s="1941">
        <f t="shared" si="71"/>
        <v>0</v>
      </c>
      <c r="GV25" s="1945">
        <f t="shared" si="71"/>
        <v>0</v>
      </c>
      <c r="GW25" s="1941">
        <f t="shared" si="71"/>
        <v>0</v>
      </c>
      <c r="GX25" s="1941">
        <f t="shared" si="71"/>
        <v>0</v>
      </c>
      <c r="GY25" s="1941">
        <f t="shared" si="71"/>
        <v>0</v>
      </c>
      <c r="GZ25" s="1941">
        <f t="shared" ref="GZ25:IK25" si="72">GZ52</f>
        <v>0</v>
      </c>
      <c r="HA25" s="1941">
        <f t="shared" si="72"/>
        <v>0</v>
      </c>
      <c r="HB25" s="1941">
        <f t="shared" si="72"/>
        <v>0</v>
      </c>
      <c r="HC25" s="1945">
        <f t="shared" si="72"/>
        <v>0</v>
      </c>
      <c r="HD25" s="1941">
        <f t="shared" si="72"/>
        <v>0</v>
      </c>
      <c r="HE25" s="1941">
        <f t="shared" si="72"/>
        <v>0</v>
      </c>
      <c r="HF25" s="1941">
        <f t="shared" si="72"/>
        <v>0</v>
      </c>
      <c r="HG25" s="1941">
        <f t="shared" si="72"/>
        <v>0</v>
      </c>
      <c r="HH25" s="1941">
        <f t="shared" si="72"/>
        <v>0</v>
      </c>
      <c r="HI25" s="1941">
        <f t="shared" si="72"/>
        <v>0</v>
      </c>
      <c r="HJ25" s="1945">
        <f t="shared" si="72"/>
        <v>0</v>
      </c>
      <c r="HK25" s="1941">
        <f t="shared" si="72"/>
        <v>0</v>
      </c>
      <c r="HL25" s="1941">
        <f t="shared" si="72"/>
        <v>0</v>
      </c>
      <c r="HM25" s="1941">
        <f t="shared" si="72"/>
        <v>0</v>
      </c>
      <c r="HN25" s="1941">
        <f t="shared" si="72"/>
        <v>0</v>
      </c>
      <c r="HO25" s="1941">
        <f t="shared" si="72"/>
        <v>0</v>
      </c>
      <c r="HP25" s="1941">
        <f t="shared" si="72"/>
        <v>0</v>
      </c>
      <c r="HQ25" s="1945">
        <f t="shared" si="72"/>
        <v>0</v>
      </c>
      <c r="HR25" s="1941">
        <f t="shared" si="72"/>
        <v>0</v>
      </c>
      <c r="HS25" s="1941">
        <f t="shared" si="72"/>
        <v>0</v>
      </c>
      <c r="HT25" s="1941">
        <f t="shared" si="72"/>
        <v>0</v>
      </c>
      <c r="HU25" s="1941">
        <f t="shared" si="72"/>
        <v>0</v>
      </c>
      <c r="HV25" s="1941">
        <f t="shared" si="72"/>
        <v>0</v>
      </c>
      <c r="HW25" s="1941">
        <f t="shared" si="72"/>
        <v>0</v>
      </c>
      <c r="HX25" s="1945">
        <f t="shared" si="72"/>
        <v>0</v>
      </c>
      <c r="HY25" s="1941">
        <f t="shared" si="72"/>
        <v>0</v>
      </c>
      <c r="HZ25" s="1941">
        <f t="shared" si="72"/>
        <v>0</v>
      </c>
      <c r="IA25" s="1941">
        <f t="shared" si="72"/>
        <v>0</v>
      </c>
      <c r="IB25" s="1941">
        <f t="shared" si="72"/>
        <v>0</v>
      </c>
      <c r="IC25" s="1941">
        <f t="shared" si="72"/>
        <v>0</v>
      </c>
      <c r="ID25" s="1941">
        <f t="shared" si="72"/>
        <v>0</v>
      </c>
      <c r="IE25" s="1945">
        <f t="shared" si="72"/>
        <v>0</v>
      </c>
      <c r="IF25" s="1941">
        <f t="shared" si="72"/>
        <v>0</v>
      </c>
      <c r="IG25" s="1941">
        <f t="shared" si="72"/>
        <v>0</v>
      </c>
      <c r="IH25" s="1941">
        <f t="shared" si="72"/>
        <v>0</v>
      </c>
      <c r="II25" s="1941">
        <f t="shared" si="72"/>
        <v>0</v>
      </c>
      <c r="IJ25" s="1941">
        <f t="shared" si="72"/>
        <v>0</v>
      </c>
      <c r="IK25" s="1943">
        <f t="shared" si="72"/>
        <v>0</v>
      </c>
    </row>
    <row r="26" spans="1:245" ht="8.1" hidden="1" customHeight="1" x14ac:dyDescent="0.35">
      <c r="A26" s="195">
        <f>IF(B25=0,0,"XXX")</f>
        <v>0</v>
      </c>
      <c r="B26" s="1960"/>
      <c r="C26" s="452">
        <f>IF(F25=0,0,"COMPARTILHADA COM PAREDES")</f>
        <v>0</v>
      </c>
      <c r="D26" s="360">
        <f>IF(F25=0,0,"término:")</f>
        <v>0</v>
      </c>
      <c r="E26" s="361">
        <f>IF(F25=0,0,E25+F25-1)</f>
        <v>0</v>
      </c>
      <c r="F26" s="1962"/>
      <c r="G26" s="1964"/>
      <c r="H26" s="1946"/>
      <c r="I26" s="1942"/>
      <c r="J26" s="1942"/>
      <c r="K26" s="1942"/>
      <c r="L26" s="1942"/>
      <c r="M26" s="1942"/>
      <c r="N26" s="1942"/>
      <c r="O26" s="1946"/>
      <c r="P26" s="1942"/>
      <c r="Q26" s="1942"/>
      <c r="R26" s="1942"/>
      <c r="S26" s="1942"/>
      <c r="T26" s="1942"/>
      <c r="U26" s="1942"/>
      <c r="V26" s="1946"/>
      <c r="W26" s="1942"/>
      <c r="X26" s="1942"/>
      <c r="Y26" s="1942"/>
      <c r="Z26" s="1942"/>
      <c r="AA26" s="1942"/>
      <c r="AB26" s="1942"/>
      <c r="AC26" s="1946"/>
      <c r="AD26" s="1942"/>
      <c r="AE26" s="1942"/>
      <c r="AF26" s="1942"/>
      <c r="AG26" s="1942"/>
      <c r="AH26" s="1942"/>
      <c r="AI26" s="1942"/>
      <c r="AJ26" s="1946"/>
      <c r="AK26" s="1942"/>
      <c r="AL26" s="1942"/>
      <c r="AM26" s="1942"/>
      <c r="AN26" s="1942"/>
      <c r="AO26" s="1942"/>
      <c r="AP26" s="1942"/>
      <c r="AQ26" s="1946"/>
      <c r="AR26" s="1942"/>
      <c r="AS26" s="1942"/>
      <c r="AT26" s="1942"/>
      <c r="AU26" s="1942"/>
      <c r="AV26" s="1942"/>
      <c r="AW26" s="1942"/>
      <c r="AX26" s="1946"/>
      <c r="AY26" s="1942"/>
      <c r="AZ26" s="1942"/>
      <c r="BA26" s="1942"/>
      <c r="BB26" s="1942"/>
      <c r="BC26" s="1942"/>
      <c r="BD26" s="1942"/>
      <c r="BE26" s="1946"/>
      <c r="BF26" s="1942"/>
      <c r="BG26" s="1942"/>
      <c r="BH26" s="1942"/>
      <c r="BI26" s="1942"/>
      <c r="BJ26" s="1942"/>
      <c r="BK26" s="1942"/>
      <c r="BL26" s="1946"/>
      <c r="BM26" s="1942"/>
      <c r="BN26" s="1942"/>
      <c r="BO26" s="1942"/>
      <c r="BP26" s="1942"/>
      <c r="BQ26" s="1942"/>
      <c r="BR26" s="1942"/>
      <c r="BS26" s="1946"/>
      <c r="BT26" s="1942"/>
      <c r="BU26" s="1942"/>
      <c r="BV26" s="1942"/>
      <c r="BW26" s="1942"/>
      <c r="BX26" s="1942"/>
      <c r="BY26" s="1942"/>
      <c r="BZ26" s="1946"/>
      <c r="CA26" s="1942"/>
      <c r="CB26" s="1942"/>
      <c r="CC26" s="1942"/>
      <c r="CD26" s="1942"/>
      <c r="CE26" s="1942"/>
      <c r="CF26" s="1942"/>
      <c r="CG26" s="1946"/>
      <c r="CH26" s="1942"/>
      <c r="CI26" s="1942"/>
      <c r="CJ26" s="1942"/>
      <c r="CK26" s="1942"/>
      <c r="CL26" s="1942"/>
      <c r="CM26" s="1942"/>
      <c r="CN26" s="1946"/>
      <c r="CO26" s="1942"/>
      <c r="CP26" s="1942"/>
      <c r="CQ26" s="1942"/>
      <c r="CR26" s="1942"/>
      <c r="CS26" s="1942"/>
      <c r="CT26" s="1942"/>
      <c r="CU26" s="1946"/>
      <c r="CV26" s="1942"/>
      <c r="CW26" s="1942"/>
      <c r="CX26" s="1942"/>
      <c r="CY26" s="1942"/>
      <c r="CZ26" s="1942"/>
      <c r="DA26" s="1942"/>
      <c r="DB26" s="1946"/>
      <c r="DC26" s="1942"/>
      <c r="DD26" s="1942"/>
      <c r="DE26" s="1942"/>
      <c r="DF26" s="1942"/>
      <c r="DG26" s="1942"/>
      <c r="DH26" s="1942"/>
      <c r="DI26" s="1946"/>
      <c r="DJ26" s="1942"/>
      <c r="DK26" s="1942"/>
      <c r="DL26" s="1942"/>
      <c r="DM26" s="1942"/>
      <c r="DN26" s="1942"/>
      <c r="DO26" s="1942"/>
      <c r="DP26" s="1946"/>
      <c r="DQ26" s="1942"/>
      <c r="DR26" s="1942"/>
      <c r="DS26" s="1942"/>
      <c r="DT26" s="1942"/>
      <c r="DU26" s="1942"/>
      <c r="DV26" s="1942"/>
      <c r="DW26" s="1946"/>
      <c r="DX26" s="1942"/>
      <c r="DY26" s="1942"/>
      <c r="DZ26" s="1942"/>
      <c r="EA26" s="1942"/>
      <c r="EB26" s="1942"/>
      <c r="EC26" s="1942"/>
      <c r="ED26" s="1946"/>
      <c r="EE26" s="1942"/>
      <c r="EF26" s="1942"/>
      <c r="EG26" s="1942"/>
      <c r="EH26" s="1942"/>
      <c r="EI26" s="1942"/>
      <c r="EJ26" s="1942"/>
      <c r="EK26" s="1946"/>
      <c r="EL26" s="1942"/>
      <c r="EM26" s="1942"/>
      <c r="EN26" s="1942"/>
      <c r="EO26" s="1942"/>
      <c r="EP26" s="1942"/>
      <c r="EQ26" s="1942"/>
      <c r="ER26" s="1946"/>
      <c r="ES26" s="1942"/>
      <c r="ET26" s="1942"/>
      <c r="EU26" s="1942"/>
      <c r="EV26" s="1942"/>
      <c r="EW26" s="1942"/>
      <c r="EX26" s="1942"/>
      <c r="EY26" s="1946"/>
      <c r="EZ26" s="1942"/>
      <c r="FA26" s="1942"/>
      <c r="FB26" s="1942"/>
      <c r="FC26" s="1942"/>
      <c r="FD26" s="1942"/>
      <c r="FE26" s="1942"/>
      <c r="FF26" s="1946"/>
      <c r="FG26" s="1942"/>
      <c r="FH26" s="1942"/>
      <c r="FI26" s="1942"/>
      <c r="FJ26" s="1942"/>
      <c r="FK26" s="1942"/>
      <c r="FL26" s="1942"/>
      <c r="FM26" s="1946"/>
      <c r="FN26" s="1942"/>
      <c r="FO26" s="1942"/>
      <c r="FP26" s="1942"/>
      <c r="FQ26" s="1942"/>
      <c r="FR26" s="1942"/>
      <c r="FS26" s="1942"/>
      <c r="FT26" s="1946"/>
      <c r="FU26" s="1942"/>
      <c r="FV26" s="1942"/>
      <c r="FW26" s="1942"/>
      <c r="FX26" s="1942"/>
      <c r="FY26" s="1942"/>
      <c r="FZ26" s="1942"/>
      <c r="GA26" s="1946"/>
      <c r="GB26" s="1942"/>
      <c r="GC26" s="1942"/>
      <c r="GD26" s="1942"/>
      <c r="GE26" s="1942"/>
      <c r="GF26" s="1942"/>
      <c r="GG26" s="1942"/>
      <c r="GH26" s="1946"/>
      <c r="GI26" s="1942"/>
      <c r="GJ26" s="1942"/>
      <c r="GK26" s="1942"/>
      <c r="GL26" s="1942"/>
      <c r="GM26" s="1942"/>
      <c r="GN26" s="1942"/>
      <c r="GO26" s="1946"/>
      <c r="GP26" s="1942"/>
      <c r="GQ26" s="1942"/>
      <c r="GR26" s="1942"/>
      <c r="GS26" s="1942"/>
      <c r="GT26" s="1942"/>
      <c r="GU26" s="1942"/>
      <c r="GV26" s="1946"/>
      <c r="GW26" s="1942"/>
      <c r="GX26" s="1942"/>
      <c r="GY26" s="1942"/>
      <c r="GZ26" s="1942"/>
      <c r="HA26" s="1942"/>
      <c r="HB26" s="1942"/>
      <c r="HC26" s="1946"/>
      <c r="HD26" s="1942"/>
      <c r="HE26" s="1942"/>
      <c r="HF26" s="1942"/>
      <c r="HG26" s="1942"/>
      <c r="HH26" s="1942"/>
      <c r="HI26" s="1942"/>
      <c r="HJ26" s="1946"/>
      <c r="HK26" s="1942"/>
      <c r="HL26" s="1942"/>
      <c r="HM26" s="1942"/>
      <c r="HN26" s="1942"/>
      <c r="HO26" s="1942"/>
      <c r="HP26" s="1942"/>
      <c r="HQ26" s="1946"/>
      <c r="HR26" s="1942"/>
      <c r="HS26" s="1942"/>
      <c r="HT26" s="1942"/>
      <c r="HU26" s="1942"/>
      <c r="HV26" s="1942"/>
      <c r="HW26" s="1942"/>
      <c r="HX26" s="1946"/>
      <c r="HY26" s="1942"/>
      <c r="HZ26" s="1942"/>
      <c r="IA26" s="1942"/>
      <c r="IB26" s="1942"/>
      <c r="IC26" s="1942"/>
      <c r="ID26" s="1942"/>
      <c r="IE26" s="1946"/>
      <c r="IF26" s="1942"/>
      <c r="IG26" s="1942"/>
      <c r="IH26" s="1942"/>
      <c r="II26" s="1942"/>
      <c r="IJ26" s="1942"/>
      <c r="IK26" s="1944"/>
    </row>
    <row r="27" spans="1:245" ht="8.1" hidden="1" customHeight="1" x14ac:dyDescent="0.35">
      <c r="A27" s="195">
        <f>IF(B27=0,0,"XXX")</f>
        <v>0</v>
      </c>
      <c r="B27" s="1959">
        <f>IF(AND(F25&gt;=0,F27=0),0,IF(AND(F25=0,F27&gt;0),"1.1.2",IF(F25+F27=0,0,"1.1.3")))</f>
        <v>0</v>
      </c>
      <c r="C27" s="453">
        <f>IF(F27=0,0,"CONFECÇÃO DE COBERTURA NÃO")</f>
        <v>0</v>
      </c>
      <c r="D27" s="358">
        <f>IF(F27=0,0,"início:")</f>
        <v>0</v>
      </c>
      <c r="E27" s="359">
        <f>IF(F27=0,0,D66+D62)</f>
        <v>0</v>
      </c>
      <c r="F27" s="1961">
        <f>IF(D61&gt;0,D61,D64)</f>
        <v>0</v>
      </c>
      <c r="G27" s="1963">
        <f>IF(F27=0,0,"dias")</f>
        <v>0</v>
      </c>
      <c r="H27" s="1945">
        <f>IF(OR(H64=10,H61=10),10,0)</f>
        <v>0</v>
      </c>
      <c r="I27" s="1941">
        <f t="shared" ref="I27:O27" si="73">IF(OR(I64=10,I61=10),10,0)</f>
        <v>0</v>
      </c>
      <c r="J27" s="1941">
        <f t="shared" si="73"/>
        <v>0</v>
      </c>
      <c r="K27" s="1941">
        <f t="shared" si="73"/>
        <v>0</v>
      </c>
      <c r="L27" s="1941">
        <f t="shared" si="73"/>
        <v>0</v>
      </c>
      <c r="M27" s="1941">
        <f t="shared" si="73"/>
        <v>0</v>
      </c>
      <c r="N27" s="1943">
        <f t="shared" si="73"/>
        <v>0</v>
      </c>
      <c r="O27" s="1945">
        <f t="shared" si="73"/>
        <v>0</v>
      </c>
      <c r="P27" s="1941">
        <f t="shared" ref="P27:CA27" si="74">IF(OR(P64=10,P61=10),10,0)</f>
        <v>0</v>
      </c>
      <c r="Q27" s="1941">
        <f t="shared" si="74"/>
        <v>0</v>
      </c>
      <c r="R27" s="1941">
        <f t="shared" si="74"/>
        <v>0</v>
      </c>
      <c r="S27" s="1941">
        <f t="shared" si="74"/>
        <v>0</v>
      </c>
      <c r="T27" s="1941">
        <f t="shared" si="74"/>
        <v>0</v>
      </c>
      <c r="U27" s="1943">
        <f t="shared" si="74"/>
        <v>0</v>
      </c>
      <c r="V27" s="1945">
        <f t="shared" si="74"/>
        <v>0</v>
      </c>
      <c r="W27" s="1941">
        <f t="shared" si="74"/>
        <v>0</v>
      </c>
      <c r="X27" s="1941">
        <f t="shared" si="74"/>
        <v>0</v>
      </c>
      <c r="Y27" s="1941">
        <f t="shared" si="74"/>
        <v>0</v>
      </c>
      <c r="Z27" s="1941">
        <f t="shared" si="74"/>
        <v>0</v>
      </c>
      <c r="AA27" s="1941">
        <f t="shared" si="74"/>
        <v>0</v>
      </c>
      <c r="AB27" s="1943">
        <f t="shared" si="74"/>
        <v>0</v>
      </c>
      <c r="AC27" s="1945">
        <f t="shared" si="74"/>
        <v>0</v>
      </c>
      <c r="AD27" s="1941">
        <f t="shared" si="74"/>
        <v>0</v>
      </c>
      <c r="AE27" s="1941">
        <f t="shared" si="74"/>
        <v>0</v>
      </c>
      <c r="AF27" s="1941">
        <f t="shared" si="74"/>
        <v>0</v>
      </c>
      <c r="AG27" s="1941">
        <f t="shared" si="74"/>
        <v>0</v>
      </c>
      <c r="AH27" s="1941">
        <f t="shared" si="74"/>
        <v>0</v>
      </c>
      <c r="AI27" s="1943">
        <f t="shared" si="74"/>
        <v>0</v>
      </c>
      <c r="AJ27" s="1945">
        <f t="shared" si="74"/>
        <v>0</v>
      </c>
      <c r="AK27" s="1941">
        <f t="shared" si="74"/>
        <v>0</v>
      </c>
      <c r="AL27" s="1941">
        <f t="shared" si="74"/>
        <v>0</v>
      </c>
      <c r="AM27" s="1941">
        <f t="shared" si="74"/>
        <v>0</v>
      </c>
      <c r="AN27" s="1941">
        <f t="shared" si="74"/>
        <v>0</v>
      </c>
      <c r="AO27" s="1941">
        <f t="shared" si="74"/>
        <v>0</v>
      </c>
      <c r="AP27" s="1943">
        <f t="shared" si="74"/>
        <v>0</v>
      </c>
      <c r="AQ27" s="1945">
        <f t="shared" si="74"/>
        <v>0</v>
      </c>
      <c r="AR27" s="1941">
        <f t="shared" si="74"/>
        <v>0</v>
      </c>
      <c r="AS27" s="1941">
        <f t="shared" si="74"/>
        <v>0</v>
      </c>
      <c r="AT27" s="1941">
        <f t="shared" si="74"/>
        <v>0</v>
      </c>
      <c r="AU27" s="1941">
        <f t="shared" si="74"/>
        <v>0</v>
      </c>
      <c r="AV27" s="1941">
        <f t="shared" si="74"/>
        <v>0</v>
      </c>
      <c r="AW27" s="1943">
        <f t="shared" si="74"/>
        <v>0</v>
      </c>
      <c r="AX27" s="1945">
        <f t="shared" si="74"/>
        <v>0</v>
      </c>
      <c r="AY27" s="1941">
        <f t="shared" si="74"/>
        <v>0</v>
      </c>
      <c r="AZ27" s="1941">
        <f t="shared" si="74"/>
        <v>0</v>
      </c>
      <c r="BA27" s="1941">
        <f t="shared" si="74"/>
        <v>0</v>
      </c>
      <c r="BB27" s="1941">
        <f t="shared" si="74"/>
        <v>0</v>
      </c>
      <c r="BC27" s="1941">
        <f t="shared" si="74"/>
        <v>0</v>
      </c>
      <c r="BD27" s="1943">
        <f t="shared" si="74"/>
        <v>0</v>
      </c>
      <c r="BE27" s="1945">
        <f t="shared" si="74"/>
        <v>0</v>
      </c>
      <c r="BF27" s="1941">
        <f t="shared" si="74"/>
        <v>0</v>
      </c>
      <c r="BG27" s="1941">
        <f t="shared" si="74"/>
        <v>0</v>
      </c>
      <c r="BH27" s="1941">
        <f t="shared" si="74"/>
        <v>0</v>
      </c>
      <c r="BI27" s="1941">
        <f t="shared" si="74"/>
        <v>0</v>
      </c>
      <c r="BJ27" s="1941">
        <f t="shared" si="74"/>
        <v>0</v>
      </c>
      <c r="BK27" s="1943">
        <f t="shared" si="74"/>
        <v>0</v>
      </c>
      <c r="BL27" s="1945">
        <f t="shared" si="74"/>
        <v>0</v>
      </c>
      <c r="BM27" s="1941">
        <f t="shared" si="74"/>
        <v>0</v>
      </c>
      <c r="BN27" s="1941">
        <f t="shared" si="74"/>
        <v>0</v>
      </c>
      <c r="BO27" s="1941">
        <f t="shared" si="74"/>
        <v>0</v>
      </c>
      <c r="BP27" s="1941">
        <f t="shared" si="74"/>
        <v>0</v>
      </c>
      <c r="BQ27" s="1941">
        <f t="shared" si="74"/>
        <v>0</v>
      </c>
      <c r="BR27" s="1943">
        <f t="shared" si="74"/>
        <v>0</v>
      </c>
      <c r="BS27" s="1945">
        <f t="shared" si="74"/>
        <v>0</v>
      </c>
      <c r="BT27" s="1941">
        <f t="shared" si="74"/>
        <v>0</v>
      </c>
      <c r="BU27" s="1941">
        <f t="shared" si="74"/>
        <v>0</v>
      </c>
      <c r="BV27" s="1941">
        <f t="shared" si="74"/>
        <v>0</v>
      </c>
      <c r="BW27" s="1941">
        <f t="shared" si="74"/>
        <v>0</v>
      </c>
      <c r="BX27" s="1941">
        <f t="shared" si="74"/>
        <v>0</v>
      </c>
      <c r="BY27" s="1943">
        <f t="shared" si="74"/>
        <v>0</v>
      </c>
      <c r="BZ27" s="1945">
        <f t="shared" si="74"/>
        <v>0</v>
      </c>
      <c r="CA27" s="1941">
        <f t="shared" si="74"/>
        <v>0</v>
      </c>
      <c r="CB27" s="1941">
        <f t="shared" ref="CB27:EM27" si="75">IF(OR(CB64=10,CB61=10),10,0)</f>
        <v>0</v>
      </c>
      <c r="CC27" s="1941">
        <f t="shared" si="75"/>
        <v>0</v>
      </c>
      <c r="CD27" s="1941">
        <f t="shared" si="75"/>
        <v>0</v>
      </c>
      <c r="CE27" s="1941">
        <f t="shared" si="75"/>
        <v>0</v>
      </c>
      <c r="CF27" s="1943">
        <f t="shared" si="75"/>
        <v>0</v>
      </c>
      <c r="CG27" s="1945">
        <f t="shared" si="75"/>
        <v>0</v>
      </c>
      <c r="CH27" s="1941">
        <f t="shared" si="75"/>
        <v>0</v>
      </c>
      <c r="CI27" s="1941">
        <f t="shared" si="75"/>
        <v>0</v>
      </c>
      <c r="CJ27" s="1941">
        <f t="shared" si="75"/>
        <v>0</v>
      </c>
      <c r="CK27" s="1941">
        <f t="shared" si="75"/>
        <v>0</v>
      </c>
      <c r="CL27" s="1941">
        <f t="shared" si="75"/>
        <v>0</v>
      </c>
      <c r="CM27" s="1943">
        <f t="shared" si="75"/>
        <v>0</v>
      </c>
      <c r="CN27" s="1945">
        <f t="shared" si="75"/>
        <v>0</v>
      </c>
      <c r="CO27" s="1941">
        <f t="shared" si="75"/>
        <v>0</v>
      </c>
      <c r="CP27" s="1941">
        <f t="shared" si="75"/>
        <v>0</v>
      </c>
      <c r="CQ27" s="1941">
        <f t="shared" si="75"/>
        <v>0</v>
      </c>
      <c r="CR27" s="1941">
        <f t="shared" si="75"/>
        <v>0</v>
      </c>
      <c r="CS27" s="1941">
        <f t="shared" si="75"/>
        <v>0</v>
      </c>
      <c r="CT27" s="1943">
        <f t="shared" si="75"/>
        <v>0</v>
      </c>
      <c r="CU27" s="1945">
        <f t="shared" si="75"/>
        <v>0</v>
      </c>
      <c r="CV27" s="1941">
        <f t="shared" si="75"/>
        <v>0</v>
      </c>
      <c r="CW27" s="1941">
        <f t="shared" si="75"/>
        <v>0</v>
      </c>
      <c r="CX27" s="1941">
        <f t="shared" si="75"/>
        <v>0</v>
      </c>
      <c r="CY27" s="1941">
        <f t="shared" si="75"/>
        <v>0</v>
      </c>
      <c r="CZ27" s="1941">
        <f t="shared" si="75"/>
        <v>0</v>
      </c>
      <c r="DA27" s="1943">
        <f t="shared" si="75"/>
        <v>0</v>
      </c>
      <c r="DB27" s="1945">
        <f t="shared" si="75"/>
        <v>0</v>
      </c>
      <c r="DC27" s="1941">
        <f t="shared" si="75"/>
        <v>0</v>
      </c>
      <c r="DD27" s="1941">
        <f t="shared" si="75"/>
        <v>0</v>
      </c>
      <c r="DE27" s="1941">
        <f t="shared" si="75"/>
        <v>0</v>
      </c>
      <c r="DF27" s="1941">
        <f t="shared" si="75"/>
        <v>0</v>
      </c>
      <c r="DG27" s="1941">
        <f t="shared" si="75"/>
        <v>0</v>
      </c>
      <c r="DH27" s="1943">
        <f t="shared" si="75"/>
        <v>0</v>
      </c>
      <c r="DI27" s="1945">
        <f t="shared" si="75"/>
        <v>0</v>
      </c>
      <c r="DJ27" s="1941">
        <f t="shared" si="75"/>
        <v>0</v>
      </c>
      <c r="DK27" s="1941">
        <f t="shared" si="75"/>
        <v>0</v>
      </c>
      <c r="DL27" s="1941">
        <f t="shared" si="75"/>
        <v>0</v>
      </c>
      <c r="DM27" s="1941">
        <f t="shared" si="75"/>
        <v>0</v>
      </c>
      <c r="DN27" s="1941">
        <f t="shared" si="75"/>
        <v>0</v>
      </c>
      <c r="DO27" s="1943">
        <f t="shared" si="75"/>
        <v>0</v>
      </c>
      <c r="DP27" s="1945">
        <f t="shared" si="75"/>
        <v>0</v>
      </c>
      <c r="DQ27" s="1941">
        <f t="shared" si="75"/>
        <v>0</v>
      </c>
      <c r="DR27" s="1941">
        <f t="shared" si="75"/>
        <v>0</v>
      </c>
      <c r="DS27" s="1941">
        <f t="shared" si="75"/>
        <v>0</v>
      </c>
      <c r="DT27" s="1941">
        <f t="shared" si="75"/>
        <v>0</v>
      </c>
      <c r="DU27" s="1941">
        <f t="shared" si="75"/>
        <v>0</v>
      </c>
      <c r="DV27" s="1943">
        <f t="shared" si="75"/>
        <v>0</v>
      </c>
      <c r="DW27" s="1945">
        <f t="shared" si="75"/>
        <v>0</v>
      </c>
      <c r="DX27" s="1941">
        <f t="shared" si="75"/>
        <v>0</v>
      </c>
      <c r="DY27" s="1941">
        <f t="shared" si="75"/>
        <v>0</v>
      </c>
      <c r="DZ27" s="1941">
        <f t="shared" si="75"/>
        <v>0</v>
      </c>
      <c r="EA27" s="1941">
        <f t="shared" si="75"/>
        <v>0</v>
      </c>
      <c r="EB27" s="1941">
        <f t="shared" si="75"/>
        <v>0</v>
      </c>
      <c r="EC27" s="1943">
        <f t="shared" si="75"/>
        <v>0</v>
      </c>
      <c r="ED27" s="1945">
        <f t="shared" si="75"/>
        <v>0</v>
      </c>
      <c r="EE27" s="1941">
        <f t="shared" si="75"/>
        <v>0</v>
      </c>
      <c r="EF27" s="1941">
        <f t="shared" si="75"/>
        <v>0</v>
      </c>
      <c r="EG27" s="1941">
        <f t="shared" si="75"/>
        <v>0</v>
      </c>
      <c r="EH27" s="1941">
        <f t="shared" si="75"/>
        <v>0</v>
      </c>
      <c r="EI27" s="1941">
        <f t="shared" si="75"/>
        <v>0</v>
      </c>
      <c r="EJ27" s="1943">
        <f t="shared" si="75"/>
        <v>0</v>
      </c>
      <c r="EK27" s="1945">
        <f t="shared" si="75"/>
        <v>0</v>
      </c>
      <c r="EL27" s="1941">
        <f t="shared" si="75"/>
        <v>0</v>
      </c>
      <c r="EM27" s="1941">
        <f t="shared" si="75"/>
        <v>0</v>
      </c>
      <c r="EN27" s="1941">
        <f t="shared" ref="EN27:GY27" si="76">IF(OR(EN64=10,EN61=10),10,0)</f>
        <v>0</v>
      </c>
      <c r="EO27" s="1941">
        <f t="shared" si="76"/>
        <v>0</v>
      </c>
      <c r="EP27" s="1941">
        <f t="shared" si="76"/>
        <v>0</v>
      </c>
      <c r="EQ27" s="1943">
        <f t="shared" si="76"/>
        <v>0</v>
      </c>
      <c r="ER27" s="1945">
        <f t="shared" si="76"/>
        <v>0</v>
      </c>
      <c r="ES27" s="1941">
        <f t="shared" si="76"/>
        <v>0</v>
      </c>
      <c r="ET27" s="1941">
        <f t="shared" si="76"/>
        <v>0</v>
      </c>
      <c r="EU27" s="1941">
        <f t="shared" si="76"/>
        <v>0</v>
      </c>
      <c r="EV27" s="1941">
        <f t="shared" si="76"/>
        <v>0</v>
      </c>
      <c r="EW27" s="1941">
        <f t="shared" si="76"/>
        <v>0</v>
      </c>
      <c r="EX27" s="1943">
        <f t="shared" si="76"/>
        <v>0</v>
      </c>
      <c r="EY27" s="1945">
        <f t="shared" si="76"/>
        <v>0</v>
      </c>
      <c r="EZ27" s="1941">
        <f t="shared" si="76"/>
        <v>0</v>
      </c>
      <c r="FA27" s="1941">
        <f t="shared" si="76"/>
        <v>0</v>
      </c>
      <c r="FB27" s="1941">
        <f t="shared" si="76"/>
        <v>0</v>
      </c>
      <c r="FC27" s="1941">
        <f t="shared" si="76"/>
        <v>0</v>
      </c>
      <c r="FD27" s="1941">
        <f t="shared" si="76"/>
        <v>0</v>
      </c>
      <c r="FE27" s="1943">
        <f t="shared" si="76"/>
        <v>0</v>
      </c>
      <c r="FF27" s="1945">
        <f t="shared" si="76"/>
        <v>0</v>
      </c>
      <c r="FG27" s="1941">
        <f t="shared" si="76"/>
        <v>0</v>
      </c>
      <c r="FH27" s="1941">
        <f t="shared" si="76"/>
        <v>0</v>
      </c>
      <c r="FI27" s="1941">
        <f t="shared" si="76"/>
        <v>0</v>
      </c>
      <c r="FJ27" s="1941">
        <f t="shared" si="76"/>
        <v>0</v>
      </c>
      <c r="FK27" s="1941">
        <f t="shared" si="76"/>
        <v>0</v>
      </c>
      <c r="FL27" s="1943">
        <f t="shared" si="76"/>
        <v>0</v>
      </c>
      <c r="FM27" s="1945">
        <f t="shared" si="76"/>
        <v>0</v>
      </c>
      <c r="FN27" s="1941">
        <f t="shared" si="76"/>
        <v>0</v>
      </c>
      <c r="FO27" s="1941">
        <f t="shared" si="76"/>
        <v>0</v>
      </c>
      <c r="FP27" s="1941">
        <f t="shared" si="76"/>
        <v>0</v>
      </c>
      <c r="FQ27" s="1941">
        <f t="shared" si="76"/>
        <v>0</v>
      </c>
      <c r="FR27" s="1941">
        <f t="shared" si="76"/>
        <v>0</v>
      </c>
      <c r="FS27" s="1943">
        <f t="shared" si="76"/>
        <v>0</v>
      </c>
      <c r="FT27" s="1945">
        <f t="shared" si="76"/>
        <v>0</v>
      </c>
      <c r="FU27" s="1941">
        <f t="shared" si="76"/>
        <v>0</v>
      </c>
      <c r="FV27" s="1941">
        <f t="shared" si="76"/>
        <v>0</v>
      </c>
      <c r="FW27" s="1941">
        <f t="shared" si="76"/>
        <v>0</v>
      </c>
      <c r="FX27" s="1941">
        <f t="shared" si="76"/>
        <v>0</v>
      </c>
      <c r="FY27" s="1941">
        <f t="shared" si="76"/>
        <v>0</v>
      </c>
      <c r="FZ27" s="1943">
        <f t="shared" si="76"/>
        <v>0</v>
      </c>
      <c r="GA27" s="1945">
        <f t="shared" si="76"/>
        <v>0</v>
      </c>
      <c r="GB27" s="1941">
        <f t="shared" si="76"/>
        <v>0</v>
      </c>
      <c r="GC27" s="1941">
        <f t="shared" si="76"/>
        <v>0</v>
      </c>
      <c r="GD27" s="1941">
        <f t="shared" si="76"/>
        <v>0</v>
      </c>
      <c r="GE27" s="1941">
        <f t="shared" si="76"/>
        <v>0</v>
      </c>
      <c r="GF27" s="1941">
        <f t="shared" si="76"/>
        <v>0</v>
      </c>
      <c r="GG27" s="1943">
        <f t="shared" si="76"/>
        <v>0</v>
      </c>
      <c r="GH27" s="1945">
        <f t="shared" si="76"/>
        <v>0</v>
      </c>
      <c r="GI27" s="1941">
        <f t="shared" si="76"/>
        <v>0</v>
      </c>
      <c r="GJ27" s="1941">
        <f t="shared" si="76"/>
        <v>0</v>
      </c>
      <c r="GK27" s="1941">
        <f t="shared" si="76"/>
        <v>0</v>
      </c>
      <c r="GL27" s="1941">
        <f t="shared" si="76"/>
        <v>0</v>
      </c>
      <c r="GM27" s="1941">
        <f t="shared" si="76"/>
        <v>0</v>
      </c>
      <c r="GN27" s="1943">
        <f t="shared" si="76"/>
        <v>0</v>
      </c>
      <c r="GO27" s="1945">
        <f t="shared" si="76"/>
        <v>0</v>
      </c>
      <c r="GP27" s="1941">
        <f t="shared" si="76"/>
        <v>0</v>
      </c>
      <c r="GQ27" s="1941">
        <f t="shared" si="76"/>
        <v>0</v>
      </c>
      <c r="GR27" s="1941">
        <f t="shared" si="76"/>
        <v>0</v>
      </c>
      <c r="GS27" s="1941">
        <f t="shared" si="76"/>
        <v>0</v>
      </c>
      <c r="GT27" s="1941">
        <f t="shared" si="76"/>
        <v>0</v>
      </c>
      <c r="GU27" s="1943">
        <f t="shared" si="76"/>
        <v>0</v>
      </c>
      <c r="GV27" s="1945">
        <f t="shared" si="76"/>
        <v>0</v>
      </c>
      <c r="GW27" s="1941">
        <f t="shared" si="76"/>
        <v>0</v>
      </c>
      <c r="GX27" s="1941">
        <f t="shared" si="76"/>
        <v>0</v>
      </c>
      <c r="GY27" s="1941">
        <f t="shared" si="76"/>
        <v>0</v>
      </c>
      <c r="GZ27" s="1941">
        <f t="shared" ref="GZ27:IK27" si="77">IF(OR(GZ64=10,GZ61=10),10,0)</f>
        <v>0</v>
      </c>
      <c r="HA27" s="1941">
        <f t="shared" si="77"/>
        <v>0</v>
      </c>
      <c r="HB27" s="1943">
        <f t="shared" si="77"/>
        <v>0</v>
      </c>
      <c r="HC27" s="1945">
        <f t="shared" si="77"/>
        <v>0</v>
      </c>
      <c r="HD27" s="1941">
        <f t="shared" si="77"/>
        <v>0</v>
      </c>
      <c r="HE27" s="1941">
        <f t="shared" si="77"/>
        <v>0</v>
      </c>
      <c r="HF27" s="1941">
        <f t="shared" si="77"/>
        <v>0</v>
      </c>
      <c r="HG27" s="1941">
        <f t="shared" si="77"/>
        <v>0</v>
      </c>
      <c r="HH27" s="1941">
        <f t="shared" si="77"/>
        <v>0</v>
      </c>
      <c r="HI27" s="1943">
        <f t="shared" si="77"/>
        <v>0</v>
      </c>
      <c r="HJ27" s="1945">
        <f t="shared" si="77"/>
        <v>0</v>
      </c>
      <c r="HK27" s="1941">
        <f t="shared" si="77"/>
        <v>0</v>
      </c>
      <c r="HL27" s="1941">
        <f t="shared" si="77"/>
        <v>0</v>
      </c>
      <c r="HM27" s="1941">
        <f t="shared" si="77"/>
        <v>0</v>
      </c>
      <c r="HN27" s="1941">
        <f t="shared" si="77"/>
        <v>0</v>
      </c>
      <c r="HO27" s="1941">
        <f t="shared" si="77"/>
        <v>0</v>
      </c>
      <c r="HP27" s="1943">
        <f t="shared" si="77"/>
        <v>0</v>
      </c>
      <c r="HQ27" s="1945">
        <f t="shared" si="77"/>
        <v>0</v>
      </c>
      <c r="HR27" s="1941">
        <f t="shared" si="77"/>
        <v>0</v>
      </c>
      <c r="HS27" s="1941">
        <f t="shared" si="77"/>
        <v>0</v>
      </c>
      <c r="HT27" s="1941">
        <f t="shared" si="77"/>
        <v>0</v>
      </c>
      <c r="HU27" s="1941">
        <f t="shared" si="77"/>
        <v>0</v>
      </c>
      <c r="HV27" s="1941">
        <f t="shared" si="77"/>
        <v>0</v>
      </c>
      <c r="HW27" s="1943">
        <f t="shared" si="77"/>
        <v>0</v>
      </c>
      <c r="HX27" s="1945">
        <f t="shared" si="77"/>
        <v>0</v>
      </c>
      <c r="HY27" s="1941">
        <f t="shared" si="77"/>
        <v>0</v>
      </c>
      <c r="HZ27" s="1941">
        <f t="shared" si="77"/>
        <v>0</v>
      </c>
      <c r="IA27" s="1941">
        <f t="shared" si="77"/>
        <v>0</v>
      </c>
      <c r="IB27" s="1941">
        <f t="shared" si="77"/>
        <v>0</v>
      </c>
      <c r="IC27" s="1941">
        <f t="shared" si="77"/>
        <v>0</v>
      </c>
      <c r="ID27" s="1943">
        <f t="shared" si="77"/>
        <v>0</v>
      </c>
      <c r="IE27" s="1945">
        <f t="shared" si="77"/>
        <v>0</v>
      </c>
      <c r="IF27" s="1941">
        <f t="shared" si="77"/>
        <v>0</v>
      </c>
      <c r="IG27" s="1941">
        <f t="shared" si="77"/>
        <v>0</v>
      </c>
      <c r="IH27" s="1941">
        <f t="shared" si="77"/>
        <v>0</v>
      </c>
      <c r="II27" s="1941">
        <f t="shared" si="77"/>
        <v>0</v>
      </c>
      <c r="IJ27" s="1941">
        <f t="shared" si="77"/>
        <v>0</v>
      </c>
      <c r="IK27" s="1943">
        <f t="shared" si="77"/>
        <v>0</v>
      </c>
    </row>
    <row r="28" spans="1:245" ht="8.1" hidden="1" customHeight="1" x14ac:dyDescent="0.35">
      <c r="A28" s="195">
        <f>IF(B27=0,0,"XXX")</f>
        <v>0</v>
      </c>
      <c r="B28" s="1960"/>
      <c r="C28" s="452">
        <f>IF(F27=0,0,"COMPARTILHADA COM PAREDES")</f>
        <v>0</v>
      </c>
      <c r="D28" s="360">
        <f>IF(F27=0,0,"término:")</f>
        <v>0</v>
      </c>
      <c r="E28" s="361">
        <f>IF(F27=0,0,D67+D63)</f>
        <v>0</v>
      </c>
      <c r="F28" s="1962"/>
      <c r="G28" s="1964"/>
      <c r="H28" s="1946"/>
      <c r="I28" s="1942"/>
      <c r="J28" s="1942"/>
      <c r="K28" s="1942"/>
      <c r="L28" s="1942"/>
      <c r="M28" s="1942"/>
      <c r="N28" s="1944"/>
      <c r="O28" s="1946"/>
      <c r="P28" s="1942"/>
      <c r="Q28" s="1942"/>
      <c r="R28" s="1942"/>
      <c r="S28" s="1942"/>
      <c r="T28" s="1942"/>
      <c r="U28" s="1944"/>
      <c r="V28" s="1946"/>
      <c r="W28" s="1942"/>
      <c r="X28" s="1942"/>
      <c r="Y28" s="1942"/>
      <c r="Z28" s="1942"/>
      <c r="AA28" s="1942"/>
      <c r="AB28" s="1944"/>
      <c r="AC28" s="1946"/>
      <c r="AD28" s="1942"/>
      <c r="AE28" s="1942"/>
      <c r="AF28" s="1942"/>
      <c r="AG28" s="1942"/>
      <c r="AH28" s="1942"/>
      <c r="AI28" s="1944"/>
      <c r="AJ28" s="1946"/>
      <c r="AK28" s="1942"/>
      <c r="AL28" s="1942"/>
      <c r="AM28" s="1942"/>
      <c r="AN28" s="1942"/>
      <c r="AO28" s="1942"/>
      <c r="AP28" s="1944"/>
      <c r="AQ28" s="1946"/>
      <c r="AR28" s="1942"/>
      <c r="AS28" s="1942"/>
      <c r="AT28" s="1942"/>
      <c r="AU28" s="1942"/>
      <c r="AV28" s="1942"/>
      <c r="AW28" s="1944"/>
      <c r="AX28" s="1946"/>
      <c r="AY28" s="1942"/>
      <c r="AZ28" s="1942"/>
      <c r="BA28" s="1942"/>
      <c r="BB28" s="1942"/>
      <c r="BC28" s="1942"/>
      <c r="BD28" s="1944"/>
      <c r="BE28" s="1946"/>
      <c r="BF28" s="1942"/>
      <c r="BG28" s="1942"/>
      <c r="BH28" s="1942"/>
      <c r="BI28" s="1942"/>
      <c r="BJ28" s="1942"/>
      <c r="BK28" s="1944"/>
      <c r="BL28" s="1946"/>
      <c r="BM28" s="1942"/>
      <c r="BN28" s="1942"/>
      <c r="BO28" s="1942"/>
      <c r="BP28" s="1942"/>
      <c r="BQ28" s="1942"/>
      <c r="BR28" s="1944"/>
      <c r="BS28" s="1946"/>
      <c r="BT28" s="1942"/>
      <c r="BU28" s="1942"/>
      <c r="BV28" s="1942"/>
      <c r="BW28" s="1942"/>
      <c r="BX28" s="1942"/>
      <c r="BY28" s="1944"/>
      <c r="BZ28" s="1946"/>
      <c r="CA28" s="1942"/>
      <c r="CB28" s="1942"/>
      <c r="CC28" s="1942"/>
      <c r="CD28" s="1942"/>
      <c r="CE28" s="1942"/>
      <c r="CF28" s="1944"/>
      <c r="CG28" s="1946"/>
      <c r="CH28" s="1942"/>
      <c r="CI28" s="1942"/>
      <c r="CJ28" s="1942"/>
      <c r="CK28" s="1942"/>
      <c r="CL28" s="1942"/>
      <c r="CM28" s="1944"/>
      <c r="CN28" s="1946"/>
      <c r="CO28" s="1942"/>
      <c r="CP28" s="1942"/>
      <c r="CQ28" s="1942"/>
      <c r="CR28" s="1942"/>
      <c r="CS28" s="1942"/>
      <c r="CT28" s="1944"/>
      <c r="CU28" s="1946"/>
      <c r="CV28" s="1942"/>
      <c r="CW28" s="1942"/>
      <c r="CX28" s="1942"/>
      <c r="CY28" s="1942"/>
      <c r="CZ28" s="1942"/>
      <c r="DA28" s="1944"/>
      <c r="DB28" s="1946"/>
      <c r="DC28" s="1942"/>
      <c r="DD28" s="1942"/>
      <c r="DE28" s="1942"/>
      <c r="DF28" s="1942"/>
      <c r="DG28" s="1942"/>
      <c r="DH28" s="1944"/>
      <c r="DI28" s="1946"/>
      <c r="DJ28" s="1942"/>
      <c r="DK28" s="1942"/>
      <c r="DL28" s="1942"/>
      <c r="DM28" s="1942"/>
      <c r="DN28" s="1942"/>
      <c r="DO28" s="1944"/>
      <c r="DP28" s="1946"/>
      <c r="DQ28" s="1942"/>
      <c r="DR28" s="1942"/>
      <c r="DS28" s="1942"/>
      <c r="DT28" s="1942"/>
      <c r="DU28" s="1942"/>
      <c r="DV28" s="1944"/>
      <c r="DW28" s="1946"/>
      <c r="DX28" s="1942"/>
      <c r="DY28" s="1942"/>
      <c r="DZ28" s="1942"/>
      <c r="EA28" s="1942"/>
      <c r="EB28" s="1942"/>
      <c r="EC28" s="1944"/>
      <c r="ED28" s="1946"/>
      <c r="EE28" s="1942"/>
      <c r="EF28" s="1942"/>
      <c r="EG28" s="1942"/>
      <c r="EH28" s="1942"/>
      <c r="EI28" s="1942"/>
      <c r="EJ28" s="1944"/>
      <c r="EK28" s="1946"/>
      <c r="EL28" s="1942"/>
      <c r="EM28" s="1942"/>
      <c r="EN28" s="1942"/>
      <c r="EO28" s="1942"/>
      <c r="EP28" s="1942"/>
      <c r="EQ28" s="1944"/>
      <c r="ER28" s="1946"/>
      <c r="ES28" s="1942"/>
      <c r="ET28" s="1942"/>
      <c r="EU28" s="1942"/>
      <c r="EV28" s="1942"/>
      <c r="EW28" s="1942"/>
      <c r="EX28" s="1944"/>
      <c r="EY28" s="1946"/>
      <c r="EZ28" s="1942"/>
      <c r="FA28" s="1942"/>
      <c r="FB28" s="1942"/>
      <c r="FC28" s="1942"/>
      <c r="FD28" s="1942"/>
      <c r="FE28" s="1944"/>
      <c r="FF28" s="1946"/>
      <c r="FG28" s="1942"/>
      <c r="FH28" s="1942"/>
      <c r="FI28" s="1942"/>
      <c r="FJ28" s="1942"/>
      <c r="FK28" s="1942"/>
      <c r="FL28" s="1944"/>
      <c r="FM28" s="1946"/>
      <c r="FN28" s="1942"/>
      <c r="FO28" s="1942"/>
      <c r="FP28" s="1942"/>
      <c r="FQ28" s="1942"/>
      <c r="FR28" s="1942"/>
      <c r="FS28" s="1944"/>
      <c r="FT28" s="1946"/>
      <c r="FU28" s="1942"/>
      <c r="FV28" s="1942"/>
      <c r="FW28" s="1942"/>
      <c r="FX28" s="1942"/>
      <c r="FY28" s="1942"/>
      <c r="FZ28" s="1944"/>
      <c r="GA28" s="1946"/>
      <c r="GB28" s="1942"/>
      <c r="GC28" s="1942"/>
      <c r="GD28" s="1942"/>
      <c r="GE28" s="1942"/>
      <c r="GF28" s="1942"/>
      <c r="GG28" s="1944"/>
      <c r="GH28" s="1946"/>
      <c r="GI28" s="1942"/>
      <c r="GJ28" s="1942"/>
      <c r="GK28" s="1942"/>
      <c r="GL28" s="1942"/>
      <c r="GM28" s="1942"/>
      <c r="GN28" s="1944"/>
      <c r="GO28" s="1946"/>
      <c r="GP28" s="1942"/>
      <c r="GQ28" s="1942"/>
      <c r="GR28" s="1942"/>
      <c r="GS28" s="1942"/>
      <c r="GT28" s="1942"/>
      <c r="GU28" s="1944"/>
      <c r="GV28" s="1946"/>
      <c r="GW28" s="1942"/>
      <c r="GX28" s="1942"/>
      <c r="GY28" s="1942"/>
      <c r="GZ28" s="1942"/>
      <c r="HA28" s="1942"/>
      <c r="HB28" s="1944"/>
      <c r="HC28" s="1946"/>
      <c r="HD28" s="1942"/>
      <c r="HE28" s="1942"/>
      <c r="HF28" s="1942"/>
      <c r="HG28" s="1942"/>
      <c r="HH28" s="1942"/>
      <c r="HI28" s="1944"/>
      <c r="HJ28" s="1946"/>
      <c r="HK28" s="1942"/>
      <c r="HL28" s="1942"/>
      <c r="HM28" s="1942"/>
      <c r="HN28" s="1942"/>
      <c r="HO28" s="1942"/>
      <c r="HP28" s="1944"/>
      <c r="HQ28" s="1946"/>
      <c r="HR28" s="1942"/>
      <c r="HS28" s="1942"/>
      <c r="HT28" s="1942"/>
      <c r="HU28" s="1942"/>
      <c r="HV28" s="1942"/>
      <c r="HW28" s="1944"/>
      <c r="HX28" s="1946"/>
      <c r="HY28" s="1942"/>
      <c r="HZ28" s="1942"/>
      <c r="IA28" s="1942"/>
      <c r="IB28" s="1942"/>
      <c r="IC28" s="1942"/>
      <c r="ID28" s="1944"/>
      <c r="IE28" s="1946"/>
      <c r="IF28" s="1942"/>
      <c r="IG28" s="1942"/>
      <c r="IH28" s="1942"/>
      <c r="II28" s="1942"/>
      <c r="IJ28" s="1942"/>
      <c r="IK28" s="1944"/>
    </row>
    <row r="29" spans="1:245" ht="8.1" customHeight="1" x14ac:dyDescent="0.35">
      <c r="A29" s="195" t="str">
        <f>IF(B29=0,0,"XXX")</f>
        <v>XXX</v>
      </c>
      <c r="B29" s="1959" t="str">
        <f>IF(ENTRADAS!$F$22=0,0,IF(AND(B25=0,B27=0),"1.1.2",IF(AND(B25&gt;0,B27=0),"1.1.3",IF(B27="1.1.2","1.1.3",IF(B27="1.1.3","1.1.4","1.1.2")))))</f>
        <v>1.1.2</v>
      </c>
      <c r="C29" s="1965" t="str">
        <f>IF(ENTRADAS!$F$22=0,0,"MONTAGEM DAS PAREDES")</f>
        <v>MONTAGEM DAS PAREDES</v>
      </c>
      <c r="D29" s="358" t="str">
        <f>IF(ENTRADAS!$F$22=0,0,"início:")</f>
        <v>início:</v>
      </c>
      <c r="E29" s="359">
        <f ca="1">D77</f>
        <v>45944.25</v>
      </c>
      <c r="F29" s="454">
        <f ca="1">D72</f>
        <v>29</v>
      </c>
      <c r="G29" s="455" t="str">
        <f>IF(ENTRADAS!$F$22=0,0,"dias")</f>
        <v>dias</v>
      </c>
      <c r="H29" s="1939">
        <f ca="1">H72</f>
        <v>0</v>
      </c>
      <c r="I29" s="1940">
        <f t="shared" ref="I29:O29" ca="1" si="78">I72</f>
        <v>0</v>
      </c>
      <c r="J29" s="1940">
        <f t="shared" ca="1" si="78"/>
        <v>0</v>
      </c>
      <c r="K29" s="1940">
        <f t="shared" ca="1" si="78"/>
        <v>0</v>
      </c>
      <c r="L29" s="1940">
        <f t="shared" ca="1" si="78"/>
        <v>0</v>
      </c>
      <c r="M29" s="1940">
        <f t="shared" ca="1" si="78"/>
        <v>0</v>
      </c>
      <c r="N29" s="1940">
        <f t="shared" ca="1" si="78"/>
        <v>0</v>
      </c>
      <c r="O29" s="1939">
        <f t="shared" ca="1" si="78"/>
        <v>0</v>
      </c>
      <c r="P29" s="1940">
        <f t="shared" ref="P29:CA29" ca="1" si="79">P72</f>
        <v>0</v>
      </c>
      <c r="Q29" s="1940">
        <f t="shared" ca="1" si="79"/>
        <v>0</v>
      </c>
      <c r="R29" s="1940">
        <f t="shared" ca="1" si="79"/>
        <v>0</v>
      </c>
      <c r="S29" s="1940">
        <f t="shared" ca="1" si="79"/>
        <v>0</v>
      </c>
      <c r="T29" s="1940">
        <f t="shared" ca="1" si="79"/>
        <v>0</v>
      </c>
      <c r="U29" s="1940">
        <f t="shared" ca="1" si="79"/>
        <v>0</v>
      </c>
      <c r="V29" s="1939">
        <f t="shared" ca="1" si="79"/>
        <v>0</v>
      </c>
      <c r="W29" s="1940">
        <f t="shared" ca="1" si="79"/>
        <v>0</v>
      </c>
      <c r="X29" s="1940">
        <f t="shared" ca="1" si="79"/>
        <v>0</v>
      </c>
      <c r="Y29" s="1940">
        <f t="shared" ca="1" si="79"/>
        <v>0</v>
      </c>
      <c r="Z29" s="1940">
        <f t="shared" ca="1" si="79"/>
        <v>0</v>
      </c>
      <c r="AA29" s="1940">
        <f t="shared" ca="1" si="79"/>
        <v>0</v>
      </c>
      <c r="AB29" s="1940">
        <f t="shared" ca="1" si="79"/>
        <v>0</v>
      </c>
      <c r="AC29" s="1939">
        <f t="shared" ca="1" si="79"/>
        <v>0</v>
      </c>
      <c r="AD29" s="1940">
        <f t="shared" ca="1" si="79"/>
        <v>0</v>
      </c>
      <c r="AE29" s="1940">
        <f t="shared" ca="1" si="79"/>
        <v>0</v>
      </c>
      <c r="AF29" s="1940">
        <f t="shared" ca="1" si="79"/>
        <v>0</v>
      </c>
      <c r="AG29" s="1940">
        <f t="shared" ca="1" si="79"/>
        <v>0</v>
      </c>
      <c r="AH29" s="1940">
        <f t="shared" ca="1" si="79"/>
        <v>0</v>
      </c>
      <c r="AI29" s="1940">
        <f t="shared" ca="1" si="79"/>
        <v>0</v>
      </c>
      <c r="AJ29" s="1939">
        <f t="shared" ca="1" si="79"/>
        <v>0</v>
      </c>
      <c r="AK29" s="1940">
        <f t="shared" ca="1" si="79"/>
        <v>0</v>
      </c>
      <c r="AL29" s="1940">
        <f t="shared" ca="1" si="79"/>
        <v>0</v>
      </c>
      <c r="AM29" s="1940">
        <f t="shared" ca="1" si="79"/>
        <v>10</v>
      </c>
      <c r="AN29" s="1940">
        <f t="shared" ca="1" si="79"/>
        <v>10</v>
      </c>
      <c r="AO29" s="1940">
        <f t="shared" ca="1" si="79"/>
        <v>10</v>
      </c>
      <c r="AP29" s="1940">
        <f t="shared" ca="1" si="79"/>
        <v>10</v>
      </c>
      <c r="AQ29" s="1939">
        <f t="shared" ca="1" si="79"/>
        <v>10</v>
      </c>
      <c r="AR29" s="1940">
        <f t="shared" ca="1" si="79"/>
        <v>10</v>
      </c>
      <c r="AS29" s="1940">
        <f t="shared" ca="1" si="79"/>
        <v>10</v>
      </c>
      <c r="AT29" s="1940">
        <f t="shared" ca="1" si="79"/>
        <v>10</v>
      </c>
      <c r="AU29" s="1940">
        <f t="shared" ca="1" si="79"/>
        <v>10</v>
      </c>
      <c r="AV29" s="1940">
        <f t="shared" ca="1" si="79"/>
        <v>10</v>
      </c>
      <c r="AW29" s="1940">
        <f t="shared" ca="1" si="79"/>
        <v>10</v>
      </c>
      <c r="AX29" s="1939">
        <f t="shared" ca="1" si="79"/>
        <v>10</v>
      </c>
      <c r="AY29" s="1940">
        <f t="shared" ca="1" si="79"/>
        <v>10</v>
      </c>
      <c r="AZ29" s="1940">
        <f t="shared" ca="1" si="79"/>
        <v>10</v>
      </c>
      <c r="BA29" s="1940">
        <f t="shared" ca="1" si="79"/>
        <v>10</v>
      </c>
      <c r="BB29" s="1940">
        <f t="shared" ca="1" si="79"/>
        <v>10</v>
      </c>
      <c r="BC29" s="1940">
        <f t="shared" ca="1" si="79"/>
        <v>10</v>
      </c>
      <c r="BD29" s="1940">
        <f t="shared" ca="1" si="79"/>
        <v>10</v>
      </c>
      <c r="BE29" s="1939">
        <f t="shared" ca="1" si="79"/>
        <v>10</v>
      </c>
      <c r="BF29" s="1940">
        <f t="shared" ca="1" si="79"/>
        <v>10</v>
      </c>
      <c r="BG29" s="1940">
        <f t="shared" ca="1" si="79"/>
        <v>10</v>
      </c>
      <c r="BH29" s="1940">
        <f t="shared" ca="1" si="79"/>
        <v>10</v>
      </c>
      <c r="BI29" s="1940">
        <f t="shared" ca="1" si="79"/>
        <v>10</v>
      </c>
      <c r="BJ29" s="1940">
        <f t="shared" ca="1" si="79"/>
        <v>10</v>
      </c>
      <c r="BK29" s="1940">
        <f t="shared" ca="1" si="79"/>
        <v>10</v>
      </c>
      <c r="BL29" s="1939">
        <f t="shared" ca="1" si="79"/>
        <v>10</v>
      </c>
      <c r="BM29" s="1940">
        <f t="shared" ca="1" si="79"/>
        <v>10</v>
      </c>
      <c r="BN29" s="1940">
        <f t="shared" ca="1" si="79"/>
        <v>10</v>
      </c>
      <c r="BO29" s="1940">
        <f t="shared" ca="1" si="79"/>
        <v>10</v>
      </c>
      <c r="BP29" s="1940">
        <f t="shared" ca="1" si="79"/>
        <v>0</v>
      </c>
      <c r="BQ29" s="1940">
        <f t="shared" ca="1" si="79"/>
        <v>0</v>
      </c>
      <c r="BR29" s="1940">
        <f t="shared" ca="1" si="79"/>
        <v>0</v>
      </c>
      <c r="BS29" s="1939">
        <f t="shared" ca="1" si="79"/>
        <v>0</v>
      </c>
      <c r="BT29" s="1940">
        <f t="shared" ca="1" si="79"/>
        <v>0</v>
      </c>
      <c r="BU29" s="1940">
        <f t="shared" ca="1" si="79"/>
        <v>0</v>
      </c>
      <c r="BV29" s="1940">
        <f t="shared" ca="1" si="79"/>
        <v>0</v>
      </c>
      <c r="BW29" s="1940">
        <f t="shared" ca="1" si="79"/>
        <v>0</v>
      </c>
      <c r="BX29" s="1940">
        <f t="shared" ca="1" si="79"/>
        <v>0</v>
      </c>
      <c r="BY29" s="1940">
        <f t="shared" ca="1" si="79"/>
        <v>0</v>
      </c>
      <c r="BZ29" s="1939">
        <f t="shared" ca="1" si="79"/>
        <v>0</v>
      </c>
      <c r="CA29" s="1940">
        <f t="shared" ca="1" si="79"/>
        <v>0</v>
      </c>
      <c r="CB29" s="1940">
        <f t="shared" ref="CB29:EM29" ca="1" si="80">CB72</f>
        <v>0</v>
      </c>
      <c r="CC29" s="1940">
        <f t="shared" ca="1" si="80"/>
        <v>0</v>
      </c>
      <c r="CD29" s="1940">
        <f t="shared" ca="1" si="80"/>
        <v>0</v>
      </c>
      <c r="CE29" s="1940">
        <f t="shared" ca="1" si="80"/>
        <v>0</v>
      </c>
      <c r="CF29" s="1940">
        <f t="shared" ca="1" si="80"/>
        <v>0</v>
      </c>
      <c r="CG29" s="1939">
        <f t="shared" ca="1" si="80"/>
        <v>0</v>
      </c>
      <c r="CH29" s="1940">
        <f t="shared" ca="1" si="80"/>
        <v>0</v>
      </c>
      <c r="CI29" s="1940">
        <f t="shared" ca="1" si="80"/>
        <v>0</v>
      </c>
      <c r="CJ29" s="1940">
        <f t="shared" ca="1" si="80"/>
        <v>0</v>
      </c>
      <c r="CK29" s="1940">
        <f t="shared" ca="1" si="80"/>
        <v>0</v>
      </c>
      <c r="CL29" s="1940">
        <f t="shared" ca="1" si="80"/>
        <v>0</v>
      </c>
      <c r="CM29" s="1940">
        <f t="shared" ca="1" si="80"/>
        <v>0</v>
      </c>
      <c r="CN29" s="1939">
        <f t="shared" ca="1" si="80"/>
        <v>0</v>
      </c>
      <c r="CO29" s="1940">
        <f t="shared" ca="1" si="80"/>
        <v>0</v>
      </c>
      <c r="CP29" s="1940">
        <f t="shared" ca="1" si="80"/>
        <v>0</v>
      </c>
      <c r="CQ29" s="1940">
        <f t="shared" ca="1" si="80"/>
        <v>0</v>
      </c>
      <c r="CR29" s="1940">
        <f t="shared" ca="1" si="80"/>
        <v>0</v>
      </c>
      <c r="CS29" s="1940">
        <f t="shared" ca="1" si="80"/>
        <v>0</v>
      </c>
      <c r="CT29" s="1940">
        <f t="shared" ca="1" si="80"/>
        <v>0</v>
      </c>
      <c r="CU29" s="1939">
        <f t="shared" ca="1" si="80"/>
        <v>0</v>
      </c>
      <c r="CV29" s="1940">
        <f t="shared" ca="1" si="80"/>
        <v>0</v>
      </c>
      <c r="CW29" s="1940">
        <f t="shared" ca="1" si="80"/>
        <v>0</v>
      </c>
      <c r="CX29" s="1940">
        <f t="shared" ca="1" si="80"/>
        <v>0</v>
      </c>
      <c r="CY29" s="1940">
        <f t="shared" ca="1" si="80"/>
        <v>0</v>
      </c>
      <c r="CZ29" s="1940">
        <f t="shared" ca="1" si="80"/>
        <v>0</v>
      </c>
      <c r="DA29" s="1940">
        <f t="shared" ca="1" si="80"/>
        <v>0</v>
      </c>
      <c r="DB29" s="1939">
        <f t="shared" ca="1" si="80"/>
        <v>0</v>
      </c>
      <c r="DC29" s="1940">
        <f t="shared" ca="1" si="80"/>
        <v>0</v>
      </c>
      <c r="DD29" s="1940">
        <f t="shared" ca="1" si="80"/>
        <v>0</v>
      </c>
      <c r="DE29" s="1940">
        <f t="shared" ca="1" si="80"/>
        <v>0</v>
      </c>
      <c r="DF29" s="1940">
        <f t="shared" ca="1" si="80"/>
        <v>0</v>
      </c>
      <c r="DG29" s="1940">
        <f t="shared" ca="1" si="80"/>
        <v>0</v>
      </c>
      <c r="DH29" s="1940">
        <f t="shared" ca="1" si="80"/>
        <v>0</v>
      </c>
      <c r="DI29" s="1939">
        <f t="shared" ca="1" si="80"/>
        <v>0</v>
      </c>
      <c r="DJ29" s="1940">
        <f t="shared" ca="1" si="80"/>
        <v>0</v>
      </c>
      <c r="DK29" s="1940">
        <f t="shared" ca="1" si="80"/>
        <v>0</v>
      </c>
      <c r="DL29" s="1940">
        <f t="shared" ca="1" si="80"/>
        <v>0</v>
      </c>
      <c r="DM29" s="1940">
        <f t="shared" ca="1" si="80"/>
        <v>0</v>
      </c>
      <c r="DN29" s="1940">
        <f t="shared" ca="1" si="80"/>
        <v>0</v>
      </c>
      <c r="DO29" s="1940">
        <f t="shared" ca="1" si="80"/>
        <v>0</v>
      </c>
      <c r="DP29" s="1939">
        <f t="shared" ca="1" si="80"/>
        <v>0</v>
      </c>
      <c r="DQ29" s="1940">
        <f t="shared" ca="1" si="80"/>
        <v>0</v>
      </c>
      <c r="DR29" s="1940">
        <f t="shared" ca="1" si="80"/>
        <v>0</v>
      </c>
      <c r="DS29" s="1940">
        <f t="shared" ca="1" si="80"/>
        <v>0</v>
      </c>
      <c r="DT29" s="1940">
        <f t="shared" ca="1" si="80"/>
        <v>0</v>
      </c>
      <c r="DU29" s="1940">
        <f t="shared" ca="1" si="80"/>
        <v>0</v>
      </c>
      <c r="DV29" s="1940">
        <f t="shared" ca="1" si="80"/>
        <v>0</v>
      </c>
      <c r="DW29" s="1939">
        <f t="shared" ca="1" si="80"/>
        <v>0</v>
      </c>
      <c r="DX29" s="1940">
        <f t="shared" ca="1" si="80"/>
        <v>0</v>
      </c>
      <c r="DY29" s="1940">
        <f t="shared" ca="1" si="80"/>
        <v>0</v>
      </c>
      <c r="DZ29" s="1940">
        <f t="shared" ca="1" si="80"/>
        <v>0</v>
      </c>
      <c r="EA29" s="1940">
        <f t="shared" ca="1" si="80"/>
        <v>0</v>
      </c>
      <c r="EB29" s="1940">
        <f t="shared" ca="1" si="80"/>
        <v>0</v>
      </c>
      <c r="EC29" s="1940">
        <f t="shared" ca="1" si="80"/>
        <v>0</v>
      </c>
      <c r="ED29" s="1939">
        <f t="shared" ca="1" si="80"/>
        <v>0</v>
      </c>
      <c r="EE29" s="1940">
        <f t="shared" ca="1" si="80"/>
        <v>0</v>
      </c>
      <c r="EF29" s="1940">
        <f t="shared" ca="1" si="80"/>
        <v>0</v>
      </c>
      <c r="EG29" s="1940">
        <f t="shared" ca="1" si="80"/>
        <v>0</v>
      </c>
      <c r="EH29" s="1940">
        <f t="shared" ca="1" si="80"/>
        <v>0</v>
      </c>
      <c r="EI29" s="1940">
        <f t="shared" ca="1" si="80"/>
        <v>0</v>
      </c>
      <c r="EJ29" s="1940">
        <f t="shared" ca="1" si="80"/>
        <v>0</v>
      </c>
      <c r="EK29" s="1939">
        <f t="shared" ca="1" si="80"/>
        <v>0</v>
      </c>
      <c r="EL29" s="1940">
        <f t="shared" ca="1" si="80"/>
        <v>0</v>
      </c>
      <c r="EM29" s="1940">
        <f t="shared" ca="1" si="80"/>
        <v>0</v>
      </c>
      <c r="EN29" s="1940">
        <f t="shared" ref="EN29:GY29" ca="1" si="81">EN72</f>
        <v>0</v>
      </c>
      <c r="EO29" s="1940">
        <f t="shared" ca="1" si="81"/>
        <v>0</v>
      </c>
      <c r="EP29" s="1940">
        <f t="shared" ca="1" si="81"/>
        <v>0</v>
      </c>
      <c r="EQ29" s="1940">
        <f t="shared" ca="1" si="81"/>
        <v>0</v>
      </c>
      <c r="ER29" s="1939">
        <f t="shared" ca="1" si="81"/>
        <v>0</v>
      </c>
      <c r="ES29" s="1940">
        <f t="shared" ca="1" si="81"/>
        <v>0</v>
      </c>
      <c r="ET29" s="1940">
        <f t="shared" ca="1" si="81"/>
        <v>0</v>
      </c>
      <c r="EU29" s="1940">
        <f t="shared" ca="1" si="81"/>
        <v>0</v>
      </c>
      <c r="EV29" s="1940">
        <f t="shared" ca="1" si="81"/>
        <v>0</v>
      </c>
      <c r="EW29" s="1940">
        <f t="shared" ca="1" si="81"/>
        <v>0</v>
      </c>
      <c r="EX29" s="1940">
        <f t="shared" ca="1" si="81"/>
        <v>0</v>
      </c>
      <c r="EY29" s="1939">
        <f t="shared" ca="1" si="81"/>
        <v>0</v>
      </c>
      <c r="EZ29" s="1940">
        <f t="shared" ca="1" si="81"/>
        <v>0</v>
      </c>
      <c r="FA29" s="1940">
        <f t="shared" ca="1" si="81"/>
        <v>0</v>
      </c>
      <c r="FB29" s="1940">
        <f t="shared" ca="1" si="81"/>
        <v>0</v>
      </c>
      <c r="FC29" s="1940">
        <f t="shared" ca="1" si="81"/>
        <v>0</v>
      </c>
      <c r="FD29" s="1940">
        <f t="shared" ca="1" si="81"/>
        <v>0</v>
      </c>
      <c r="FE29" s="1940">
        <f t="shared" ca="1" si="81"/>
        <v>0</v>
      </c>
      <c r="FF29" s="1939">
        <f t="shared" ca="1" si="81"/>
        <v>0</v>
      </c>
      <c r="FG29" s="1940">
        <f t="shared" ca="1" si="81"/>
        <v>0</v>
      </c>
      <c r="FH29" s="1940">
        <f t="shared" ca="1" si="81"/>
        <v>0</v>
      </c>
      <c r="FI29" s="1940">
        <f t="shared" ca="1" si="81"/>
        <v>0</v>
      </c>
      <c r="FJ29" s="1940">
        <f t="shared" ca="1" si="81"/>
        <v>0</v>
      </c>
      <c r="FK29" s="1940">
        <f t="shared" ca="1" si="81"/>
        <v>0</v>
      </c>
      <c r="FL29" s="1940">
        <f t="shared" ca="1" si="81"/>
        <v>0</v>
      </c>
      <c r="FM29" s="1939">
        <f t="shared" ca="1" si="81"/>
        <v>0</v>
      </c>
      <c r="FN29" s="1940">
        <f t="shared" ca="1" si="81"/>
        <v>0</v>
      </c>
      <c r="FO29" s="1940">
        <f t="shared" ca="1" si="81"/>
        <v>0</v>
      </c>
      <c r="FP29" s="1940">
        <f t="shared" ca="1" si="81"/>
        <v>0</v>
      </c>
      <c r="FQ29" s="1940">
        <f t="shared" ca="1" si="81"/>
        <v>0</v>
      </c>
      <c r="FR29" s="1940">
        <f t="shared" ca="1" si="81"/>
        <v>0</v>
      </c>
      <c r="FS29" s="1940">
        <f t="shared" ca="1" si="81"/>
        <v>0</v>
      </c>
      <c r="FT29" s="1939">
        <f t="shared" ca="1" si="81"/>
        <v>0</v>
      </c>
      <c r="FU29" s="1940">
        <f t="shared" ca="1" si="81"/>
        <v>0</v>
      </c>
      <c r="FV29" s="1940">
        <f t="shared" ca="1" si="81"/>
        <v>0</v>
      </c>
      <c r="FW29" s="1940">
        <f t="shared" ca="1" si="81"/>
        <v>0</v>
      </c>
      <c r="FX29" s="1940">
        <f t="shared" ca="1" si="81"/>
        <v>0</v>
      </c>
      <c r="FY29" s="1940">
        <f t="shared" ca="1" si="81"/>
        <v>0</v>
      </c>
      <c r="FZ29" s="1940">
        <f t="shared" ca="1" si="81"/>
        <v>0</v>
      </c>
      <c r="GA29" s="1939">
        <f t="shared" ca="1" si="81"/>
        <v>0</v>
      </c>
      <c r="GB29" s="1940">
        <f t="shared" ca="1" si="81"/>
        <v>0</v>
      </c>
      <c r="GC29" s="1940">
        <f t="shared" ca="1" si="81"/>
        <v>0</v>
      </c>
      <c r="GD29" s="1940">
        <f t="shared" ca="1" si="81"/>
        <v>0</v>
      </c>
      <c r="GE29" s="1940">
        <f t="shared" ca="1" si="81"/>
        <v>0</v>
      </c>
      <c r="GF29" s="1940">
        <f t="shared" ca="1" si="81"/>
        <v>0</v>
      </c>
      <c r="GG29" s="1940">
        <f t="shared" ca="1" si="81"/>
        <v>0</v>
      </c>
      <c r="GH29" s="1939">
        <f t="shared" ca="1" si="81"/>
        <v>0</v>
      </c>
      <c r="GI29" s="1940">
        <f t="shared" ca="1" si="81"/>
        <v>0</v>
      </c>
      <c r="GJ29" s="1940">
        <f t="shared" ca="1" si="81"/>
        <v>0</v>
      </c>
      <c r="GK29" s="1940">
        <f t="shared" ca="1" si="81"/>
        <v>0</v>
      </c>
      <c r="GL29" s="1940">
        <f t="shared" ca="1" si="81"/>
        <v>0</v>
      </c>
      <c r="GM29" s="1940">
        <f t="shared" ca="1" si="81"/>
        <v>0</v>
      </c>
      <c r="GN29" s="1940">
        <f t="shared" ca="1" si="81"/>
        <v>0</v>
      </c>
      <c r="GO29" s="1939">
        <f t="shared" ca="1" si="81"/>
        <v>0</v>
      </c>
      <c r="GP29" s="1940">
        <f t="shared" ca="1" si="81"/>
        <v>0</v>
      </c>
      <c r="GQ29" s="1940">
        <f t="shared" ca="1" si="81"/>
        <v>0</v>
      </c>
      <c r="GR29" s="1940">
        <f t="shared" ca="1" si="81"/>
        <v>0</v>
      </c>
      <c r="GS29" s="1940">
        <f t="shared" ca="1" si="81"/>
        <v>0</v>
      </c>
      <c r="GT29" s="1940">
        <f t="shared" ca="1" si="81"/>
        <v>0</v>
      </c>
      <c r="GU29" s="1940">
        <f t="shared" ca="1" si="81"/>
        <v>0</v>
      </c>
      <c r="GV29" s="1939">
        <f t="shared" ca="1" si="81"/>
        <v>0</v>
      </c>
      <c r="GW29" s="1940">
        <f t="shared" ca="1" si="81"/>
        <v>0</v>
      </c>
      <c r="GX29" s="1940">
        <f t="shared" ca="1" si="81"/>
        <v>0</v>
      </c>
      <c r="GY29" s="1940">
        <f t="shared" ca="1" si="81"/>
        <v>0</v>
      </c>
      <c r="GZ29" s="1940">
        <f t="shared" ref="GZ29:IK29" ca="1" si="82">GZ72</f>
        <v>0</v>
      </c>
      <c r="HA29" s="1940">
        <f t="shared" ca="1" si="82"/>
        <v>0</v>
      </c>
      <c r="HB29" s="1940">
        <f t="shared" ca="1" si="82"/>
        <v>0</v>
      </c>
      <c r="HC29" s="1939">
        <f t="shared" ca="1" si="82"/>
        <v>0</v>
      </c>
      <c r="HD29" s="1940">
        <f t="shared" ca="1" si="82"/>
        <v>0</v>
      </c>
      <c r="HE29" s="1940">
        <f t="shared" ca="1" si="82"/>
        <v>0</v>
      </c>
      <c r="HF29" s="1940">
        <f t="shared" ca="1" si="82"/>
        <v>0</v>
      </c>
      <c r="HG29" s="1940">
        <f t="shared" ca="1" si="82"/>
        <v>0</v>
      </c>
      <c r="HH29" s="1940">
        <f t="shared" ca="1" si="82"/>
        <v>0</v>
      </c>
      <c r="HI29" s="1940">
        <f t="shared" ca="1" si="82"/>
        <v>0</v>
      </c>
      <c r="HJ29" s="1939">
        <f t="shared" ca="1" si="82"/>
        <v>0</v>
      </c>
      <c r="HK29" s="1940">
        <f t="shared" ca="1" si="82"/>
        <v>0</v>
      </c>
      <c r="HL29" s="1940">
        <f t="shared" ca="1" si="82"/>
        <v>0</v>
      </c>
      <c r="HM29" s="1940">
        <f t="shared" ca="1" si="82"/>
        <v>0</v>
      </c>
      <c r="HN29" s="1940">
        <f t="shared" ca="1" si="82"/>
        <v>0</v>
      </c>
      <c r="HO29" s="1940">
        <f t="shared" ca="1" si="82"/>
        <v>0</v>
      </c>
      <c r="HP29" s="1940">
        <f t="shared" ca="1" si="82"/>
        <v>0</v>
      </c>
      <c r="HQ29" s="1939">
        <f t="shared" ca="1" si="82"/>
        <v>0</v>
      </c>
      <c r="HR29" s="1940">
        <f t="shared" ca="1" si="82"/>
        <v>0</v>
      </c>
      <c r="HS29" s="1940">
        <f t="shared" ca="1" si="82"/>
        <v>0</v>
      </c>
      <c r="HT29" s="1940">
        <f t="shared" ca="1" si="82"/>
        <v>0</v>
      </c>
      <c r="HU29" s="1940">
        <f t="shared" ca="1" si="82"/>
        <v>0</v>
      </c>
      <c r="HV29" s="1940">
        <f t="shared" ca="1" si="82"/>
        <v>0</v>
      </c>
      <c r="HW29" s="1940">
        <f t="shared" ca="1" si="82"/>
        <v>0</v>
      </c>
      <c r="HX29" s="1939">
        <f t="shared" ca="1" si="82"/>
        <v>0</v>
      </c>
      <c r="HY29" s="1940">
        <f t="shared" ca="1" si="82"/>
        <v>0</v>
      </c>
      <c r="HZ29" s="1940">
        <f t="shared" ca="1" si="82"/>
        <v>0</v>
      </c>
      <c r="IA29" s="1940">
        <f t="shared" ca="1" si="82"/>
        <v>0</v>
      </c>
      <c r="IB29" s="1940">
        <f t="shared" ca="1" si="82"/>
        <v>0</v>
      </c>
      <c r="IC29" s="1940">
        <f t="shared" ca="1" si="82"/>
        <v>0</v>
      </c>
      <c r="ID29" s="1940">
        <f t="shared" ca="1" si="82"/>
        <v>0</v>
      </c>
      <c r="IE29" s="1939">
        <f t="shared" ca="1" si="82"/>
        <v>0</v>
      </c>
      <c r="IF29" s="1940">
        <f t="shared" ca="1" si="82"/>
        <v>0</v>
      </c>
      <c r="IG29" s="1940">
        <f t="shared" ca="1" si="82"/>
        <v>0</v>
      </c>
      <c r="IH29" s="1940">
        <f t="shared" ca="1" si="82"/>
        <v>0</v>
      </c>
      <c r="II29" s="1940">
        <f t="shared" ca="1" si="82"/>
        <v>0</v>
      </c>
      <c r="IJ29" s="1940">
        <f t="shared" ca="1" si="82"/>
        <v>0</v>
      </c>
      <c r="IK29" s="1938">
        <f t="shared" ca="1" si="82"/>
        <v>0</v>
      </c>
    </row>
    <row r="30" spans="1:245" ht="8.1" customHeight="1" x14ac:dyDescent="0.35">
      <c r="A30" s="195" t="str">
        <f>IF(B29=0,0,"XXX")</f>
        <v>XXX</v>
      </c>
      <c r="B30" s="1960"/>
      <c r="C30" s="1966"/>
      <c r="D30" s="360" t="str">
        <f>IF(ENTRADAS!$F$22=0,0,"término:")</f>
        <v>término:</v>
      </c>
      <c r="E30" s="361">
        <f ca="1">D78</f>
        <v>45972.25</v>
      </c>
      <c r="F30" s="1913"/>
      <c r="G30" s="1914"/>
      <c r="H30" s="1939"/>
      <c r="I30" s="1940"/>
      <c r="J30" s="1940"/>
      <c r="K30" s="1940"/>
      <c r="L30" s="1940"/>
      <c r="M30" s="1940"/>
      <c r="N30" s="1940"/>
      <c r="O30" s="1939"/>
      <c r="P30" s="1940"/>
      <c r="Q30" s="1940"/>
      <c r="R30" s="1940"/>
      <c r="S30" s="1940"/>
      <c r="T30" s="1940"/>
      <c r="U30" s="1940"/>
      <c r="V30" s="1939"/>
      <c r="W30" s="1940"/>
      <c r="X30" s="1940"/>
      <c r="Y30" s="1940"/>
      <c r="Z30" s="1940"/>
      <c r="AA30" s="1940"/>
      <c r="AB30" s="1940"/>
      <c r="AC30" s="1939"/>
      <c r="AD30" s="1940"/>
      <c r="AE30" s="1940"/>
      <c r="AF30" s="1940"/>
      <c r="AG30" s="1940"/>
      <c r="AH30" s="1940"/>
      <c r="AI30" s="1940"/>
      <c r="AJ30" s="1939"/>
      <c r="AK30" s="1940"/>
      <c r="AL30" s="1940"/>
      <c r="AM30" s="1940"/>
      <c r="AN30" s="1940"/>
      <c r="AO30" s="1940"/>
      <c r="AP30" s="1940"/>
      <c r="AQ30" s="1939"/>
      <c r="AR30" s="1940"/>
      <c r="AS30" s="1940"/>
      <c r="AT30" s="1940"/>
      <c r="AU30" s="1940"/>
      <c r="AV30" s="1940"/>
      <c r="AW30" s="1940"/>
      <c r="AX30" s="1939"/>
      <c r="AY30" s="1940"/>
      <c r="AZ30" s="1940"/>
      <c r="BA30" s="1940"/>
      <c r="BB30" s="1940"/>
      <c r="BC30" s="1940"/>
      <c r="BD30" s="1940"/>
      <c r="BE30" s="1939"/>
      <c r="BF30" s="1940"/>
      <c r="BG30" s="1940"/>
      <c r="BH30" s="1940"/>
      <c r="BI30" s="1940"/>
      <c r="BJ30" s="1940"/>
      <c r="BK30" s="1940"/>
      <c r="BL30" s="1939"/>
      <c r="BM30" s="1940"/>
      <c r="BN30" s="1940"/>
      <c r="BO30" s="1940"/>
      <c r="BP30" s="1940"/>
      <c r="BQ30" s="1940"/>
      <c r="BR30" s="1940"/>
      <c r="BS30" s="1939"/>
      <c r="BT30" s="1940"/>
      <c r="BU30" s="1940"/>
      <c r="BV30" s="1940"/>
      <c r="BW30" s="1940"/>
      <c r="BX30" s="1940"/>
      <c r="BY30" s="1940"/>
      <c r="BZ30" s="1939"/>
      <c r="CA30" s="1940"/>
      <c r="CB30" s="1940"/>
      <c r="CC30" s="1940"/>
      <c r="CD30" s="1940"/>
      <c r="CE30" s="1940"/>
      <c r="CF30" s="1940"/>
      <c r="CG30" s="1939"/>
      <c r="CH30" s="1940"/>
      <c r="CI30" s="1940"/>
      <c r="CJ30" s="1940"/>
      <c r="CK30" s="1940"/>
      <c r="CL30" s="1940"/>
      <c r="CM30" s="1940"/>
      <c r="CN30" s="1939"/>
      <c r="CO30" s="1940"/>
      <c r="CP30" s="1940"/>
      <c r="CQ30" s="1940"/>
      <c r="CR30" s="1940"/>
      <c r="CS30" s="1940"/>
      <c r="CT30" s="1940"/>
      <c r="CU30" s="1939"/>
      <c r="CV30" s="1940"/>
      <c r="CW30" s="1940"/>
      <c r="CX30" s="1940"/>
      <c r="CY30" s="1940"/>
      <c r="CZ30" s="1940"/>
      <c r="DA30" s="1940"/>
      <c r="DB30" s="1939"/>
      <c r="DC30" s="1940"/>
      <c r="DD30" s="1940"/>
      <c r="DE30" s="1940"/>
      <c r="DF30" s="1940"/>
      <c r="DG30" s="1940"/>
      <c r="DH30" s="1940"/>
      <c r="DI30" s="1939"/>
      <c r="DJ30" s="1940"/>
      <c r="DK30" s="1940"/>
      <c r="DL30" s="1940"/>
      <c r="DM30" s="1940"/>
      <c r="DN30" s="1940"/>
      <c r="DO30" s="1940"/>
      <c r="DP30" s="1939"/>
      <c r="DQ30" s="1940"/>
      <c r="DR30" s="1940"/>
      <c r="DS30" s="1940"/>
      <c r="DT30" s="1940"/>
      <c r="DU30" s="1940"/>
      <c r="DV30" s="1940"/>
      <c r="DW30" s="1939"/>
      <c r="DX30" s="1940"/>
      <c r="DY30" s="1940"/>
      <c r="DZ30" s="1940"/>
      <c r="EA30" s="1940"/>
      <c r="EB30" s="1940"/>
      <c r="EC30" s="1940"/>
      <c r="ED30" s="1939"/>
      <c r="EE30" s="1940"/>
      <c r="EF30" s="1940"/>
      <c r="EG30" s="1940"/>
      <c r="EH30" s="1940"/>
      <c r="EI30" s="1940"/>
      <c r="EJ30" s="1940"/>
      <c r="EK30" s="1939"/>
      <c r="EL30" s="1940"/>
      <c r="EM30" s="1940"/>
      <c r="EN30" s="1940"/>
      <c r="EO30" s="1940"/>
      <c r="EP30" s="1940"/>
      <c r="EQ30" s="1940"/>
      <c r="ER30" s="1939"/>
      <c r="ES30" s="1940"/>
      <c r="ET30" s="1940"/>
      <c r="EU30" s="1940"/>
      <c r="EV30" s="1940"/>
      <c r="EW30" s="1940"/>
      <c r="EX30" s="1940"/>
      <c r="EY30" s="1939"/>
      <c r="EZ30" s="1940"/>
      <c r="FA30" s="1940"/>
      <c r="FB30" s="1940"/>
      <c r="FC30" s="1940"/>
      <c r="FD30" s="1940"/>
      <c r="FE30" s="1940"/>
      <c r="FF30" s="1939"/>
      <c r="FG30" s="1940"/>
      <c r="FH30" s="1940"/>
      <c r="FI30" s="1940"/>
      <c r="FJ30" s="1940"/>
      <c r="FK30" s="1940"/>
      <c r="FL30" s="1940"/>
      <c r="FM30" s="1939"/>
      <c r="FN30" s="1940"/>
      <c r="FO30" s="1940"/>
      <c r="FP30" s="1940"/>
      <c r="FQ30" s="1940"/>
      <c r="FR30" s="1940"/>
      <c r="FS30" s="1940"/>
      <c r="FT30" s="1939"/>
      <c r="FU30" s="1940"/>
      <c r="FV30" s="1940"/>
      <c r="FW30" s="1940"/>
      <c r="FX30" s="1940"/>
      <c r="FY30" s="1940"/>
      <c r="FZ30" s="1940"/>
      <c r="GA30" s="1939"/>
      <c r="GB30" s="1940"/>
      <c r="GC30" s="1940"/>
      <c r="GD30" s="1940"/>
      <c r="GE30" s="1940"/>
      <c r="GF30" s="1940"/>
      <c r="GG30" s="1940"/>
      <c r="GH30" s="1939"/>
      <c r="GI30" s="1940"/>
      <c r="GJ30" s="1940"/>
      <c r="GK30" s="1940"/>
      <c r="GL30" s="1940"/>
      <c r="GM30" s="1940"/>
      <c r="GN30" s="1940"/>
      <c r="GO30" s="1939"/>
      <c r="GP30" s="1940"/>
      <c r="GQ30" s="1940"/>
      <c r="GR30" s="1940"/>
      <c r="GS30" s="1940"/>
      <c r="GT30" s="1940"/>
      <c r="GU30" s="1940"/>
      <c r="GV30" s="1939"/>
      <c r="GW30" s="1940"/>
      <c r="GX30" s="1940"/>
      <c r="GY30" s="1940"/>
      <c r="GZ30" s="1940"/>
      <c r="HA30" s="1940"/>
      <c r="HB30" s="1940"/>
      <c r="HC30" s="1939"/>
      <c r="HD30" s="1940"/>
      <c r="HE30" s="1940"/>
      <c r="HF30" s="1940"/>
      <c r="HG30" s="1940"/>
      <c r="HH30" s="1940"/>
      <c r="HI30" s="1940"/>
      <c r="HJ30" s="1939"/>
      <c r="HK30" s="1940"/>
      <c r="HL30" s="1940"/>
      <c r="HM30" s="1940"/>
      <c r="HN30" s="1940"/>
      <c r="HO30" s="1940"/>
      <c r="HP30" s="1940"/>
      <c r="HQ30" s="1939"/>
      <c r="HR30" s="1940"/>
      <c r="HS30" s="1940"/>
      <c r="HT30" s="1940"/>
      <c r="HU30" s="1940"/>
      <c r="HV30" s="1940"/>
      <c r="HW30" s="1940"/>
      <c r="HX30" s="1939"/>
      <c r="HY30" s="1940"/>
      <c r="HZ30" s="1940"/>
      <c r="IA30" s="1940"/>
      <c r="IB30" s="1940"/>
      <c r="IC30" s="1940"/>
      <c r="ID30" s="1940"/>
      <c r="IE30" s="1939"/>
      <c r="IF30" s="1940"/>
      <c r="IG30" s="1940"/>
      <c r="IH30" s="1940"/>
      <c r="II30" s="1940"/>
      <c r="IJ30" s="1940"/>
      <c r="IK30" s="1938"/>
    </row>
    <row r="31" spans="1:245" ht="8.1" hidden="1" customHeight="1" x14ac:dyDescent="0.35">
      <c r="A31" s="195">
        <f>IF(B31=0,0,"XXX")</f>
        <v>0</v>
      </c>
      <c r="B31" s="1959">
        <f>IF(ENTRADAS!$D$912=0,0,IF(B29="1.1.2","1.3",IF(B29="1.1.3","1.1.4",IF(B29="1.1.4","1.1.5",0))))</f>
        <v>0</v>
      </c>
      <c r="C31" s="1965">
        <f ca="1">IF(F31=0,0,"MONTAGEM DA COBERTURA")</f>
        <v>0</v>
      </c>
      <c r="D31" s="358">
        <f ca="1">IF(F31=0,0,"início:")</f>
        <v>0</v>
      </c>
      <c r="E31" s="359">
        <f ca="1">D88</f>
        <v>45969.35</v>
      </c>
      <c r="F31" s="454">
        <f ca="1">D83</f>
        <v>0</v>
      </c>
      <c r="G31" s="455">
        <f ca="1">IF(F31=0,0,"dias")</f>
        <v>0</v>
      </c>
      <c r="H31" s="1907">
        <f ca="1">H83</f>
        <v>0</v>
      </c>
      <c r="I31" s="1908">
        <f t="shared" ref="I31:O31" ca="1" si="83">I83</f>
        <v>0</v>
      </c>
      <c r="J31" s="1908">
        <f t="shared" ca="1" si="83"/>
        <v>0</v>
      </c>
      <c r="K31" s="1908">
        <f t="shared" ca="1" si="83"/>
        <v>0</v>
      </c>
      <c r="L31" s="1908">
        <f t="shared" ca="1" si="83"/>
        <v>0</v>
      </c>
      <c r="M31" s="1908">
        <f t="shared" ca="1" si="83"/>
        <v>0</v>
      </c>
      <c r="N31" s="1908">
        <f t="shared" ca="1" si="83"/>
        <v>0</v>
      </c>
      <c r="O31" s="1907">
        <f t="shared" ca="1" si="83"/>
        <v>0</v>
      </c>
      <c r="P31" s="1908">
        <f t="shared" ref="P31:CA31" ca="1" si="84">P83</f>
        <v>0</v>
      </c>
      <c r="Q31" s="1908">
        <f t="shared" ca="1" si="84"/>
        <v>0</v>
      </c>
      <c r="R31" s="1908">
        <f t="shared" ca="1" si="84"/>
        <v>0</v>
      </c>
      <c r="S31" s="1908">
        <f t="shared" ca="1" si="84"/>
        <v>0</v>
      </c>
      <c r="T31" s="1908">
        <f t="shared" ca="1" si="84"/>
        <v>0</v>
      </c>
      <c r="U31" s="1908">
        <f t="shared" ca="1" si="84"/>
        <v>0</v>
      </c>
      <c r="V31" s="1907">
        <f t="shared" ca="1" si="84"/>
        <v>0</v>
      </c>
      <c r="W31" s="1908">
        <f t="shared" ca="1" si="84"/>
        <v>0</v>
      </c>
      <c r="X31" s="1908">
        <f t="shared" ca="1" si="84"/>
        <v>0</v>
      </c>
      <c r="Y31" s="1908">
        <f t="shared" ca="1" si="84"/>
        <v>0</v>
      </c>
      <c r="Z31" s="1908">
        <f t="shared" ca="1" si="84"/>
        <v>0</v>
      </c>
      <c r="AA31" s="1908">
        <f t="shared" ca="1" si="84"/>
        <v>0</v>
      </c>
      <c r="AB31" s="1908">
        <f t="shared" ca="1" si="84"/>
        <v>0</v>
      </c>
      <c r="AC31" s="1907">
        <f t="shared" ca="1" si="84"/>
        <v>0</v>
      </c>
      <c r="AD31" s="1908">
        <f t="shared" ca="1" si="84"/>
        <v>0</v>
      </c>
      <c r="AE31" s="1908">
        <f t="shared" ca="1" si="84"/>
        <v>0</v>
      </c>
      <c r="AF31" s="1908">
        <f t="shared" ca="1" si="84"/>
        <v>0</v>
      </c>
      <c r="AG31" s="1908">
        <f t="shared" ca="1" si="84"/>
        <v>0</v>
      </c>
      <c r="AH31" s="1908">
        <f t="shared" ca="1" si="84"/>
        <v>0</v>
      </c>
      <c r="AI31" s="1908">
        <f t="shared" ca="1" si="84"/>
        <v>0</v>
      </c>
      <c r="AJ31" s="1907">
        <f t="shared" ca="1" si="84"/>
        <v>0</v>
      </c>
      <c r="AK31" s="1908">
        <f t="shared" ca="1" si="84"/>
        <v>0</v>
      </c>
      <c r="AL31" s="1908">
        <f t="shared" ca="1" si="84"/>
        <v>0</v>
      </c>
      <c r="AM31" s="1908">
        <f t="shared" ca="1" si="84"/>
        <v>0</v>
      </c>
      <c r="AN31" s="1908">
        <f t="shared" ca="1" si="84"/>
        <v>0</v>
      </c>
      <c r="AO31" s="1908">
        <f t="shared" ca="1" si="84"/>
        <v>0</v>
      </c>
      <c r="AP31" s="1908">
        <f t="shared" ca="1" si="84"/>
        <v>0</v>
      </c>
      <c r="AQ31" s="1907">
        <f t="shared" ca="1" si="84"/>
        <v>0</v>
      </c>
      <c r="AR31" s="1908">
        <f t="shared" ca="1" si="84"/>
        <v>0</v>
      </c>
      <c r="AS31" s="1908">
        <f t="shared" ca="1" si="84"/>
        <v>0</v>
      </c>
      <c r="AT31" s="1908">
        <f t="shared" ca="1" si="84"/>
        <v>0</v>
      </c>
      <c r="AU31" s="1908">
        <f t="shared" ca="1" si="84"/>
        <v>0</v>
      </c>
      <c r="AV31" s="1908">
        <f t="shared" ca="1" si="84"/>
        <v>0</v>
      </c>
      <c r="AW31" s="1908">
        <f t="shared" ca="1" si="84"/>
        <v>0</v>
      </c>
      <c r="AX31" s="1907">
        <f t="shared" ca="1" si="84"/>
        <v>0</v>
      </c>
      <c r="AY31" s="1908">
        <f t="shared" ca="1" si="84"/>
        <v>0</v>
      </c>
      <c r="AZ31" s="1908">
        <f t="shared" ca="1" si="84"/>
        <v>0</v>
      </c>
      <c r="BA31" s="1908">
        <f t="shared" ca="1" si="84"/>
        <v>0</v>
      </c>
      <c r="BB31" s="1908">
        <f t="shared" ca="1" si="84"/>
        <v>0</v>
      </c>
      <c r="BC31" s="1908">
        <f t="shared" ca="1" si="84"/>
        <v>0</v>
      </c>
      <c r="BD31" s="1908">
        <f t="shared" ca="1" si="84"/>
        <v>0</v>
      </c>
      <c r="BE31" s="1907">
        <f t="shared" ca="1" si="84"/>
        <v>0</v>
      </c>
      <c r="BF31" s="1908">
        <f t="shared" ca="1" si="84"/>
        <v>0</v>
      </c>
      <c r="BG31" s="1908">
        <f t="shared" ca="1" si="84"/>
        <v>0</v>
      </c>
      <c r="BH31" s="1908">
        <f t="shared" ca="1" si="84"/>
        <v>0</v>
      </c>
      <c r="BI31" s="1908">
        <f t="shared" ca="1" si="84"/>
        <v>0</v>
      </c>
      <c r="BJ31" s="1908">
        <f t="shared" ca="1" si="84"/>
        <v>0</v>
      </c>
      <c r="BK31" s="1908">
        <f t="shared" ca="1" si="84"/>
        <v>0</v>
      </c>
      <c r="BL31" s="1907">
        <f t="shared" ca="1" si="84"/>
        <v>0</v>
      </c>
      <c r="BM31" s="1908">
        <f t="shared" ca="1" si="84"/>
        <v>0</v>
      </c>
      <c r="BN31" s="1908">
        <f t="shared" ca="1" si="84"/>
        <v>0</v>
      </c>
      <c r="BO31" s="1908">
        <f t="shared" ca="1" si="84"/>
        <v>0</v>
      </c>
      <c r="BP31" s="1908">
        <f t="shared" ca="1" si="84"/>
        <v>0</v>
      </c>
      <c r="BQ31" s="1908">
        <f t="shared" ca="1" si="84"/>
        <v>0</v>
      </c>
      <c r="BR31" s="1908">
        <f t="shared" ca="1" si="84"/>
        <v>0</v>
      </c>
      <c r="BS31" s="1907">
        <f t="shared" ca="1" si="84"/>
        <v>0</v>
      </c>
      <c r="BT31" s="1908">
        <f t="shared" ca="1" si="84"/>
        <v>0</v>
      </c>
      <c r="BU31" s="1908">
        <f t="shared" ca="1" si="84"/>
        <v>0</v>
      </c>
      <c r="BV31" s="1908">
        <f t="shared" ca="1" si="84"/>
        <v>0</v>
      </c>
      <c r="BW31" s="1908">
        <f t="shared" ca="1" si="84"/>
        <v>0</v>
      </c>
      <c r="BX31" s="1908">
        <f t="shared" ca="1" si="84"/>
        <v>0</v>
      </c>
      <c r="BY31" s="1908">
        <f t="shared" ca="1" si="84"/>
        <v>0</v>
      </c>
      <c r="BZ31" s="1907">
        <f t="shared" ca="1" si="84"/>
        <v>0</v>
      </c>
      <c r="CA31" s="1908">
        <f t="shared" ca="1" si="84"/>
        <v>0</v>
      </c>
      <c r="CB31" s="1908">
        <f t="shared" ref="CB31:EM31" ca="1" si="85">CB83</f>
        <v>0</v>
      </c>
      <c r="CC31" s="1908">
        <f t="shared" ca="1" si="85"/>
        <v>0</v>
      </c>
      <c r="CD31" s="1908">
        <f t="shared" ca="1" si="85"/>
        <v>0</v>
      </c>
      <c r="CE31" s="1908">
        <f t="shared" ca="1" si="85"/>
        <v>0</v>
      </c>
      <c r="CF31" s="1908">
        <f t="shared" ca="1" si="85"/>
        <v>0</v>
      </c>
      <c r="CG31" s="1907">
        <f t="shared" ca="1" si="85"/>
        <v>0</v>
      </c>
      <c r="CH31" s="1908">
        <f t="shared" ca="1" si="85"/>
        <v>0</v>
      </c>
      <c r="CI31" s="1908">
        <f t="shared" ca="1" si="85"/>
        <v>0</v>
      </c>
      <c r="CJ31" s="1908">
        <f t="shared" ca="1" si="85"/>
        <v>0</v>
      </c>
      <c r="CK31" s="1908">
        <f t="shared" ca="1" si="85"/>
        <v>0</v>
      </c>
      <c r="CL31" s="1908">
        <f t="shared" ca="1" si="85"/>
        <v>0</v>
      </c>
      <c r="CM31" s="1908">
        <f t="shared" ca="1" si="85"/>
        <v>0</v>
      </c>
      <c r="CN31" s="1907">
        <f t="shared" ca="1" si="85"/>
        <v>0</v>
      </c>
      <c r="CO31" s="1908">
        <f t="shared" ca="1" si="85"/>
        <v>0</v>
      </c>
      <c r="CP31" s="1908">
        <f t="shared" ca="1" si="85"/>
        <v>0</v>
      </c>
      <c r="CQ31" s="1908">
        <f t="shared" ca="1" si="85"/>
        <v>0</v>
      </c>
      <c r="CR31" s="1908">
        <f t="shared" ca="1" si="85"/>
        <v>0</v>
      </c>
      <c r="CS31" s="1908">
        <f t="shared" ca="1" si="85"/>
        <v>0</v>
      </c>
      <c r="CT31" s="1908">
        <f t="shared" ca="1" si="85"/>
        <v>0</v>
      </c>
      <c r="CU31" s="1907">
        <f t="shared" ca="1" si="85"/>
        <v>0</v>
      </c>
      <c r="CV31" s="1908">
        <f t="shared" ca="1" si="85"/>
        <v>0</v>
      </c>
      <c r="CW31" s="1908">
        <f t="shared" ca="1" si="85"/>
        <v>0</v>
      </c>
      <c r="CX31" s="1908">
        <f t="shared" ca="1" si="85"/>
        <v>0</v>
      </c>
      <c r="CY31" s="1908">
        <f t="shared" ca="1" si="85"/>
        <v>0</v>
      </c>
      <c r="CZ31" s="1908">
        <f t="shared" ca="1" si="85"/>
        <v>0</v>
      </c>
      <c r="DA31" s="1908">
        <f t="shared" ca="1" si="85"/>
        <v>0</v>
      </c>
      <c r="DB31" s="1907">
        <f t="shared" ca="1" si="85"/>
        <v>0</v>
      </c>
      <c r="DC31" s="1908">
        <f t="shared" ca="1" si="85"/>
        <v>0</v>
      </c>
      <c r="DD31" s="1908">
        <f t="shared" ca="1" si="85"/>
        <v>0</v>
      </c>
      <c r="DE31" s="1908">
        <f t="shared" ca="1" si="85"/>
        <v>0</v>
      </c>
      <c r="DF31" s="1908">
        <f t="shared" ca="1" si="85"/>
        <v>0</v>
      </c>
      <c r="DG31" s="1908">
        <f t="shared" ca="1" si="85"/>
        <v>0</v>
      </c>
      <c r="DH31" s="1908">
        <f t="shared" ca="1" si="85"/>
        <v>0</v>
      </c>
      <c r="DI31" s="1907">
        <f t="shared" ca="1" si="85"/>
        <v>0</v>
      </c>
      <c r="DJ31" s="1908">
        <f t="shared" ca="1" si="85"/>
        <v>0</v>
      </c>
      <c r="DK31" s="1908">
        <f t="shared" ca="1" si="85"/>
        <v>0</v>
      </c>
      <c r="DL31" s="1908">
        <f t="shared" ca="1" si="85"/>
        <v>0</v>
      </c>
      <c r="DM31" s="1908">
        <f t="shared" ca="1" si="85"/>
        <v>0</v>
      </c>
      <c r="DN31" s="1908">
        <f t="shared" ca="1" si="85"/>
        <v>0</v>
      </c>
      <c r="DO31" s="1908">
        <f t="shared" ca="1" si="85"/>
        <v>0</v>
      </c>
      <c r="DP31" s="1907">
        <f t="shared" ca="1" si="85"/>
        <v>0</v>
      </c>
      <c r="DQ31" s="1908">
        <f t="shared" ca="1" si="85"/>
        <v>0</v>
      </c>
      <c r="DR31" s="1908">
        <f t="shared" ca="1" si="85"/>
        <v>0</v>
      </c>
      <c r="DS31" s="1908">
        <f t="shared" ca="1" si="85"/>
        <v>0</v>
      </c>
      <c r="DT31" s="1908">
        <f t="shared" ca="1" si="85"/>
        <v>0</v>
      </c>
      <c r="DU31" s="1908">
        <f t="shared" ca="1" si="85"/>
        <v>0</v>
      </c>
      <c r="DV31" s="1908">
        <f t="shared" ca="1" si="85"/>
        <v>0</v>
      </c>
      <c r="DW31" s="1907">
        <f t="shared" ca="1" si="85"/>
        <v>0</v>
      </c>
      <c r="DX31" s="1908">
        <f t="shared" ca="1" si="85"/>
        <v>0</v>
      </c>
      <c r="DY31" s="1908">
        <f t="shared" ca="1" si="85"/>
        <v>0</v>
      </c>
      <c r="DZ31" s="1908">
        <f t="shared" ca="1" si="85"/>
        <v>0</v>
      </c>
      <c r="EA31" s="1908">
        <f t="shared" ca="1" si="85"/>
        <v>0</v>
      </c>
      <c r="EB31" s="1908">
        <f t="shared" ca="1" si="85"/>
        <v>0</v>
      </c>
      <c r="EC31" s="1908">
        <f t="shared" ca="1" si="85"/>
        <v>0</v>
      </c>
      <c r="ED31" s="1907">
        <f t="shared" ca="1" si="85"/>
        <v>0</v>
      </c>
      <c r="EE31" s="1908">
        <f t="shared" ca="1" si="85"/>
        <v>0</v>
      </c>
      <c r="EF31" s="1908">
        <f t="shared" ca="1" si="85"/>
        <v>0</v>
      </c>
      <c r="EG31" s="1908">
        <f t="shared" ca="1" si="85"/>
        <v>0</v>
      </c>
      <c r="EH31" s="1908">
        <f t="shared" ca="1" si="85"/>
        <v>0</v>
      </c>
      <c r="EI31" s="1908">
        <f t="shared" ca="1" si="85"/>
        <v>0</v>
      </c>
      <c r="EJ31" s="1908">
        <f t="shared" ca="1" si="85"/>
        <v>0</v>
      </c>
      <c r="EK31" s="1907">
        <f t="shared" ca="1" si="85"/>
        <v>0</v>
      </c>
      <c r="EL31" s="1908">
        <f t="shared" ca="1" si="85"/>
        <v>0</v>
      </c>
      <c r="EM31" s="1908">
        <f t="shared" ca="1" si="85"/>
        <v>0</v>
      </c>
      <c r="EN31" s="1908">
        <f t="shared" ref="EN31:GY31" ca="1" si="86">EN83</f>
        <v>0</v>
      </c>
      <c r="EO31" s="1908">
        <f t="shared" ca="1" si="86"/>
        <v>0</v>
      </c>
      <c r="EP31" s="1908">
        <f t="shared" ca="1" si="86"/>
        <v>0</v>
      </c>
      <c r="EQ31" s="1908">
        <f t="shared" ca="1" si="86"/>
        <v>0</v>
      </c>
      <c r="ER31" s="1907">
        <f t="shared" ca="1" si="86"/>
        <v>0</v>
      </c>
      <c r="ES31" s="1908">
        <f t="shared" ca="1" si="86"/>
        <v>0</v>
      </c>
      <c r="ET31" s="1908">
        <f t="shared" ca="1" si="86"/>
        <v>0</v>
      </c>
      <c r="EU31" s="1908">
        <f t="shared" ca="1" si="86"/>
        <v>0</v>
      </c>
      <c r="EV31" s="1908">
        <f t="shared" ca="1" si="86"/>
        <v>0</v>
      </c>
      <c r="EW31" s="1908">
        <f t="shared" ca="1" si="86"/>
        <v>0</v>
      </c>
      <c r="EX31" s="1908">
        <f t="shared" ca="1" si="86"/>
        <v>0</v>
      </c>
      <c r="EY31" s="1907">
        <f t="shared" ca="1" si="86"/>
        <v>0</v>
      </c>
      <c r="EZ31" s="1908">
        <f t="shared" ca="1" si="86"/>
        <v>0</v>
      </c>
      <c r="FA31" s="1908">
        <f t="shared" ca="1" si="86"/>
        <v>0</v>
      </c>
      <c r="FB31" s="1908">
        <f t="shared" ca="1" si="86"/>
        <v>0</v>
      </c>
      <c r="FC31" s="1908">
        <f t="shared" ca="1" si="86"/>
        <v>0</v>
      </c>
      <c r="FD31" s="1908">
        <f t="shared" ca="1" si="86"/>
        <v>0</v>
      </c>
      <c r="FE31" s="1908">
        <f t="shared" ca="1" si="86"/>
        <v>0</v>
      </c>
      <c r="FF31" s="1907">
        <f t="shared" ca="1" si="86"/>
        <v>0</v>
      </c>
      <c r="FG31" s="1908">
        <f t="shared" ca="1" si="86"/>
        <v>0</v>
      </c>
      <c r="FH31" s="1908">
        <f t="shared" ca="1" si="86"/>
        <v>0</v>
      </c>
      <c r="FI31" s="1908">
        <f t="shared" ca="1" si="86"/>
        <v>0</v>
      </c>
      <c r="FJ31" s="1908">
        <f t="shared" ca="1" si="86"/>
        <v>0</v>
      </c>
      <c r="FK31" s="1908">
        <f t="shared" ca="1" si="86"/>
        <v>0</v>
      </c>
      <c r="FL31" s="1908">
        <f t="shared" ca="1" si="86"/>
        <v>0</v>
      </c>
      <c r="FM31" s="1907">
        <f t="shared" ca="1" si="86"/>
        <v>0</v>
      </c>
      <c r="FN31" s="1908">
        <f t="shared" ca="1" si="86"/>
        <v>0</v>
      </c>
      <c r="FO31" s="1908">
        <f t="shared" ca="1" si="86"/>
        <v>0</v>
      </c>
      <c r="FP31" s="1908">
        <f t="shared" ca="1" si="86"/>
        <v>0</v>
      </c>
      <c r="FQ31" s="1908">
        <f t="shared" ca="1" si="86"/>
        <v>0</v>
      </c>
      <c r="FR31" s="1908">
        <f t="shared" ca="1" si="86"/>
        <v>0</v>
      </c>
      <c r="FS31" s="1908">
        <f t="shared" ca="1" si="86"/>
        <v>0</v>
      </c>
      <c r="FT31" s="1907">
        <f t="shared" ca="1" si="86"/>
        <v>0</v>
      </c>
      <c r="FU31" s="1908">
        <f t="shared" ca="1" si="86"/>
        <v>0</v>
      </c>
      <c r="FV31" s="1908">
        <f t="shared" ca="1" si="86"/>
        <v>0</v>
      </c>
      <c r="FW31" s="1908">
        <f t="shared" ca="1" si="86"/>
        <v>0</v>
      </c>
      <c r="FX31" s="1908">
        <f t="shared" ca="1" si="86"/>
        <v>0</v>
      </c>
      <c r="FY31" s="1908">
        <f t="shared" ca="1" si="86"/>
        <v>0</v>
      </c>
      <c r="FZ31" s="1908">
        <f t="shared" ca="1" si="86"/>
        <v>0</v>
      </c>
      <c r="GA31" s="1907">
        <f t="shared" ca="1" si="86"/>
        <v>0</v>
      </c>
      <c r="GB31" s="1908">
        <f t="shared" ca="1" si="86"/>
        <v>0</v>
      </c>
      <c r="GC31" s="1908">
        <f t="shared" ca="1" si="86"/>
        <v>0</v>
      </c>
      <c r="GD31" s="1908">
        <f t="shared" ca="1" si="86"/>
        <v>0</v>
      </c>
      <c r="GE31" s="1908">
        <f t="shared" ca="1" si="86"/>
        <v>0</v>
      </c>
      <c r="GF31" s="1908">
        <f t="shared" ca="1" si="86"/>
        <v>0</v>
      </c>
      <c r="GG31" s="1908">
        <f t="shared" ca="1" si="86"/>
        <v>0</v>
      </c>
      <c r="GH31" s="1907">
        <f t="shared" ca="1" si="86"/>
        <v>0</v>
      </c>
      <c r="GI31" s="1908">
        <f t="shared" ca="1" si="86"/>
        <v>0</v>
      </c>
      <c r="GJ31" s="1908">
        <f t="shared" ca="1" si="86"/>
        <v>0</v>
      </c>
      <c r="GK31" s="1908">
        <f t="shared" ca="1" si="86"/>
        <v>0</v>
      </c>
      <c r="GL31" s="1908">
        <f t="shared" ca="1" si="86"/>
        <v>0</v>
      </c>
      <c r="GM31" s="1908">
        <f t="shared" ca="1" si="86"/>
        <v>0</v>
      </c>
      <c r="GN31" s="1908">
        <f t="shared" ca="1" si="86"/>
        <v>0</v>
      </c>
      <c r="GO31" s="1907">
        <f t="shared" ca="1" si="86"/>
        <v>0</v>
      </c>
      <c r="GP31" s="1908">
        <f t="shared" ca="1" si="86"/>
        <v>0</v>
      </c>
      <c r="GQ31" s="1908">
        <f t="shared" ca="1" si="86"/>
        <v>0</v>
      </c>
      <c r="GR31" s="1908">
        <f t="shared" ca="1" si="86"/>
        <v>0</v>
      </c>
      <c r="GS31" s="1908">
        <f t="shared" ca="1" si="86"/>
        <v>0</v>
      </c>
      <c r="GT31" s="1908">
        <f t="shared" ca="1" si="86"/>
        <v>0</v>
      </c>
      <c r="GU31" s="1908">
        <f t="shared" ca="1" si="86"/>
        <v>0</v>
      </c>
      <c r="GV31" s="1907">
        <f t="shared" ca="1" si="86"/>
        <v>0</v>
      </c>
      <c r="GW31" s="1908">
        <f t="shared" ca="1" si="86"/>
        <v>0</v>
      </c>
      <c r="GX31" s="1908">
        <f t="shared" ca="1" si="86"/>
        <v>0</v>
      </c>
      <c r="GY31" s="1908">
        <f t="shared" ca="1" si="86"/>
        <v>0</v>
      </c>
      <c r="GZ31" s="1908">
        <f t="shared" ref="GZ31:IK31" ca="1" si="87">GZ83</f>
        <v>0</v>
      </c>
      <c r="HA31" s="1908">
        <f t="shared" ca="1" si="87"/>
        <v>0</v>
      </c>
      <c r="HB31" s="1908">
        <f t="shared" ca="1" si="87"/>
        <v>0</v>
      </c>
      <c r="HC31" s="1907">
        <f t="shared" ca="1" si="87"/>
        <v>0</v>
      </c>
      <c r="HD31" s="1908">
        <f t="shared" ca="1" si="87"/>
        <v>0</v>
      </c>
      <c r="HE31" s="1908">
        <f t="shared" ca="1" si="87"/>
        <v>0</v>
      </c>
      <c r="HF31" s="1908">
        <f t="shared" ca="1" si="87"/>
        <v>0</v>
      </c>
      <c r="HG31" s="1908">
        <f t="shared" ca="1" si="87"/>
        <v>0</v>
      </c>
      <c r="HH31" s="1908">
        <f t="shared" ca="1" si="87"/>
        <v>0</v>
      </c>
      <c r="HI31" s="1908">
        <f t="shared" ca="1" si="87"/>
        <v>0</v>
      </c>
      <c r="HJ31" s="1907">
        <f t="shared" ca="1" si="87"/>
        <v>0</v>
      </c>
      <c r="HK31" s="1908">
        <f t="shared" ca="1" si="87"/>
        <v>0</v>
      </c>
      <c r="HL31" s="1908">
        <f t="shared" ca="1" si="87"/>
        <v>0</v>
      </c>
      <c r="HM31" s="1908">
        <f t="shared" ca="1" si="87"/>
        <v>0</v>
      </c>
      <c r="HN31" s="1908">
        <f t="shared" ca="1" si="87"/>
        <v>0</v>
      </c>
      <c r="HO31" s="1908">
        <f t="shared" ca="1" si="87"/>
        <v>0</v>
      </c>
      <c r="HP31" s="1908">
        <f t="shared" ca="1" si="87"/>
        <v>0</v>
      </c>
      <c r="HQ31" s="1907">
        <f t="shared" ca="1" si="87"/>
        <v>0</v>
      </c>
      <c r="HR31" s="1908">
        <f t="shared" ca="1" si="87"/>
        <v>0</v>
      </c>
      <c r="HS31" s="1908">
        <f t="shared" ca="1" si="87"/>
        <v>0</v>
      </c>
      <c r="HT31" s="1908">
        <f t="shared" ca="1" si="87"/>
        <v>0</v>
      </c>
      <c r="HU31" s="1908">
        <f t="shared" ca="1" si="87"/>
        <v>0</v>
      </c>
      <c r="HV31" s="1908">
        <f t="shared" ca="1" si="87"/>
        <v>0</v>
      </c>
      <c r="HW31" s="1908">
        <f t="shared" ca="1" si="87"/>
        <v>0</v>
      </c>
      <c r="HX31" s="1907">
        <f t="shared" ca="1" si="87"/>
        <v>0</v>
      </c>
      <c r="HY31" s="1908">
        <f t="shared" ca="1" si="87"/>
        <v>0</v>
      </c>
      <c r="HZ31" s="1908">
        <f t="shared" ca="1" si="87"/>
        <v>0</v>
      </c>
      <c r="IA31" s="1908">
        <f t="shared" ca="1" si="87"/>
        <v>0</v>
      </c>
      <c r="IB31" s="1908">
        <f t="shared" ca="1" si="87"/>
        <v>0</v>
      </c>
      <c r="IC31" s="1908">
        <f t="shared" ca="1" si="87"/>
        <v>0</v>
      </c>
      <c r="ID31" s="1908">
        <f t="shared" ca="1" si="87"/>
        <v>0</v>
      </c>
      <c r="IE31" s="1907">
        <f t="shared" ca="1" si="87"/>
        <v>0</v>
      </c>
      <c r="IF31" s="1908">
        <f t="shared" ca="1" si="87"/>
        <v>0</v>
      </c>
      <c r="IG31" s="1908">
        <f t="shared" ca="1" si="87"/>
        <v>0</v>
      </c>
      <c r="IH31" s="1908">
        <f t="shared" ca="1" si="87"/>
        <v>0</v>
      </c>
      <c r="II31" s="1908">
        <f t="shared" ca="1" si="87"/>
        <v>0</v>
      </c>
      <c r="IJ31" s="1908">
        <f t="shared" ca="1" si="87"/>
        <v>0</v>
      </c>
      <c r="IK31" s="1909">
        <f t="shared" ca="1" si="87"/>
        <v>0</v>
      </c>
    </row>
    <row r="32" spans="1:245" ht="8.1" hidden="1" customHeight="1" x14ac:dyDescent="0.35">
      <c r="A32" s="195">
        <f>IF(B31=0,0,"XXX")</f>
        <v>0</v>
      </c>
      <c r="B32" s="1960"/>
      <c r="C32" s="1966"/>
      <c r="D32" s="360">
        <f ca="1">IF(F31=0,0,"término:")</f>
        <v>0</v>
      </c>
      <c r="E32" s="361">
        <f ca="1">D89</f>
        <v>45968.35</v>
      </c>
      <c r="F32" s="1913"/>
      <c r="G32" s="1914"/>
      <c r="H32" s="1907"/>
      <c r="I32" s="1908"/>
      <c r="J32" s="1908"/>
      <c r="K32" s="1908"/>
      <c r="L32" s="1908"/>
      <c r="M32" s="1908"/>
      <c r="N32" s="1908"/>
      <c r="O32" s="1907"/>
      <c r="P32" s="1908"/>
      <c r="Q32" s="1908"/>
      <c r="R32" s="1908"/>
      <c r="S32" s="1908"/>
      <c r="T32" s="1908"/>
      <c r="U32" s="1908"/>
      <c r="V32" s="1907"/>
      <c r="W32" s="1908"/>
      <c r="X32" s="1908"/>
      <c r="Y32" s="1908"/>
      <c r="Z32" s="1908"/>
      <c r="AA32" s="1908"/>
      <c r="AB32" s="1908"/>
      <c r="AC32" s="1907"/>
      <c r="AD32" s="1908"/>
      <c r="AE32" s="1908"/>
      <c r="AF32" s="1908"/>
      <c r="AG32" s="1908"/>
      <c r="AH32" s="1908"/>
      <c r="AI32" s="1908"/>
      <c r="AJ32" s="1907"/>
      <c r="AK32" s="1908"/>
      <c r="AL32" s="1908"/>
      <c r="AM32" s="1908"/>
      <c r="AN32" s="1908"/>
      <c r="AO32" s="1908"/>
      <c r="AP32" s="1908"/>
      <c r="AQ32" s="1907"/>
      <c r="AR32" s="1908"/>
      <c r="AS32" s="1908"/>
      <c r="AT32" s="1908"/>
      <c r="AU32" s="1908"/>
      <c r="AV32" s="1908"/>
      <c r="AW32" s="1908"/>
      <c r="AX32" s="1907"/>
      <c r="AY32" s="1908"/>
      <c r="AZ32" s="1908"/>
      <c r="BA32" s="1908"/>
      <c r="BB32" s="1908"/>
      <c r="BC32" s="1908"/>
      <c r="BD32" s="1908"/>
      <c r="BE32" s="1907"/>
      <c r="BF32" s="1908"/>
      <c r="BG32" s="1908"/>
      <c r="BH32" s="1908"/>
      <c r="BI32" s="1908"/>
      <c r="BJ32" s="1908"/>
      <c r="BK32" s="1908"/>
      <c r="BL32" s="1907"/>
      <c r="BM32" s="1908"/>
      <c r="BN32" s="1908"/>
      <c r="BO32" s="1908"/>
      <c r="BP32" s="1908"/>
      <c r="BQ32" s="1908"/>
      <c r="BR32" s="1908"/>
      <c r="BS32" s="1907"/>
      <c r="BT32" s="1908"/>
      <c r="BU32" s="1908"/>
      <c r="BV32" s="1908"/>
      <c r="BW32" s="1908"/>
      <c r="BX32" s="1908"/>
      <c r="BY32" s="1908"/>
      <c r="BZ32" s="1907"/>
      <c r="CA32" s="1908"/>
      <c r="CB32" s="1908"/>
      <c r="CC32" s="1908"/>
      <c r="CD32" s="1908"/>
      <c r="CE32" s="1908"/>
      <c r="CF32" s="1908"/>
      <c r="CG32" s="1907"/>
      <c r="CH32" s="1908"/>
      <c r="CI32" s="1908"/>
      <c r="CJ32" s="1908"/>
      <c r="CK32" s="1908"/>
      <c r="CL32" s="1908"/>
      <c r="CM32" s="1908"/>
      <c r="CN32" s="1907"/>
      <c r="CO32" s="1908"/>
      <c r="CP32" s="1908"/>
      <c r="CQ32" s="1908"/>
      <c r="CR32" s="1908"/>
      <c r="CS32" s="1908"/>
      <c r="CT32" s="1908"/>
      <c r="CU32" s="1907"/>
      <c r="CV32" s="1908"/>
      <c r="CW32" s="1908"/>
      <c r="CX32" s="1908"/>
      <c r="CY32" s="1908"/>
      <c r="CZ32" s="1908"/>
      <c r="DA32" s="1908"/>
      <c r="DB32" s="1907"/>
      <c r="DC32" s="1908"/>
      <c r="DD32" s="1908"/>
      <c r="DE32" s="1908"/>
      <c r="DF32" s="1908"/>
      <c r="DG32" s="1908"/>
      <c r="DH32" s="1908"/>
      <c r="DI32" s="1907"/>
      <c r="DJ32" s="1908"/>
      <c r="DK32" s="1908"/>
      <c r="DL32" s="1908"/>
      <c r="DM32" s="1908"/>
      <c r="DN32" s="1908"/>
      <c r="DO32" s="1908"/>
      <c r="DP32" s="1907"/>
      <c r="DQ32" s="1908"/>
      <c r="DR32" s="1908"/>
      <c r="DS32" s="1908"/>
      <c r="DT32" s="1908"/>
      <c r="DU32" s="1908"/>
      <c r="DV32" s="1908"/>
      <c r="DW32" s="1907"/>
      <c r="DX32" s="1908"/>
      <c r="DY32" s="1908"/>
      <c r="DZ32" s="1908"/>
      <c r="EA32" s="1908"/>
      <c r="EB32" s="1908"/>
      <c r="EC32" s="1908"/>
      <c r="ED32" s="1907"/>
      <c r="EE32" s="1908"/>
      <c r="EF32" s="1908"/>
      <c r="EG32" s="1908"/>
      <c r="EH32" s="1908"/>
      <c r="EI32" s="1908"/>
      <c r="EJ32" s="1908"/>
      <c r="EK32" s="1907"/>
      <c r="EL32" s="1908"/>
      <c r="EM32" s="1908"/>
      <c r="EN32" s="1908"/>
      <c r="EO32" s="1908"/>
      <c r="EP32" s="1908"/>
      <c r="EQ32" s="1908"/>
      <c r="ER32" s="1907"/>
      <c r="ES32" s="1908"/>
      <c r="ET32" s="1908"/>
      <c r="EU32" s="1908"/>
      <c r="EV32" s="1908"/>
      <c r="EW32" s="1908"/>
      <c r="EX32" s="1908"/>
      <c r="EY32" s="1907"/>
      <c r="EZ32" s="1908"/>
      <c r="FA32" s="1908"/>
      <c r="FB32" s="1908"/>
      <c r="FC32" s="1908"/>
      <c r="FD32" s="1908"/>
      <c r="FE32" s="1908"/>
      <c r="FF32" s="1907"/>
      <c r="FG32" s="1908"/>
      <c r="FH32" s="1908"/>
      <c r="FI32" s="1908"/>
      <c r="FJ32" s="1908"/>
      <c r="FK32" s="1908"/>
      <c r="FL32" s="1908"/>
      <c r="FM32" s="1907"/>
      <c r="FN32" s="1908"/>
      <c r="FO32" s="1908"/>
      <c r="FP32" s="1908"/>
      <c r="FQ32" s="1908"/>
      <c r="FR32" s="1908"/>
      <c r="FS32" s="1908"/>
      <c r="FT32" s="1907"/>
      <c r="FU32" s="1908"/>
      <c r="FV32" s="1908"/>
      <c r="FW32" s="1908"/>
      <c r="FX32" s="1908"/>
      <c r="FY32" s="1908"/>
      <c r="FZ32" s="1908"/>
      <c r="GA32" s="1907"/>
      <c r="GB32" s="1908"/>
      <c r="GC32" s="1908"/>
      <c r="GD32" s="1908"/>
      <c r="GE32" s="1908"/>
      <c r="GF32" s="1908"/>
      <c r="GG32" s="1908"/>
      <c r="GH32" s="1907"/>
      <c r="GI32" s="1908"/>
      <c r="GJ32" s="1908"/>
      <c r="GK32" s="1908"/>
      <c r="GL32" s="1908"/>
      <c r="GM32" s="1908"/>
      <c r="GN32" s="1908"/>
      <c r="GO32" s="1907"/>
      <c r="GP32" s="1908"/>
      <c r="GQ32" s="1908"/>
      <c r="GR32" s="1908"/>
      <c r="GS32" s="1908"/>
      <c r="GT32" s="1908"/>
      <c r="GU32" s="1908"/>
      <c r="GV32" s="1907"/>
      <c r="GW32" s="1908"/>
      <c r="GX32" s="1908"/>
      <c r="GY32" s="1908"/>
      <c r="GZ32" s="1908"/>
      <c r="HA32" s="1908"/>
      <c r="HB32" s="1908"/>
      <c r="HC32" s="1907"/>
      <c r="HD32" s="1908"/>
      <c r="HE32" s="1908"/>
      <c r="HF32" s="1908"/>
      <c r="HG32" s="1908"/>
      <c r="HH32" s="1908"/>
      <c r="HI32" s="1908"/>
      <c r="HJ32" s="1907"/>
      <c r="HK32" s="1908"/>
      <c r="HL32" s="1908"/>
      <c r="HM32" s="1908"/>
      <c r="HN32" s="1908"/>
      <c r="HO32" s="1908"/>
      <c r="HP32" s="1908"/>
      <c r="HQ32" s="1907"/>
      <c r="HR32" s="1908"/>
      <c r="HS32" s="1908"/>
      <c r="HT32" s="1908"/>
      <c r="HU32" s="1908"/>
      <c r="HV32" s="1908"/>
      <c r="HW32" s="1908"/>
      <c r="HX32" s="1907"/>
      <c r="HY32" s="1908"/>
      <c r="HZ32" s="1908"/>
      <c r="IA32" s="1908"/>
      <c r="IB32" s="1908"/>
      <c r="IC32" s="1908"/>
      <c r="ID32" s="1908"/>
      <c r="IE32" s="1907"/>
      <c r="IF32" s="1908"/>
      <c r="IG32" s="1908"/>
      <c r="IH32" s="1908"/>
      <c r="II32" s="1908"/>
      <c r="IJ32" s="1908"/>
      <c r="IK32" s="1909"/>
    </row>
    <row r="33" spans="1:245" ht="7.5" hidden="1" customHeight="1" x14ac:dyDescent="0.35">
      <c r="A33" s="195">
        <f>IF(B33=0,0,"XXX")</f>
        <v>0</v>
      </c>
      <c r="B33" s="1910">
        <f>IF(ENTRADAS!I1253=0,0,ENTRADAS!C1253)</f>
        <v>0</v>
      </c>
      <c r="C33" s="1911">
        <f>IF(ENTRADAS!I1253="x",ENTRADAS!D1253,0)</f>
        <v>0</v>
      </c>
      <c r="D33" s="358" t="str">
        <f>IF(ENTRADAS!$F$22=0,0,"início:")</f>
        <v>início:</v>
      </c>
      <c r="E33" s="359">
        <f>IF(C33=0,0,IF(F34&gt;0,F34+D45,E22+2))</f>
        <v>0</v>
      </c>
      <c r="F33" s="454">
        <f>IF(C33=0,0,ENTRADAS!$H$1253)</f>
        <v>0</v>
      </c>
      <c r="G33" s="455" t="str">
        <f>IF(ENTRADAS!$F$22=0,0,"dias")</f>
        <v>dias</v>
      </c>
      <c r="H33" s="1907">
        <f>IF(F33=0,0,IF(AND(H6&gt;$E$33-$E$17,H6&lt;=$E$34-$E$17+1),10,0))</f>
        <v>0</v>
      </c>
      <c r="I33" s="1908">
        <f ca="1">IF(AND(I6&gt;$E$33-$E$17,I6&lt;=$E$34-$E$17+1),10,0)</f>
        <v>0</v>
      </c>
      <c r="J33" s="1908">
        <f ca="1">IF(AND(J6&gt;$E$33-$E$17,J6&lt;=$E$34-$E$17+1),10,0)</f>
        <v>0</v>
      </c>
      <c r="K33" s="1908">
        <f ca="1">IF(AND(K6&gt;$E$33-$E$17,K6&lt;=$E$34-$E$17+1),10,0)</f>
        <v>0</v>
      </c>
      <c r="L33" s="1908">
        <f ca="1">IF(AND(L6&gt;$E$33-$E$17,L6&lt;=$E$34-$E$17+1),10,0)</f>
        <v>0</v>
      </c>
      <c r="M33" s="1908">
        <f ca="1">IF(AND(M6&gt;$E$33-$E$17,M6&lt;=$E$34-$E$17),10,0)</f>
        <v>0</v>
      </c>
      <c r="N33" s="1908">
        <f ca="1">IF(AND(N6&gt;$E$33-$E$17,N6&lt;=$E$34-$E$17),10,0)</f>
        <v>0</v>
      </c>
      <c r="O33" s="1907">
        <f ca="1">IF(AND(O6&gt;$E$33-$E$17,O6&lt;=$E$34-$E$17+1),10,0)</f>
        <v>0</v>
      </c>
      <c r="P33" s="1908">
        <f ca="1">IF(AND(P6&gt;$E$33-$E$17,P6&lt;=$E$34-$E$17+1),10,0)</f>
        <v>0</v>
      </c>
      <c r="Q33" s="1908">
        <f ca="1">IF(AND(Q6&gt;$E$33-$E$17,Q6&lt;=$E$34-$E$17+1),10,0)</f>
        <v>0</v>
      </c>
      <c r="R33" s="1908">
        <f ca="1">IF(AND(R6&gt;$E$33-$E$17,R6&lt;=$E$34-$E$17+1),10,0)</f>
        <v>0</v>
      </c>
      <c r="S33" s="1908">
        <f ca="1">IF(AND(S6&gt;$E$33-$E$17,S6&lt;=$E$34-$E$17+1),10,0)</f>
        <v>0</v>
      </c>
      <c r="T33" s="1908">
        <f ca="1">IF(AND(T6&gt;$E$33-$E$17,T6&lt;=$E$34-$E$17),10,0)</f>
        <v>0</v>
      </c>
      <c r="U33" s="1908">
        <f ca="1">IF(AND(U6&gt;$E$33-$E$17,U6&lt;=$E$34-$E$17),10,0)</f>
        <v>0</v>
      </c>
      <c r="V33" s="1907">
        <f ca="1">IF(AND(V6&gt;$E$33-$E$17,V6&lt;=$E$34-$E$17+1),10,0)</f>
        <v>0</v>
      </c>
      <c r="W33" s="1908">
        <f ca="1">IF(AND(W6&gt;$E$33-$E$17,W6&lt;=$E$34-$E$17+1),10,0)</f>
        <v>0</v>
      </c>
      <c r="X33" s="1908">
        <f ca="1">IF(AND(X6&gt;$E$33-$E$17,X6&lt;=$E$34-$E$17+1),10,0)</f>
        <v>0</v>
      </c>
      <c r="Y33" s="1908">
        <f ca="1">IF(AND(Y6&gt;$E$33-$E$17,Y6&lt;=$E$34-$E$17+1),10,0)</f>
        <v>0</v>
      </c>
      <c r="Z33" s="1908">
        <f ca="1">IF(AND(Z6&gt;$E$33-$E$17,Z6&lt;=$E$34-$E$17+1),10,0)</f>
        <v>0</v>
      </c>
      <c r="AA33" s="1908">
        <f ca="1">IF(AND(AA6&gt;$E$33-$E$17,AA6&lt;=$E$34-$E$17),10,0)</f>
        <v>0</v>
      </c>
      <c r="AB33" s="1908">
        <f ca="1">IF(AND(AB6&gt;$E$33-$E$17,AB6&lt;=$E$34-$E$17),10,0)</f>
        <v>0</v>
      </c>
      <c r="AC33" s="1907">
        <f ca="1">IF(AND(AC6&gt;$E$33-$E$17,AC6&lt;=$E$34-$E$17+1),10,0)</f>
        <v>0</v>
      </c>
      <c r="AD33" s="1908">
        <f ca="1">IF(AND(AD6&gt;$E$33-$E$17,AD6&lt;=$E$34-$E$17+1),10,0)</f>
        <v>0</v>
      </c>
      <c r="AE33" s="1908">
        <f ca="1">IF(AND(AE6&gt;$E$33-$E$17,AE6&lt;=$E$34-$E$17+1),10,0)</f>
        <v>0</v>
      </c>
      <c r="AF33" s="1908">
        <f ca="1">IF(AND(AF6&gt;$E$33-$E$17,AF6&lt;=$E$34-$E$17+1),10,0)</f>
        <v>0</v>
      </c>
      <c r="AG33" s="1908">
        <f ca="1">IF(AND(AG6&gt;$E$33-$E$17,AG6&lt;=$E$34-$E$17+1),10,0)</f>
        <v>0</v>
      </c>
      <c r="AH33" s="1908">
        <f ca="1">IF(AND(AH6&gt;$E$33-$E$17,AH6&lt;=$E$34-$E$17),10,0)</f>
        <v>0</v>
      </c>
      <c r="AI33" s="1908">
        <f ca="1">IF(AND(AI6&gt;$E$33-$E$17,AI6&lt;=$E$34-$E$17),10,0)</f>
        <v>0</v>
      </c>
      <c r="AJ33" s="1907">
        <f ca="1">IF(AND(AJ6&gt;$E$33-$E$17,AJ6&lt;=$E$34-$E$17+1),10,0)</f>
        <v>0</v>
      </c>
      <c r="AK33" s="1908">
        <f ca="1">IF(AND(AK6&gt;$E$33-$E$17,AK6&lt;=$E$34-$E$17+1),10,0)</f>
        <v>0</v>
      </c>
      <c r="AL33" s="1908">
        <f ca="1">IF(AND(AL6&gt;$E$33-$E$17,AL6&lt;=$E$34-$E$17+1),10,0)</f>
        <v>0</v>
      </c>
      <c r="AM33" s="1908">
        <f ca="1">IF(AND(AM6&gt;$E$33-$E$17,AM6&lt;=$E$34-$E$17+1),10,0)</f>
        <v>0</v>
      </c>
      <c r="AN33" s="1908">
        <f ca="1">IF(AND(AN6&gt;$E$33-$E$17,AN6&lt;=$E$34-$E$17+1),10,0)</f>
        <v>0</v>
      </c>
      <c r="AO33" s="1908">
        <f ca="1">IF(AND(AO6&gt;$E$33-$E$17,AO6&lt;=$E$34-$E$17),10,0)</f>
        <v>0</v>
      </c>
      <c r="AP33" s="1908">
        <f ca="1">IF(AND(AP6&gt;$E$33-$E$17,AP6&lt;=$E$34-$E$17),10,0)</f>
        <v>0</v>
      </c>
      <c r="AQ33" s="1907">
        <f ca="1">IF(AND(AQ6&gt;$E$33-$E$17,AQ6&lt;=$E$34-$E$17+1),10,0)</f>
        <v>0</v>
      </c>
      <c r="AR33" s="1908">
        <f ca="1">IF(AND(AR6&gt;$E$33-$E$17,AR6&lt;=$E$34-$E$17+1),10,0)</f>
        <v>0</v>
      </c>
      <c r="AS33" s="1908">
        <f ca="1">IF(AND(AS6&gt;$E$33-$E$17,AS6&lt;=$E$34-$E$17+1),10,0)</f>
        <v>0</v>
      </c>
      <c r="AT33" s="1908">
        <f ca="1">IF(AND(AT6&gt;$E$33-$E$17,AT6&lt;=$E$34-$E$17+1),10,0)</f>
        <v>0</v>
      </c>
      <c r="AU33" s="1908">
        <f ca="1">IF(AND(AU6&gt;$E$33-$E$17,AU6&lt;=$E$34-$E$17+1),10,0)</f>
        <v>0</v>
      </c>
      <c r="AV33" s="1908">
        <f ca="1">IF(AND(AV6&gt;$E$33-$E$17,AV6&lt;=$E$34-$E$17),10,0)</f>
        <v>0</v>
      </c>
      <c r="AW33" s="1908">
        <f ca="1">IF(AND(AW6&gt;$E$33-$E$17,AW6&lt;=$E$34-$E$17),10,0)</f>
        <v>0</v>
      </c>
      <c r="AX33" s="1907">
        <f ca="1">IF(AND(AX6&gt;$E$33-$E$17,AX6&lt;=$E$34-$E$17+1),10,0)</f>
        <v>0</v>
      </c>
      <c r="AY33" s="1908">
        <f ca="1">IF(AND(AY6&gt;$E$33-$E$17,AY6&lt;=$E$34-$E$17+1),10,0)</f>
        <v>0</v>
      </c>
      <c r="AZ33" s="1908">
        <f ca="1">IF(AND(AZ6&gt;$E$33-$E$17,AZ6&lt;=$E$34-$E$17+1),10,0)</f>
        <v>0</v>
      </c>
      <c r="BA33" s="1908">
        <f ca="1">IF(AND(BA6&gt;$E$33-$E$17,BA6&lt;=$E$34-$E$17+1),10,0)</f>
        <v>0</v>
      </c>
      <c r="BB33" s="1908">
        <f ca="1">IF(AND(BB6&gt;$E$33-$E$17,BB6&lt;=$E$34-$E$17+1),10,0)</f>
        <v>0</v>
      </c>
      <c r="BC33" s="1908">
        <f ca="1">IF(AND(BC6&gt;$E$33-$E$17,BC6&lt;=$E$34-$E$17),10,0)</f>
        <v>0</v>
      </c>
      <c r="BD33" s="1908">
        <f ca="1">IF(AND(BD6&gt;$E$33-$E$17,BD6&lt;=$E$34-$E$17),10,0)</f>
        <v>0</v>
      </c>
      <c r="BE33" s="1907">
        <f ca="1">IF(AND(BE6&gt;$E$33-$E$17,BE6&lt;=$E$34-$E$17+1),10,0)</f>
        <v>0</v>
      </c>
      <c r="BF33" s="1908">
        <f ca="1">IF(AND(BF6&gt;$E$33-$E$17,BF6&lt;=$E$34-$E$17+1),10,0)</f>
        <v>0</v>
      </c>
      <c r="BG33" s="1908">
        <f ca="1">IF(AND(BG6&gt;$E$33-$E$17,BG6&lt;=$E$34-$E$17+1),10,0)</f>
        <v>0</v>
      </c>
      <c r="BH33" s="1908">
        <f ca="1">IF(AND(BH6&gt;$E$33-$E$17,BH6&lt;=$E$34-$E$17+1),10,0)</f>
        <v>0</v>
      </c>
      <c r="BI33" s="1908">
        <f ca="1">IF(AND(BI6&gt;$E$33-$E$17,BI6&lt;=$E$34-$E$17+1),10,0)</f>
        <v>0</v>
      </c>
      <c r="BJ33" s="1908">
        <f ca="1">IF(AND(BJ6&gt;$E$33-$E$17,BJ6&lt;=$E$34-$E$17),10,0)</f>
        <v>0</v>
      </c>
      <c r="BK33" s="1908">
        <f ca="1">IF(AND(BK6&gt;$E$33-$E$17,BK6&lt;=$E$34-$E$17),10,0)</f>
        <v>0</v>
      </c>
      <c r="BL33" s="1907">
        <f ca="1">IF(AND(BL6&gt;$E$33-$E$17,BL6&lt;=$E$34-$E$17+1),10,0)</f>
        <v>0</v>
      </c>
      <c r="BM33" s="1908">
        <f ca="1">IF(AND(BM6&gt;$E$33-$E$17,BM6&lt;=$E$34-$E$17+1),10,0)</f>
        <v>0</v>
      </c>
      <c r="BN33" s="1908">
        <f ca="1">IF(AND(BN6&gt;$E$33-$E$17,BN6&lt;=$E$34-$E$17+1),10,0)</f>
        <v>0</v>
      </c>
      <c r="BO33" s="1908">
        <f ca="1">IF(AND(BO6&gt;$E$33-$E$17,BO6&lt;=$E$34-$E$17+1),10,0)</f>
        <v>0</v>
      </c>
      <c r="BP33" s="1908">
        <f ca="1">IF(AND(BP6&gt;$E$33-$E$17,BP6&lt;=$E$34-$E$17+1),10,0)</f>
        <v>0</v>
      </c>
      <c r="BQ33" s="1908">
        <f ca="1">IF(AND(BQ6&gt;$E$33-$E$17,BQ6&lt;=$E$34-$E$17),10,0)</f>
        <v>0</v>
      </c>
      <c r="BR33" s="1908">
        <f ca="1">IF(AND(BR6&gt;$E$33-$E$17,BR6&lt;=$E$34-$E$17),10,0)</f>
        <v>0</v>
      </c>
      <c r="BS33" s="1907">
        <f ca="1">IF(AND(BS6&gt;$E$33-$E$17,BS6&lt;=$E$34-$E$17+1),10,0)</f>
        <v>0</v>
      </c>
      <c r="BT33" s="1908">
        <f ca="1">IF(AND(BT6&gt;$E$33-$E$17,BT6&lt;=$E$34-$E$17+1),10,0)</f>
        <v>0</v>
      </c>
      <c r="BU33" s="1908">
        <f ca="1">IF(AND(BU6&gt;$E$33-$E$17,BU6&lt;=$E$34-$E$17+1),10,0)</f>
        <v>0</v>
      </c>
      <c r="BV33" s="1908">
        <f ca="1">IF(AND(BV6&gt;$E$33-$E$17,BV6&lt;=$E$34-$E$17+1),10,0)</f>
        <v>0</v>
      </c>
      <c r="BW33" s="1908">
        <f ca="1">IF(AND(BW6&gt;$E$33-$E$17,BW6&lt;=$E$34-$E$17+1),10,0)</f>
        <v>0</v>
      </c>
      <c r="BX33" s="1908">
        <f ca="1">IF(AND(BX6&gt;$E$33-$E$17,BX6&lt;=$E$34-$E$17),10,0)</f>
        <v>0</v>
      </c>
      <c r="BY33" s="1908">
        <f ca="1">IF(AND(BY6&gt;$E$33-$E$17,BY6&lt;=$E$34-$E$17),10,0)</f>
        <v>0</v>
      </c>
      <c r="BZ33" s="1907">
        <f ca="1">IF(AND(BZ6&gt;$E$33-$E$17,BZ6&lt;=$E$34-$E$17+1),10,0)</f>
        <v>0</v>
      </c>
      <c r="CA33" s="1908">
        <f ca="1">IF(AND(CA6&gt;$E$33-$E$17,CA6&lt;=$E$34-$E$17+1),10,0)</f>
        <v>0</v>
      </c>
      <c r="CB33" s="1908">
        <f ca="1">IF(AND(CB6&gt;$E$33-$E$17,CB6&lt;=$E$34-$E$17+1),10,0)</f>
        <v>0</v>
      </c>
      <c r="CC33" s="1908">
        <f ca="1">IF(AND(CC6&gt;$E$33-$E$17,CC6&lt;=$E$34-$E$17+1),10,0)</f>
        <v>0</v>
      </c>
      <c r="CD33" s="1908">
        <f ca="1">IF(AND(CD6&gt;$E$33-$E$17,CD6&lt;=$E$34-$E$17+1),10,0)</f>
        <v>0</v>
      </c>
      <c r="CE33" s="1908">
        <f ca="1">IF(AND(CE6&gt;$E$33-$E$17,CE6&lt;=$E$34-$E$17),10,0)</f>
        <v>0</v>
      </c>
      <c r="CF33" s="1908">
        <f ca="1">IF(AND(CF6&gt;$E$33-$E$17,CF6&lt;=$E$34-$E$17),10,0)</f>
        <v>0</v>
      </c>
      <c r="CG33" s="1907">
        <f ca="1">IF(AND(CG6&gt;$E$33-$E$17,CG6&lt;=$E$34-$E$17+1),10,0)</f>
        <v>0</v>
      </c>
      <c r="CH33" s="1908">
        <f ca="1">IF(AND(CH6&gt;$E$33-$E$17,CH6&lt;=$E$34-$E$17+1),10,0)</f>
        <v>0</v>
      </c>
      <c r="CI33" s="1908">
        <f ca="1">IF(AND(CI6&gt;$E$33-$E$17,CI6&lt;=$E$34-$E$17+1),10,0)</f>
        <v>0</v>
      </c>
      <c r="CJ33" s="1908">
        <f ca="1">IF(AND(CJ6&gt;$E$33-$E$17,CJ6&lt;=$E$34-$E$17+1),10,0)</f>
        <v>0</v>
      </c>
      <c r="CK33" s="1908">
        <f ca="1">IF(AND(CK6&gt;$E$33-$E$17,CK6&lt;=$E$34-$E$17+1),10,0)</f>
        <v>0</v>
      </c>
      <c r="CL33" s="1908">
        <f ca="1">IF(AND(CL6&gt;$E$33-$E$17,CL6&lt;=$E$34-$E$17),10,0)</f>
        <v>0</v>
      </c>
      <c r="CM33" s="1908">
        <f ca="1">IF(AND(CM6&gt;$E$33-$E$17,CM6&lt;=$E$34-$E$17),10,0)</f>
        <v>0</v>
      </c>
      <c r="CN33" s="1907">
        <f ca="1">IF(AND(CN6&gt;$E$33-$E$17,CN6&lt;=$E$34-$E$17+1),10,0)</f>
        <v>0</v>
      </c>
      <c r="CO33" s="1908">
        <f ca="1">IF(AND(CO6&gt;$E$33-$E$17,CO6&lt;=$E$34-$E$17+1),10,0)</f>
        <v>0</v>
      </c>
      <c r="CP33" s="1908">
        <f ca="1">IF(AND(CP6&gt;$E$33-$E$17,CP6&lt;=$E$34-$E$17+1),10,0)</f>
        <v>0</v>
      </c>
      <c r="CQ33" s="1908">
        <f ca="1">IF(AND(CQ6&gt;$E$33-$E$17,CQ6&lt;=$E$34-$E$17+1),10,0)</f>
        <v>0</v>
      </c>
      <c r="CR33" s="1908">
        <f ca="1">IF(AND(CR6&gt;$E$33-$E$17,CR6&lt;=$E$34-$E$17+1),10,0)</f>
        <v>0</v>
      </c>
      <c r="CS33" s="1908">
        <f ca="1">IF(AND(CS6&gt;$E$33-$E$17,CS6&lt;=$E$34-$E$17),10,0)</f>
        <v>0</v>
      </c>
      <c r="CT33" s="1908">
        <f ca="1">IF(AND(CT6&gt;$E$33-$E$17,CT6&lt;=$E$34-$E$17),10,0)</f>
        <v>0</v>
      </c>
      <c r="CU33" s="1907">
        <f ca="1">IF(AND(CU6&gt;$E$33-$E$17,CU6&lt;=$E$34-$E$17+1),10,0)</f>
        <v>0</v>
      </c>
      <c r="CV33" s="1908">
        <f ca="1">IF(AND(CV6&gt;$E$33-$E$17,CV6&lt;=$E$34-$E$17+1),10,0)</f>
        <v>0</v>
      </c>
      <c r="CW33" s="1908">
        <f ca="1">IF(AND(CW6&gt;$E$33-$E$17,CW6&lt;=$E$34-$E$17+1),10,0)</f>
        <v>0</v>
      </c>
      <c r="CX33" s="1908">
        <f ca="1">IF(AND(CX6&gt;$E$33-$E$17,CX6&lt;=$E$34-$E$17+1),10,0)</f>
        <v>0</v>
      </c>
      <c r="CY33" s="1908">
        <f ca="1">IF(AND(CY6&gt;$E$33-$E$17,CY6&lt;=$E$34-$E$17+1),10,0)</f>
        <v>0</v>
      </c>
      <c r="CZ33" s="1908">
        <f ca="1">IF(AND(CZ6&gt;$E$33-$E$17,CZ6&lt;=$E$34-$E$17),10,0)</f>
        <v>0</v>
      </c>
      <c r="DA33" s="1908">
        <f ca="1">IF(AND(DA6&gt;$E$33-$E$17,DA6&lt;=$E$34-$E$17),10,0)</f>
        <v>0</v>
      </c>
      <c r="DB33" s="1907">
        <f ca="1">IF(AND(DB6&gt;$E$33-$E$17,DB6&lt;=$E$34-$E$17+1),10,0)</f>
        <v>0</v>
      </c>
      <c r="DC33" s="1908">
        <f ca="1">IF(AND(DC6&gt;$E$33-$E$17,DC6&lt;=$E$34-$E$17+1),10,0)</f>
        <v>0</v>
      </c>
      <c r="DD33" s="1908">
        <f ca="1">IF(AND(DD6&gt;$E$33-$E$17,DD6&lt;=$E$34-$E$17+1),10,0)</f>
        <v>0</v>
      </c>
      <c r="DE33" s="1908">
        <f ca="1">IF(AND(DE6&gt;$E$33-$E$17,DE6&lt;=$E$34-$E$17+1),10,0)</f>
        <v>0</v>
      </c>
      <c r="DF33" s="1908">
        <f ca="1">IF(AND(DF6&gt;$E$33-$E$17,DF6&lt;=$E$34-$E$17+1),10,0)</f>
        <v>0</v>
      </c>
      <c r="DG33" s="1908">
        <f ca="1">IF(AND(DG6&gt;$E$33-$E$17,DG6&lt;=$E$34-$E$17),10,0)</f>
        <v>0</v>
      </c>
      <c r="DH33" s="1908">
        <f ca="1">IF(AND(DH6&gt;$E$33-$E$17,DH6&lt;=$E$34-$E$17),10,0)</f>
        <v>0</v>
      </c>
      <c r="DI33" s="1907">
        <f ca="1">IF(AND(DI6&gt;$E$33-$E$17,DI6&lt;=$E$34-$E$17+1),10,0)</f>
        <v>0</v>
      </c>
      <c r="DJ33" s="1908">
        <f ca="1">IF(AND(DJ6&gt;$E$33-$E$17,DJ6&lt;=$E$34-$E$17+1),10,0)</f>
        <v>0</v>
      </c>
      <c r="DK33" s="1908">
        <f ca="1">IF(AND(DK6&gt;$E$33-$E$17,DK6&lt;=$E$34-$E$17+1),10,0)</f>
        <v>0</v>
      </c>
      <c r="DL33" s="1908">
        <f ca="1">IF(AND(DL6&gt;$E$33-$E$17,DL6&lt;=$E$34-$E$17+1),10,0)</f>
        <v>0</v>
      </c>
      <c r="DM33" s="1908">
        <f ca="1">IF(AND(DM6&gt;$E$33-$E$17,DM6&lt;=$E$34-$E$17+1),10,0)</f>
        <v>0</v>
      </c>
      <c r="DN33" s="1908">
        <f ca="1">IF(AND(DN6&gt;$E$33-$E$17,DN6&lt;=$E$34-$E$17),10,0)</f>
        <v>0</v>
      </c>
      <c r="DO33" s="1908">
        <f ca="1">IF(AND(DO6&gt;$E$33-$E$17,DO6&lt;=$E$34-$E$17),10,0)</f>
        <v>0</v>
      </c>
      <c r="DP33" s="1907">
        <f ca="1">IF(AND(DP6&gt;$E$33-$E$17,DP6&lt;=$E$34-$E$17+1),10,0)</f>
        <v>0</v>
      </c>
      <c r="DQ33" s="1908">
        <f ca="1">IF(AND(DQ6&gt;$E$33-$E$17,DQ6&lt;=$E$34-$E$17+1),10,0)</f>
        <v>0</v>
      </c>
      <c r="DR33" s="1908">
        <f ca="1">IF(AND(DR6&gt;$E$33-$E$17,DR6&lt;=$E$34-$E$17+1),10,0)</f>
        <v>0</v>
      </c>
      <c r="DS33" s="1908">
        <f ca="1">IF(AND(DS6&gt;$E$33-$E$17,DS6&lt;=$E$34-$E$17+1),10,0)</f>
        <v>0</v>
      </c>
      <c r="DT33" s="1908">
        <f ca="1">IF(AND(DT6&gt;$E$33-$E$17,DT6&lt;=$E$34-$E$17+1),10,0)</f>
        <v>0</v>
      </c>
      <c r="DU33" s="1908">
        <f ca="1">IF(AND(DU6&gt;$E$33-$E$17,DU6&lt;=$E$34-$E$17),10,0)</f>
        <v>0</v>
      </c>
      <c r="DV33" s="1908">
        <f ca="1">IF(AND(DV6&gt;$E$33-$E$17,DV6&lt;=$E$34-$E$17),10,0)</f>
        <v>0</v>
      </c>
      <c r="DW33" s="1907">
        <f ca="1">IF(AND(DW6&gt;$E$33-$E$17,DW6&lt;=$E$34-$E$17+1),10,0)</f>
        <v>0</v>
      </c>
      <c r="DX33" s="1908">
        <f ca="1">IF(AND(DX6&gt;$E$33-$E$17,DX6&lt;=$E$34-$E$17+1),10,0)</f>
        <v>0</v>
      </c>
      <c r="DY33" s="1908">
        <f ca="1">IF(AND(DY6&gt;$E$33-$E$17,DY6&lt;=$E$34-$E$17+1),10,0)</f>
        <v>0</v>
      </c>
      <c r="DZ33" s="1908">
        <f ca="1">IF(AND(DZ6&gt;$E$33-$E$17,DZ6&lt;=$E$34-$E$17+1),10,0)</f>
        <v>0</v>
      </c>
      <c r="EA33" s="1908">
        <f ca="1">IF(AND(EA6&gt;$E$33-$E$17,EA6&lt;=$E$34-$E$17+1),10,0)</f>
        <v>0</v>
      </c>
      <c r="EB33" s="1908">
        <f ca="1">IF(AND(EB6&gt;$E$33-$E$17,EB6&lt;=$E$34-$E$17),10,0)</f>
        <v>0</v>
      </c>
      <c r="EC33" s="1908">
        <f ca="1">IF(AND(EC6&gt;$E$33-$E$17,EC6&lt;=$E$34-$E$17),10,0)</f>
        <v>0</v>
      </c>
      <c r="ED33" s="1907">
        <f ca="1">IF(AND(ED6&gt;$E$33-$E$17,ED6&lt;=$E$34-$E$17+1),10,0)</f>
        <v>0</v>
      </c>
      <c r="EE33" s="1908">
        <f ca="1">IF(AND(EE6&gt;$E$33-$E$17,EE6&lt;=$E$34-$E$17+1),10,0)</f>
        <v>0</v>
      </c>
      <c r="EF33" s="1908">
        <f ca="1">IF(AND(EF6&gt;$E$33-$E$17,EF6&lt;=$E$34-$E$17+1),10,0)</f>
        <v>0</v>
      </c>
      <c r="EG33" s="1908">
        <f ca="1">IF(AND(EG6&gt;$E$33-$E$17,EG6&lt;=$E$34-$E$17+1),10,0)</f>
        <v>0</v>
      </c>
      <c r="EH33" s="1908">
        <f ca="1">IF(AND(EH6&gt;$E$33-$E$17,EH6&lt;=$E$34-$E$17+1),10,0)</f>
        <v>0</v>
      </c>
      <c r="EI33" s="1908">
        <f ca="1">IF(AND(EI6&gt;$E$33-$E$17,EI6&lt;=$E$34-$E$17),10,0)</f>
        <v>0</v>
      </c>
      <c r="EJ33" s="1908">
        <f ca="1">IF(AND(EJ6&gt;$E$33-$E$17,EJ6&lt;=$E$34-$E$17),10,0)</f>
        <v>0</v>
      </c>
      <c r="EK33" s="1907">
        <f ca="1">IF(AND(EK6&gt;$E$33-$E$17,EK6&lt;=$E$34-$E$17+1),10,0)</f>
        <v>0</v>
      </c>
      <c r="EL33" s="1908">
        <f ca="1">IF(AND(EL6&gt;$E$33-$E$17,EL6&lt;=$E$34-$E$17+1),10,0)</f>
        <v>0</v>
      </c>
      <c r="EM33" s="1908">
        <f ca="1">IF(AND(EM6&gt;$E$33-$E$17,EM6&lt;=$E$34-$E$17+1),10,0)</f>
        <v>0</v>
      </c>
      <c r="EN33" s="1908">
        <f ca="1">IF(AND(EN6&gt;$E$33-$E$17,EN6&lt;=$E$34-$E$17+1),10,0)</f>
        <v>0</v>
      </c>
      <c r="EO33" s="1908">
        <f ca="1">IF(AND(EO6&gt;$E$33-$E$17,EO6&lt;=$E$34-$E$17+1),10,0)</f>
        <v>0</v>
      </c>
      <c r="EP33" s="1908">
        <f ca="1">IF(AND(EP6&gt;$E$33-$E$17,EP6&lt;=$E$34-$E$17),10,0)</f>
        <v>0</v>
      </c>
      <c r="EQ33" s="1908">
        <f ca="1">IF(AND(EQ6&gt;$E$33-$E$17,EQ6&lt;=$E$34-$E$17),10,0)</f>
        <v>0</v>
      </c>
      <c r="ER33" s="1907">
        <f ca="1">IF(AND(ER6&gt;$E$33-$E$17,ER6&lt;=$E$34-$E$17+1),10,0)</f>
        <v>0</v>
      </c>
      <c r="ES33" s="1908">
        <f ca="1">IF(AND(ES6&gt;$E$33-$E$17,ES6&lt;=$E$34-$E$17+1),10,0)</f>
        <v>0</v>
      </c>
      <c r="ET33" s="1908">
        <f ca="1">IF(AND(ET6&gt;$E$33-$E$17,ET6&lt;=$E$34-$E$17+1),10,0)</f>
        <v>0</v>
      </c>
      <c r="EU33" s="1908">
        <f ca="1">IF(AND(EU6&gt;$E$33-$E$17,EU6&lt;=$E$34-$E$17+1),10,0)</f>
        <v>0</v>
      </c>
      <c r="EV33" s="1908">
        <f ca="1">IF(AND(EV6&gt;$E$33-$E$17,EV6&lt;=$E$34-$E$17+1),10,0)</f>
        <v>0</v>
      </c>
      <c r="EW33" s="1908">
        <f ca="1">IF(AND(EW6&gt;$E$33-$E$17,EW6&lt;=$E$34-$E$17),10,0)</f>
        <v>0</v>
      </c>
      <c r="EX33" s="1908">
        <f ca="1">IF(AND(EX6&gt;$E$33-$E$17,EX6&lt;=$E$34-$E$17),10,0)</f>
        <v>0</v>
      </c>
      <c r="EY33" s="1907">
        <f ca="1">IF(AND(EY6&gt;$E$33-$E$17,EY6&lt;=$E$34-$E$17+1),10,0)</f>
        <v>0</v>
      </c>
      <c r="EZ33" s="1908">
        <f ca="1">IF(AND(EZ6&gt;$E$33-$E$17,EZ6&lt;=$E$34-$E$17+1),10,0)</f>
        <v>0</v>
      </c>
      <c r="FA33" s="1908">
        <f ca="1">IF(AND(FA6&gt;$E$33-$E$17,FA6&lt;=$E$34-$E$17+1),10,0)</f>
        <v>0</v>
      </c>
      <c r="FB33" s="1908">
        <f ca="1">IF(AND(FB6&gt;$E$33-$E$17,FB6&lt;=$E$34-$E$17+1),10,0)</f>
        <v>0</v>
      </c>
      <c r="FC33" s="1908">
        <f ca="1">IF(AND(FC6&gt;$E$33-$E$17,FC6&lt;=$E$34-$E$17+1),10,0)</f>
        <v>0</v>
      </c>
      <c r="FD33" s="1908">
        <f ca="1">IF(AND(FD6&gt;$E$33-$E$17,FD6&lt;=$E$34-$E$17),10,0)</f>
        <v>0</v>
      </c>
      <c r="FE33" s="1908">
        <f ca="1">IF(AND(FE6&gt;$E$33-$E$17,FE6&lt;=$E$34-$E$17),10,0)</f>
        <v>0</v>
      </c>
      <c r="FF33" s="1907">
        <f ca="1">IF(AND(FF6&gt;$E$33-$E$17,FF6&lt;=$E$34-$E$17+1),10,0)</f>
        <v>0</v>
      </c>
      <c r="FG33" s="1908">
        <f ca="1">IF(AND(FG6&gt;$E$33-$E$17,FG6&lt;=$E$34-$E$17+1),10,0)</f>
        <v>0</v>
      </c>
      <c r="FH33" s="1908">
        <f ca="1">IF(AND(FH6&gt;$E$33-$E$17,FH6&lt;=$E$34-$E$17+1),10,0)</f>
        <v>0</v>
      </c>
      <c r="FI33" s="1908">
        <f ca="1">IF(AND(FI6&gt;$E$33-$E$17,FI6&lt;=$E$34-$E$17+1),10,0)</f>
        <v>0</v>
      </c>
      <c r="FJ33" s="1908">
        <f ca="1">IF(AND(FJ6&gt;$E$33-$E$17,FJ6&lt;=$E$34-$E$17+1),10,0)</f>
        <v>0</v>
      </c>
      <c r="FK33" s="1908">
        <f ca="1">IF(AND(FK6&gt;$E$33-$E$17,FK6&lt;=$E$34-$E$17),10,0)</f>
        <v>0</v>
      </c>
      <c r="FL33" s="1908">
        <f ca="1">IF(AND(FL6&gt;$E$33-$E$17,FL6&lt;=$E$34-$E$17),10,0)</f>
        <v>0</v>
      </c>
      <c r="FM33" s="1907">
        <f ca="1">IF(AND(FM6&gt;$E$33-$E$17,FM6&lt;=$E$34-$E$17+1),10,0)</f>
        <v>0</v>
      </c>
      <c r="FN33" s="1908">
        <f ca="1">IF(AND(FN6&gt;$E$33-$E$17,FN6&lt;=$E$34-$E$17+1),10,0)</f>
        <v>0</v>
      </c>
      <c r="FO33" s="1908">
        <f ca="1">IF(AND(FO6&gt;$E$33-$E$17,FO6&lt;=$E$34-$E$17+1),10,0)</f>
        <v>0</v>
      </c>
      <c r="FP33" s="1908">
        <f ca="1">IF(AND(FP6&gt;$E$33-$E$17,FP6&lt;=$E$34-$E$17+1),10,0)</f>
        <v>0</v>
      </c>
      <c r="FQ33" s="1908">
        <f ca="1">IF(AND(FQ6&gt;$E$33-$E$17,FQ6&lt;=$E$34-$E$17+1),10,0)</f>
        <v>0</v>
      </c>
      <c r="FR33" s="1908">
        <f ca="1">IF(AND(FR6&gt;$E$33-$E$17,FR6&lt;=$E$34-$E$17),10,0)</f>
        <v>0</v>
      </c>
      <c r="FS33" s="1908">
        <f ca="1">IF(AND(FS6&gt;$E$33-$E$17,FS6&lt;=$E$34-$E$17),10,0)</f>
        <v>0</v>
      </c>
      <c r="FT33" s="1907">
        <f ca="1">IF(AND(FT6&gt;$E$33-$E$17,FT6&lt;=$E$34-$E$17+1),10,0)</f>
        <v>0</v>
      </c>
      <c r="FU33" s="1908">
        <f ca="1">IF(AND(FU6&gt;$E$33-$E$17,FU6&lt;=$E$34-$E$17+1),10,0)</f>
        <v>0</v>
      </c>
      <c r="FV33" s="1908">
        <f ca="1">IF(AND(FV6&gt;$E$33-$E$17,FV6&lt;=$E$34-$E$17+1),10,0)</f>
        <v>0</v>
      </c>
      <c r="FW33" s="1908">
        <f ca="1">IF(AND(FW6&gt;$E$33-$E$17,FW6&lt;=$E$34-$E$17+1),10,0)</f>
        <v>0</v>
      </c>
      <c r="FX33" s="1908">
        <f ca="1">IF(AND(FX6&gt;$E$33-$E$17,FX6&lt;=$E$34-$E$17+1),10,0)</f>
        <v>0</v>
      </c>
      <c r="FY33" s="1908">
        <f ca="1">IF(AND(FY6&gt;$E$33-$E$17,FY6&lt;=$E$34-$E$17),10,0)</f>
        <v>0</v>
      </c>
      <c r="FZ33" s="1908">
        <f ca="1">IF(AND(FZ6&gt;$E$33-$E$17,FZ6&lt;=$E$34-$E$17),10,0)</f>
        <v>0</v>
      </c>
      <c r="GA33" s="1907">
        <f ca="1">IF(AND(GA6&gt;$E$33-$E$17,GA6&lt;=$E$34-$E$17+1),10,0)</f>
        <v>0</v>
      </c>
      <c r="GB33" s="1908">
        <f ca="1">IF(AND(GB6&gt;$E$33-$E$17,GB6&lt;=$E$34-$E$17+1),10,0)</f>
        <v>0</v>
      </c>
      <c r="GC33" s="1908">
        <f ca="1">IF(AND(GC6&gt;$E$33-$E$17,GC6&lt;=$E$34-$E$17+1),10,0)</f>
        <v>0</v>
      </c>
      <c r="GD33" s="1908">
        <f ca="1">IF(AND(GD6&gt;$E$33-$E$17,GD6&lt;=$E$34-$E$17+1),10,0)</f>
        <v>0</v>
      </c>
      <c r="GE33" s="1908">
        <f ca="1">IF(AND(GE6&gt;$E$33-$E$17,GE6&lt;=$E$34-$E$17+1),10,0)</f>
        <v>0</v>
      </c>
      <c r="GF33" s="1908">
        <f ca="1">IF(AND(GF6&gt;$E$33-$E$17,GF6&lt;=$E$34-$E$17),10,0)</f>
        <v>0</v>
      </c>
      <c r="GG33" s="1908">
        <f ca="1">IF(AND(GG6&gt;$E$33-$E$17,GG6&lt;=$E$34-$E$17),10,0)</f>
        <v>0</v>
      </c>
      <c r="GH33" s="1907">
        <f ca="1">IF(AND(GH6&gt;$E$33-$E$17,GH6&lt;=$E$34-$E$17+1),10,0)</f>
        <v>0</v>
      </c>
      <c r="GI33" s="1908">
        <f ca="1">IF(AND(GI6&gt;$E$33-$E$17,GI6&lt;=$E$34-$E$17+1),10,0)</f>
        <v>0</v>
      </c>
      <c r="GJ33" s="1908">
        <f ca="1">IF(AND(GJ6&gt;$E$33-$E$17,GJ6&lt;=$E$34-$E$17+1),10,0)</f>
        <v>0</v>
      </c>
      <c r="GK33" s="1908">
        <f ca="1">IF(AND(GK6&gt;$E$33-$E$17,GK6&lt;=$E$34-$E$17+1),10,0)</f>
        <v>0</v>
      </c>
      <c r="GL33" s="1908">
        <f ca="1">IF(AND(GL6&gt;$E$33-$E$17,GL6&lt;=$E$34-$E$17+1),10,0)</f>
        <v>0</v>
      </c>
      <c r="GM33" s="1908">
        <f ca="1">IF(AND(GM6&gt;$E$33-$E$17,GM6&lt;=$E$34-$E$17),10,0)</f>
        <v>0</v>
      </c>
      <c r="GN33" s="1908">
        <f ca="1">IF(AND(GN6&gt;$E$33-$E$17,GN6&lt;=$E$34-$E$17),10,0)</f>
        <v>0</v>
      </c>
      <c r="GO33" s="1907">
        <f ca="1">IF(AND(GO6&gt;$E$33-$E$17,GO6&lt;=$E$34-$E$17+1),10,0)</f>
        <v>0</v>
      </c>
      <c r="GP33" s="1908">
        <f ca="1">IF(AND(GP6&gt;$E$33-$E$17,GP6&lt;=$E$34-$E$17+1),10,0)</f>
        <v>0</v>
      </c>
      <c r="GQ33" s="1908">
        <f ca="1">IF(AND(GQ6&gt;$E$33-$E$17,GQ6&lt;=$E$34-$E$17+1),10,0)</f>
        <v>0</v>
      </c>
      <c r="GR33" s="1908">
        <f ca="1">IF(AND(GR6&gt;$E$33-$E$17,GR6&lt;=$E$34-$E$17+1),10,0)</f>
        <v>0</v>
      </c>
      <c r="GS33" s="1908">
        <f ca="1">IF(AND(GS6&gt;$E$33-$E$17,GS6&lt;=$E$34-$E$17+1),10,0)</f>
        <v>0</v>
      </c>
      <c r="GT33" s="1908">
        <f ca="1">IF(AND(GT6&gt;$E$33-$E$17,GT6&lt;=$E$34-$E$17),10,0)</f>
        <v>0</v>
      </c>
      <c r="GU33" s="1908">
        <f ca="1">IF(AND(GU6&gt;$E$33-$E$17,GU6&lt;=$E$34-$E$17),10,0)</f>
        <v>0</v>
      </c>
      <c r="GV33" s="1907">
        <f ca="1">IF(AND(GV6&gt;$E$33-$E$17,GV6&lt;=$E$34-$E$17+1),10,0)</f>
        <v>0</v>
      </c>
      <c r="GW33" s="1908">
        <f ca="1">IF(AND(GW6&gt;$E$33-$E$17,GW6&lt;=$E$34-$E$17+1),10,0)</f>
        <v>0</v>
      </c>
      <c r="GX33" s="1908">
        <f ca="1">IF(AND(GX6&gt;$E$33-$E$17,GX6&lt;=$E$34-$E$17+1),10,0)</f>
        <v>0</v>
      </c>
      <c r="GY33" s="1908">
        <f ca="1">IF(AND(GY6&gt;$E$33-$E$17,GY6&lt;=$E$34-$E$17+1),10,0)</f>
        <v>0</v>
      </c>
      <c r="GZ33" s="1908">
        <f ca="1">IF(AND(GZ6&gt;$E$33-$E$17,GZ6&lt;=$E$34-$E$17+1),10,0)</f>
        <v>0</v>
      </c>
      <c r="HA33" s="1908">
        <f ca="1">IF(AND(HA6&gt;$E$33-$E$17,HA6&lt;=$E$34-$E$17),10,0)</f>
        <v>0</v>
      </c>
      <c r="HB33" s="1908">
        <f ca="1">IF(AND(HB6&gt;$E$33-$E$17,HB6&lt;=$E$34-$E$17),10,0)</f>
        <v>0</v>
      </c>
      <c r="HC33" s="1907">
        <f ca="1">IF(AND(HC6&gt;$E$33-$E$17,HC6&lt;=$E$34-$E$17+1),10,0)</f>
        <v>0</v>
      </c>
      <c r="HD33" s="1908">
        <f ca="1">IF(AND(HD6&gt;$E$33-$E$17,HD6&lt;=$E$34-$E$17+1),10,0)</f>
        <v>0</v>
      </c>
      <c r="HE33" s="1908">
        <f ca="1">IF(AND(HE6&gt;$E$33-$E$17,HE6&lt;=$E$34-$E$17+1),10,0)</f>
        <v>0</v>
      </c>
      <c r="HF33" s="1908">
        <f ca="1">IF(AND(HF6&gt;$E$33-$E$17,HF6&lt;=$E$34-$E$17+1),10,0)</f>
        <v>0</v>
      </c>
      <c r="HG33" s="1908">
        <f ca="1">IF(AND(HG6&gt;$E$33-$E$17,HG6&lt;=$E$34-$E$17+1),10,0)</f>
        <v>0</v>
      </c>
      <c r="HH33" s="1908">
        <f ca="1">IF(AND(HH6&gt;$E$33-$E$17,HH6&lt;=$E$34-$E$17),10,0)</f>
        <v>0</v>
      </c>
      <c r="HI33" s="1908">
        <f ca="1">IF(AND(HI6&gt;$E$33-$E$17,HI6&lt;=$E$34-$E$17),10,0)</f>
        <v>0</v>
      </c>
      <c r="HJ33" s="1907">
        <f ca="1">IF(AND(HJ6&gt;$E$33-$E$17,HJ6&lt;=$E$34-$E$17+1),10,0)</f>
        <v>0</v>
      </c>
      <c r="HK33" s="1908">
        <f ca="1">IF(AND(HK6&gt;$E$33-$E$17,HK6&lt;=$E$34-$E$17+1),10,0)</f>
        <v>0</v>
      </c>
      <c r="HL33" s="1908">
        <f ca="1">IF(AND(HL6&gt;$E$33-$E$17,HL6&lt;=$E$34-$E$17+1),10,0)</f>
        <v>0</v>
      </c>
      <c r="HM33" s="1908">
        <f ca="1">IF(AND(HM6&gt;$E$33-$E$17,HM6&lt;=$E$34-$E$17+1),10,0)</f>
        <v>0</v>
      </c>
      <c r="HN33" s="1908">
        <f ca="1">IF(AND(HN6&gt;$E$33-$E$17,HN6&lt;=$E$34-$E$17+1),10,0)</f>
        <v>0</v>
      </c>
      <c r="HO33" s="1908">
        <f ca="1">IF(AND(HO6&gt;$E$33-$E$17,HO6&lt;=$E$34-$E$17),10,0)</f>
        <v>0</v>
      </c>
      <c r="HP33" s="1908">
        <f ca="1">IF(AND(HP6&gt;$E$33-$E$17,HP6&lt;=$E$34-$E$17),10,0)</f>
        <v>0</v>
      </c>
      <c r="HQ33" s="1907">
        <f ca="1">IF(AND(HQ6&gt;$E$33-$E$17,HQ6&lt;=$E$34-$E$17+1),10,0)</f>
        <v>0</v>
      </c>
      <c r="HR33" s="1908">
        <f ca="1">IF(AND(HR6&gt;$E$33-$E$17,HR6&lt;=$E$34-$E$17+1),10,0)</f>
        <v>0</v>
      </c>
      <c r="HS33" s="1908">
        <f ca="1">IF(AND(HS6&gt;$E$33-$E$17,HS6&lt;=$E$34-$E$17+1),10,0)</f>
        <v>0</v>
      </c>
      <c r="HT33" s="1908">
        <f ca="1">IF(AND(HT6&gt;$E$33-$E$17,HT6&lt;=$E$34-$E$17+1),10,0)</f>
        <v>0</v>
      </c>
      <c r="HU33" s="1908">
        <f ca="1">IF(AND(HU6&gt;$E$33-$E$17,HU6&lt;=$E$34-$E$17+1),10,0)</f>
        <v>0</v>
      </c>
      <c r="HV33" s="1908">
        <f ca="1">IF(AND(HV6&gt;$E$33-$E$17,HV6&lt;=$E$34-$E$17),10,0)</f>
        <v>0</v>
      </c>
      <c r="HW33" s="1908">
        <f ca="1">IF(AND(HW6&gt;$E$33-$E$17,HW6&lt;=$E$34-$E$17),10,0)</f>
        <v>0</v>
      </c>
      <c r="HX33" s="1907">
        <f ca="1">IF(AND(HX6&gt;$E$33-$E$17,HX6&lt;=$E$34-$E$17+1),10,0)</f>
        <v>0</v>
      </c>
      <c r="HY33" s="1908">
        <f ca="1">IF(AND(HY6&gt;$E$33-$E$17,HY6&lt;=$E$34-$E$17+1),10,0)</f>
        <v>0</v>
      </c>
      <c r="HZ33" s="1908">
        <f ca="1">IF(AND(HZ6&gt;$E$33-$E$17,HZ6&lt;=$E$34-$E$17+1),10,0)</f>
        <v>0</v>
      </c>
      <c r="IA33" s="1908">
        <f ca="1">IF(AND(IA6&gt;$E$33-$E$17,IA6&lt;=$E$34-$E$17+1),10,0)</f>
        <v>0</v>
      </c>
      <c r="IB33" s="1908">
        <f ca="1">IF(AND(IB6&gt;$E$33-$E$17,IB6&lt;=$E$34-$E$17+1),10,0)</f>
        <v>0</v>
      </c>
      <c r="IC33" s="1908">
        <f ca="1">IF(AND(IC6&gt;$E$33-$E$17,IC6&lt;=$E$34-$E$17),10,0)</f>
        <v>0</v>
      </c>
      <c r="ID33" s="1908">
        <f ca="1">IF(AND(ID6&gt;$E$33-$E$17,ID6&lt;=$E$34-$E$17),10,0)</f>
        <v>0</v>
      </c>
      <c r="IE33" s="1907">
        <f ca="1">IF(AND(IE6&gt;$E$33-$E$17,IE6&lt;=$E$34-$E$17+1),10,0)</f>
        <v>0</v>
      </c>
      <c r="IF33" s="1908">
        <f ca="1">IF(AND(IF6&gt;$E$33-$E$17,IF6&lt;=$E$34-$E$17+1),10,0)</f>
        <v>0</v>
      </c>
      <c r="IG33" s="1908">
        <f ca="1">IF(AND(IG6&gt;$E$33-$E$17,IG6&lt;=$E$34-$E$17+1),10,0)</f>
        <v>0</v>
      </c>
      <c r="IH33" s="1908">
        <f ca="1">IF(AND(IH6&gt;$E$33-$E$17,IH6&lt;=$E$34-$E$17+1),10,0)</f>
        <v>0</v>
      </c>
      <c r="II33" s="1908">
        <f ca="1">IF(AND(II6&gt;$E$33-$E$17,II6&lt;=$E$34-$E$17+1),10,0)</f>
        <v>0</v>
      </c>
      <c r="IJ33" s="1908">
        <f ca="1">IF(AND(IJ6&gt;$E$33-$E$17,IJ6&lt;=$E$34-$E$17),10,0)</f>
        <v>0</v>
      </c>
      <c r="IK33" s="1909">
        <f ca="1">IF(AND(IK6&gt;$E$33-$E$17,IK6&lt;=$E$34-$E$17),10,0)</f>
        <v>0</v>
      </c>
    </row>
    <row r="34" spans="1:245" ht="7.5" hidden="1" customHeight="1" x14ac:dyDescent="0.35">
      <c r="A34" s="195">
        <f>IF(B33=0,0,"XXX")</f>
        <v>0</v>
      </c>
      <c r="B34" s="1910"/>
      <c r="C34" s="1912"/>
      <c r="D34" s="360" t="str">
        <f>IF(ENTRADAS!$F$22=0,0,"término:")</f>
        <v>término:</v>
      </c>
      <c r="E34" s="361">
        <f>IF(C33=0,0,E33+F33-1)</f>
        <v>0</v>
      </c>
      <c r="F34" s="1913"/>
      <c r="G34" s="1914"/>
      <c r="H34" s="1907"/>
      <c r="I34" s="1908"/>
      <c r="J34" s="1908"/>
      <c r="K34" s="1908"/>
      <c r="L34" s="1908"/>
      <c r="M34" s="1908"/>
      <c r="N34" s="1908"/>
      <c r="O34" s="1907"/>
      <c r="P34" s="1908"/>
      <c r="Q34" s="1908"/>
      <c r="R34" s="1908"/>
      <c r="S34" s="1908"/>
      <c r="T34" s="1908"/>
      <c r="U34" s="1908"/>
      <c r="V34" s="1907"/>
      <c r="W34" s="1908"/>
      <c r="X34" s="1908"/>
      <c r="Y34" s="1908"/>
      <c r="Z34" s="1908"/>
      <c r="AA34" s="1908"/>
      <c r="AB34" s="1908"/>
      <c r="AC34" s="1907"/>
      <c r="AD34" s="1908"/>
      <c r="AE34" s="1908"/>
      <c r="AF34" s="1908"/>
      <c r="AG34" s="1908"/>
      <c r="AH34" s="1908"/>
      <c r="AI34" s="1908"/>
      <c r="AJ34" s="1907"/>
      <c r="AK34" s="1908"/>
      <c r="AL34" s="1908"/>
      <c r="AM34" s="1908"/>
      <c r="AN34" s="1908"/>
      <c r="AO34" s="1908"/>
      <c r="AP34" s="1908"/>
      <c r="AQ34" s="1907"/>
      <c r="AR34" s="1908"/>
      <c r="AS34" s="1908"/>
      <c r="AT34" s="1908"/>
      <c r="AU34" s="1908"/>
      <c r="AV34" s="1908"/>
      <c r="AW34" s="1908"/>
      <c r="AX34" s="1907"/>
      <c r="AY34" s="1908"/>
      <c r="AZ34" s="1908"/>
      <c r="BA34" s="1908"/>
      <c r="BB34" s="1908"/>
      <c r="BC34" s="1908"/>
      <c r="BD34" s="1908"/>
      <c r="BE34" s="1907"/>
      <c r="BF34" s="1908"/>
      <c r="BG34" s="1908"/>
      <c r="BH34" s="1908"/>
      <c r="BI34" s="1908"/>
      <c r="BJ34" s="1908"/>
      <c r="BK34" s="1908"/>
      <c r="BL34" s="1907"/>
      <c r="BM34" s="1908"/>
      <c r="BN34" s="1908"/>
      <c r="BO34" s="1908"/>
      <c r="BP34" s="1908"/>
      <c r="BQ34" s="1908"/>
      <c r="BR34" s="1908"/>
      <c r="BS34" s="1907"/>
      <c r="BT34" s="1908"/>
      <c r="BU34" s="1908"/>
      <c r="BV34" s="1908"/>
      <c r="BW34" s="1908"/>
      <c r="BX34" s="1908"/>
      <c r="BY34" s="1908"/>
      <c r="BZ34" s="1907"/>
      <c r="CA34" s="1908"/>
      <c r="CB34" s="1908"/>
      <c r="CC34" s="1908"/>
      <c r="CD34" s="1908"/>
      <c r="CE34" s="1908"/>
      <c r="CF34" s="1908"/>
      <c r="CG34" s="1907"/>
      <c r="CH34" s="1908"/>
      <c r="CI34" s="1908"/>
      <c r="CJ34" s="1908"/>
      <c r="CK34" s="1908"/>
      <c r="CL34" s="1908"/>
      <c r="CM34" s="1908"/>
      <c r="CN34" s="1907"/>
      <c r="CO34" s="1908"/>
      <c r="CP34" s="1908"/>
      <c r="CQ34" s="1908"/>
      <c r="CR34" s="1908"/>
      <c r="CS34" s="1908"/>
      <c r="CT34" s="1908"/>
      <c r="CU34" s="1907"/>
      <c r="CV34" s="1908"/>
      <c r="CW34" s="1908"/>
      <c r="CX34" s="1908"/>
      <c r="CY34" s="1908"/>
      <c r="CZ34" s="1908"/>
      <c r="DA34" s="1908"/>
      <c r="DB34" s="1907"/>
      <c r="DC34" s="1908"/>
      <c r="DD34" s="1908"/>
      <c r="DE34" s="1908"/>
      <c r="DF34" s="1908"/>
      <c r="DG34" s="1908"/>
      <c r="DH34" s="1908"/>
      <c r="DI34" s="1907"/>
      <c r="DJ34" s="1908"/>
      <c r="DK34" s="1908"/>
      <c r="DL34" s="1908"/>
      <c r="DM34" s="1908"/>
      <c r="DN34" s="1908"/>
      <c r="DO34" s="1908"/>
      <c r="DP34" s="1907"/>
      <c r="DQ34" s="1908"/>
      <c r="DR34" s="1908"/>
      <c r="DS34" s="1908"/>
      <c r="DT34" s="1908"/>
      <c r="DU34" s="1908"/>
      <c r="DV34" s="1908"/>
      <c r="DW34" s="1907"/>
      <c r="DX34" s="1908"/>
      <c r="DY34" s="1908"/>
      <c r="DZ34" s="1908"/>
      <c r="EA34" s="1908"/>
      <c r="EB34" s="1908"/>
      <c r="EC34" s="1908"/>
      <c r="ED34" s="1907"/>
      <c r="EE34" s="1908"/>
      <c r="EF34" s="1908"/>
      <c r="EG34" s="1908"/>
      <c r="EH34" s="1908"/>
      <c r="EI34" s="1908"/>
      <c r="EJ34" s="1908"/>
      <c r="EK34" s="1907"/>
      <c r="EL34" s="1908"/>
      <c r="EM34" s="1908"/>
      <c r="EN34" s="1908"/>
      <c r="EO34" s="1908"/>
      <c r="EP34" s="1908"/>
      <c r="EQ34" s="1908"/>
      <c r="ER34" s="1907"/>
      <c r="ES34" s="1908"/>
      <c r="ET34" s="1908"/>
      <c r="EU34" s="1908"/>
      <c r="EV34" s="1908"/>
      <c r="EW34" s="1908"/>
      <c r="EX34" s="1908"/>
      <c r="EY34" s="1907"/>
      <c r="EZ34" s="1908"/>
      <c r="FA34" s="1908"/>
      <c r="FB34" s="1908"/>
      <c r="FC34" s="1908"/>
      <c r="FD34" s="1908"/>
      <c r="FE34" s="1908"/>
      <c r="FF34" s="1907"/>
      <c r="FG34" s="1908"/>
      <c r="FH34" s="1908"/>
      <c r="FI34" s="1908"/>
      <c r="FJ34" s="1908"/>
      <c r="FK34" s="1908"/>
      <c r="FL34" s="1908"/>
      <c r="FM34" s="1907"/>
      <c r="FN34" s="1908"/>
      <c r="FO34" s="1908"/>
      <c r="FP34" s="1908"/>
      <c r="FQ34" s="1908"/>
      <c r="FR34" s="1908"/>
      <c r="FS34" s="1908"/>
      <c r="FT34" s="1907"/>
      <c r="FU34" s="1908"/>
      <c r="FV34" s="1908"/>
      <c r="FW34" s="1908"/>
      <c r="FX34" s="1908"/>
      <c r="FY34" s="1908"/>
      <c r="FZ34" s="1908"/>
      <c r="GA34" s="1907"/>
      <c r="GB34" s="1908"/>
      <c r="GC34" s="1908"/>
      <c r="GD34" s="1908"/>
      <c r="GE34" s="1908"/>
      <c r="GF34" s="1908"/>
      <c r="GG34" s="1908"/>
      <c r="GH34" s="1907"/>
      <c r="GI34" s="1908"/>
      <c r="GJ34" s="1908"/>
      <c r="GK34" s="1908"/>
      <c r="GL34" s="1908"/>
      <c r="GM34" s="1908"/>
      <c r="GN34" s="1908"/>
      <c r="GO34" s="1907"/>
      <c r="GP34" s="1908"/>
      <c r="GQ34" s="1908"/>
      <c r="GR34" s="1908"/>
      <c r="GS34" s="1908"/>
      <c r="GT34" s="1908"/>
      <c r="GU34" s="1908"/>
      <c r="GV34" s="1907"/>
      <c r="GW34" s="1908"/>
      <c r="GX34" s="1908"/>
      <c r="GY34" s="1908"/>
      <c r="GZ34" s="1908"/>
      <c r="HA34" s="1908"/>
      <c r="HB34" s="1908"/>
      <c r="HC34" s="1907"/>
      <c r="HD34" s="1908"/>
      <c r="HE34" s="1908"/>
      <c r="HF34" s="1908"/>
      <c r="HG34" s="1908"/>
      <c r="HH34" s="1908"/>
      <c r="HI34" s="1908"/>
      <c r="HJ34" s="1907"/>
      <c r="HK34" s="1908"/>
      <c r="HL34" s="1908"/>
      <c r="HM34" s="1908"/>
      <c r="HN34" s="1908"/>
      <c r="HO34" s="1908"/>
      <c r="HP34" s="1908"/>
      <c r="HQ34" s="1907"/>
      <c r="HR34" s="1908"/>
      <c r="HS34" s="1908"/>
      <c r="HT34" s="1908"/>
      <c r="HU34" s="1908"/>
      <c r="HV34" s="1908"/>
      <c r="HW34" s="1908"/>
      <c r="HX34" s="1907"/>
      <c r="HY34" s="1908"/>
      <c r="HZ34" s="1908"/>
      <c r="IA34" s="1908"/>
      <c r="IB34" s="1908"/>
      <c r="IC34" s="1908"/>
      <c r="ID34" s="1908"/>
      <c r="IE34" s="1907"/>
      <c r="IF34" s="1908"/>
      <c r="IG34" s="1908"/>
      <c r="IH34" s="1908"/>
      <c r="II34" s="1908"/>
      <c r="IJ34" s="1908"/>
      <c r="IK34" s="1909"/>
    </row>
    <row r="35" spans="1:245" ht="7.5" hidden="1" customHeight="1" x14ac:dyDescent="0.35">
      <c r="A35" s="195">
        <f>IF(B35=0,0,"XXX")</f>
        <v>0</v>
      </c>
      <c r="B35" s="1910">
        <f>IF(ENTRADAS!I1254=0,0,ENTRADAS!C1254)</f>
        <v>0</v>
      </c>
      <c r="C35" s="1911">
        <f>IF(ENTRADAS!I1254="x",ENTRADAS!D1254,0)</f>
        <v>0</v>
      </c>
      <c r="D35" s="358" t="str">
        <f>IF(ENTRADAS!$F$22=0,0,"início:")</f>
        <v>início:</v>
      </c>
      <c r="E35" s="359">
        <f>IF(C35=0,0,IF(F36&gt;0,F36+D45,IF(ENTRADAS!$O$1252="J",E22+2,E22+1+F33+2)))</f>
        <v>0</v>
      </c>
      <c r="F35" s="454">
        <f>IF(C35=0,0,ENTRADAS!$H$1254)</f>
        <v>0</v>
      </c>
      <c r="G35" s="455" t="str">
        <f>IF(ENTRADAS!$F$22=0,0,"dias")</f>
        <v>dias</v>
      </c>
      <c r="H35" s="1907">
        <f>IF(F35=0,0,IF(ENTRADAS!$O$1252="J",IF(AND(H6+$D$45&gt;=$E$35,H6+$D$45&lt;=$E$36+1),10,0),IF(AND(H6+$D$45+1&gt;=$E$35,H6+$D$45+1&lt;=$E$36+1),10,0)))</f>
        <v>0</v>
      </c>
      <c r="I35" s="1908">
        <f ca="1">IF(ENTRADAS!$O$1252="J",IF(AND(I6+$D$45&gt;=$E$35,I6+$D$45&lt;=$E$36+1),10,0),IF(AND(I6+$D$45+1&gt;=$E$35,I6+$D$45+1&lt;=$E$36+1),10,0))</f>
        <v>0</v>
      </c>
      <c r="J35" s="1908">
        <f ca="1">IF(ENTRADAS!$O$1252="J",IF(AND(J6+$D$45&gt;=$E$35,J6+$D$45&lt;=$E$36+1),10,0),IF(AND(J6+$D$45+1&gt;=$E$35,J6+$D$45+1&lt;=$E$36+1),10,0))</f>
        <v>0</v>
      </c>
      <c r="K35" s="1908">
        <f ca="1">IF(ENTRADAS!$O$1252="J",IF(AND(K6+$D$45&gt;=$E$35,K6+$D$45&lt;=$E$36+1),10,0),IF(AND(K6+$D$45+1&gt;=$E$35,K6+$D$45+1&lt;=$E$36+1),10,0))</f>
        <v>0</v>
      </c>
      <c r="L35" s="1908">
        <f ca="1">IF(ENTRADAS!$O$1252="J",IF(AND(L6+$D$45&gt;=$E$35,L6+$D$45&lt;=$E$36+1),10,0),IF(AND(L6+$D$45+1&gt;=$E$35,L6+$D$45+1&lt;=$E$36+1),10,0))</f>
        <v>0</v>
      </c>
      <c r="M35" s="1908">
        <f ca="1">IF(ENTRADAS!$O$1252="J",IF(AND(M6+$D$45&gt;=$E$35,M6+$D$45&lt;=$E$36+1),10,0),IF(AND(M6+$D$45+1&gt;=$E$35,M6+$D$45+1&lt;=$E$36+1),10,0))</f>
        <v>0</v>
      </c>
      <c r="N35" s="1908">
        <f ca="1">IF(ENTRADAS!$O$1252="J",IF(AND(N6+$D$45&gt;=$E$35,N6+$D$45&lt;=$E$36+1),10,0),IF(AND(N6+$D$45+1&gt;=$E$35,N6+$D$45+1&lt;=$E$36+1),10,0))</f>
        <v>0</v>
      </c>
      <c r="O35" s="1907">
        <f ca="1">IF(ENTRADAS!$O$1252="J",IF(AND(O6+$D$45&gt;=$E$35,O6+$D$45&lt;=$E$36+1),10,0),IF(AND(O6+$D$45+1&gt;=$E$35,O6+$D$45+1&lt;=$E$36+1),10,0))</f>
        <v>0</v>
      </c>
      <c r="P35" s="1908">
        <f ca="1">IF(ENTRADAS!$O$1252="J",IF(AND(P6+$D$45&gt;=$E$35,P6+$D$45&lt;=$E$36+1),10,0),IF(AND(P6+$D$45+1&gt;=$E$35,P6+$D$45+1&lt;=$E$36+1),10,0))</f>
        <v>0</v>
      </c>
      <c r="Q35" s="1908">
        <f ca="1">IF(ENTRADAS!$O$1252="J",IF(AND(Q6+$D$45&gt;=$E$35,Q6+$D$45&lt;=$E$36+1),10,0),IF(AND(Q6+$D$45+1&gt;=$E$35,Q6+$D$45+1&lt;=$E$36+1),10,0))</f>
        <v>0</v>
      </c>
      <c r="R35" s="1908">
        <f ca="1">IF(ENTRADAS!$O$1252="J",IF(AND(R6+$D$45&gt;=$E$35,R6+$D$45&lt;=$E$36+1),10,0),IF(AND(R6+$D$45+1&gt;=$E$35,R6+$D$45+1&lt;=$E$36+1),10,0))</f>
        <v>0</v>
      </c>
      <c r="S35" s="1908">
        <f ca="1">IF(ENTRADAS!$O$1252="J",IF(AND(S6+$D$45&gt;=$E$35,S6+$D$45&lt;=$E$36+1),10,0),IF(AND(S6+$D$45+1&gt;=$E$35,S6+$D$45+1&lt;=$E$36+1),10,0))</f>
        <v>0</v>
      </c>
      <c r="T35" s="1908">
        <f ca="1">IF(ENTRADAS!$O$1252="J",IF(AND(T6+$D$45&gt;=$E$35,T6+$D$45&lt;=$E$36+1),10,0),IF(AND(T6+$D$45+1&gt;=$E$35,T6+$D$45+1&lt;=$E$36+1),10,0))</f>
        <v>0</v>
      </c>
      <c r="U35" s="1908">
        <f ca="1">IF(ENTRADAS!$O$1252="J",IF(AND(U6+$D$45&gt;=$E$35,U6+$D$45&lt;=$E$36+1),10,0),IF(AND(U6+$D$45+1&gt;=$E$35,U6+$D$45+1&lt;=$E$36+1),10,0))</f>
        <v>0</v>
      </c>
      <c r="V35" s="1907">
        <f ca="1">IF(ENTRADAS!$O$1252="J",IF(AND(V6+$D$45&gt;=$E$35,V6+$D$45&lt;=$E$36+1),10,0),IF(AND(V6+$D$45+1&gt;=$E$35,V6+$D$45+1&lt;=$E$36+1),10,0))</f>
        <v>0</v>
      </c>
      <c r="W35" s="1908">
        <f ca="1">IF(ENTRADAS!$O$1252="J",IF(AND(W6+$D$45&gt;=$E$35,W6+$D$45&lt;=$E$36+1),10,0),IF(AND(W6+$D$45+1&gt;=$E$35,W6+$D$45+1&lt;=$E$36+1),10,0))</f>
        <v>0</v>
      </c>
      <c r="X35" s="1908">
        <f ca="1">IF(ENTRADAS!$O$1252="J",IF(AND(X6+$D$45&gt;=$E$35,X6+$D$45&lt;=$E$36+1),10,0),IF(AND(X6+$D$45+1&gt;=$E$35,X6+$D$45+1&lt;=$E$36+1),10,0))</f>
        <v>0</v>
      </c>
      <c r="Y35" s="1908">
        <f ca="1">IF(ENTRADAS!$O$1252="J",IF(AND(Y6+$D$45&gt;=$E$35,Y6+$D$45&lt;=$E$36+1),10,0),IF(AND(Y6+$D$45+1&gt;=$E$35,Y6+$D$45+1&lt;=$E$36+1),10,0))</f>
        <v>0</v>
      </c>
      <c r="Z35" s="1908">
        <f ca="1">IF(ENTRADAS!$O$1252="J",IF(AND(Z6+$D$45&gt;=$E$35,Z6+$D$45&lt;=$E$36+1),10,0),IF(AND(Z6+$D$45+1&gt;=$E$35,Z6+$D$45+1&lt;=$E$36+1),10,0))</f>
        <v>0</v>
      </c>
      <c r="AA35" s="1908">
        <f ca="1">IF(ENTRADAS!$O$1252="J",IF(AND(AA6+$D$45&gt;=$E$35,AA6+$D$45&lt;=$E$36+1),10,0),IF(AND(AA6+$D$45+1&gt;=$E$35,AA6+$D$45+1&lt;=$E$36+1),10,0))</f>
        <v>0</v>
      </c>
      <c r="AB35" s="1908">
        <f ca="1">IF(ENTRADAS!$O$1252="J",IF(AND(AB6+$D$45&gt;=$E$35,AB6+$D$45&lt;=$E$36+1),10,0),IF(AND(AB6+$D$45+1&gt;=$E$35,AB6+$D$45+1&lt;=$E$36+1),10,0))</f>
        <v>0</v>
      </c>
      <c r="AC35" s="1907">
        <f ca="1">IF(ENTRADAS!$O$1252="J",IF(AND(AC6+$D$45&gt;=$E$35,AC6+$D$45&lt;=$E$36+1),10,0),IF(AND(AC6+$D$45+1&gt;=$E$35,AC6+$D$45+1&lt;=$E$36+1),10,0))</f>
        <v>0</v>
      </c>
      <c r="AD35" s="1908">
        <f ca="1">IF(ENTRADAS!$O$1252="J",IF(AND(AD6+$D$45&gt;=$E$35,AD6+$D$45&lt;=$E$36+1),10,0),IF(AND(AD6+$D$45+1&gt;=$E$35,AD6+$D$45+1&lt;=$E$36+1),10,0))</f>
        <v>0</v>
      </c>
      <c r="AE35" s="1908">
        <f ca="1">IF(ENTRADAS!$O$1252="J",IF(AND(AE6+$D$45&gt;=$E$35,AE6+$D$45&lt;=$E$36+1),10,0),IF(AND(AE6+$D$45+1&gt;=$E$35,AE6+$D$45+1&lt;=$E$36+1),10,0))</f>
        <v>0</v>
      </c>
      <c r="AF35" s="1908">
        <f ca="1">IF(ENTRADAS!$O$1252="J",IF(AND(AF6+$D$45&gt;=$E$35,AF6+$D$45&lt;=$E$36+1),10,0),IF(AND(AF6+$D$45+1&gt;=$E$35,AF6+$D$45+1&lt;=$E$36+1),10,0))</f>
        <v>0</v>
      </c>
      <c r="AG35" s="1908">
        <f ca="1">IF(ENTRADAS!$O$1252="J",IF(AND(AG6+$D$45&gt;=$E$35,AG6+$D$45&lt;=$E$36+1),10,0),IF(AND(AG6+$D$45+1&gt;=$E$35,AG6+$D$45+1&lt;=$E$36+1),10,0))</f>
        <v>0</v>
      </c>
      <c r="AH35" s="1908">
        <f ca="1">IF(ENTRADAS!$O$1252="J",IF(AND(AH6+$D$45&gt;=$E$35,AH6+$D$45&lt;=$E$36+1),10,0),IF(AND(AH6+$D$45+1&gt;=$E$35,AH6+$D$45+1&lt;=$E$36+1),10,0))</f>
        <v>0</v>
      </c>
      <c r="AI35" s="1908">
        <f ca="1">IF(ENTRADAS!$O$1252="J",IF(AND(AI6+$D$45&gt;=$E$35,AI6+$D$45&lt;=$E$36+1),10,0),IF(AND(AI6+$D$45+1&gt;=$E$35,AI6+$D$45+1&lt;=$E$36+1),10,0))</f>
        <v>0</v>
      </c>
      <c r="AJ35" s="1907">
        <f ca="1">IF(ENTRADAS!$O$1252="J",IF(AND(AJ6+$D$45&gt;=$E$35,AJ6+$D$45&lt;=$E$36+1),10,0),IF(AND(AJ6+$D$45+1&gt;=$E$35,AJ6+$D$45+1&lt;=$E$36+1),10,0))</f>
        <v>0</v>
      </c>
      <c r="AK35" s="1908">
        <f ca="1">IF(ENTRADAS!$O$1252="J",IF(AND(AK6+$D$45&gt;=$E$35,AK6+$D$45&lt;=$E$36+1),10,0),IF(AND(AK6+$D$45+1&gt;=$E$35,AK6+$D$45+1&lt;=$E$36+1),10,0))</f>
        <v>0</v>
      </c>
      <c r="AL35" s="1908">
        <f ca="1">IF(ENTRADAS!$O$1252="J",IF(AND(AL6+$D$45&gt;=$E$35,AL6+$D$45&lt;=$E$36+1),10,0),IF(AND(AL6+$D$45+1&gt;=$E$35,AL6+$D$45+1&lt;=$E$36+1),10,0))</f>
        <v>0</v>
      </c>
      <c r="AM35" s="1908">
        <f ca="1">IF(ENTRADAS!$O$1252="J",IF(AND(AM6+$D$45&gt;=$E$35,AM6+$D$45&lt;=$E$36+1),10,0),IF(AND(AM6+$D$45+1&gt;=$E$35,AM6+$D$45+1&lt;=$E$36+1),10,0))</f>
        <v>0</v>
      </c>
      <c r="AN35" s="1908">
        <f ca="1">IF(ENTRADAS!$O$1252="J",IF(AND(AN6+$D$45&gt;=$E$35,AN6+$D$45&lt;=$E$36+1),10,0),IF(AND(AN6+$D$45+1&gt;=$E$35,AN6+$D$45+1&lt;=$E$36+1),10,0))</f>
        <v>0</v>
      </c>
      <c r="AO35" s="1908">
        <f ca="1">IF(ENTRADAS!$O$1252="J",IF(AND(AO6+$D$45&gt;=$E$35,AO6+$D$45&lt;=$E$36+1),10,0),IF(AND(AO6+$D$45+1&gt;=$E$35,AO6+$D$45+1&lt;=$E$36+1),10,0))</f>
        <v>0</v>
      </c>
      <c r="AP35" s="1908">
        <f ca="1">IF(ENTRADAS!$O$1252="J",IF(AND(AP6+$D$45&gt;=$E$35,AP6+$D$45&lt;=$E$36+1),10,0),IF(AND(AP6+$D$45+1&gt;=$E$35,AP6+$D$45+1&lt;=$E$36+1),10,0))</f>
        <v>0</v>
      </c>
      <c r="AQ35" s="1907">
        <f ca="1">IF(ENTRADAS!$O$1252="J",IF(AND(AQ6+$D$45&gt;=$E$35,AQ6+$D$45&lt;=$E$36+1),10,0),IF(AND(AQ6+$D$45+1&gt;=$E$35,AQ6+$D$45+1&lt;=$E$36+1),10,0))</f>
        <v>0</v>
      </c>
      <c r="AR35" s="1908">
        <f ca="1">IF(ENTRADAS!$O$1252="J",IF(AND(AR6+$D$45&gt;=$E$35,AR6+$D$45&lt;=$E$36+1),10,0),IF(AND(AR6+$D$45+1&gt;=$E$35,AR6+$D$45+1&lt;=$E$36+1),10,0))</f>
        <v>0</v>
      </c>
      <c r="AS35" s="1908">
        <f ca="1">IF(ENTRADAS!$O$1252="J",IF(AND(AS6+$D$45&gt;=$E$35,AS6+$D$45&lt;=$E$36+1),10,0),IF(AND(AS6+$D$45+1&gt;=$E$35,AS6+$D$45+1&lt;=$E$36+1),10,0))</f>
        <v>0</v>
      </c>
      <c r="AT35" s="1908">
        <f ca="1">IF(ENTRADAS!$O$1252="J",IF(AND(AT6+$D$45&gt;=$E$35,AT6+$D$45&lt;=$E$36+1),10,0),IF(AND(AT6+$D$45+1&gt;=$E$35,AT6+$D$45+1&lt;=$E$36+1),10,0))</f>
        <v>0</v>
      </c>
      <c r="AU35" s="1908">
        <f ca="1">IF(ENTRADAS!$O$1252="J",IF(AND(AU6+$D$45&gt;=$E$35,AU6+$D$45&lt;=$E$36+1),10,0),IF(AND(AU6+$D$45+1&gt;=$E$35,AU6+$D$45+1&lt;=$E$36+1),10,0))</f>
        <v>0</v>
      </c>
      <c r="AV35" s="1908">
        <f ca="1">IF(ENTRADAS!$O$1252="J",IF(AND(AV6+$D$45&gt;=$E$35,AV6+$D$45&lt;=$E$36+1),10,0),IF(AND(AV6+$D$45+1&gt;=$E$35,AV6+$D$45+1&lt;=$E$36+1),10,0))</f>
        <v>0</v>
      </c>
      <c r="AW35" s="1908">
        <f ca="1">IF(ENTRADAS!$O$1252="J",IF(AND(AW6+$D$45&gt;=$E$35,AW6+$D$45&lt;=$E$36+1),10,0),IF(AND(AW6+$D$45+1&gt;=$E$35,AW6+$D$45+1&lt;=$E$36+1),10,0))</f>
        <v>0</v>
      </c>
      <c r="AX35" s="1907">
        <f ca="1">IF(ENTRADAS!$O$1252="J",IF(AND(AX6+$D$45&gt;=$E$35,AX6+$D$45&lt;=$E$36+1),10,0),IF(AND(AX6+$D$45+1&gt;=$E$35,AX6+$D$45+1&lt;=$E$36+1),10,0))</f>
        <v>0</v>
      </c>
      <c r="AY35" s="1908">
        <f ca="1">IF(ENTRADAS!$O$1252="J",IF(AND(AY6+$D$45&gt;=$E$35,AY6+$D$45&lt;=$E$36+1),10,0),IF(AND(AY6+$D$45+1&gt;=$E$35,AY6+$D$45+1&lt;=$E$36+1),10,0))</f>
        <v>0</v>
      </c>
      <c r="AZ35" s="1908">
        <f ca="1">IF(ENTRADAS!$O$1252="J",IF(AND(AZ6+$D$45&gt;=$E$35,AZ6+$D$45&lt;=$E$36+1),10,0),IF(AND(AZ6+$D$45+1&gt;=$E$35,AZ6+$D$45+1&lt;=$E$36+1),10,0))</f>
        <v>0</v>
      </c>
      <c r="BA35" s="1908">
        <f ca="1">IF(ENTRADAS!$O$1252="J",IF(AND(BA6+$D$45&gt;=$E$35,BA6+$D$45&lt;=$E$36+1),10,0),IF(AND(BA6+$D$45+1&gt;=$E$35,BA6+$D$45+1&lt;=$E$36+1),10,0))</f>
        <v>0</v>
      </c>
      <c r="BB35" s="1908">
        <f ca="1">IF(ENTRADAS!$O$1252="J",IF(AND(BB6+$D$45&gt;=$E$35,BB6+$D$45&lt;=$E$36+1),10,0),IF(AND(BB6+$D$45+1&gt;=$E$35,BB6+$D$45+1&lt;=$E$36+1),10,0))</f>
        <v>0</v>
      </c>
      <c r="BC35" s="1908">
        <f ca="1">IF(ENTRADAS!$O$1252="J",IF(AND(BC6+$D$45&gt;=$E$35,BC6+$D$45&lt;=$E$36+1),10,0),IF(AND(BC6+$D$45+1&gt;=$E$35,BC6+$D$45+1&lt;=$E$36+1),10,0))</f>
        <v>0</v>
      </c>
      <c r="BD35" s="1908">
        <f ca="1">IF(ENTRADAS!$O$1252="J",IF(AND(BD6+$D$45&gt;=$E$35,BD6+$D$45&lt;=$E$36+1),10,0),IF(AND(BD6+$D$45+1&gt;=$E$35,BD6+$D$45+1&lt;=$E$36+1),10,0))</f>
        <v>0</v>
      </c>
      <c r="BE35" s="1907">
        <f ca="1">IF(ENTRADAS!$O$1252="J",IF(AND(BE6+$D$45&gt;=$E$35,BE6+$D$45&lt;=$E$36+1),10,0),IF(AND(BE6+$D$45+1&gt;=$E$35,BE6+$D$45+1&lt;=$E$36+1),10,0))</f>
        <v>0</v>
      </c>
      <c r="BF35" s="1908">
        <f ca="1">IF(ENTRADAS!$O$1252="J",IF(AND(BF6+$D$45&gt;=$E$35,BF6+$D$45&lt;=$E$36+1),10,0),IF(AND(BF6+$D$45+1&gt;=$E$35,BF6+$D$45+1&lt;=$E$36+1),10,0))</f>
        <v>0</v>
      </c>
      <c r="BG35" s="1908">
        <f ca="1">IF(ENTRADAS!$O$1252="J",IF(AND(BG6+$D$45&gt;=$E$35,BG6+$D$45&lt;=$E$36+1),10,0),IF(AND(BG6+$D$45+1&gt;=$E$35,BG6+$D$45+1&lt;=$E$36+1),10,0))</f>
        <v>0</v>
      </c>
      <c r="BH35" s="1908">
        <f ca="1">IF(ENTRADAS!$O$1252="J",IF(AND(BH6+$D$45&gt;=$E$35,BH6+$D$45&lt;=$E$36+1),10,0),IF(AND(BH6+$D$45+1&gt;=$E$35,BH6+$D$45+1&lt;=$E$36+1),10,0))</f>
        <v>0</v>
      </c>
      <c r="BI35" s="1908">
        <f ca="1">IF(ENTRADAS!$O$1252="J",IF(AND(BI6+$D$45&gt;=$E$35,BI6+$D$45&lt;=$E$36+1),10,0),IF(AND(BI6+$D$45+1&gt;=$E$35,BI6+$D$45+1&lt;=$E$36+1),10,0))</f>
        <v>0</v>
      </c>
      <c r="BJ35" s="1908">
        <f ca="1">IF(ENTRADAS!$O$1252="J",IF(AND(BJ6+$D$45&gt;=$E$35,BJ6+$D$45&lt;=$E$36+1),10,0),IF(AND(BJ6+$D$45+1&gt;=$E$35,BJ6+$D$45+1&lt;=$E$36+1),10,0))</f>
        <v>0</v>
      </c>
      <c r="BK35" s="1908">
        <f ca="1">IF(ENTRADAS!$O$1252="J",IF(AND(BK6+$D$45&gt;=$E$35,BK6+$D$45&lt;=$E$36+1),10,0),IF(AND(BK6+$D$45+1&gt;=$E$35,BK6+$D$45+1&lt;=$E$36+1),10,0))</f>
        <v>0</v>
      </c>
      <c r="BL35" s="1907">
        <f ca="1">IF(ENTRADAS!$O$1252="J",IF(AND(BL6+$D$45&gt;=$E$35,BL6+$D$45&lt;=$E$36+1),10,0),IF(AND(BL6+$D$45+1&gt;=$E$35,BL6+$D$45+1&lt;=$E$36+1),10,0))</f>
        <v>0</v>
      </c>
      <c r="BM35" s="1908">
        <f ca="1">IF(ENTRADAS!$O$1252="J",IF(AND(BM6+$D$45&gt;=$E$35,BM6+$D$45&lt;=$E$36+1),10,0),IF(AND(BM6+$D$45+1&gt;=$E$35,BM6+$D$45+1&lt;=$E$36+1),10,0))</f>
        <v>0</v>
      </c>
      <c r="BN35" s="1908">
        <f ca="1">IF(ENTRADAS!$O$1252="J",IF(AND(BN6+$D$45&gt;=$E$35,BN6+$D$45&lt;=$E$36+1),10,0),IF(AND(BN6+$D$45+1&gt;=$E$35,BN6+$D$45+1&lt;=$E$36+1),10,0))</f>
        <v>0</v>
      </c>
      <c r="BO35" s="1908">
        <f ca="1">IF(ENTRADAS!$O$1252="J",IF(AND(BO6+$D$45&gt;=$E$35,BO6+$D$45&lt;=$E$36+1),10,0),IF(AND(BO6+$D$45+1&gt;=$E$35,BO6+$D$45+1&lt;=$E$36+1),10,0))</f>
        <v>0</v>
      </c>
      <c r="BP35" s="1908">
        <f ca="1">IF(ENTRADAS!$O$1252="J",IF(AND(BP6+$D$45&gt;=$E$35,BP6+$D$45&lt;=$E$36+1),10,0),IF(AND(BP6+$D$45+1&gt;=$E$35,BP6+$D$45+1&lt;=$E$36+1),10,0))</f>
        <v>0</v>
      </c>
      <c r="BQ35" s="1908">
        <f ca="1">IF(ENTRADAS!$O$1252="J",IF(AND(BQ6+$D$45&gt;=$E$35,BQ6+$D$45&lt;=$E$36+1),10,0),IF(AND(BQ6+$D$45+1&gt;=$E$35,BQ6+$D$45+1&lt;=$E$36+1),10,0))</f>
        <v>0</v>
      </c>
      <c r="BR35" s="1908">
        <f ca="1">IF(ENTRADAS!$O$1252="J",IF(AND(BR6+$D$45&gt;=$E$35,BR6+$D$45&lt;=$E$36+1),10,0),IF(AND(BR6+$D$45+1&gt;=$E$35,BR6+$D$45+1&lt;=$E$36+1),10,0))</f>
        <v>0</v>
      </c>
      <c r="BS35" s="1907">
        <f ca="1">IF(ENTRADAS!$O$1252="J",IF(AND(BS6+$D$45&gt;=$E$35,BS6+$D$45&lt;=$E$36+1),10,0),IF(AND(BS6+$D$45+1&gt;=$E$35,BS6+$D$45+1&lt;=$E$36+1),10,0))</f>
        <v>0</v>
      </c>
      <c r="BT35" s="1908">
        <f ca="1">IF(ENTRADAS!$O$1252="J",IF(AND(BT6+$D$45&gt;=$E$35,BT6+$D$45&lt;=$E$36+1),10,0),IF(AND(BT6+$D$45+1&gt;=$E$35,BT6+$D$45+1&lt;=$E$36+1),10,0))</f>
        <v>0</v>
      </c>
      <c r="BU35" s="1908">
        <f ca="1">IF(ENTRADAS!$O$1252="J",IF(AND(BU6+$D$45&gt;=$E$35,BU6+$D$45&lt;=$E$36+1),10,0),IF(AND(BU6+$D$45+1&gt;=$E$35,BU6+$D$45+1&lt;=$E$36+1),10,0))</f>
        <v>0</v>
      </c>
      <c r="BV35" s="1908">
        <f ca="1">IF(ENTRADAS!$O$1252="J",IF(AND(BV6+$D$45&gt;=$E$35,BV6+$D$45&lt;=$E$36+1),10,0),IF(AND(BV6+$D$45+1&gt;=$E$35,BV6+$D$45+1&lt;=$E$36+1),10,0))</f>
        <v>0</v>
      </c>
      <c r="BW35" s="1908">
        <f ca="1">IF(ENTRADAS!$O$1252="J",IF(AND(BW6+$D$45&gt;=$E$35,BW6+$D$45&lt;=$E$36+1),10,0),IF(AND(BW6+$D$45+1&gt;=$E$35,BW6+$D$45+1&lt;=$E$36+1),10,0))</f>
        <v>0</v>
      </c>
      <c r="BX35" s="1908">
        <f ca="1">IF(ENTRADAS!$O$1252="J",IF(AND(BX6+$D$45&gt;=$E$35,BX6+$D$45&lt;=$E$36+1),10,0),IF(AND(BX6+$D$45+1&gt;=$E$35,BX6+$D$45+1&lt;=$E$36+1),10,0))</f>
        <v>0</v>
      </c>
      <c r="BY35" s="1908">
        <f ca="1">IF(ENTRADAS!$O$1252="J",IF(AND(BY6+$D$45&gt;=$E$35,BY6+$D$45&lt;=$E$36+1),10,0),IF(AND(BY6+$D$45+1&gt;=$E$35,BY6+$D$45+1&lt;=$E$36+1),10,0))</f>
        <v>0</v>
      </c>
      <c r="BZ35" s="1907">
        <f ca="1">IF(ENTRADAS!$O$1252="J",IF(AND(BZ6+$D$45&gt;=$E$35,BZ6+$D$45&lt;=$E$36+1),10,0),IF(AND(BZ6+$D$45+1&gt;=$E$35,BZ6+$D$45+1&lt;=$E$36+1),10,0))</f>
        <v>0</v>
      </c>
      <c r="CA35" s="1908">
        <f ca="1">IF(ENTRADAS!$O$1252="J",IF(AND(CA6+$D$45&gt;=$E$35,CA6+$D$45&lt;=$E$36+1),10,0),IF(AND(CA6+$D$45+1&gt;=$E$35,CA6+$D$45+1&lt;=$E$36+1),10,0))</f>
        <v>0</v>
      </c>
      <c r="CB35" s="1908">
        <f ca="1">IF(ENTRADAS!$O$1252="J",IF(AND(CB6+$D$45&gt;=$E$35,CB6+$D$45&lt;=$E$36+1),10,0),IF(AND(CB6+$D$45+1&gt;=$E$35,CB6+$D$45+1&lt;=$E$36+1),10,0))</f>
        <v>0</v>
      </c>
      <c r="CC35" s="1908">
        <f ca="1">IF(ENTRADAS!$O$1252="J",IF(AND(CC6+$D$45&gt;=$E$35,CC6+$D$45&lt;=$E$36+1),10,0),IF(AND(CC6+$D$45+1&gt;=$E$35,CC6+$D$45+1&lt;=$E$36+1),10,0))</f>
        <v>0</v>
      </c>
      <c r="CD35" s="1908">
        <f ca="1">IF(ENTRADAS!$O$1252="J",IF(AND(CD6+$D$45&gt;=$E$35,CD6+$D$45&lt;=$E$36+1),10,0),IF(AND(CD6+$D$45+1&gt;=$E$35,CD6+$D$45+1&lt;=$E$36+1),10,0))</f>
        <v>0</v>
      </c>
      <c r="CE35" s="1908">
        <f ca="1">IF(ENTRADAS!$O$1252="J",IF(AND(CE6+$D$45&gt;=$E$35,CE6+$D$45&lt;=$E$36+1),10,0),IF(AND(CE6+$D$45+1&gt;=$E$35,CE6+$D$45+1&lt;=$E$36+1),10,0))</f>
        <v>0</v>
      </c>
      <c r="CF35" s="1908">
        <f ca="1">IF(ENTRADAS!$O$1252="J",IF(AND(CF6+$D$45&gt;=$E$35,CF6+$D$45&lt;=$E$36+1),10,0),IF(AND(CF6+$D$45+1&gt;=$E$35,CF6+$D$45+1&lt;=$E$36+1),10,0))</f>
        <v>0</v>
      </c>
      <c r="CG35" s="1907">
        <f ca="1">IF(ENTRADAS!$O$1252="J",IF(AND(CG6+$D$45&gt;=$E$35,CG6+$D$45&lt;=$E$36+1),10,0),IF(AND(CG6+$D$45+1&gt;=$E$35,CG6+$D$45+1&lt;=$E$36+1),10,0))</f>
        <v>0</v>
      </c>
      <c r="CH35" s="1908">
        <f ca="1">IF(ENTRADAS!$O$1252="J",IF(AND(CH6+$D$45&gt;=$E$35,CH6+$D$45&lt;=$E$36+1),10,0),IF(AND(CH6+$D$45+1&gt;=$E$35,CH6+$D$45+1&lt;=$E$36+1),10,0))</f>
        <v>0</v>
      </c>
      <c r="CI35" s="1908">
        <f ca="1">IF(ENTRADAS!$O$1252="J",IF(AND(CI6+$D$45&gt;=$E$35,CI6+$D$45&lt;=$E$36+1),10,0),IF(AND(CI6+$D$45+1&gt;=$E$35,CI6+$D$45+1&lt;=$E$36+1),10,0))</f>
        <v>0</v>
      </c>
      <c r="CJ35" s="1908">
        <f ca="1">IF(ENTRADAS!$O$1252="J",IF(AND(CJ6+$D$45&gt;=$E$35,CJ6+$D$45&lt;=$E$36+1),10,0),IF(AND(CJ6+$D$45+1&gt;=$E$35,CJ6+$D$45+1&lt;=$E$36+1),10,0))</f>
        <v>0</v>
      </c>
      <c r="CK35" s="1908">
        <f ca="1">IF(ENTRADAS!$O$1252="J",IF(AND(CK6+$D$45&gt;=$E$35,CK6+$D$45&lt;=$E$36+1),10,0),IF(AND(CK6+$D$45+1&gt;=$E$35,CK6+$D$45+1&lt;=$E$36+1),10,0))</f>
        <v>0</v>
      </c>
      <c r="CL35" s="1908">
        <f ca="1">IF(ENTRADAS!$O$1252="J",IF(AND(CL6+$D$45&gt;=$E$35,CL6+$D$45&lt;=$E$36+1),10,0),IF(AND(CL6+$D$45+1&gt;=$E$35,CL6+$D$45+1&lt;=$E$36+1),10,0))</f>
        <v>0</v>
      </c>
      <c r="CM35" s="1908">
        <f ca="1">IF(ENTRADAS!$O$1252="J",IF(AND(CM6+$D$45&gt;=$E$35,CM6+$D$45&lt;=$E$36+1),10,0),IF(AND(CM6+$D$45+1&gt;=$E$35,CM6+$D$45+1&lt;=$E$36+1),10,0))</f>
        <v>0</v>
      </c>
      <c r="CN35" s="1907">
        <f ca="1">IF(ENTRADAS!$O$1252="J",IF(AND(CN6+$D$45&gt;=$E$35,CN6+$D$45&lt;=$E$36+1),10,0),IF(AND(CN6+$D$45+1&gt;=$E$35,CN6+$D$45+1&lt;=$E$36+1),10,0))</f>
        <v>0</v>
      </c>
      <c r="CO35" s="1908">
        <f ca="1">IF(ENTRADAS!$O$1252="J",IF(AND(CO6+$D$45&gt;=$E$35,CO6+$D$45&lt;=$E$36+1),10,0),IF(AND(CO6+$D$45+1&gt;=$E$35,CO6+$D$45+1&lt;=$E$36+1),10,0))</f>
        <v>0</v>
      </c>
      <c r="CP35" s="1908">
        <f ca="1">IF(ENTRADAS!$O$1252="J",IF(AND(CP6+$D$45&gt;=$E$35,CP6+$D$45&lt;=$E$36+1),10,0),IF(AND(CP6+$D$45+1&gt;=$E$35,CP6+$D$45+1&lt;=$E$36+1),10,0))</f>
        <v>0</v>
      </c>
      <c r="CQ35" s="1908">
        <f ca="1">IF(ENTRADAS!$O$1252="J",IF(AND(CQ6+$D$45&gt;=$E$35,CQ6+$D$45&lt;=$E$36+1),10,0),IF(AND(CQ6+$D$45+1&gt;=$E$35,CQ6+$D$45+1&lt;=$E$36+1),10,0))</f>
        <v>0</v>
      </c>
      <c r="CR35" s="1908">
        <f ca="1">IF(ENTRADAS!$O$1252="J",IF(AND(CR6+$D$45&gt;=$E$35,CR6+$D$45&lt;=$E$36+1),10,0),IF(AND(CR6+$D$45+1&gt;=$E$35,CR6+$D$45+1&lt;=$E$36+1),10,0))</f>
        <v>0</v>
      </c>
      <c r="CS35" s="1908">
        <f ca="1">IF(ENTRADAS!$O$1252="J",IF(AND(CS6+$D$45&gt;=$E$35,CS6+$D$45&lt;=$E$36+1),10,0),IF(AND(CS6+$D$45+1&gt;=$E$35,CS6+$D$45+1&lt;=$E$36+1),10,0))</f>
        <v>0</v>
      </c>
      <c r="CT35" s="1908">
        <f ca="1">IF(ENTRADAS!$O$1252="J",IF(AND(CT6+$D$45&gt;=$E$35,CT6+$D$45&lt;=$E$36+1),10,0),IF(AND(CT6+$D$45+1&gt;=$E$35,CT6+$D$45+1&lt;=$E$36+1),10,0))</f>
        <v>0</v>
      </c>
      <c r="CU35" s="1907">
        <f ca="1">IF(ENTRADAS!$O$1252="J",IF(AND(CU6+$D$45&gt;=$E$35,CU6+$D$45&lt;=$E$36+1),10,0),IF(AND(CU6+$D$45+1&gt;=$E$35,CU6+$D$45+1&lt;=$E$36+1),10,0))</f>
        <v>0</v>
      </c>
      <c r="CV35" s="1908">
        <f ca="1">IF(ENTRADAS!$O$1252="J",IF(AND(CV6+$D$45&gt;=$E$35,CV6+$D$45&lt;=$E$36+1),10,0),IF(AND(CV6+$D$45+1&gt;=$E$35,CV6+$D$45+1&lt;=$E$36+1),10,0))</f>
        <v>0</v>
      </c>
      <c r="CW35" s="1908">
        <f ca="1">IF(ENTRADAS!$O$1252="J",IF(AND(CW6+$D$45&gt;=$E$35,CW6+$D$45&lt;=$E$36+1),10,0),IF(AND(CW6+$D$45+1&gt;=$E$35,CW6+$D$45+1&lt;=$E$36+1),10,0))</f>
        <v>0</v>
      </c>
      <c r="CX35" s="1908">
        <f ca="1">IF(ENTRADAS!$O$1252="J",IF(AND(CX6+$D$45&gt;=$E$35,CX6+$D$45&lt;=$E$36+1),10,0),IF(AND(CX6+$D$45+1&gt;=$E$35,CX6+$D$45+1&lt;=$E$36+1),10,0))</f>
        <v>0</v>
      </c>
      <c r="CY35" s="1908">
        <f ca="1">IF(ENTRADAS!$O$1252="J",IF(AND(CY6+$D$45&gt;=$E$35,CY6+$D$45&lt;=$E$36+1),10,0),IF(AND(CY6+$D$45+1&gt;=$E$35,CY6+$D$45+1&lt;=$E$36+1),10,0))</f>
        <v>0</v>
      </c>
      <c r="CZ35" s="1908">
        <f ca="1">IF(ENTRADAS!$O$1252="J",IF(AND(CZ6+$D$45&gt;=$E$35,CZ6+$D$45&lt;=$E$36+1),10,0),IF(AND(CZ6+$D$45+1&gt;=$E$35,CZ6+$D$45+1&lt;=$E$36+1),10,0))</f>
        <v>0</v>
      </c>
      <c r="DA35" s="1908">
        <f ca="1">IF(ENTRADAS!$O$1252="J",IF(AND(DA6+$D$45&gt;=$E$35,DA6+$D$45&lt;=$E$36+1),10,0),IF(AND(DA6+$D$45+1&gt;=$E$35,DA6+$D$45+1&lt;=$E$36+1),10,0))</f>
        <v>0</v>
      </c>
      <c r="DB35" s="1907">
        <f ca="1">IF(ENTRADAS!$O$1252="J",IF(AND(DB6+$D$45&gt;=$E$35,DB6+$D$45&lt;=$E$36+1),10,0),IF(AND(DB6+$D$45+1&gt;=$E$35,DB6+$D$45+1&lt;=$E$36+1),10,0))</f>
        <v>0</v>
      </c>
      <c r="DC35" s="1908">
        <f ca="1">IF(ENTRADAS!$O$1252="J",IF(AND(DC6+$D$45&gt;=$E$35,DC6+$D$45&lt;=$E$36+1),10,0),IF(AND(DC6+$D$45+1&gt;=$E$35,DC6+$D$45+1&lt;=$E$36+1),10,0))</f>
        <v>0</v>
      </c>
      <c r="DD35" s="1908">
        <f ca="1">IF(ENTRADAS!$O$1252="J",IF(AND(DD6+$D$45&gt;=$E$35,DD6+$D$45&lt;=$E$36+1),10,0),IF(AND(DD6+$D$45+1&gt;=$E$35,DD6+$D$45+1&lt;=$E$36+1),10,0))</f>
        <v>0</v>
      </c>
      <c r="DE35" s="1908">
        <f ca="1">IF(ENTRADAS!$O$1252="J",IF(AND(DE6+$D$45&gt;=$E$35,DE6+$D$45&lt;=$E$36+1),10,0),IF(AND(DE6+$D$45+1&gt;=$E$35,DE6+$D$45+1&lt;=$E$36+1),10,0))</f>
        <v>0</v>
      </c>
      <c r="DF35" s="1908">
        <f ca="1">IF(ENTRADAS!$O$1252="J",IF(AND(DF6+$D$45&gt;=$E$35,DF6+$D$45&lt;=$E$36+1),10,0),IF(AND(DF6+$D$45+1&gt;=$E$35,DF6+$D$45+1&lt;=$E$36+1),10,0))</f>
        <v>0</v>
      </c>
      <c r="DG35" s="1908">
        <f ca="1">IF(ENTRADAS!$O$1252="J",IF(AND(DG6+$D$45&gt;=$E$35,DG6+$D$45&lt;=$E$36+1),10,0),IF(AND(DG6+$D$45+1&gt;=$E$35,DG6+$D$45+1&lt;=$E$36+1),10,0))</f>
        <v>0</v>
      </c>
      <c r="DH35" s="1908">
        <f ca="1">IF(ENTRADAS!$O$1252="J",IF(AND(DH6+$D$45&gt;=$E$35,DH6+$D$45&lt;=$E$36+1),10,0),IF(AND(DH6+$D$45+1&gt;=$E$35,DH6+$D$45+1&lt;=$E$36+1),10,0))</f>
        <v>0</v>
      </c>
      <c r="DI35" s="1907">
        <f ca="1">IF(ENTRADAS!$O$1252="J",IF(AND(DI6+$D$45&gt;=$E$35,DI6+$D$45&lt;=$E$36+1),10,0),IF(AND(DI6+$D$45+1&gt;=$E$35,DI6+$D$45+1&lt;=$E$36+1),10,0))</f>
        <v>0</v>
      </c>
      <c r="DJ35" s="1908">
        <f ca="1">IF(ENTRADAS!$O$1252="J",IF(AND(DJ6+$D$45&gt;=$E$35,DJ6+$D$45&lt;=$E$36+1),10,0),IF(AND(DJ6+$D$45+1&gt;=$E$35,DJ6+$D$45+1&lt;=$E$36+1),10,0))</f>
        <v>0</v>
      </c>
      <c r="DK35" s="1908">
        <f ca="1">IF(ENTRADAS!$O$1252="J",IF(AND(DK6+$D$45&gt;=$E$35,DK6+$D$45&lt;=$E$36+1),10,0),IF(AND(DK6+$D$45+1&gt;=$E$35,DK6+$D$45+1&lt;=$E$36+1),10,0))</f>
        <v>0</v>
      </c>
      <c r="DL35" s="1908">
        <f ca="1">IF(ENTRADAS!$O$1252="J",IF(AND(DL6+$D$45&gt;=$E$35,DL6+$D$45&lt;=$E$36+1),10,0),IF(AND(DL6+$D$45+1&gt;=$E$35,DL6+$D$45+1&lt;=$E$36+1),10,0))</f>
        <v>0</v>
      </c>
      <c r="DM35" s="1908">
        <f ca="1">IF(ENTRADAS!$O$1252="J",IF(AND(DM6+$D$45&gt;=$E$35,DM6+$D$45&lt;=$E$36+1),10,0),IF(AND(DM6+$D$45+1&gt;=$E$35,DM6+$D$45+1&lt;=$E$36+1),10,0))</f>
        <v>0</v>
      </c>
      <c r="DN35" s="1908">
        <f ca="1">IF(ENTRADAS!$O$1252="J",IF(AND(DN6+$D$45&gt;=$E$35,DN6+$D$45&lt;=$E$36+1),10,0),IF(AND(DN6+$D$45+1&gt;=$E$35,DN6+$D$45+1&lt;=$E$36+1),10,0))</f>
        <v>0</v>
      </c>
      <c r="DO35" s="1908">
        <f ca="1">IF(ENTRADAS!$O$1252="J",IF(AND(DO6+$D$45&gt;=$E$35,DO6+$D$45&lt;=$E$36+1),10,0),IF(AND(DO6+$D$45+1&gt;=$E$35,DO6+$D$45+1&lt;=$E$36+1),10,0))</f>
        <v>0</v>
      </c>
      <c r="DP35" s="1907">
        <f ca="1">IF(ENTRADAS!$O$1252="J",IF(AND(DP6+$D$45&gt;=$E$35,DP6+$D$45&lt;=$E$36+1),10,0),IF(AND(DP6+$D$45+1&gt;=$E$35,DP6+$D$45+1&lt;=$E$36+1),10,0))</f>
        <v>0</v>
      </c>
      <c r="DQ35" s="1908">
        <f ca="1">IF(ENTRADAS!$O$1252="J",IF(AND(DQ6+$D$45&gt;=$E$35,DQ6+$D$45&lt;=$E$36+1),10,0),IF(AND(DQ6+$D$45+1&gt;=$E$35,DQ6+$D$45+1&lt;=$E$36+1),10,0))</f>
        <v>0</v>
      </c>
      <c r="DR35" s="1908">
        <f ca="1">IF(ENTRADAS!$O$1252="J",IF(AND(DR6+$D$45&gt;=$E$35,DR6+$D$45&lt;=$E$36+1),10,0),IF(AND(DR6+$D$45+1&gt;=$E$35,DR6+$D$45+1&lt;=$E$36+1),10,0))</f>
        <v>0</v>
      </c>
      <c r="DS35" s="1908">
        <f ca="1">IF(ENTRADAS!$O$1252="J",IF(AND(DS6+$D$45&gt;=$E$35,DS6+$D$45&lt;=$E$36+1),10,0),IF(AND(DS6+$D$45+1&gt;=$E$35,DS6+$D$45+1&lt;=$E$36+1),10,0))</f>
        <v>0</v>
      </c>
      <c r="DT35" s="1908">
        <f ca="1">IF(ENTRADAS!$O$1252="J",IF(AND(DT6+$D$45&gt;=$E$35,DT6+$D$45&lt;=$E$36+1),10,0),IF(AND(DT6+$D$45+1&gt;=$E$35,DT6+$D$45+1&lt;=$E$36+1),10,0))</f>
        <v>0</v>
      </c>
      <c r="DU35" s="1908">
        <f ca="1">IF(ENTRADAS!$O$1252="J",IF(AND(DU6+$D$45&gt;=$E$35,DU6+$D$45&lt;=$E$36+1),10,0),IF(AND(DU6+$D$45+1&gt;=$E$35,DU6+$D$45+1&lt;=$E$36+1),10,0))</f>
        <v>0</v>
      </c>
      <c r="DV35" s="1908">
        <f ca="1">IF(ENTRADAS!$O$1252="J",IF(AND(DV6+$D$45&gt;=$E$35,DV6+$D$45&lt;=$E$36+1),10,0),IF(AND(DV6+$D$45+1&gt;=$E$35,DV6+$D$45+1&lt;=$E$36+1),10,0))</f>
        <v>0</v>
      </c>
      <c r="DW35" s="1907">
        <f ca="1">IF(ENTRADAS!$O$1252="J",IF(AND(DW6+$D$45&gt;=$E$35,DW6+$D$45&lt;=$E$36+1),10,0),IF(AND(DW6+$D$45+1&gt;=$E$35,DW6+$D$45+1&lt;=$E$36+1),10,0))</f>
        <v>0</v>
      </c>
      <c r="DX35" s="1908">
        <f ca="1">IF(ENTRADAS!$O$1252="J",IF(AND(DX6+$D$45&gt;=$E$35,DX6+$D$45&lt;=$E$36+1),10,0),IF(AND(DX6+$D$45+1&gt;=$E$35,DX6+$D$45+1&lt;=$E$36+1),10,0))</f>
        <v>0</v>
      </c>
      <c r="DY35" s="1908">
        <f ca="1">IF(ENTRADAS!$O$1252="J",IF(AND(DY6+$D$45&gt;=$E$35,DY6+$D$45&lt;=$E$36+1),10,0),IF(AND(DY6+$D$45+1&gt;=$E$35,DY6+$D$45+1&lt;=$E$36+1),10,0))</f>
        <v>0</v>
      </c>
      <c r="DZ35" s="1908">
        <f ca="1">IF(ENTRADAS!$O$1252="J",IF(AND(DZ6+$D$45&gt;=$E$35,DZ6+$D$45&lt;=$E$36+1),10,0),IF(AND(DZ6+$D$45+1&gt;=$E$35,DZ6+$D$45+1&lt;=$E$36+1),10,0))</f>
        <v>0</v>
      </c>
      <c r="EA35" s="1908">
        <f ca="1">IF(ENTRADAS!$O$1252="J",IF(AND(EA6+$D$45&gt;=$E$35,EA6+$D$45&lt;=$E$36+1),10,0),IF(AND(EA6+$D$45+1&gt;=$E$35,EA6+$D$45+1&lt;=$E$36+1),10,0))</f>
        <v>0</v>
      </c>
      <c r="EB35" s="1908">
        <f ca="1">IF(ENTRADAS!$O$1252="J",IF(AND(EB6+$D$45&gt;=$E$35,EB6+$D$45&lt;=$E$36+1),10,0),IF(AND(EB6+$D$45+1&gt;=$E$35,EB6+$D$45+1&lt;=$E$36+1),10,0))</f>
        <v>0</v>
      </c>
      <c r="EC35" s="1908">
        <f ca="1">IF(ENTRADAS!$O$1252="J",IF(AND(EC6+$D$45&gt;=$E$35,EC6+$D$45&lt;=$E$36+1),10,0),IF(AND(EC6+$D$45+1&gt;=$E$35,EC6+$D$45+1&lt;=$E$36+1),10,0))</f>
        <v>0</v>
      </c>
      <c r="ED35" s="1907">
        <f ca="1">IF(ENTRADAS!$O$1252="J",IF(AND(ED6+$D$45&gt;=$E$35,ED6+$D$45&lt;=$E$36+1),10,0),IF(AND(ED6+$D$45+1&gt;=$E$35,ED6+$D$45+1&lt;=$E$36+1),10,0))</f>
        <v>0</v>
      </c>
      <c r="EE35" s="1908">
        <f ca="1">IF(ENTRADAS!$O$1252="J",IF(AND(EE6+$D$45&gt;=$E$35,EE6+$D$45&lt;=$E$36+1),10,0),IF(AND(EE6+$D$45+1&gt;=$E$35,EE6+$D$45+1&lt;=$E$36+1),10,0))</f>
        <v>0</v>
      </c>
      <c r="EF35" s="1908">
        <f ca="1">IF(ENTRADAS!$O$1252="J",IF(AND(EF6+$D$45&gt;=$E$35,EF6+$D$45&lt;=$E$36+1),10,0),IF(AND(EF6+$D$45+1&gt;=$E$35,EF6+$D$45+1&lt;=$E$36+1),10,0))</f>
        <v>0</v>
      </c>
      <c r="EG35" s="1908">
        <f ca="1">IF(ENTRADAS!$O$1252="J",IF(AND(EG6+$D$45&gt;=$E$35,EG6+$D$45&lt;=$E$36+1),10,0),IF(AND(EG6+$D$45+1&gt;=$E$35,EG6+$D$45+1&lt;=$E$36+1),10,0))</f>
        <v>0</v>
      </c>
      <c r="EH35" s="1908">
        <f ca="1">IF(ENTRADAS!$O$1252="J",IF(AND(EH6+$D$45&gt;=$E$35,EH6+$D$45&lt;=$E$36+1),10,0),IF(AND(EH6+$D$45+1&gt;=$E$35,EH6+$D$45+1&lt;=$E$36+1),10,0))</f>
        <v>0</v>
      </c>
      <c r="EI35" s="1908">
        <f ca="1">IF(ENTRADAS!$O$1252="J",IF(AND(EI6+$D$45&gt;=$E$35,EI6+$D$45&lt;=$E$36+1),10,0),IF(AND(EI6+$D$45+1&gt;=$E$35,EI6+$D$45+1&lt;=$E$36+1),10,0))</f>
        <v>0</v>
      </c>
      <c r="EJ35" s="1908">
        <f ca="1">IF(ENTRADAS!$O$1252="J",IF(AND(EJ6+$D$45&gt;=$E$35,EJ6+$D$45&lt;=$E$36+1),10,0),IF(AND(EJ6+$D$45+1&gt;=$E$35,EJ6+$D$45+1&lt;=$E$36+1),10,0))</f>
        <v>0</v>
      </c>
      <c r="EK35" s="1907">
        <f ca="1">IF(ENTRADAS!$O$1252="J",IF(AND(EK6+$D$45&gt;=$E$35,EK6+$D$45&lt;=$E$36+1),10,0),IF(AND(EK6+$D$45+1&gt;=$E$35,EK6+$D$45+1&lt;=$E$36+1),10,0))</f>
        <v>0</v>
      </c>
      <c r="EL35" s="1908">
        <f ca="1">IF(ENTRADAS!$O$1252="J",IF(AND(EL6+$D$45&gt;=$E$35,EL6+$D$45&lt;=$E$36+1),10,0),IF(AND(EL6+$D$45+1&gt;=$E$35,EL6+$D$45+1&lt;=$E$36+1),10,0))</f>
        <v>0</v>
      </c>
      <c r="EM35" s="1908">
        <f ca="1">IF(ENTRADAS!$O$1252="J",IF(AND(EM6+$D$45&gt;=$E$35,EM6+$D$45&lt;=$E$36+1),10,0),IF(AND(EM6+$D$45+1&gt;=$E$35,EM6+$D$45+1&lt;=$E$36+1),10,0))</f>
        <v>0</v>
      </c>
      <c r="EN35" s="1908">
        <f ca="1">IF(ENTRADAS!$O$1252="J",IF(AND(EN6+$D$45&gt;=$E$35,EN6+$D$45&lt;=$E$36+1),10,0),IF(AND(EN6+$D$45+1&gt;=$E$35,EN6+$D$45+1&lt;=$E$36+1),10,0))</f>
        <v>0</v>
      </c>
      <c r="EO35" s="1908">
        <f ca="1">IF(ENTRADAS!$O$1252="J",IF(AND(EO6+$D$45&gt;=$E$35,EO6+$D$45&lt;=$E$36+1),10,0),IF(AND(EO6+$D$45+1&gt;=$E$35,EO6+$D$45+1&lt;=$E$36+1),10,0))</f>
        <v>0</v>
      </c>
      <c r="EP35" s="1908">
        <f ca="1">IF(ENTRADAS!$O$1252="J",IF(AND(EP6+$D$45&gt;=$E$35,EP6+$D$45&lt;=$E$36+1),10,0),IF(AND(EP6+$D$45+1&gt;=$E$35,EP6+$D$45+1&lt;=$E$36+1),10,0))</f>
        <v>0</v>
      </c>
      <c r="EQ35" s="1908">
        <f ca="1">IF(ENTRADAS!$O$1252="J",IF(AND(EQ6+$D$45&gt;=$E$35,EQ6+$D$45&lt;=$E$36+1),10,0),IF(AND(EQ6+$D$45+1&gt;=$E$35,EQ6+$D$45+1&lt;=$E$36+1),10,0))</f>
        <v>0</v>
      </c>
      <c r="ER35" s="1907">
        <f ca="1">IF(ENTRADAS!$O$1252="J",IF(AND(ER6+$D$45&gt;=$E$35,ER6+$D$45&lt;=$E$36+1),10,0),IF(AND(ER6+$D$45+1&gt;=$E$35,ER6+$D$45+1&lt;=$E$36+1),10,0))</f>
        <v>0</v>
      </c>
      <c r="ES35" s="1908">
        <f ca="1">IF(ENTRADAS!$O$1252="J",IF(AND(ES6+$D$45&gt;=$E$35,ES6+$D$45&lt;=$E$36+1),10,0),IF(AND(ES6+$D$45+1&gt;=$E$35,ES6+$D$45+1&lt;=$E$36+1),10,0))</f>
        <v>0</v>
      </c>
      <c r="ET35" s="1908">
        <f ca="1">IF(ENTRADAS!$O$1252="J",IF(AND(ET6+$D$45&gt;=$E$35,ET6+$D$45&lt;=$E$36+1),10,0),IF(AND(ET6+$D$45+1&gt;=$E$35,ET6+$D$45+1&lt;=$E$36+1),10,0))</f>
        <v>0</v>
      </c>
      <c r="EU35" s="1908">
        <f ca="1">IF(ENTRADAS!$O$1252="J",IF(AND(EU6+$D$45&gt;=$E$35,EU6+$D$45&lt;=$E$36+1),10,0),IF(AND(EU6+$D$45+1&gt;=$E$35,EU6+$D$45+1&lt;=$E$36+1),10,0))</f>
        <v>0</v>
      </c>
      <c r="EV35" s="1908">
        <f ca="1">IF(ENTRADAS!$O$1252="J",IF(AND(EV6+$D$45&gt;=$E$35,EV6+$D$45&lt;=$E$36+1),10,0),IF(AND(EV6+$D$45+1&gt;=$E$35,EV6+$D$45+1&lt;=$E$36+1),10,0))</f>
        <v>0</v>
      </c>
      <c r="EW35" s="1908">
        <f ca="1">IF(ENTRADAS!$O$1252="J",IF(AND(EW6+$D$45&gt;=$E$35,EW6+$D$45&lt;=$E$36+1),10,0),IF(AND(EW6+$D$45+1&gt;=$E$35,EW6+$D$45+1&lt;=$E$36+1),10,0))</f>
        <v>0</v>
      </c>
      <c r="EX35" s="1908">
        <f ca="1">IF(ENTRADAS!$O$1252="J",IF(AND(EX6+$D$45&gt;=$E$35,EX6+$D$45&lt;=$E$36+1),10,0),IF(AND(EX6+$D$45+1&gt;=$E$35,EX6+$D$45+1&lt;=$E$36+1),10,0))</f>
        <v>0</v>
      </c>
      <c r="EY35" s="1907">
        <f ca="1">IF(ENTRADAS!$O$1252="J",IF(AND(EY6+$D$45&gt;=$E$35,EY6+$D$45&lt;=$E$36+1),10,0),IF(AND(EY6+$D$45+1&gt;=$E$35,EY6+$D$45+1&lt;=$E$36+1),10,0))</f>
        <v>0</v>
      </c>
      <c r="EZ35" s="1908">
        <f ca="1">IF(ENTRADAS!$O$1252="J",IF(AND(EZ6+$D$45&gt;=$E$35,EZ6+$D$45&lt;=$E$36+1),10,0),IF(AND(EZ6+$D$45+1&gt;=$E$35,EZ6+$D$45+1&lt;=$E$36+1),10,0))</f>
        <v>0</v>
      </c>
      <c r="FA35" s="1908">
        <f ca="1">IF(ENTRADAS!$O$1252="J",IF(AND(FA6+$D$45&gt;=$E$35,FA6+$D$45&lt;=$E$36+1),10,0),IF(AND(FA6+$D$45+1&gt;=$E$35,FA6+$D$45+1&lt;=$E$36+1),10,0))</f>
        <v>0</v>
      </c>
      <c r="FB35" s="1908">
        <f ca="1">IF(ENTRADAS!$O$1252="J",IF(AND(FB6+$D$45&gt;=$E$35,FB6+$D$45&lt;=$E$36+1),10,0),IF(AND(FB6+$D$45+1&gt;=$E$35,FB6+$D$45+1&lt;=$E$36+1),10,0))</f>
        <v>0</v>
      </c>
      <c r="FC35" s="1908">
        <f ca="1">IF(ENTRADAS!$O$1252="J",IF(AND(FC6+$D$45&gt;=$E$35,FC6+$D$45&lt;=$E$36+1),10,0),IF(AND(FC6+$D$45+1&gt;=$E$35,FC6+$D$45+1&lt;=$E$36+1),10,0))</f>
        <v>0</v>
      </c>
      <c r="FD35" s="1908">
        <f ca="1">IF(ENTRADAS!$O$1252="J",IF(AND(FD6+$D$45&gt;=$E$35,FD6+$D$45&lt;=$E$36+1),10,0),IF(AND(FD6+$D$45+1&gt;=$E$35,FD6+$D$45+1&lt;=$E$36+1),10,0))</f>
        <v>0</v>
      </c>
      <c r="FE35" s="1908">
        <f ca="1">IF(ENTRADAS!$O$1252="J",IF(AND(FE6+$D$45&gt;=$E$35,FE6+$D$45&lt;=$E$36+1),10,0),IF(AND(FE6+$D$45+1&gt;=$E$35,FE6+$D$45+1&lt;=$E$36+1),10,0))</f>
        <v>0</v>
      </c>
      <c r="FF35" s="1907">
        <f ca="1">IF(ENTRADAS!$O$1252="J",IF(AND(FF6+$D$45&gt;=$E$35,FF6+$D$45&lt;=$E$36+1),10,0),IF(AND(FF6+$D$45+1&gt;=$E$35,FF6+$D$45+1&lt;=$E$36+1),10,0))</f>
        <v>0</v>
      </c>
      <c r="FG35" s="1908">
        <f ca="1">IF(ENTRADAS!$O$1252="J",IF(AND(FG6+$D$45&gt;=$E$35,FG6+$D$45&lt;=$E$36+1),10,0),IF(AND(FG6+$D$45+1&gt;=$E$35,FG6+$D$45+1&lt;=$E$36+1),10,0))</f>
        <v>0</v>
      </c>
      <c r="FH35" s="1908">
        <f ca="1">IF(ENTRADAS!$O$1252="J",IF(AND(FH6+$D$45&gt;=$E$35,FH6+$D$45&lt;=$E$36+1),10,0),IF(AND(FH6+$D$45+1&gt;=$E$35,FH6+$D$45+1&lt;=$E$36+1),10,0))</f>
        <v>0</v>
      </c>
      <c r="FI35" s="1908">
        <f ca="1">IF(ENTRADAS!$O$1252="J",IF(AND(FI6+$D$45&gt;=$E$35,FI6+$D$45&lt;=$E$36+1),10,0),IF(AND(FI6+$D$45+1&gt;=$E$35,FI6+$D$45+1&lt;=$E$36+1),10,0))</f>
        <v>0</v>
      </c>
      <c r="FJ35" s="1908">
        <f ca="1">IF(ENTRADAS!$O$1252="J",IF(AND(FJ6+$D$45&gt;=$E$35,FJ6+$D$45&lt;=$E$36+1),10,0),IF(AND(FJ6+$D$45+1&gt;=$E$35,FJ6+$D$45+1&lt;=$E$36+1),10,0))</f>
        <v>0</v>
      </c>
      <c r="FK35" s="1908">
        <f ca="1">IF(ENTRADAS!$O$1252="J",IF(AND(FK6+$D$45&gt;=$E$35,FK6+$D$45&lt;=$E$36+1),10,0),IF(AND(FK6+$D$45+1&gt;=$E$35,FK6+$D$45+1&lt;=$E$36+1),10,0))</f>
        <v>0</v>
      </c>
      <c r="FL35" s="1908">
        <f ca="1">IF(ENTRADAS!$O$1252="J",IF(AND(FL6+$D$45&gt;=$E$35,FL6+$D$45&lt;=$E$36+1),10,0),IF(AND(FL6+$D$45+1&gt;=$E$35,FL6+$D$45+1&lt;=$E$36+1),10,0))</f>
        <v>0</v>
      </c>
      <c r="FM35" s="1907">
        <f ca="1">IF(ENTRADAS!$O$1252="J",IF(AND(FM6+$D$45&gt;=$E$35,FM6+$D$45&lt;=$E$36+1),10,0),IF(AND(FM6+$D$45+1&gt;=$E$35,FM6+$D$45+1&lt;=$E$36+1),10,0))</f>
        <v>0</v>
      </c>
      <c r="FN35" s="1908">
        <f ca="1">IF(ENTRADAS!$O$1252="J",IF(AND(FN6+$D$45&gt;=$E$35,FN6+$D$45&lt;=$E$36+1),10,0),IF(AND(FN6+$D$45+1&gt;=$E$35,FN6+$D$45+1&lt;=$E$36+1),10,0))</f>
        <v>0</v>
      </c>
      <c r="FO35" s="1908">
        <f ca="1">IF(ENTRADAS!$O$1252="J",IF(AND(FO6+$D$45&gt;=$E$35,FO6+$D$45&lt;=$E$36+1),10,0),IF(AND(FO6+$D$45+1&gt;=$E$35,FO6+$D$45+1&lt;=$E$36+1),10,0))</f>
        <v>0</v>
      </c>
      <c r="FP35" s="1908">
        <f ca="1">IF(ENTRADAS!$O$1252="J",IF(AND(FP6+$D$45&gt;=$E$35,FP6+$D$45&lt;=$E$36+1),10,0),IF(AND(FP6+$D$45+1&gt;=$E$35,FP6+$D$45+1&lt;=$E$36+1),10,0))</f>
        <v>0</v>
      </c>
      <c r="FQ35" s="1908">
        <f ca="1">IF(ENTRADAS!$O$1252="J",IF(AND(FQ6+$D$45&gt;=$E$35,FQ6+$D$45&lt;=$E$36+1),10,0),IF(AND(FQ6+$D$45+1&gt;=$E$35,FQ6+$D$45+1&lt;=$E$36+1),10,0))</f>
        <v>0</v>
      </c>
      <c r="FR35" s="1908">
        <f ca="1">IF(ENTRADAS!$O$1252="J",IF(AND(FR6+$D$45&gt;=$E$35,FR6+$D$45&lt;=$E$36+1),10,0),IF(AND(FR6+$D$45+1&gt;=$E$35,FR6+$D$45+1&lt;=$E$36+1),10,0))</f>
        <v>0</v>
      </c>
      <c r="FS35" s="1908">
        <f ca="1">IF(ENTRADAS!$O$1252="J",IF(AND(FS6+$D$45&gt;=$E$35,FS6+$D$45&lt;=$E$36+1),10,0),IF(AND(FS6+$D$45+1&gt;=$E$35,FS6+$D$45+1&lt;=$E$36+1),10,0))</f>
        <v>0</v>
      </c>
      <c r="FT35" s="1907">
        <f ca="1">IF(ENTRADAS!$O$1252="J",IF(AND(FT6+$D$45&gt;=$E$35,FT6+$D$45&lt;=$E$36+1),10,0),IF(AND(FT6+$D$45+1&gt;=$E$35,FT6+$D$45+1&lt;=$E$36+1),10,0))</f>
        <v>0</v>
      </c>
      <c r="FU35" s="1908">
        <f ca="1">IF(ENTRADAS!$O$1252="J",IF(AND(FU6+$D$45&gt;=$E$35,FU6+$D$45&lt;=$E$36+1),10,0),IF(AND(FU6+$D$45+1&gt;=$E$35,FU6+$D$45+1&lt;=$E$36+1),10,0))</f>
        <v>0</v>
      </c>
      <c r="FV35" s="1908">
        <f ca="1">IF(ENTRADAS!$O$1252="J",IF(AND(FV6+$D$45&gt;=$E$35,FV6+$D$45&lt;=$E$36+1),10,0),IF(AND(FV6+$D$45+1&gt;=$E$35,FV6+$D$45+1&lt;=$E$36+1),10,0))</f>
        <v>0</v>
      </c>
      <c r="FW35" s="1908">
        <f ca="1">IF(ENTRADAS!$O$1252="J",IF(AND(FW6+$D$45&gt;=$E$35,FW6+$D$45&lt;=$E$36+1),10,0),IF(AND(FW6+$D$45+1&gt;=$E$35,FW6+$D$45+1&lt;=$E$36+1),10,0))</f>
        <v>0</v>
      </c>
      <c r="FX35" s="1908">
        <f ca="1">IF(ENTRADAS!$O$1252="J",IF(AND(FX6+$D$45&gt;=$E$35,FX6+$D$45&lt;=$E$36+1),10,0),IF(AND(FX6+$D$45+1&gt;=$E$35,FX6+$D$45+1&lt;=$E$36+1),10,0))</f>
        <v>0</v>
      </c>
      <c r="FY35" s="1908">
        <f ca="1">IF(ENTRADAS!$O$1252="J",IF(AND(FY6+$D$45&gt;=$E$35,FY6+$D$45&lt;=$E$36+1),10,0),IF(AND(FY6+$D$45+1&gt;=$E$35,FY6+$D$45+1&lt;=$E$36+1),10,0))</f>
        <v>0</v>
      </c>
      <c r="FZ35" s="1908">
        <f ca="1">IF(ENTRADAS!$O$1252="J",IF(AND(FZ6+$D$45&gt;=$E$35,FZ6+$D$45&lt;=$E$36+1),10,0),IF(AND(FZ6+$D$45+1&gt;=$E$35,FZ6+$D$45+1&lt;=$E$36+1),10,0))</f>
        <v>0</v>
      </c>
      <c r="GA35" s="1907">
        <f ca="1">IF(ENTRADAS!$O$1252="J",IF(AND(GA6+$D$45&gt;=$E$35,GA6+$D$45&lt;=$E$36+1),10,0),IF(AND(GA6+$D$45+1&gt;=$E$35,GA6+$D$45+1&lt;=$E$36+1),10,0))</f>
        <v>0</v>
      </c>
      <c r="GB35" s="1908">
        <f ca="1">IF(ENTRADAS!$O$1252="J",IF(AND(GB6+$D$45&gt;=$E$35,GB6+$D$45&lt;=$E$36+1),10,0),IF(AND(GB6+$D$45+1&gt;=$E$35,GB6+$D$45+1&lt;=$E$36+1),10,0))</f>
        <v>0</v>
      </c>
      <c r="GC35" s="1908">
        <f ca="1">IF(ENTRADAS!$O$1252="J",IF(AND(GC6+$D$45&gt;=$E$35,GC6+$D$45&lt;=$E$36+1),10,0),IF(AND(GC6+$D$45+1&gt;=$E$35,GC6+$D$45+1&lt;=$E$36+1),10,0))</f>
        <v>0</v>
      </c>
      <c r="GD35" s="1908">
        <f ca="1">IF(ENTRADAS!$O$1252="J",IF(AND(GD6+$D$45&gt;=$E$35,GD6+$D$45&lt;=$E$36+1),10,0),IF(AND(GD6+$D$45+1&gt;=$E$35,GD6+$D$45+1&lt;=$E$36+1),10,0))</f>
        <v>0</v>
      </c>
      <c r="GE35" s="1908">
        <f ca="1">IF(ENTRADAS!$O$1252="J",IF(AND(GE6+$D$45&gt;=$E$35,GE6+$D$45&lt;=$E$36+1),10,0),IF(AND(GE6+$D$45+1&gt;=$E$35,GE6+$D$45+1&lt;=$E$36+1),10,0))</f>
        <v>0</v>
      </c>
      <c r="GF35" s="1908">
        <f ca="1">IF(ENTRADAS!$O$1252="J",IF(AND(GF6+$D$45&gt;=$E$35,GF6+$D$45&lt;=$E$36+1),10,0),IF(AND(GF6+$D$45+1&gt;=$E$35,GF6+$D$45+1&lt;=$E$36+1),10,0))</f>
        <v>0</v>
      </c>
      <c r="GG35" s="1908">
        <f ca="1">IF(ENTRADAS!$O$1252="J",IF(AND(GG6+$D$45&gt;=$E$35,GG6+$D$45&lt;=$E$36+1),10,0),IF(AND(GG6+$D$45+1&gt;=$E$35,GG6+$D$45+1&lt;=$E$36+1),10,0))</f>
        <v>0</v>
      </c>
      <c r="GH35" s="1907">
        <f ca="1">IF(ENTRADAS!$O$1252="J",IF(AND(GH6+$D$45&gt;=$E$35,GH6+$D$45&lt;=$E$36+1),10,0),IF(AND(GH6+$D$45+1&gt;=$E$35,GH6+$D$45+1&lt;=$E$36+1),10,0))</f>
        <v>0</v>
      </c>
      <c r="GI35" s="1908">
        <f ca="1">IF(ENTRADAS!$O$1252="J",IF(AND(GI6+$D$45&gt;=$E$35,GI6+$D$45&lt;=$E$36+1),10,0),IF(AND(GI6+$D$45+1&gt;=$E$35,GI6+$D$45+1&lt;=$E$36+1),10,0))</f>
        <v>0</v>
      </c>
      <c r="GJ35" s="1908">
        <f ca="1">IF(ENTRADAS!$O$1252="J",IF(AND(GJ6+$D$45&gt;=$E$35,GJ6+$D$45&lt;=$E$36+1),10,0),IF(AND(GJ6+$D$45+1&gt;=$E$35,GJ6+$D$45+1&lt;=$E$36+1),10,0))</f>
        <v>0</v>
      </c>
      <c r="GK35" s="1908">
        <f ca="1">IF(ENTRADAS!$O$1252="J",IF(AND(GK6+$D$45&gt;=$E$35,GK6+$D$45&lt;=$E$36+1),10,0),IF(AND(GK6+$D$45+1&gt;=$E$35,GK6+$D$45+1&lt;=$E$36+1),10,0))</f>
        <v>0</v>
      </c>
      <c r="GL35" s="1908">
        <f ca="1">IF(ENTRADAS!$O$1252="J",IF(AND(GL6+$D$45&gt;=$E$35,GL6+$D$45&lt;=$E$36+1),10,0),IF(AND(GL6+$D$45+1&gt;=$E$35,GL6+$D$45+1&lt;=$E$36+1),10,0))</f>
        <v>0</v>
      </c>
      <c r="GM35" s="1908">
        <f ca="1">IF(ENTRADAS!$O$1252="J",IF(AND(GM6+$D$45&gt;=$E$35,GM6+$D$45&lt;=$E$36+1),10,0),IF(AND(GM6+$D$45+1&gt;=$E$35,GM6+$D$45+1&lt;=$E$36+1),10,0))</f>
        <v>0</v>
      </c>
      <c r="GN35" s="1908">
        <f ca="1">IF(ENTRADAS!$O$1252="J",IF(AND(GN6+$D$45&gt;=$E$35,GN6+$D$45&lt;=$E$36+1),10,0),IF(AND(GN6+$D$45+1&gt;=$E$35,GN6+$D$45+1&lt;=$E$36+1),10,0))</f>
        <v>0</v>
      </c>
      <c r="GO35" s="1907">
        <f ca="1">IF(ENTRADAS!$O$1252="J",IF(AND(GO6+$D$45&gt;=$E$35,GO6+$D$45&lt;=$E$36+1),10,0),IF(AND(GO6+$D$45+1&gt;=$E$35,GO6+$D$45+1&lt;=$E$36+1),10,0))</f>
        <v>0</v>
      </c>
      <c r="GP35" s="1908">
        <f ca="1">IF(ENTRADAS!$O$1252="J",IF(AND(GP6+$D$45&gt;=$E$35,GP6+$D$45&lt;=$E$36+1),10,0),IF(AND(GP6+$D$45+1&gt;=$E$35,GP6+$D$45+1&lt;=$E$36+1),10,0))</f>
        <v>0</v>
      </c>
      <c r="GQ35" s="1908">
        <f ca="1">IF(ENTRADAS!$O$1252="J",IF(AND(GQ6+$D$45&gt;=$E$35,GQ6+$D$45&lt;=$E$36+1),10,0),IF(AND(GQ6+$D$45+1&gt;=$E$35,GQ6+$D$45+1&lt;=$E$36+1),10,0))</f>
        <v>0</v>
      </c>
      <c r="GR35" s="1908">
        <f ca="1">IF(ENTRADAS!$O$1252="J",IF(AND(GR6+$D$45&gt;=$E$35,GR6+$D$45&lt;=$E$36+1),10,0),IF(AND(GR6+$D$45+1&gt;=$E$35,GR6+$D$45+1&lt;=$E$36+1),10,0))</f>
        <v>0</v>
      </c>
      <c r="GS35" s="1908">
        <f ca="1">IF(ENTRADAS!$O$1252="J",IF(AND(GS6+$D$45&gt;=$E$35,GS6+$D$45&lt;=$E$36+1),10,0),IF(AND(GS6+$D$45+1&gt;=$E$35,GS6+$D$45+1&lt;=$E$36+1),10,0))</f>
        <v>0</v>
      </c>
      <c r="GT35" s="1908">
        <f ca="1">IF(ENTRADAS!$O$1252="J",IF(AND(GT6+$D$45&gt;=$E$35,GT6+$D$45&lt;=$E$36+1),10,0),IF(AND(GT6+$D$45+1&gt;=$E$35,GT6+$D$45+1&lt;=$E$36+1),10,0))</f>
        <v>0</v>
      </c>
      <c r="GU35" s="1908">
        <f ca="1">IF(ENTRADAS!$O$1252="J",IF(AND(GU6+$D$45&gt;=$E$35,GU6+$D$45&lt;=$E$36+1),10,0),IF(AND(GU6+$D$45+1&gt;=$E$35,GU6+$D$45+1&lt;=$E$36+1),10,0))</f>
        <v>0</v>
      </c>
      <c r="GV35" s="1907">
        <f ca="1">IF(ENTRADAS!$O$1252="J",IF(AND(GV6+$D$45&gt;=$E$35,GV6+$D$45&lt;=$E$36+1),10,0),IF(AND(GV6+$D$45+1&gt;=$E$35,GV6+$D$45+1&lt;=$E$36+1),10,0))</f>
        <v>0</v>
      </c>
      <c r="GW35" s="1908">
        <f ca="1">IF(ENTRADAS!$O$1252="J",IF(AND(GW6+$D$45&gt;=$E$35,GW6+$D$45&lt;=$E$36+1),10,0),IF(AND(GW6+$D$45+1&gt;=$E$35,GW6+$D$45+1&lt;=$E$36+1),10,0))</f>
        <v>0</v>
      </c>
      <c r="GX35" s="1908">
        <f ca="1">IF(ENTRADAS!$O$1252="J",IF(AND(GX6+$D$45&gt;=$E$35,GX6+$D$45&lt;=$E$36+1),10,0),IF(AND(GX6+$D$45+1&gt;=$E$35,GX6+$D$45+1&lt;=$E$36+1),10,0))</f>
        <v>0</v>
      </c>
      <c r="GY35" s="1908">
        <f ca="1">IF(ENTRADAS!$O$1252="J",IF(AND(GY6+$D$45&gt;=$E$35,GY6+$D$45&lt;=$E$36+1),10,0),IF(AND(GY6+$D$45+1&gt;=$E$35,GY6+$D$45+1&lt;=$E$36+1),10,0))</f>
        <v>0</v>
      </c>
      <c r="GZ35" s="1908">
        <f ca="1">IF(ENTRADAS!$O$1252="J",IF(AND(GZ6+$D$45&gt;=$E$35,GZ6+$D$45&lt;=$E$36+1),10,0),IF(AND(GZ6+$D$45+1&gt;=$E$35,GZ6+$D$45+1&lt;=$E$36+1),10,0))</f>
        <v>0</v>
      </c>
      <c r="HA35" s="1908">
        <f ca="1">IF(ENTRADAS!$O$1252="J",IF(AND(HA6+$D$45&gt;=$E$35,HA6+$D$45&lt;=$E$36+1),10,0),IF(AND(HA6+$D$45+1&gt;=$E$35,HA6+$D$45+1&lt;=$E$36+1),10,0))</f>
        <v>0</v>
      </c>
      <c r="HB35" s="1908">
        <f ca="1">IF(ENTRADAS!$O$1252="J",IF(AND(HB6+$D$45&gt;=$E$35,HB6+$D$45&lt;=$E$36+1),10,0),IF(AND(HB6+$D$45+1&gt;=$E$35,HB6+$D$45+1&lt;=$E$36+1),10,0))</f>
        <v>0</v>
      </c>
      <c r="HC35" s="1907">
        <f ca="1">IF(ENTRADAS!$O$1252="J",IF(AND(HC6+$D$45&gt;=$E$35,HC6+$D$45&lt;=$E$36+1),10,0),IF(AND(HC6+$D$45+1&gt;=$E$35,HC6+$D$45+1&lt;=$E$36+1),10,0))</f>
        <v>0</v>
      </c>
      <c r="HD35" s="1908">
        <f ca="1">IF(ENTRADAS!$O$1252="J",IF(AND(HD6+$D$45&gt;=$E$35,HD6+$D$45&lt;=$E$36+1),10,0),IF(AND(HD6+$D$45+1&gt;=$E$35,HD6+$D$45+1&lt;=$E$36+1),10,0))</f>
        <v>0</v>
      </c>
      <c r="HE35" s="1908">
        <f ca="1">IF(ENTRADAS!$O$1252="J",IF(AND(HE6+$D$45&gt;=$E$35,HE6+$D$45&lt;=$E$36+1),10,0),IF(AND(HE6+$D$45+1&gt;=$E$35,HE6+$D$45+1&lt;=$E$36+1),10,0))</f>
        <v>0</v>
      </c>
      <c r="HF35" s="1908">
        <f ca="1">IF(ENTRADAS!$O$1252="J",IF(AND(HF6+$D$45&gt;=$E$35,HF6+$D$45&lt;=$E$36+1),10,0),IF(AND(HF6+$D$45+1&gt;=$E$35,HF6+$D$45+1&lt;=$E$36+1),10,0))</f>
        <v>0</v>
      </c>
      <c r="HG35" s="1908">
        <f ca="1">IF(ENTRADAS!$O$1252="J",IF(AND(HG6+$D$45&gt;=$E$35,HG6+$D$45&lt;=$E$36+1),10,0),IF(AND(HG6+$D$45+1&gt;=$E$35,HG6+$D$45+1&lt;=$E$36+1),10,0))</f>
        <v>0</v>
      </c>
      <c r="HH35" s="1908">
        <f ca="1">IF(ENTRADAS!$O$1252="J",IF(AND(HH6+$D$45&gt;=$E$35,HH6+$D$45&lt;=$E$36+1),10,0),IF(AND(HH6+$D$45+1&gt;=$E$35,HH6+$D$45+1&lt;=$E$36+1),10,0))</f>
        <v>0</v>
      </c>
      <c r="HI35" s="1908">
        <f ca="1">IF(ENTRADAS!$O$1252="J",IF(AND(HI6+$D$45&gt;=$E$35,HI6+$D$45&lt;=$E$36+1),10,0),IF(AND(HI6+$D$45+1&gt;=$E$35,HI6+$D$45+1&lt;=$E$36+1),10,0))</f>
        <v>0</v>
      </c>
      <c r="HJ35" s="1907">
        <f ca="1">IF(ENTRADAS!$O$1252="J",IF(AND(HJ6+$D$45&gt;=$E$35,HJ6+$D$45&lt;=$E$36+1),10,0),IF(AND(HJ6+$D$45+1&gt;=$E$35,HJ6+$D$45+1&lt;=$E$36+1),10,0))</f>
        <v>0</v>
      </c>
      <c r="HK35" s="1908">
        <f ca="1">IF(ENTRADAS!$O$1252="J",IF(AND(HK6+$D$45&gt;=$E$35,HK6+$D$45&lt;=$E$36+1),10,0),IF(AND(HK6+$D$45+1&gt;=$E$35,HK6+$D$45+1&lt;=$E$36+1),10,0))</f>
        <v>0</v>
      </c>
      <c r="HL35" s="1908">
        <f ca="1">IF(ENTRADAS!$O$1252="J",IF(AND(HL6+$D$45&gt;=$E$35,HL6+$D$45&lt;=$E$36+1),10,0),IF(AND(HL6+$D$45+1&gt;=$E$35,HL6+$D$45+1&lt;=$E$36+1),10,0))</f>
        <v>0</v>
      </c>
      <c r="HM35" s="1908">
        <f ca="1">IF(ENTRADAS!$O$1252="J",IF(AND(HM6+$D$45&gt;=$E$35,HM6+$D$45&lt;=$E$36+1),10,0),IF(AND(HM6+$D$45+1&gt;=$E$35,HM6+$D$45+1&lt;=$E$36+1),10,0))</f>
        <v>0</v>
      </c>
      <c r="HN35" s="1908">
        <f ca="1">IF(ENTRADAS!$O$1252="J",IF(AND(HN6+$D$45&gt;=$E$35,HN6+$D$45&lt;=$E$36+1),10,0),IF(AND(HN6+$D$45+1&gt;=$E$35,HN6+$D$45+1&lt;=$E$36+1),10,0))</f>
        <v>0</v>
      </c>
      <c r="HO35" s="1908">
        <f ca="1">IF(ENTRADAS!$O$1252="J",IF(AND(HO6+$D$45&gt;=$E$35,HO6+$D$45&lt;=$E$36+1),10,0),IF(AND(HO6+$D$45+1&gt;=$E$35,HO6+$D$45+1&lt;=$E$36+1),10,0))</f>
        <v>0</v>
      </c>
      <c r="HP35" s="1908">
        <f ca="1">IF(ENTRADAS!$O$1252="J",IF(AND(HP6+$D$45&gt;=$E$35,HP6+$D$45&lt;=$E$36+1),10,0),IF(AND(HP6+$D$45+1&gt;=$E$35,HP6+$D$45+1&lt;=$E$36+1),10,0))</f>
        <v>0</v>
      </c>
      <c r="HQ35" s="1907">
        <f ca="1">IF(ENTRADAS!$O$1252="J",IF(AND(HQ6+$D$45&gt;=$E$35,HQ6+$D$45&lt;=$E$36+1),10,0),IF(AND(HQ6+$D$45+1&gt;=$E$35,HQ6+$D$45+1&lt;=$E$36+1),10,0))</f>
        <v>0</v>
      </c>
      <c r="HR35" s="1908">
        <f ca="1">IF(ENTRADAS!$O$1252="J",IF(AND(HR6+$D$45&gt;=$E$35,HR6+$D$45&lt;=$E$36+1),10,0),IF(AND(HR6+$D$45+1&gt;=$E$35,HR6+$D$45+1&lt;=$E$36+1),10,0))</f>
        <v>0</v>
      </c>
      <c r="HS35" s="1908">
        <f ca="1">IF(ENTRADAS!$O$1252="J",IF(AND(HS6+$D$45&gt;=$E$35,HS6+$D$45&lt;=$E$36+1),10,0),IF(AND(HS6+$D$45+1&gt;=$E$35,HS6+$D$45+1&lt;=$E$36+1),10,0))</f>
        <v>0</v>
      </c>
      <c r="HT35" s="1908">
        <f ca="1">IF(ENTRADAS!$O$1252="J",IF(AND(HT6+$D$45&gt;=$E$35,HT6+$D$45&lt;=$E$36+1),10,0),IF(AND(HT6+$D$45+1&gt;=$E$35,HT6+$D$45+1&lt;=$E$36+1),10,0))</f>
        <v>0</v>
      </c>
      <c r="HU35" s="1908">
        <f ca="1">IF(ENTRADAS!$O$1252="J",IF(AND(HU6+$D$45&gt;=$E$35,HU6+$D$45&lt;=$E$36+1),10,0),IF(AND(HU6+$D$45+1&gt;=$E$35,HU6+$D$45+1&lt;=$E$36+1),10,0))</f>
        <v>0</v>
      </c>
      <c r="HV35" s="1908">
        <f ca="1">IF(ENTRADAS!$O$1252="J",IF(AND(HV6+$D$45&gt;=$E$35,HV6+$D$45&lt;=$E$36+1),10,0),IF(AND(HV6+$D$45+1&gt;=$E$35,HV6+$D$45+1&lt;=$E$36+1),10,0))</f>
        <v>0</v>
      </c>
      <c r="HW35" s="1908">
        <f ca="1">IF(ENTRADAS!$O$1252="J",IF(AND(HW6+$D$45&gt;=$E$35,HW6+$D$45&lt;=$E$36+1),10,0),IF(AND(HW6+$D$45+1&gt;=$E$35,HW6+$D$45+1&lt;=$E$36+1),10,0))</f>
        <v>0</v>
      </c>
      <c r="HX35" s="1907">
        <f ca="1">IF(ENTRADAS!$O$1252="J",IF(AND(HX6+$D$45&gt;=$E$35,HX6+$D$45&lt;=$E$36+1),10,0),IF(AND(HX6+$D$45+1&gt;=$E$35,HX6+$D$45+1&lt;=$E$36+1),10,0))</f>
        <v>0</v>
      </c>
      <c r="HY35" s="1908">
        <f ca="1">IF(ENTRADAS!$O$1252="J",IF(AND(HY6+$D$45&gt;=$E$35,HY6+$D$45&lt;=$E$36+1),10,0),IF(AND(HY6+$D$45+1&gt;=$E$35,HY6+$D$45+1&lt;=$E$36+1),10,0))</f>
        <v>0</v>
      </c>
      <c r="HZ35" s="1908">
        <f ca="1">IF(ENTRADAS!$O$1252="J",IF(AND(HZ6+$D$45&gt;=$E$35,HZ6+$D$45&lt;=$E$36+1),10,0),IF(AND(HZ6+$D$45+1&gt;=$E$35,HZ6+$D$45+1&lt;=$E$36+1),10,0))</f>
        <v>0</v>
      </c>
      <c r="IA35" s="1908">
        <f ca="1">IF(ENTRADAS!$O$1252="J",IF(AND(IA6+$D$45&gt;=$E$35,IA6+$D$45&lt;=$E$36+1),10,0),IF(AND(IA6+$D$45+1&gt;=$E$35,IA6+$D$45+1&lt;=$E$36+1),10,0))</f>
        <v>0</v>
      </c>
      <c r="IB35" s="1908">
        <f ca="1">IF(ENTRADAS!$O$1252="J",IF(AND(IB6+$D$45&gt;=$E$35,IB6+$D$45&lt;=$E$36+1),10,0),IF(AND(IB6+$D$45+1&gt;=$E$35,IB6+$D$45+1&lt;=$E$36+1),10,0))</f>
        <v>0</v>
      </c>
      <c r="IC35" s="1908">
        <f ca="1">IF(ENTRADAS!$O$1252="J",IF(AND(IC6+$D$45&gt;=$E$35,IC6+$D$45&lt;=$E$36+1),10,0),IF(AND(IC6+$D$45+1&gt;=$E$35,IC6+$D$45+1&lt;=$E$36+1),10,0))</f>
        <v>0</v>
      </c>
      <c r="ID35" s="1908">
        <f ca="1">IF(ENTRADAS!$O$1252="J",IF(AND(ID6+$D$45&gt;=$E$35,ID6+$D$45&lt;=$E$36+1),10,0),IF(AND(ID6+$D$45+1&gt;=$E$35,ID6+$D$45+1&lt;=$E$36+1),10,0))</f>
        <v>0</v>
      </c>
      <c r="IE35" s="1907">
        <f ca="1">IF(ENTRADAS!$O$1252="J",IF(AND(IE6+$D$45&gt;=$E$35,IE6+$D$45&lt;=$E$36+1),10,0),IF(AND(IE6+$D$45+1&gt;=$E$35,IE6+$D$45+1&lt;=$E$36+1),10,0))</f>
        <v>0</v>
      </c>
      <c r="IF35" s="1908">
        <f ca="1">IF(ENTRADAS!$O$1252="J",IF(AND(IF6+$D$45&gt;=$E$35,IF6+$D$45&lt;=$E$36+1),10,0),IF(AND(IF6+$D$45+1&gt;=$E$35,IF6+$D$45+1&lt;=$E$36+1),10,0))</f>
        <v>0</v>
      </c>
      <c r="IG35" s="1908">
        <f ca="1">IF(ENTRADAS!$O$1252="J",IF(AND(IG6+$D$45&gt;=$E$35,IG6+$D$45&lt;=$E$36+1),10,0),IF(AND(IG6+$D$45+1&gt;=$E$35,IG6+$D$45+1&lt;=$E$36+1),10,0))</f>
        <v>0</v>
      </c>
      <c r="IH35" s="1908">
        <f ca="1">IF(ENTRADAS!$O$1252="J",IF(AND(IH6+$D$45&gt;=$E$35,IH6+$D$45&lt;=$E$36+1),10,0),IF(AND(IH6+$D$45+1&gt;=$E$35,IH6+$D$45+1&lt;=$E$36+1),10,0))</f>
        <v>0</v>
      </c>
      <c r="II35" s="1908">
        <f ca="1">IF(ENTRADAS!$O$1252="J",IF(AND(II6+$D$45&gt;=$E$35,II6+$D$45&lt;=$E$36+1),10,0),IF(AND(II6+$D$45+1&gt;=$E$35,II6+$D$45+1&lt;=$E$36+1),10,0))</f>
        <v>0</v>
      </c>
      <c r="IJ35" s="1908">
        <f ca="1">IF(ENTRADAS!$O$1252="J",IF(AND(IJ6+$D$45&gt;=$E$35,IJ6+$D$45&lt;=$E$36+1),10,0),IF(AND(IJ6+$D$45+1&gt;=$E$35,IJ6+$D$45+1&lt;=$E$36+1),10,0))</f>
        <v>0</v>
      </c>
      <c r="IK35" s="1909">
        <f ca="1">IF(ENTRADAS!$O$1252="J",IF(AND(IK6+$D$45&gt;=$E$35,IK6+$D$45&lt;=$E$36+1),10,0),IF(AND(IK6+$D$45+1&gt;=$E$35,IK6+$D$45+1&lt;=$E$36+1),10,0))</f>
        <v>0</v>
      </c>
    </row>
    <row r="36" spans="1:245" ht="7.5" hidden="1" customHeight="1" x14ac:dyDescent="0.35">
      <c r="A36" s="195">
        <f>IF(B35=0,0,"XXX")</f>
        <v>0</v>
      </c>
      <c r="B36" s="1910"/>
      <c r="C36" s="1912"/>
      <c r="D36" s="360" t="str">
        <f>IF(ENTRADAS!$F$22=0,0,"término:")</f>
        <v>término:</v>
      </c>
      <c r="E36" s="361">
        <f>IF(C35=0,0,E35+F35-1)</f>
        <v>0</v>
      </c>
      <c r="F36" s="1913"/>
      <c r="G36" s="1914"/>
      <c r="H36" s="1907"/>
      <c r="I36" s="1908"/>
      <c r="J36" s="1908"/>
      <c r="K36" s="1908"/>
      <c r="L36" s="1908"/>
      <c r="M36" s="1908"/>
      <c r="N36" s="1908"/>
      <c r="O36" s="1907"/>
      <c r="P36" s="1908"/>
      <c r="Q36" s="1908"/>
      <c r="R36" s="1908"/>
      <c r="S36" s="1908"/>
      <c r="T36" s="1908"/>
      <c r="U36" s="1908"/>
      <c r="V36" s="1907"/>
      <c r="W36" s="1908"/>
      <c r="X36" s="1908"/>
      <c r="Y36" s="1908"/>
      <c r="Z36" s="1908"/>
      <c r="AA36" s="1908"/>
      <c r="AB36" s="1908"/>
      <c r="AC36" s="1907"/>
      <c r="AD36" s="1908"/>
      <c r="AE36" s="1908"/>
      <c r="AF36" s="1908"/>
      <c r="AG36" s="1908"/>
      <c r="AH36" s="1908"/>
      <c r="AI36" s="1908"/>
      <c r="AJ36" s="1907"/>
      <c r="AK36" s="1908"/>
      <c r="AL36" s="1908"/>
      <c r="AM36" s="1908"/>
      <c r="AN36" s="1908"/>
      <c r="AO36" s="1908"/>
      <c r="AP36" s="1908"/>
      <c r="AQ36" s="1907"/>
      <c r="AR36" s="1908"/>
      <c r="AS36" s="1908"/>
      <c r="AT36" s="1908"/>
      <c r="AU36" s="1908"/>
      <c r="AV36" s="1908"/>
      <c r="AW36" s="1908"/>
      <c r="AX36" s="1907"/>
      <c r="AY36" s="1908"/>
      <c r="AZ36" s="1908"/>
      <c r="BA36" s="1908"/>
      <c r="BB36" s="1908"/>
      <c r="BC36" s="1908"/>
      <c r="BD36" s="1908"/>
      <c r="BE36" s="1907"/>
      <c r="BF36" s="1908"/>
      <c r="BG36" s="1908"/>
      <c r="BH36" s="1908"/>
      <c r="BI36" s="1908"/>
      <c r="BJ36" s="1908"/>
      <c r="BK36" s="1908"/>
      <c r="BL36" s="1907"/>
      <c r="BM36" s="1908"/>
      <c r="BN36" s="1908"/>
      <c r="BO36" s="1908"/>
      <c r="BP36" s="1908"/>
      <c r="BQ36" s="1908"/>
      <c r="BR36" s="1908"/>
      <c r="BS36" s="1907"/>
      <c r="BT36" s="1908"/>
      <c r="BU36" s="1908"/>
      <c r="BV36" s="1908"/>
      <c r="BW36" s="1908"/>
      <c r="BX36" s="1908"/>
      <c r="BY36" s="1908"/>
      <c r="BZ36" s="1907"/>
      <c r="CA36" s="1908"/>
      <c r="CB36" s="1908"/>
      <c r="CC36" s="1908"/>
      <c r="CD36" s="1908"/>
      <c r="CE36" s="1908"/>
      <c r="CF36" s="1908"/>
      <c r="CG36" s="1907"/>
      <c r="CH36" s="1908"/>
      <c r="CI36" s="1908"/>
      <c r="CJ36" s="1908"/>
      <c r="CK36" s="1908"/>
      <c r="CL36" s="1908"/>
      <c r="CM36" s="1908"/>
      <c r="CN36" s="1907"/>
      <c r="CO36" s="1908"/>
      <c r="CP36" s="1908"/>
      <c r="CQ36" s="1908"/>
      <c r="CR36" s="1908"/>
      <c r="CS36" s="1908"/>
      <c r="CT36" s="1908"/>
      <c r="CU36" s="1907"/>
      <c r="CV36" s="1908"/>
      <c r="CW36" s="1908"/>
      <c r="CX36" s="1908"/>
      <c r="CY36" s="1908"/>
      <c r="CZ36" s="1908"/>
      <c r="DA36" s="1908"/>
      <c r="DB36" s="1907"/>
      <c r="DC36" s="1908"/>
      <c r="DD36" s="1908"/>
      <c r="DE36" s="1908"/>
      <c r="DF36" s="1908"/>
      <c r="DG36" s="1908"/>
      <c r="DH36" s="1908"/>
      <c r="DI36" s="1907"/>
      <c r="DJ36" s="1908"/>
      <c r="DK36" s="1908"/>
      <c r="DL36" s="1908"/>
      <c r="DM36" s="1908"/>
      <c r="DN36" s="1908"/>
      <c r="DO36" s="1908"/>
      <c r="DP36" s="1907"/>
      <c r="DQ36" s="1908"/>
      <c r="DR36" s="1908"/>
      <c r="DS36" s="1908"/>
      <c r="DT36" s="1908"/>
      <c r="DU36" s="1908"/>
      <c r="DV36" s="1908"/>
      <c r="DW36" s="1907"/>
      <c r="DX36" s="1908"/>
      <c r="DY36" s="1908"/>
      <c r="DZ36" s="1908"/>
      <c r="EA36" s="1908"/>
      <c r="EB36" s="1908"/>
      <c r="EC36" s="1908"/>
      <c r="ED36" s="1907"/>
      <c r="EE36" s="1908"/>
      <c r="EF36" s="1908"/>
      <c r="EG36" s="1908"/>
      <c r="EH36" s="1908"/>
      <c r="EI36" s="1908"/>
      <c r="EJ36" s="1908"/>
      <c r="EK36" s="1907"/>
      <c r="EL36" s="1908"/>
      <c r="EM36" s="1908"/>
      <c r="EN36" s="1908"/>
      <c r="EO36" s="1908"/>
      <c r="EP36" s="1908"/>
      <c r="EQ36" s="1908"/>
      <c r="ER36" s="1907"/>
      <c r="ES36" s="1908"/>
      <c r="ET36" s="1908"/>
      <c r="EU36" s="1908"/>
      <c r="EV36" s="1908"/>
      <c r="EW36" s="1908"/>
      <c r="EX36" s="1908"/>
      <c r="EY36" s="1907"/>
      <c r="EZ36" s="1908"/>
      <c r="FA36" s="1908"/>
      <c r="FB36" s="1908"/>
      <c r="FC36" s="1908"/>
      <c r="FD36" s="1908"/>
      <c r="FE36" s="1908"/>
      <c r="FF36" s="1907"/>
      <c r="FG36" s="1908"/>
      <c r="FH36" s="1908"/>
      <c r="FI36" s="1908"/>
      <c r="FJ36" s="1908"/>
      <c r="FK36" s="1908"/>
      <c r="FL36" s="1908"/>
      <c r="FM36" s="1907"/>
      <c r="FN36" s="1908"/>
      <c r="FO36" s="1908"/>
      <c r="FP36" s="1908"/>
      <c r="FQ36" s="1908"/>
      <c r="FR36" s="1908"/>
      <c r="FS36" s="1908"/>
      <c r="FT36" s="1907"/>
      <c r="FU36" s="1908"/>
      <c r="FV36" s="1908"/>
      <c r="FW36" s="1908"/>
      <c r="FX36" s="1908"/>
      <c r="FY36" s="1908"/>
      <c r="FZ36" s="1908"/>
      <c r="GA36" s="1907"/>
      <c r="GB36" s="1908"/>
      <c r="GC36" s="1908"/>
      <c r="GD36" s="1908"/>
      <c r="GE36" s="1908"/>
      <c r="GF36" s="1908"/>
      <c r="GG36" s="1908"/>
      <c r="GH36" s="1907"/>
      <c r="GI36" s="1908"/>
      <c r="GJ36" s="1908"/>
      <c r="GK36" s="1908"/>
      <c r="GL36" s="1908"/>
      <c r="GM36" s="1908"/>
      <c r="GN36" s="1908"/>
      <c r="GO36" s="1907"/>
      <c r="GP36" s="1908"/>
      <c r="GQ36" s="1908"/>
      <c r="GR36" s="1908"/>
      <c r="GS36" s="1908"/>
      <c r="GT36" s="1908"/>
      <c r="GU36" s="1908"/>
      <c r="GV36" s="1907"/>
      <c r="GW36" s="1908"/>
      <c r="GX36" s="1908"/>
      <c r="GY36" s="1908"/>
      <c r="GZ36" s="1908"/>
      <c r="HA36" s="1908"/>
      <c r="HB36" s="1908"/>
      <c r="HC36" s="1907"/>
      <c r="HD36" s="1908"/>
      <c r="HE36" s="1908"/>
      <c r="HF36" s="1908"/>
      <c r="HG36" s="1908"/>
      <c r="HH36" s="1908"/>
      <c r="HI36" s="1908"/>
      <c r="HJ36" s="1907"/>
      <c r="HK36" s="1908"/>
      <c r="HL36" s="1908"/>
      <c r="HM36" s="1908"/>
      <c r="HN36" s="1908"/>
      <c r="HO36" s="1908"/>
      <c r="HP36" s="1908"/>
      <c r="HQ36" s="1907"/>
      <c r="HR36" s="1908"/>
      <c r="HS36" s="1908"/>
      <c r="HT36" s="1908"/>
      <c r="HU36" s="1908"/>
      <c r="HV36" s="1908"/>
      <c r="HW36" s="1908"/>
      <c r="HX36" s="1907"/>
      <c r="HY36" s="1908"/>
      <c r="HZ36" s="1908"/>
      <c r="IA36" s="1908"/>
      <c r="IB36" s="1908"/>
      <c r="IC36" s="1908"/>
      <c r="ID36" s="1908"/>
      <c r="IE36" s="1907"/>
      <c r="IF36" s="1908"/>
      <c r="IG36" s="1908"/>
      <c r="IH36" s="1908"/>
      <c r="II36" s="1908"/>
      <c r="IJ36" s="1908"/>
      <c r="IK36" s="1909"/>
    </row>
    <row r="37" spans="1:245" ht="7.5" hidden="1" customHeight="1" x14ac:dyDescent="0.35">
      <c r="A37" s="195">
        <f>IF(B37=0,0,"XXX")</f>
        <v>0</v>
      </c>
      <c r="B37" s="1910">
        <f>IF(ENTRADAS!I1255=0,0,ENTRADAS!C1255)</f>
        <v>0</v>
      </c>
      <c r="C37" s="1911">
        <f>IF(ENTRADAS!I1255="x",ENTRADAS!D1255,0)</f>
        <v>0</v>
      </c>
      <c r="D37" s="358" t="str">
        <f>IF(ENTRADAS!$F$22=0,0,"início:")</f>
        <v>início:</v>
      </c>
      <c r="E37" s="359">
        <f>IF(C37=0,0,IF(F38&gt;0,F38+D45,IF(ENTRADAS!$O$1252="J",E22+2,E22+1+F33+1+F35+2)))</f>
        <v>0</v>
      </c>
      <c r="F37" s="454">
        <f>IF(C37=0,0,ENTRADAS!$H$1255)</f>
        <v>0</v>
      </c>
      <c r="G37" s="455" t="str">
        <f>IF(ENTRADAS!$F$22=0,0,"dias")</f>
        <v>dias</v>
      </c>
      <c r="H37" s="1907">
        <f>IF(F37=0,0,IF(ENTRADAS!$O$1252="J",IF(AND(H6+$D$45&gt;=$E$37,H6+$D$45&lt;=$E$38+1),10,0),IF(AND(H6+$D$45+2&gt;=$E$37,H6+$D$45+2&lt;=$E$38+1),10,0)))</f>
        <v>0</v>
      </c>
      <c r="I37" s="1908">
        <f ca="1">IF(ENTRADAS!$O$1252="J",IF(AND(I6+$D$45&gt;=$E$37,I6+$D$45&lt;=$E$38+1),10,0),IF(AND(I6+$D$45+2&gt;=$E$37,I6+$D$45+2&lt;=$E$38+1),10,0))</f>
        <v>0</v>
      </c>
      <c r="J37" s="1908">
        <f ca="1">IF(ENTRADAS!$O$1252="J",IF(AND(J6+$D$45&gt;=$E$37,J6+$D$45&lt;=$E$38+1),10,0),IF(AND(J6+$D$45+2&gt;=$E$37,J6+$D$45+2&lt;=$E$38+1),10,0))</f>
        <v>0</v>
      </c>
      <c r="K37" s="1908">
        <f ca="1">IF(ENTRADAS!$O$1252="J",IF(AND(K6+$D$45&gt;=$E$37,K6+$D$45&lt;=$E$38+1),10,0),IF(AND(K6+$D$45+2&gt;=$E$37,K6+$D$45+2&lt;=$E$38+1),10,0))</f>
        <v>0</v>
      </c>
      <c r="L37" s="1908">
        <f ca="1">IF(ENTRADAS!$O$1252="J",IF(AND(L6+$D$45&gt;=$E$37,L6+$D$45&lt;=$E$38+1),10,0),IF(AND(L6+$D$45+2&gt;=$E$37,L6+$D$45+2&lt;=$E$38+1),10,0))</f>
        <v>0</v>
      </c>
      <c r="M37" s="1908">
        <f ca="1">IF(ENTRADAS!$O$1252="J",IF(AND(M6+$D$45&gt;=$E$37,M6+$D$45&lt;=$E$38+1),10,0),IF(AND(M6+$D$45+2&gt;=$E$37,M6+$D$45+2&lt;=$E$38+1),10,0))</f>
        <v>0</v>
      </c>
      <c r="N37" s="1908">
        <f ca="1">IF(ENTRADAS!$O$1252="J",IF(AND(N6+$D$45&gt;=$E$37,N6+$D$45&lt;=$E$38+1),10,0),IF(AND(N6+$D$45+2&gt;=$E$37,N6+$D$45+2&lt;=$E$38+1),10,0))</f>
        <v>0</v>
      </c>
      <c r="O37" s="1907">
        <f ca="1">IF(ENTRADAS!$O$1252="J",IF(AND(O6+$D$45&gt;=$E$37,O6+$D$45&lt;=$E$38+1),10,0),IF(AND(O6+$D$45+2&gt;=$E$37,O6+$D$45+2&lt;=$E$38+1),10,0))</f>
        <v>0</v>
      </c>
      <c r="P37" s="1908">
        <f ca="1">IF(ENTRADAS!$O$1252="J",IF(AND(P6+$D$45&gt;=$E$37,P6+$D$45&lt;=$E$38+1),10,0),IF(AND(P6+$D$45+2&gt;=$E$37,P6+$D$45+2&lt;=$E$38+1),10,0))</f>
        <v>0</v>
      </c>
      <c r="Q37" s="1908">
        <f ca="1">IF(ENTRADAS!$O$1252="J",IF(AND(Q6+$D$45&gt;=$E$37,Q6+$D$45&lt;=$E$38+1),10,0),IF(AND(Q6+$D$45+2&gt;=$E$37,Q6+$D$45+2&lt;=$E$38+1),10,0))</f>
        <v>0</v>
      </c>
      <c r="R37" s="1908">
        <f ca="1">IF(ENTRADAS!$O$1252="J",IF(AND(R6+$D$45&gt;=$E$37,R6+$D$45&lt;=$E$38+1),10,0),IF(AND(R6+$D$45+2&gt;=$E$37,R6+$D$45+2&lt;=$E$38+1),10,0))</f>
        <v>0</v>
      </c>
      <c r="S37" s="1908">
        <f ca="1">IF(ENTRADAS!$O$1252="J",IF(AND(S6+$D$45&gt;=$E$37,S6+$D$45&lt;=$E$38+1),10,0),IF(AND(S6+$D$45+2&gt;=$E$37,S6+$D$45+2&lt;=$E$38+1),10,0))</f>
        <v>0</v>
      </c>
      <c r="T37" s="1908">
        <f ca="1">IF(ENTRADAS!$O$1252="J",IF(AND(T6+$D$45&gt;=$E$37,T6+$D$45&lt;=$E$38+1),10,0),IF(AND(T6+$D$45+2&gt;=$E$37,T6+$D$45+2&lt;=$E$38+1),10,0))</f>
        <v>0</v>
      </c>
      <c r="U37" s="1908">
        <f ca="1">IF(ENTRADAS!$O$1252="J",IF(AND(U6+$D$45&gt;=$E$37,U6+$D$45&lt;=$E$38+1),10,0),IF(AND(U6+$D$45+2&gt;=$E$37,U6+$D$45+2&lt;=$E$38+1),10,0))</f>
        <v>0</v>
      </c>
      <c r="V37" s="1907">
        <f ca="1">IF(ENTRADAS!$O$1252="J",IF(AND(V6+$D$45&gt;=$E$37,V6+$D$45&lt;=$E$38+1),10,0),IF(AND(V6+$D$45+2&gt;=$E$37,V6+$D$45+2&lt;=$E$38+1),10,0))</f>
        <v>0</v>
      </c>
      <c r="W37" s="1908">
        <f ca="1">IF(ENTRADAS!$O$1252="J",IF(AND(W6+$D$45&gt;=$E$37,W6+$D$45&lt;=$E$38+1),10,0),IF(AND(W6+$D$45+2&gt;=$E$37,W6+$D$45+2&lt;=$E$38+1),10,0))</f>
        <v>0</v>
      </c>
      <c r="X37" s="1908">
        <f ca="1">IF(ENTRADAS!$O$1252="J",IF(AND(X6+$D$45&gt;=$E$37,X6+$D$45&lt;=$E$38+1),10,0),IF(AND(X6+$D$45+2&gt;=$E$37,X6+$D$45+2&lt;=$E$38+1),10,0))</f>
        <v>0</v>
      </c>
      <c r="Y37" s="1908">
        <f ca="1">IF(ENTRADAS!$O$1252="J",IF(AND(Y6+$D$45&gt;=$E$37,Y6+$D$45&lt;=$E$38+1),10,0),IF(AND(Y6+$D$45+2&gt;=$E$37,Y6+$D$45+2&lt;=$E$38+1),10,0))</f>
        <v>0</v>
      </c>
      <c r="Z37" s="1908">
        <f ca="1">IF(ENTRADAS!$O$1252="J",IF(AND(Z6+$D$45&gt;=$E$37,Z6+$D$45&lt;=$E$38+1),10,0),IF(AND(Z6+$D$45+2&gt;=$E$37,Z6+$D$45+2&lt;=$E$38+1),10,0))</f>
        <v>0</v>
      </c>
      <c r="AA37" s="1908">
        <f ca="1">IF(ENTRADAS!$O$1252="J",IF(AND(AA6+$D$45&gt;=$E$37,AA6+$D$45&lt;=$E$38+1),10,0),IF(AND(AA6+$D$45+2&gt;=$E$37,AA6+$D$45+2&lt;=$E$38+1),10,0))</f>
        <v>0</v>
      </c>
      <c r="AB37" s="1908">
        <f ca="1">IF(ENTRADAS!$O$1252="J",IF(AND(AB6+$D$45&gt;=$E$37,AB6+$D$45&lt;=$E$38+1),10,0),IF(AND(AB6+$D$45+2&gt;=$E$37,AB6+$D$45+2&lt;=$E$38+1),10,0))</f>
        <v>0</v>
      </c>
      <c r="AC37" s="1907">
        <f ca="1">IF(ENTRADAS!$O$1252="J",IF(AND(AC6+$D$45&gt;=$E$37,AC6+$D$45&lt;=$E$38+1),10,0),IF(AND(AC6+$D$45+2&gt;=$E$37,AC6+$D$45+2&lt;=$E$38+1),10,0))</f>
        <v>0</v>
      </c>
      <c r="AD37" s="1908">
        <f ca="1">IF(ENTRADAS!$O$1252="J",IF(AND(AD6+$D$45&gt;=$E$37,AD6+$D$45&lt;=$E$38+1),10,0),IF(AND(AD6+$D$45+2&gt;=$E$37,AD6+$D$45+2&lt;=$E$38+1),10,0))</f>
        <v>0</v>
      </c>
      <c r="AE37" s="1908">
        <f ca="1">IF(ENTRADAS!$O$1252="J",IF(AND(AE6+$D$45&gt;=$E$37,AE6+$D$45&lt;=$E$38+1),10,0),IF(AND(AE6+$D$45+2&gt;=$E$37,AE6+$D$45+2&lt;=$E$38+1),10,0))</f>
        <v>0</v>
      </c>
      <c r="AF37" s="1908">
        <f ca="1">IF(ENTRADAS!$O$1252="J",IF(AND(AF6+$D$45&gt;=$E$37,AF6+$D$45&lt;=$E$38+1),10,0),IF(AND(AF6+$D$45+2&gt;=$E$37,AF6+$D$45+2&lt;=$E$38+1),10,0))</f>
        <v>0</v>
      </c>
      <c r="AG37" s="1908">
        <f ca="1">IF(ENTRADAS!$O$1252="J",IF(AND(AG6+$D$45&gt;=$E$37,AG6+$D$45&lt;=$E$38+1),10,0),IF(AND(AG6+$D$45+2&gt;=$E$37,AG6+$D$45+2&lt;=$E$38+1),10,0))</f>
        <v>0</v>
      </c>
      <c r="AH37" s="1908">
        <f ca="1">IF(ENTRADAS!$O$1252="J",IF(AND(AH6+$D$45&gt;=$E$37,AH6+$D$45&lt;=$E$38+1),10,0),IF(AND(AH6+$D$45+2&gt;=$E$37,AH6+$D$45+2&lt;=$E$38+1),10,0))</f>
        <v>0</v>
      </c>
      <c r="AI37" s="1908">
        <f ca="1">IF(ENTRADAS!$O$1252="J",IF(AND(AI6+$D$45&gt;=$E$37,AI6+$D$45&lt;=$E$38+1),10,0),IF(AND(AI6+$D$45+2&gt;=$E$37,AI6+$D$45+2&lt;=$E$38+1),10,0))</f>
        <v>0</v>
      </c>
      <c r="AJ37" s="1907">
        <f ca="1">IF(ENTRADAS!$O$1252="J",IF(AND(AJ6+$D$45&gt;=$E$37,AJ6+$D$45&lt;=$E$38+1),10,0),IF(AND(AJ6+$D$45+2&gt;=$E$37,AJ6+$D$45+2&lt;=$E$38+1),10,0))</f>
        <v>0</v>
      </c>
      <c r="AK37" s="1908">
        <f ca="1">IF(ENTRADAS!$O$1252="J",IF(AND(AK6+$D$45&gt;=$E$37,AK6+$D$45&lt;=$E$38+1),10,0),IF(AND(AK6+$D$45+2&gt;=$E$37,AK6+$D$45+2&lt;=$E$38+1),10,0))</f>
        <v>0</v>
      </c>
      <c r="AL37" s="1908">
        <f ca="1">IF(ENTRADAS!$O$1252="J",IF(AND(AL6+$D$45&gt;=$E$37,AL6+$D$45&lt;=$E$38+1),10,0),IF(AND(AL6+$D$45+2&gt;=$E$37,AL6+$D$45+2&lt;=$E$38+1),10,0))</f>
        <v>0</v>
      </c>
      <c r="AM37" s="1908">
        <f ca="1">IF(ENTRADAS!$O$1252="J",IF(AND(AM6+$D$45&gt;=$E$37,AM6+$D$45&lt;=$E$38+1),10,0),IF(AND(AM6+$D$45+2&gt;=$E$37,AM6+$D$45+2&lt;=$E$38+1),10,0))</f>
        <v>0</v>
      </c>
      <c r="AN37" s="1908">
        <f ca="1">IF(ENTRADAS!$O$1252="J",IF(AND(AN6+$D$45&gt;=$E$37,AN6+$D$45&lt;=$E$38+1),10,0),IF(AND(AN6+$D$45+2&gt;=$E$37,AN6+$D$45+2&lt;=$E$38+1),10,0))</f>
        <v>0</v>
      </c>
      <c r="AO37" s="1908">
        <f ca="1">IF(ENTRADAS!$O$1252="J",IF(AND(AO6+$D$45&gt;=$E$37,AO6+$D$45&lt;=$E$38+1),10,0),IF(AND(AO6+$D$45+2&gt;=$E$37,AO6+$D$45+2&lt;=$E$38+1),10,0))</f>
        <v>0</v>
      </c>
      <c r="AP37" s="1908">
        <f ca="1">IF(ENTRADAS!$O$1252="J",IF(AND(AP6+$D$45&gt;=$E$37,AP6+$D$45&lt;=$E$38+1),10,0),IF(AND(AP6+$D$45+2&gt;=$E$37,AP6+$D$45+2&lt;=$E$38+1),10,0))</f>
        <v>0</v>
      </c>
      <c r="AQ37" s="1907">
        <f ca="1">IF(ENTRADAS!$O$1252="J",IF(AND(AQ6+$D$45&gt;=$E$37,AQ6+$D$45&lt;=$E$38+1),10,0),IF(AND(AQ6+$D$45+2&gt;=$E$37,AQ6+$D$45+2&lt;=$E$38+1),10,0))</f>
        <v>0</v>
      </c>
      <c r="AR37" s="1908">
        <f ca="1">IF(ENTRADAS!$O$1252="J",IF(AND(AR6+$D$45&gt;=$E$37,AR6+$D$45&lt;=$E$38+1),10,0),IF(AND(AR6+$D$45+2&gt;=$E$37,AR6+$D$45+2&lt;=$E$38+1),10,0))</f>
        <v>0</v>
      </c>
      <c r="AS37" s="1908">
        <f ca="1">IF(ENTRADAS!$O$1252="J",IF(AND(AS6+$D$45&gt;=$E$37,AS6+$D$45&lt;=$E$38+1),10,0),IF(AND(AS6+$D$45+2&gt;=$E$37,AS6+$D$45+2&lt;=$E$38+1),10,0))</f>
        <v>0</v>
      </c>
      <c r="AT37" s="1908">
        <f ca="1">IF(ENTRADAS!$O$1252="J",IF(AND(AT6+$D$45&gt;=$E$37,AT6+$D$45&lt;=$E$38+1),10,0),IF(AND(AT6+$D$45+2&gt;=$E$37,AT6+$D$45+2&lt;=$E$38+1),10,0))</f>
        <v>0</v>
      </c>
      <c r="AU37" s="1908">
        <f ca="1">IF(ENTRADAS!$O$1252="J",IF(AND(AU6+$D$45&gt;=$E$37,AU6+$D$45&lt;=$E$38+1),10,0),IF(AND(AU6+$D$45+2&gt;=$E$37,AU6+$D$45+2&lt;=$E$38+1),10,0))</f>
        <v>0</v>
      </c>
      <c r="AV37" s="1908">
        <f ca="1">IF(ENTRADAS!$O$1252="J",IF(AND(AV6+$D$45&gt;=$E$37,AV6+$D$45&lt;=$E$38+1),10,0),IF(AND(AV6+$D$45+2&gt;=$E$37,AV6+$D$45+2&lt;=$E$38+1),10,0))</f>
        <v>0</v>
      </c>
      <c r="AW37" s="1908">
        <f ca="1">IF(ENTRADAS!$O$1252="J",IF(AND(AW6+$D$45&gt;=$E$37,AW6+$D$45&lt;=$E$38+1),10,0),IF(AND(AW6+$D$45+2&gt;=$E$37,AW6+$D$45+2&lt;=$E$38+1),10,0))</f>
        <v>0</v>
      </c>
      <c r="AX37" s="1907">
        <f ca="1">IF(ENTRADAS!$O$1252="J",IF(AND(AX6+$D$45&gt;=$E$37,AX6+$D$45&lt;=$E$38+1),10,0),IF(AND(AX6+$D$45+2&gt;=$E$37,AX6+$D$45+2&lt;=$E$38+1),10,0))</f>
        <v>0</v>
      </c>
      <c r="AY37" s="1908">
        <f ca="1">IF(ENTRADAS!$O$1252="J",IF(AND(AY6+$D$45&gt;=$E$37,AY6+$D$45&lt;=$E$38+1),10,0),IF(AND(AY6+$D$45+2&gt;=$E$37,AY6+$D$45+2&lt;=$E$38+1),10,0))</f>
        <v>0</v>
      </c>
      <c r="AZ37" s="1908">
        <f ca="1">IF(ENTRADAS!$O$1252="J",IF(AND(AZ6+$D$45&gt;=$E$37,AZ6+$D$45&lt;=$E$38+1),10,0),IF(AND(AZ6+$D$45+2&gt;=$E$37,AZ6+$D$45+2&lt;=$E$38+1),10,0))</f>
        <v>0</v>
      </c>
      <c r="BA37" s="1908">
        <f ca="1">IF(ENTRADAS!$O$1252="J",IF(AND(BA6+$D$45&gt;=$E$37,BA6+$D$45&lt;=$E$38+1),10,0),IF(AND(BA6+$D$45+2&gt;=$E$37,BA6+$D$45+2&lt;=$E$38+1),10,0))</f>
        <v>0</v>
      </c>
      <c r="BB37" s="1908">
        <f ca="1">IF(ENTRADAS!$O$1252="J",IF(AND(BB6+$D$45&gt;=$E$37,BB6+$D$45&lt;=$E$38+1),10,0),IF(AND(BB6+$D$45+2&gt;=$E$37,BB6+$D$45+2&lt;=$E$38+1),10,0))</f>
        <v>0</v>
      </c>
      <c r="BC37" s="1908">
        <f ca="1">IF(ENTRADAS!$O$1252="J",IF(AND(BC6+$D$45&gt;=$E$37,BC6+$D$45&lt;=$E$38+1),10,0),IF(AND(BC6+$D$45+2&gt;=$E$37,BC6+$D$45+2&lt;=$E$38+1),10,0))</f>
        <v>0</v>
      </c>
      <c r="BD37" s="1908">
        <f ca="1">IF(ENTRADAS!$O$1252="J",IF(AND(BD6+$D$45&gt;=$E$37,BD6+$D$45&lt;=$E$38+1),10,0),IF(AND(BD6+$D$45+2&gt;=$E$37,BD6+$D$45+2&lt;=$E$38+1),10,0))</f>
        <v>0</v>
      </c>
      <c r="BE37" s="1907">
        <f ca="1">IF(ENTRADAS!$O$1252="J",IF(AND(BE6+$D$45&gt;=$E$37,BE6+$D$45&lt;=$E$38+1),10,0),IF(AND(BE6+$D$45+2&gt;=$E$37,BE6+$D$45+2&lt;=$E$38+1),10,0))</f>
        <v>0</v>
      </c>
      <c r="BF37" s="1908">
        <f ca="1">IF(ENTRADAS!$O$1252="J",IF(AND(BF6+$D$45&gt;=$E$37,BF6+$D$45&lt;=$E$38+1),10,0),IF(AND(BF6+$D$45+2&gt;=$E$37,BF6+$D$45+2&lt;=$E$38+1),10,0))</f>
        <v>0</v>
      </c>
      <c r="BG37" s="1908">
        <f ca="1">IF(ENTRADAS!$O$1252="J",IF(AND(BG6+$D$45&gt;=$E$37,BG6+$D$45&lt;=$E$38+1),10,0),IF(AND(BG6+$D$45+2&gt;=$E$37,BG6+$D$45+2&lt;=$E$38+1),10,0))</f>
        <v>0</v>
      </c>
      <c r="BH37" s="1908">
        <f ca="1">IF(ENTRADAS!$O$1252="J",IF(AND(BH6+$D$45&gt;=$E$37,BH6+$D$45&lt;=$E$38+1),10,0),IF(AND(BH6+$D$45+2&gt;=$E$37,BH6+$D$45+2&lt;=$E$38+1),10,0))</f>
        <v>0</v>
      </c>
      <c r="BI37" s="1908">
        <f ca="1">IF(ENTRADAS!$O$1252="J",IF(AND(BI6+$D$45&gt;=$E$37,BI6+$D$45&lt;=$E$38+1),10,0),IF(AND(BI6+$D$45+2&gt;=$E$37,BI6+$D$45+2&lt;=$E$38+1),10,0))</f>
        <v>0</v>
      </c>
      <c r="BJ37" s="1908">
        <f ca="1">IF(ENTRADAS!$O$1252="J",IF(AND(BJ6+$D$45&gt;=$E$37,BJ6+$D$45&lt;=$E$38+1),10,0),IF(AND(BJ6+$D$45+2&gt;=$E$37,BJ6+$D$45+2&lt;=$E$38+1),10,0))</f>
        <v>0</v>
      </c>
      <c r="BK37" s="1908">
        <f ca="1">IF(ENTRADAS!$O$1252="J",IF(AND(BK6+$D$45&gt;=$E$37,BK6+$D$45&lt;=$E$38+1),10,0),IF(AND(BK6+$D$45+2&gt;=$E$37,BK6+$D$45+2&lt;=$E$38+1),10,0))</f>
        <v>0</v>
      </c>
      <c r="BL37" s="1907">
        <f ca="1">IF(ENTRADAS!$O$1252="J",IF(AND(BL6+$D$45&gt;=$E$37,BL6+$D$45&lt;=$E$38+1),10,0),IF(AND(BL6+$D$45+2&gt;=$E$37,BL6+$D$45+2&lt;=$E$38+1),10,0))</f>
        <v>0</v>
      </c>
      <c r="BM37" s="1908">
        <f ca="1">IF(ENTRADAS!$O$1252="J",IF(AND(BM6+$D$45&gt;=$E$37,BM6+$D$45&lt;=$E$38+1),10,0),IF(AND(BM6+$D$45+2&gt;=$E$37,BM6+$D$45+2&lt;=$E$38+1),10,0))</f>
        <v>0</v>
      </c>
      <c r="BN37" s="1908">
        <f ca="1">IF(ENTRADAS!$O$1252="J",IF(AND(BN6+$D$45&gt;=$E$37,BN6+$D$45&lt;=$E$38+1),10,0),IF(AND(BN6+$D$45+2&gt;=$E$37,BN6+$D$45+2&lt;=$E$38+1),10,0))</f>
        <v>0</v>
      </c>
      <c r="BO37" s="1908">
        <f ca="1">IF(ENTRADAS!$O$1252="J",IF(AND(BO6+$D$45&gt;=$E$37,BO6+$D$45&lt;=$E$38+1),10,0),IF(AND(BO6+$D$45+2&gt;=$E$37,BO6+$D$45+2&lt;=$E$38+1),10,0))</f>
        <v>0</v>
      </c>
      <c r="BP37" s="1908">
        <f ca="1">IF(ENTRADAS!$O$1252="J",IF(AND(BP6+$D$45&gt;=$E$37,BP6+$D$45&lt;=$E$38+1),10,0),IF(AND(BP6+$D$45+2&gt;=$E$37,BP6+$D$45+2&lt;=$E$38+1),10,0))</f>
        <v>0</v>
      </c>
      <c r="BQ37" s="1908">
        <f ca="1">IF(ENTRADAS!$O$1252="J",IF(AND(BQ6+$D$45&gt;=$E$37,BQ6+$D$45&lt;=$E$38+1),10,0),IF(AND(BQ6+$D$45+2&gt;=$E$37,BQ6+$D$45+2&lt;=$E$38+1),10,0))</f>
        <v>0</v>
      </c>
      <c r="BR37" s="1908">
        <f ca="1">IF(ENTRADAS!$O$1252="J",IF(AND(BR6+$D$45&gt;=$E$37,BR6+$D$45&lt;=$E$38+1),10,0),IF(AND(BR6+$D$45+2&gt;=$E$37,BR6+$D$45+2&lt;=$E$38+1),10,0))</f>
        <v>0</v>
      </c>
      <c r="BS37" s="1907">
        <f ca="1">IF(ENTRADAS!$O$1252="J",IF(AND(BS6+$D$45&gt;=$E$37,BS6+$D$45&lt;=$E$38+1),10,0),IF(AND(BS6+$D$45+2&gt;=$E$37,BS6+$D$45+2&lt;=$E$38+1),10,0))</f>
        <v>0</v>
      </c>
      <c r="BT37" s="1908">
        <f ca="1">IF(ENTRADAS!$O$1252="J",IF(AND(BT6+$D$45&gt;=$E$37,BT6+$D$45&lt;=$E$38+1),10,0),IF(AND(BT6+$D$45+2&gt;=$E$37,BT6+$D$45+2&lt;=$E$38+1),10,0))</f>
        <v>0</v>
      </c>
      <c r="BU37" s="1908">
        <f ca="1">IF(ENTRADAS!$O$1252="J",IF(AND(BU6+$D$45&gt;=$E$37,BU6+$D$45&lt;=$E$38+1),10,0),IF(AND(BU6+$D$45+2&gt;=$E$37,BU6+$D$45+2&lt;=$E$38+1),10,0))</f>
        <v>0</v>
      </c>
      <c r="BV37" s="1908">
        <f ca="1">IF(ENTRADAS!$O$1252="J",IF(AND(BV6+$D$45&gt;=$E$37,BV6+$D$45&lt;=$E$38+1),10,0),IF(AND(BV6+$D$45+2&gt;=$E$37,BV6+$D$45+2&lt;=$E$38+1),10,0))</f>
        <v>0</v>
      </c>
      <c r="BW37" s="1908">
        <f ca="1">IF(ENTRADAS!$O$1252="J",IF(AND(BW6+$D$45&gt;=$E$37,BW6+$D$45&lt;=$E$38+1),10,0),IF(AND(BW6+$D$45+2&gt;=$E$37,BW6+$D$45+2&lt;=$E$38+1),10,0))</f>
        <v>0</v>
      </c>
      <c r="BX37" s="1908">
        <f ca="1">IF(ENTRADAS!$O$1252="J",IF(AND(BX6+$D$45&gt;=$E$37,BX6+$D$45&lt;=$E$38+1),10,0),IF(AND(BX6+$D$45+2&gt;=$E$37,BX6+$D$45+2&lt;=$E$38+1),10,0))</f>
        <v>0</v>
      </c>
      <c r="BY37" s="1908">
        <f ca="1">IF(ENTRADAS!$O$1252="J",IF(AND(BY6+$D$45&gt;=$E$37,BY6+$D$45&lt;=$E$38+1),10,0),IF(AND(BY6+$D$45+2&gt;=$E$37,BY6+$D$45+2&lt;=$E$38+1),10,0))</f>
        <v>0</v>
      </c>
      <c r="BZ37" s="1907">
        <f ca="1">IF(ENTRADAS!$O$1252="J",IF(AND(BZ6+$D$45&gt;=$E$37,BZ6+$D$45&lt;=$E$38+1),10,0),IF(AND(BZ6+$D$45+2&gt;=$E$37,BZ6+$D$45+2&lt;=$E$38+1),10,0))</f>
        <v>0</v>
      </c>
      <c r="CA37" s="1908">
        <f ca="1">IF(ENTRADAS!$O$1252="J",IF(AND(CA6+$D$45&gt;=$E$37,CA6+$D$45&lt;=$E$38+1),10,0),IF(AND(CA6+$D$45+2&gt;=$E$37,CA6+$D$45+2&lt;=$E$38+1),10,0))</f>
        <v>0</v>
      </c>
      <c r="CB37" s="1908">
        <f ca="1">IF(ENTRADAS!$O$1252="J",IF(AND(CB6+$D$45&gt;=$E$37,CB6+$D$45&lt;=$E$38+1),10,0),IF(AND(CB6+$D$45+2&gt;=$E$37,CB6+$D$45+2&lt;=$E$38+1),10,0))</f>
        <v>0</v>
      </c>
      <c r="CC37" s="1908">
        <f ca="1">IF(ENTRADAS!$O$1252="J",IF(AND(CC6+$D$45&gt;=$E$37,CC6+$D$45&lt;=$E$38+1),10,0),IF(AND(CC6+$D$45+2&gt;=$E$37,CC6+$D$45+2&lt;=$E$38+1),10,0))</f>
        <v>0</v>
      </c>
      <c r="CD37" s="1908">
        <f ca="1">IF(ENTRADAS!$O$1252="J",IF(AND(CD6+$D$45&gt;=$E$37,CD6+$D$45&lt;=$E$38+1),10,0),IF(AND(CD6+$D$45+2&gt;=$E$37,CD6+$D$45+2&lt;=$E$38+1),10,0))</f>
        <v>0</v>
      </c>
      <c r="CE37" s="1908">
        <f ca="1">IF(ENTRADAS!$O$1252="J",IF(AND(CE6+$D$45&gt;=$E$37,CE6+$D$45&lt;=$E$38+1),10,0),IF(AND(CE6+$D$45+2&gt;=$E$37,CE6+$D$45+2&lt;=$E$38+1),10,0))</f>
        <v>0</v>
      </c>
      <c r="CF37" s="1908">
        <f ca="1">IF(ENTRADAS!$O$1252="J",IF(AND(CF6+$D$45&gt;=$E$37,CF6+$D$45&lt;=$E$38+1),10,0),IF(AND(CF6+$D$45+2&gt;=$E$37,CF6+$D$45+2&lt;=$E$38+1),10,0))</f>
        <v>0</v>
      </c>
      <c r="CG37" s="1907">
        <f ca="1">IF(ENTRADAS!$O$1252="J",IF(AND(CG6+$D$45&gt;=$E$37,CG6+$D$45&lt;=$E$38+1),10,0),IF(AND(CG6+$D$45+2&gt;=$E$37,CG6+$D$45+2&lt;=$E$38+1),10,0))</f>
        <v>0</v>
      </c>
      <c r="CH37" s="1908">
        <f ca="1">IF(ENTRADAS!$O$1252="J",IF(AND(CH6+$D$45&gt;=$E$37,CH6+$D$45&lt;=$E$38+1),10,0),IF(AND(CH6+$D$45+2&gt;=$E$37,CH6+$D$45+2&lt;=$E$38+1),10,0))</f>
        <v>0</v>
      </c>
      <c r="CI37" s="1908">
        <f ca="1">IF(ENTRADAS!$O$1252="J",IF(AND(CI6+$D$45&gt;=$E$37,CI6+$D$45&lt;=$E$38+1),10,0),IF(AND(CI6+$D$45+2&gt;=$E$37,CI6+$D$45+2&lt;=$E$38+1),10,0))</f>
        <v>0</v>
      </c>
      <c r="CJ37" s="1908">
        <f ca="1">IF(ENTRADAS!$O$1252="J",IF(AND(CJ6+$D$45&gt;=$E$37,CJ6+$D$45&lt;=$E$38+1),10,0),IF(AND(CJ6+$D$45+2&gt;=$E$37,CJ6+$D$45+2&lt;=$E$38+1),10,0))</f>
        <v>0</v>
      </c>
      <c r="CK37" s="1908">
        <f ca="1">IF(ENTRADAS!$O$1252="J",IF(AND(CK6+$D$45&gt;=$E$37,CK6+$D$45&lt;=$E$38+1),10,0),IF(AND(CK6+$D$45+2&gt;=$E$37,CK6+$D$45+2&lt;=$E$38+1),10,0))</f>
        <v>0</v>
      </c>
      <c r="CL37" s="1908">
        <f ca="1">IF(ENTRADAS!$O$1252="J",IF(AND(CL6+$D$45&gt;=$E$37,CL6+$D$45&lt;=$E$38+1),10,0),IF(AND(CL6+$D$45+2&gt;=$E$37,CL6+$D$45+2&lt;=$E$38+1),10,0))</f>
        <v>0</v>
      </c>
      <c r="CM37" s="1908">
        <f ca="1">IF(ENTRADAS!$O$1252="J",IF(AND(CM6+$D$45&gt;=$E$37,CM6+$D$45&lt;=$E$38+1),10,0),IF(AND(CM6+$D$45+2&gt;=$E$37,CM6+$D$45+2&lt;=$E$38+1),10,0))</f>
        <v>0</v>
      </c>
      <c r="CN37" s="1907">
        <f ca="1">IF(ENTRADAS!$O$1252="J",IF(AND(CN6+$D$45&gt;=$E$37,CN6+$D$45&lt;=$E$38+1),10,0),IF(AND(CN6+$D$45+2&gt;=$E$37,CN6+$D$45+2&lt;=$E$38+1),10,0))</f>
        <v>0</v>
      </c>
      <c r="CO37" s="1908">
        <f ca="1">IF(ENTRADAS!$O$1252="J",IF(AND(CO6+$D$45&gt;=$E$37,CO6+$D$45&lt;=$E$38+1),10,0),IF(AND(CO6+$D$45+2&gt;=$E$37,CO6+$D$45+2&lt;=$E$38+1),10,0))</f>
        <v>0</v>
      </c>
      <c r="CP37" s="1908">
        <f ca="1">IF(ENTRADAS!$O$1252="J",IF(AND(CP6+$D$45&gt;=$E$37,CP6+$D$45&lt;=$E$38+1),10,0),IF(AND(CP6+$D$45+2&gt;=$E$37,CP6+$D$45+2&lt;=$E$38+1),10,0))</f>
        <v>0</v>
      </c>
      <c r="CQ37" s="1908">
        <f ca="1">IF(ENTRADAS!$O$1252="J",IF(AND(CQ6+$D$45&gt;=$E$37,CQ6+$D$45&lt;=$E$38+1),10,0),IF(AND(CQ6+$D$45+2&gt;=$E$37,CQ6+$D$45+2&lt;=$E$38+1),10,0))</f>
        <v>0</v>
      </c>
      <c r="CR37" s="1908">
        <f ca="1">IF(ENTRADAS!$O$1252="J",IF(AND(CR6+$D$45&gt;=$E$37,CR6+$D$45&lt;=$E$38+1),10,0),IF(AND(CR6+$D$45+2&gt;=$E$37,CR6+$D$45+2&lt;=$E$38+1),10,0))</f>
        <v>0</v>
      </c>
      <c r="CS37" s="1908">
        <f ca="1">IF(ENTRADAS!$O$1252="J",IF(AND(CS6+$D$45&gt;=$E$37,CS6+$D$45&lt;=$E$38+1),10,0),IF(AND(CS6+$D$45+2&gt;=$E$37,CS6+$D$45+2&lt;=$E$38+1),10,0))</f>
        <v>0</v>
      </c>
      <c r="CT37" s="1908">
        <f ca="1">IF(ENTRADAS!$O$1252="J",IF(AND(CT6+$D$45&gt;=$E$37,CT6+$D$45&lt;=$E$38+1),10,0),IF(AND(CT6+$D$45+2&gt;=$E$37,CT6+$D$45+2&lt;=$E$38+1),10,0))</f>
        <v>0</v>
      </c>
      <c r="CU37" s="1907">
        <f ca="1">IF(ENTRADAS!$O$1252="J",IF(AND(CU6+$D$45&gt;=$E$37,CU6+$D$45&lt;=$E$38+1),10,0),IF(AND(CU6+$D$45+2&gt;=$E$37,CU6+$D$45+2&lt;=$E$38+1),10,0))</f>
        <v>0</v>
      </c>
      <c r="CV37" s="1908">
        <f ca="1">IF(ENTRADAS!$O$1252="J",IF(AND(CV6+$D$45&gt;=$E$37,CV6+$D$45&lt;=$E$38+1),10,0),IF(AND(CV6+$D$45+2&gt;=$E$37,CV6+$D$45+2&lt;=$E$38+1),10,0))</f>
        <v>0</v>
      </c>
      <c r="CW37" s="1908">
        <f ca="1">IF(ENTRADAS!$O$1252="J",IF(AND(CW6+$D$45&gt;=$E$37,CW6+$D$45&lt;=$E$38+1),10,0),IF(AND(CW6+$D$45+2&gt;=$E$37,CW6+$D$45+2&lt;=$E$38+1),10,0))</f>
        <v>0</v>
      </c>
      <c r="CX37" s="1908">
        <f ca="1">IF(ENTRADAS!$O$1252="J",IF(AND(CX6+$D$45&gt;=$E$37,CX6+$D$45&lt;=$E$38+1),10,0),IF(AND(CX6+$D$45+2&gt;=$E$37,CX6+$D$45+2&lt;=$E$38+1),10,0))</f>
        <v>0</v>
      </c>
      <c r="CY37" s="1908">
        <f ca="1">IF(ENTRADAS!$O$1252="J",IF(AND(CY6+$D$45&gt;=$E$37,CY6+$D$45&lt;=$E$38+1),10,0),IF(AND(CY6+$D$45+2&gt;=$E$37,CY6+$D$45+2&lt;=$E$38+1),10,0))</f>
        <v>0</v>
      </c>
      <c r="CZ37" s="1908">
        <f ca="1">IF(ENTRADAS!$O$1252="J",IF(AND(CZ6+$D$45&gt;=$E$37,CZ6+$D$45&lt;=$E$38+1),10,0),IF(AND(CZ6+$D$45+2&gt;=$E$37,CZ6+$D$45+2&lt;=$E$38+1),10,0))</f>
        <v>0</v>
      </c>
      <c r="DA37" s="1908">
        <f ca="1">IF(ENTRADAS!$O$1252="J",IF(AND(DA6+$D$45&gt;=$E$37,DA6+$D$45&lt;=$E$38+1),10,0),IF(AND(DA6+$D$45+2&gt;=$E$37,DA6+$D$45+2&lt;=$E$38+1),10,0))</f>
        <v>0</v>
      </c>
      <c r="DB37" s="1907">
        <f ca="1">IF(ENTRADAS!$O$1252="J",IF(AND(DB6+$D$45&gt;=$E$37,DB6+$D$45&lt;=$E$38+1),10,0),IF(AND(DB6+$D$45+2&gt;=$E$37,DB6+$D$45+2&lt;=$E$38+1),10,0))</f>
        <v>0</v>
      </c>
      <c r="DC37" s="1908">
        <f ca="1">IF(ENTRADAS!$O$1252="J",IF(AND(DC6+$D$45&gt;=$E$37,DC6+$D$45&lt;=$E$38+1),10,0),IF(AND(DC6+$D$45+2&gt;=$E$37,DC6+$D$45+2&lt;=$E$38+1),10,0))</f>
        <v>0</v>
      </c>
      <c r="DD37" s="1908">
        <f ca="1">IF(ENTRADAS!$O$1252="J",IF(AND(DD6+$D$45&gt;=$E$37,DD6+$D$45&lt;=$E$38+1),10,0),IF(AND(DD6+$D$45+2&gt;=$E$37,DD6+$D$45+2&lt;=$E$38+1),10,0))</f>
        <v>0</v>
      </c>
      <c r="DE37" s="1908">
        <f ca="1">IF(ENTRADAS!$O$1252="J",IF(AND(DE6+$D$45&gt;=$E$37,DE6+$D$45&lt;=$E$38+1),10,0),IF(AND(DE6+$D$45+2&gt;=$E$37,DE6+$D$45+2&lt;=$E$38+1),10,0))</f>
        <v>0</v>
      </c>
      <c r="DF37" s="1908">
        <f ca="1">IF(ENTRADAS!$O$1252="J",IF(AND(DF6+$D$45&gt;=$E$37,DF6+$D$45&lt;=$E$38+1),10,0),IF(AND(DF6+$D$45+2&gt;=$E$37,DF6+$D$45+2&lt;=$E$38+1),10,0))</f>
        <v>0</v>
      </c>
      <c r="DG37" s="1908">
        <f ca="1">IF(ENTRADAS!$O$1252="J",IF(AND(DG6+$D$45&gt;=$E$37,DG6+$D$45&lt;=$E$38+1),10,0),IF(AND(DG6+$D$45+2&gt;=$E$37,DG6+$D$45+2&lt;=$E$38+1),10,0))</f>
        <v>0</v>
      </c>
      <c r="DH37" s="1908">
        <f ca="1">IF(ENTRADAS!$O$1252="J",IF(AND(DH6+$D$45&gt;=$E$37,DH6+$D$45&lt;=$E$38+1),10,0),IF(AND(DH6+$D$45+2&gt;=$E$37,DH6+$D$45+2&lt;=$E$38+1),10,0))</f>
        <v>0</v>
      </c>
      <c r="DI37" s="1907">
        <f ca="1">IF(ENTRADAS!$O$1252="J",IF(AND(DI6+$D$45&gt;=$E$37,DI6+$D$45&lt;=$E$38+1),10,0),IF(AND(DI6+$D$45+2&gt;=$E$37,DI6+$D$45+2&lt;=$E$38+1),10,0))</f>
        <v>0</v>
      </c>
      <c r="DJ37" s="1908">
        <f ca="1">IF(ENTRADAS!$O$1252="J",IF(AND(DJ6+$D$45&gt;=$E$37,DJ6+$D$45&lt;=$E$38+1),10,0),IF(AND(DJ6+$D$45+2&gt;=$E$37,DJ6+$D$45+2&lt;=$E$38+1),10,0))</f>
        <v>0</v>
      </c>
      <c r="DK37" s="1908">
        <f ca="1">IF(ENTRADAS!$O$1252="J",IF(AND(DK6+$D$45&gt;=$E$37,DK6+$D$45&lt;=$E$38+1),10,0),IF(AND(DK6+$D$45+2&gt;=$E$37,DK6+$D$45+2&lt;=$E$38+1),10,0))</f>
        <v>0</v>
      </c>
      <c r="DL37" s="1908">
        <f ca="1">IF(ENTRADAS!$O$1252="J",IF(AND(DL6+$D$45&gt;=$E$37,DL6+$D$45&lt;=$E$38+1),10,0),IF(AND(DL6+$D$45+2&gt;=$E$37,DL6+$D$45+2&lt;=$E$38+1),10,0))</f>
        <v>0</v>
      </c>
      <c r="DM37" s="1908">
        <f ca="1">IF(ENTRADAS!$O$1252="J",IF(AND(DM6+$D$45&gt;=$E$37,DM6+$D$45&lt;=$E$38+1),10,0),IF(AND(DM6+$D$45+2&gt;=$E$37,DM6+$D$45+2&lt;=$E$38+1),10,0))</f>
        <v>0</v>
      </c>
      <c r="DN37" s="1908">
        <f ca="1">IF(ENTRADAS!$O$1252="J",IF(AND(DN6+$D$45&gt;=$E$37,DN6+$D$45&lt;=$E$38+1),10,0),IF(AND(DN6+$D$45+2&gt;=$E$37,DN6+$D$45+2&lt;=$E$38+1),10,0))</f>
        <v>0</v>
      </c>
      <c r="DO37" s="1908">
        <f ca="1">IF(ENTRADAS!$O$1252="J",IF(AND(DO6+$D$45&gt;=$E$37,DO6+$D$45&lt;=$E$38+1),10,0),IF(AND(DO6+$D$45+2&gt;=$E$37,DO6+$D$45+2&lt;=$E$38+1),10,0))</f>
        <v>0</v>
      </c>
      <c r="DP37" s="1907">
        <f ca="1">IF(ENTRADAS!$O$1252="J",IF(AND(DP6+$D$45&gt;=$E$37,DP6+$D$45&lt;=$E$38+1),10,0),IF(AND(DP6+$D$45+2&gt;=$E$37,DP6+$D$45+2&lt;=$E$38+1),10,0))</f>
        <v>0</v>
      </c>
      <c r="DQ37" s="1908">
        <f ca="1">IF(ENTRADAS!$O$1252="J",IF(AND(DQ6+$D$45&gt;=$E$37,DQ6+$D$45&lt;=$E$38+1),10,0),IF(AND(DQ6+$D$45+2&gt;=$E$37,DQ6+$D$45+2&lt;=$E$38+1),10,0))</f>
        <v>0</v>
      </c>
      <c r="DR37" s="1908">
        <f ca="1">IF(ENTRADAS!$O$1252="J",IF(AND(DR6+$D$45&gt;=$E$37,DR6+$D$45&lt;=$E$38+1),10,0),IF(AND(DR6+$D$45+2&gt;=$E$37,DR6+$D$45+2&lt;=$E$38+1),10,0))</f>
        <v>0</v>
      </c>
      <c r="DS37" s="1908">
        <f ca="1">IF(ENTRADAS!$O$1252="J",IF(AND(DS6+$D$45&gt;=$E$37,DS6+$D$45&lt;=$E$38+1),10,0),IF(AND(DS6+$D$45+2&gt;=$E$37,DS6+$D$45+2&lt;=$E$38+1),10,0))</f>
        <v>0</v>
      </c>
      <c r="DT37" s="1908">
        <f ca="1">IF(ENTRADAS!$O$1252="J",IF(AND(DT6+$D$45&gt;=$E$37,DT6+$D$45&lt;=$E$38+1),10,0),IF(AND(DT6+$D$45+2&gt;=$E$37,DT6+$D$45+2&lt;=$E$38+1),10,0))</f>
        <v>0</v>
      </c>
      <c r="DU37" s="1908">
        <f ca="1">IF(ENTRADAS!$O$1252="J",IF(AND(DU6+$D$45&gt;=$E$37,DU6+$D$45&lt;=$E$38+1),10,0),IF(AND(DU6+$D$45+2&gt;=$E$37,DU6+$D$45+2&lt;=$E$38+1),10,0))</f>
        <v>0</v>
      </c>
      <c r="DV37" s="1908">
        <f ca="1">IF(ENTRADAS!$O$1252="J",IF(AND(DV6+$D$45&gt;=$E$37,DV6+$D$45&lt;=$E$38+1),10,0),IF(AND(DV6+$D$45+2&gt;=$E$37,DV6+$D$45+2&lt;=$E$38+1),10,0))</f>
        <v>0</v>
      </c>
      <c r="DW37" s="1907">
        <f ca="1">IF(ENTRADAS!$O$1252="J",IF(AND(DW6+$D$45&gt;=$E$37,DW6+$D$45&lt;=$E$38+1),10,0),IF(AND(DW6+$D$45+2&gt;=$E$37,DW6+$D$45+2&lt;=$E$38+1),10,0))</f>
        <v>0</v>
      </c>
      <c r="DX37" s="1908">
        <f ca="1">IF(ENTRADAS!$O$1252="J",IF(AND(DX6+$D$45&gt;=$E$37,DX6+$D$45&lt;=$E$38+1),10,0),IF(AND(DX6+$D$45+2&gt;=$E$37,DX6+$D$45+2&lt;=$E$38+1),10,0))</f>
        <v>0</v>
      </c>
      <c r="DY37" s="1908">
        <f ca="1">IF(ENTRADAS!$O$1252="J",IF(AND(DY6+$D$45&gt;=$E$37,DY6+$D$45&lt;=$E$38+1),10,0),IF(AND(DY6+$D$45+2&gt;=$E$37,DY6+$D$45+2&lt;=$E$38+1),10,0))</f>
        <v>0</v>
      </c>
      <c r="DZ37" s="1908">
        <f ca="1">IF(ENTRADAS!$O$1252="J",IF(AND(DZ6+$D$45&gt;=$E$37,DZ6+$D$45&lt;=$E$38+1),10,0),IF(AND(DZ6+$D$45+2&gt;=$E$37,DZ6+$D$45+2&lt;=$E$38+1),10,0))</f>
        <v>0</v>
      </c>
      <c r="EA37" s="1908">
        <f ca="1">IF(ENTRADAS!$O$1252="J",IF(AND(EA6+$D$45&gt;=$E$37,EA6+$D$45&lt;=$E$38+1),10,0),IF(AND(EA6+$D$45+2&gt;=$E$37,EA6+$D$45+2&lt;=$E$38+1),10,0))</f>
        <v>0</v>
      </c>
      <c r="EB37" s="1908">
        <f ca="1">IF(ENTRADAS!$O$1252="J",IF(AND(EB6+$D$45&gt;=$E$37,EB6+$D$45&lt;=$E$38+1),10,0),IF(AND(EB6+$D$45+2&gt;=$E$37,EB6+$D$45+2&lt;=$E$38+1),10,0))</f>
        <v>0</v>
      </c>
      <c r="EC37" s="1908">
        <f ca="1">IF(ENTRADAS!$O$1252="J",IF(AND(EC6+$D$45&gt;=$E$37,EC6+$D$45&lt;=$E$38+1),10,0),IF(AND(EC6+$D$45+2&gt;=$E$37,EC6+$D$45+2&lt;=$E$38+1),10,0))</f>
        <v>0</v>
      </c>
      <c r="ED37" s="1907">
        <f ca="1">IF(ENTRADAS!$O$1252="J",IF(AND(ED6+$D$45&gt;=$E$37,ED6+$D$45&lt;=$E$38+1),10,0),IF(AND(ED6+$D$45+2&gt;=$E$37,ED6+$D$45+2&lt;=$E$38+1),10,0))</f>
        <v>0</v>
      </c>
      <c r="EE37" s="1908">
        <f ca="1">IF(ENTRADAS!$O$1252="J",IF(AND(EE6+$D$45&gt;=$E$37,EE6+$D$45&lt;=$E$38+1),10,0),IF(AND(EE6+$D$45+2&gt;=$E$37,EE6+$D$45+2&lt;=$E$38+1),10,0))</f>
        <v>0</v>
      </c>
      <c r="EF37" s="1908">
        <f ca="1">IF(ENTRADAS!$O$1252="J",IF(AND(EF6+$D$45&gt;=$E$37,EF6+$D$45&lt;=$E$38+1),10,0),IF(AND(EF6+$D$45+2&gt;=$E$37,EF6+$D$45+2&lt;=$E$38+1),10,0))</f>
        <v>0</v>
      </c>
      <c r="EG37" s="1908">
        <f ca="1">IF(ENTRADAS!$O$1252="J",IF(AND(EG6+$D$45&gt;=$E$37,EG6+$D$45&lt;=$E$38+1),10,0),IF(AND(EG6+$D$45+2&gt;=$E$37,EG6+$D$45+2&lt;=$E$38+1),10,0))</f>
        <v>0</v>
      </c>
      <c r="EH37" s="1908">
        <f ca="1">IF(ENTRADAS!$O$1252="J",IF(AND(EH6+$D$45&gt;=$E$37,EH6+$D$45&lt;=$E$38+1),10,0),IF(AND(EH6+$D$45+2&gt;=$E$37,EH6+$D$45+2&lt;=$E$38+1),10,0))</f>
        <v>0</v>
      </c>
      <c r="EI37" s="1908">
        <f ca="1">IF(ENTRADAS!$O$1252="J",IF(AND(EI6+$D$45&gt;=$E$37,EI6+$D$45&lt;=$E$38+1),10,0),IF(AND(EI6+$D$45+2&gt;=$E$37,EI6+$D$45+2&lt;=$E$38+1),10,0))</f>
        <v>0</v>
      </c>
      <c r="EJ37" s="1908">
        <f ca="1">IF(ENTRADAS!$O$1252="J",IF(AND(EJ6+$D$45&gt;=$E$37,EJ6+$D$45&lt;=$E$38+1),10,0),IF(AND(EJ6+$D$45+2&gt;=$E$37,EJ6+$D$45+2&lt;=$E$38+1),10,0))</f>
        <v>0</v>
      </c>
      <c r="EK37" s="1907">
        <f ca="1">IF(ENTRADAS!$O$1252="J",IF(AND(EK6+$D$45&gt;=$E$37,EK6+$D$45&lt;=$E$38+1),10,0),IF(AND(EK6+$D$45+2&gt;=$E$37,EK6+$D$45+2&lt;=$E$38+1),10,0))</f>
        <v>0</v>
      </c>
      <c r="EL37" s="1908">
        <f ca="1">IF(ENTRADAS!$O$1252="J",IF(AND(EL6+$D$45&gt;=$E$37,EL6+$D$45&lt;=$E$38+1),10,0),IF(AND(EL6+$D$45+2&gt;=$E$37,EL6+$D$45+2&lt;=$E$38+1),10,0))</f>
        <v>0</v>
      </c>
      <c r="EM37" s="1908">
        <f ca="1">IF(ENTRADAS!$O$1252="J",IF(AND(EM6+$D$45&gt;=$E$37,EM6+$D$45&lt;=$E$38+1),10,0),IF(AND(EM6+$D$45+2&gt;=$E$37,EM6+$D$45+2&lt;=$E$38+1),10,0))</f>
        <v>0</v>
      </c>
      <c r="EN37" s="1908">
        <f ca="1">IF(ENTRADAS!$O$1252="J",IF(AND(EN6+$D$45&gt;=$E$37,EN6+$D$45&lt;=$E$38+1),10,0),IF(AND(EN6+$D$45+2&gt;=$E$37,EN6+$D$45+2&lt;=$E$38+1),10,0))</f>
        <v>0</v>
      </c>
      <c r="EO37" s="1908">
        <f ca="1">IF(ENTRADAS!$O$1252="J",IF(AND(EO6+$D$45&gt;=$E$37,EO6+$D$45&lt;=$E$38+1),10,0),IF(AND(EO6+$D$45+2&gt;=$E$37,EO6+$D$45+2&lt;=$E$38+1),10,0))</f>
        <v>0</v>
      </c>
      <c r="EP37" s="1908">
        <f ca="1">IF(ENTRADAS!$O$1252="J",IF(AND(EP6+$D$45&gt;=$E$37,EP6+$D$45&lt;=$E$38+1),10,0),IF(AND(EP6+$D$45+2&gt;=$E$37,EP6+$D$45+2&lt;=$E$38+1),10,0))</f>
        <v>0</v>
      </c>
      <c r="EQ37" s="1908">
        <f ca="1">IF(ENTRADAS!$O$1252="J",IF(AND(EQ6+$D$45&gt;=$E$37,EQ6+$D$45&lt;=$E$38+1),10,0),IF(AND(EQ6+$D$45+2&gt;=$E$37,EQ6+$D$45+2&lt;=$E$38+1),10,0))</f>
        <v>0</v>
      </c>
      <c r="ER37" s="1907">
        <f ca="1">IF(ENTRADAS!$O$1252="J",IF(AND(ER6+$D$45&gt;=$E$37,ER6+$D$45&lt;=$E$38+1),10,0),IF(AND(ER6+$D$45+2&gt;=$E$37,ER6+$D$45+2&lt;=$E$38+1),10,0))</f>
        <v>0</v>
      </c>
      <c r="ES37" s="1908">
        <f ca="1">IF(ENTRADAS!$O$1252="J",IF(AND(ES6+$D$45&gt;=$E$37,ES6+$D$45&lt;=$E$38+1),10,0),IF(AND(ES6+$D$45+2&gt;=$E$37,ES6+$D$45+2&lt;=$E$38+1),10,0))</f>
        <v>0</v>
      </c>
      <c r="ET37" s="1908">
        <f ca="1">IF(ENTRADAS!$O$1252="J",IF(AND(ET6+$D$45&gt;=$E$37,ET6+$D$45&lt;=$E$38+1),10,0),IF(AND(ET6+$D$45+2&gt;=$E$37,ET6+$D$45+2&lt;=$E$38+1),10,0))</f>
        <v>0</v>
      </c>
      <c r="EU37" s="1908">
        <f ca="1">IF(ENTRADAS!$O$1252="J",IF(AND(EU6+$D$45&gt;=$E$37,EU6+$D$45&lt;=$E$38+1),10,0),IF(AND(EU6+$D$45+2&gt;=$E$37,EU6+$D$45+2&lt;=$E$38+1),10,0))</f>
        <v>0</v>
      </c>
      <c r="EV37" s="1908">
        <f ca="1">IF(ENTRADAS!$O$1252="J",IF(AND(EV6+$D$45&gt;=$E$37,EV6+$D$45&lt;=$E$38+1),10,0),IF(AND(EV6+$D$45+2&gt;=$E$37,EV6+$D$45+2&lt;=$E$38+1),10,0))</f>
        <v>0</v>
      </c>
      <c r="EW37" s="1908">
        <f ca="1">IF(ENTRADAS!$O$1252="J",IF(AND(EW6+$D$45&gt;=$E$37,EW6+$D$45&lt;=$E$38+1),10,0),IF(AND(EW6+$D$45+2&gt;=$E$37,EW6+$D$45+2&lt;=$E$38+1),10,0))</f>
        <v>0</v>
      </c>
      <c r="EX37" s="1908">
        <f ca="1">IF(ENTRADAS!$O$1252="J",IF(AND(EX6+$D$45&gt;=$E$37,EX6+$D$45&lt;=$E$38+1),10,0),IF(AND(EX6+$D$45+2&gt;=$E$37,EX6+$D$45+2&lt;=$E$38+1),10,0))</f>
        <v>0</v>
      </c>
      <c r="EY37" s="1907">
        <f ca="1">IF(ENTRADAS!$O$1252="J",IF(AND(EY6+$D$45&gt;=$E$37,EY6+$D$45&lt;=$E$38+1),10,0),IF(AND(EY6+$D$45+2&gt;=$E$37,EY6+$D$45+2&lt;=$E$38+1),10,0))</f>
        <v>0</v>
      </c>
      <c r="EZ37" s="1908">
        <f ca="1">IF(ENTRADAS!$O$1252="J",IF(AND(EZ6+$D$45&gt;=$E$37,EZ6+$D$45&lt;=$E$38+1),10,0),IF(AND(EZ6+$D$45+2&gt;=$E$37,EZ6+$D$45+2&lt;=$E$38+1),10,0))</f>
        <v>0</v>
      </c>
      <c r="FA37" s="1908">
        <f ca="1">IF(ENTRADAS!$O$1252="J",IF(AND(FA6+$D$45&gt;=$E$37,FA6+$D$45&lt;=$E$38+1),10,0),IF(AND(FA6+$D$45+2&gt;=$E$37,FA6+$D$45+2&lt;=$E$38+1),10,0))</f>
        <v>0</v>
      </c>
      <c r="FB37" s="1908">
        <f ca="1">IF(ENTRADAS!$O$1252="J",IF(AND(FB6+$D$45&gt;=$E$37,FB6+$D$45&lt;=$E$38+1),10,0),IF(AND(FB6+$D$45+2&gt;=$E$37,FB6+$D$45+2&lt;=$E$38+1),10,0))</f>
        <v>0</v>
      </c>
      <c r="FC37" s="1908">
        <f ca="1">IF(ENTRADAS!$O$1252="J",IF(AND(FC6+$D$45&gt;=$E$37,FC6+$D$45&lt;=$E$38+1),10,0),IF(AND(FC6+$D$45+2&gt;=$E$37,FC6+$D$45+2&lt;=$E$38+1),10,0))</f>
        <v>0</v>
      </c>
      <c r="FD37" s="1908">
        <f ca="1">IF(ENTRADAS!$O$1252="J",IF(AND(FD6+$D$45&gt;=$E$37,FD6+$D$45&lt;=$E$38+1),10,0),IF(AND(FD6+$D$45+2&gt;=$E$37,FD6+$D$45+2&lt;=$E$38+1),10,0))</f>
        <v>0</v>
      </c>
      <c r="FE37" s="1908">
        <f ca="1">IF(ENTRADAS!$O$1252="J",IF(AND(FE6+$D$45&gt;=$E$37,FE6+$D$45&lt;=$E$38+1),10,0),IF(AND(FE6+$D$45+2&gt;=$E$37,FE6+$D$45+2&lt;=$E$38+1),10,0))</f>
        <v>0</v>
      </c>
      <c r="FF37" s="1907">
        <f ca="1">IF(ENTRADAS!$O$1252="J",IF(AND(FF6+$D$45&gt;=$E$37,FF6+$D$45&lt;=$E$38+1),10,0),IF(AND(FF6+$D$45+2&gt;=$E$37,FF6+$D$45+2&lt;=$E$38+1),10,0))</f>
        <v>0</v>
      </c>
      <c r="FG37" s="1908">
        <f ca="1">IF(ENTRADAS!$O$1252="J",IF(AND(FG6+$D$45&gt;=$E$37,FG6+$D$45&lt;=$E$38+1),10,0),IF(AND(FG6+$D$45+2&gt;=$E$37,FG6+$D$45+2&lt;=$E$38+1),10,0))</f>
        <v>0</v>
      </c>
      <c r="FH37" s="1908">
        <f ca="1">IF(ENTRADAS!$O$1252="J",IF(AND(FH6+$D$45&gt;=$E$37,FH6+$D$45&lt;=$E$38+1),10,0),IF(AND(FH6+$D$45+2&gt;=$E$37,FH6+$D$45+2&lt;=$E$38+1),10,0))</f>
        <v>0</v>
      </c>
      <c r="FI37" s="1908">
        <f ca="1">IF(ENTRADAS!$O$1252="J",IF(AND(FI6+$D$45&gt;=$E$37,FI6+$D$45&lt;=$E$38+1),10,0),IF(AND(FI6+$D$45+2&gt;=$E$37,FI6+$D$45+2&lt;=$E$38+1),10,0))</f>
        <v>0</v>
      </c>
      <c r="FJ37" s="1908">
        <f ca="1">IF(ENTRADAS!$O$1252="J",IF(AND(FJ6+$D$45&gt;=$E$37,FJ6+$D$45&lt;=$E$38+1),10,0),IF(AND(FJ6+$D$45+2&gt;=$E$37,FJ6+$D$45+2&lt;=$E$38+1),10,0))</f>
        <v>0</v>
      </c>
      <c r="FK37" s="1908">
        <f ca="1">IF(ENTRADAS!$O$1252="J",IF(AND(FK6+$D$45&gt;=$E$37,FK6+$D$45&lt;=$E$38+1),10,0),IF(AND(FK6+$D$45+2&gt;=$E$37,FK6+$D$45+2&lt;=$E$38+1),10,0))</f>
        <v>0</v>
      </c>
      <c r="FL37" s="1908">
        <f ca="1">IF(ENTRADAS!$O$1252="J",IF(AND(FL6+$D$45&gt;=$E$37,FL6+$D$45&lt;=$E$38+1),10,0),IF(AND(FL6+$D$45+2&gt;=$E$37,FL6+$D$45+2&lt;=$E$38+1),10,0))</f>
        <v>0</v>
      </c>
      <c r="FM37" s="1907">
        <f ca="1">IF(ENTRADAS!$O$1252="J",IF(AND(FM6+$D$45&gt;=$E$37,FM6+$D$45&lt;=$E$38+1),10,0),IF(AND(FM6+$D$45+2&gt;=$E$37,FM6+$D$45+2&lt;=$E$38+1),10,0))</f>
        <v>0</v>
      </c>
      <c r="FN37" s="1908">
        <f ca="1">IF(ENTRADAS!$O$1252="J",IF(AND(FN6+$D$45&gt;=$E$37,FN6+$D$45&lt;=$E$38+1),10,0),IF(AND(FN6+$D$45+2&gt;=$E$37,FN6+$D$45+2&lt;=$E$38+1),10,0))</f>
        <v>0</v>
      </c>
      <c r="FO37" s="1908">
        <f ca="1">IF(ENTRADAS!$O$1252="J",IF(AND(FO6+$D$45&gt;=$E$37,FO6+$D$45&lt;=$E$38+1),10,0),IF(AND(FO6+$D$45+2&gt;=$E$37,FO6+$D$45+2&lt;=$E$38+1),10,0))</f>
        <v>0</v>
      </c>
      <c r="FP37" s="1908">
        <f ca="1">IF(ENTRADAS!$O$1252="J",IF(AND(FP6+$D$45&gt;=$E$37,FP6+$D$45&lt;=$E$38+1),10,0),IF(AND(FP6+$D$45+2&gt;=$E$37,FP6+$D$45+2&lt;=$E$38+1),10,0))</f>
        <v>0</v>
      </c>
      <c r="FQ37" s="1908">
        <f ca="1">IF(ENTRADAS!$O$1252="J",IF(AND(FQ6+$D$45&gt;=$E$37,FQ6+$D$45&lt;=$E$38+1),10,0),IF(AND(FQ6+$D$45+2&gt;=$E$37,FQ6+$D$45+2&lt;=$E$38+1),10,0))</f>
        <v>0</v>
      </c>
      <c r="FR37" s="1908">
        <f ca="1">IF(ENTRADAS!$O$1252="J",IF(AND(FR6+$D$45&gt;=$E$37,FR6+$D$45&lt;=$E$38+1),10,0),IF(AND(FR6+$D$45+2&gt;=$E$37,FR6+$D$45+2&lt;=$E$38+1),10,0))</f>
        <v>0</v>
      </c>
      <c r="FS37" s="1908">
        <f ca="1">IF(ENTRADAS!$O$1252="J",IF(AND(FS6+$D$45&gt;=$E$37,FS6+$D$45&lt;=$E$38+1),10,0),IF(AND(FS6+$D$45+2&gt;=$E$37,FS6+$D$45+2&lt;=$E$38+1),10,0))</f>
        <v>0</v>
      </c>
      <c r="FT37" s="1907">
        <f ca="1">IF(ENTRADAS!$O$1252="J",IF(AND(FT6+$D$45&gt;=$E$37,FT6+$D$45&lt;=$E$38+1),10,0),IF(AND(FT6+$D$45+2&gt;=$E$37,FT6+$D$45+2&lt;=$E$38+1),10,0))</f>
        <v>0</v>
      </c>
      <c r="FU37" s="1908">
        <f ca="1">IF(ENTRADAS!$O$1252="J",IF(AND(FU6+$D$45&gt;=$E$37,FU6+$D$45&lt;=$E$38+1),10,0),IF(AND(FU6+$D$45+2&gt;=$E$37,FU6+$D$45+2&lt;=$E$38+1),10,0))</f>
        <v>0</v>
      </c>
      <c r="FV37" s="1908">
        <f ca="1">IF(ENTRADAS!$O$1252="J",IF(AND(FV6+$D$45&gt;=$E$37,FV6+$D$45&lt;=$E$38+1),10,0),IF(AND(FV6+$D$45+2&gt;=$E$37,FV6+$D$45+2&lt;=$E$38+1),10,0))</f>
        <v>0</v>
      </c>
      <c r="FW37" s="1908">
        <f ca="1">IF(ENTRADAS!$O$1252="J",IF(AND(FW6+$D$45&gt;=$E$37,FW6+$D$45&lt;=$E$38+1),10,0),IF(AND(FW6+$D$45+2&gt;=$E$37,FW6+$D$45+2&lt;=$E$38+1),10,0))</f>
        <v>0</v>
      </c>
      <c r="FX37" s="1908">
        <f ca="1">IF(ENTRADAS!$O$1252="J",IF(AND(FX6+$D$45&gt;=$E$37,FX6+$D$45&lt;=$E$38+1),10,0),IF(AND(FX6+$D$45+2&gt;=$E$37,FX6+$D$45+2&lt;=$E$38+1),10,0))</f>
        <v>0</v>
      </c>
      <c r="FY37" s="1908">
        <f ca="1">IF(ENTRADAS!$O$1252="J",IF(AND(FY6+$D$45&gt;=$E$37,FY6+$D$45&lt;=$E$38+1),10,0),IF(AND(FY6+$D$45+2&gt;=$E$37,FY6+$D$45+2&lt;=$E$38+1),10,0))</f>
        <v>0</v>
      </c>
      <c r="FZ37" s="1908">
        <f ca="1">IF(ENTRADAS!$O$1252="J",IF(AND(FZ6+$D$45&gt;=$E$37,FZ6+$D$45&lt;=$E$38+1),10,0),IF(AND(FZ6+$D$45+2&gt;=$E$37,FZ6+$D$45+2&lt;=$E$38+1),10,0))</f>
        <v>0</v>
      </c>
      <c r="GA37" s="1907">
        <f ca="1">IF(ENTRADAS!$O$1252="J",IF(AND(GA6+$D$45&gt;=$E$37,GA6+$D$45&lt;=$E$38+1),10,0),IF(AND(GA6+$D$45+2&gt;=$E$37,GA6+$D$45+2&lt;=$E$38+1),10,0))</f>
        <v>0</v>
      </c>
      <c r="GB37" s="1908">
        <f ca="1">IF(ENTRADAS!$O$1252="J",IF(AND(GB6+$D$45&gt;=$E$37,GB6+$D$45&lt;=$E$38+1),10,0),IF(AND(GB6+$D$45+2&gt;=$E$37,GB6+$D$45+2&lt;=$E$38+1),10,0))</f>
        <v>0</v>
      </c>
      <c r="GC37" s="1908">
        <f ca="1">IF(ENTRADAS!$O$1252="J",IF(AND(GC6+$D$45&gt;=$E$37,GC6+$D$45&lt;=$E$38+1),10,0),IF(AND(GC6+$D$45+2&gt;=$E$37,GC6+$D$45+2&lt;=$E$38+1),10,0))</f>
        <v>0</v>
      </c>
      <c r="GD37" s="1908">
        <f ca="1">IF(ENTRADAS!$O$1252="J",IF(AND(GD6+$D$45&gt;=$E$37,GD6+$D$45&lt;=$E$38+1),10,0),IF(AND(GD6+$D$45+2&gt;=$E$37,GD6+$D$45+2&lt;=$E$38+1),10,0))</f>
        <v>0</v>
      </c>
      <c r="GE37" s="1908">
        <f ca="1">IF(ENTRADAS!$O$1252="J",IF(AND(GE6+$D$45&gt;=$E$37,GE6+$D$45&lt;=$E$38+1),10,0),IF(AND(GE6+$D$45+2&gt;=$E$37,GE6+$D$45+2&lt;=$E$38+1),10,0))</f>
        <v>0</v>
      </c>
      <c r="GF37" s="1908">
        <f ca="1">IF(ENTRADAS!$O$1252="J",IF(AND(GF6+$D$45&gt;=$E$37,GF6+$D$45&lt;=$E$38+1),10,0),IF(AND(GF6+$D$45+2&gt;=$E$37,GF6+$D$45+2&lt;=$E$38+1),10,0))</f>
        <v>0</v>
      </c>
      <c r="GG37" s="1908">
        <f ca="1">IF(ENTRADAS!$O$1252="J",IF(AND(GG6+$D$45&gt;=$E$37,GG6+$D$45&lt;=$E$38+1),10,0),IF(AND(GG6+$D$45+2&gt;=$E$37,GG6+$D$45+2&lt;=$E$38+1),10,0))</f>
        <v>0</v>
      </c>
      <c r="GH37" s="1907">
        <f ca="1">IF(ENTRADAS!$O$1252="J",IF(AND(GH6+$D$45&gt;=$E$37,GH6+$D$45&lt;=$E$38+1),10,0),IF(AND(GH6+$D$45+2&gt;=$E$37,GH6+$D$45+2&lt;=$E$38+1),10,0))</f>
        <v>0</v>
      </c>
      <c r="GI37" s="1908">
        <f ca="1">IF(ENTRADAS!$O$1252="J",IF(AND(GI6+$D$45&gt;=$E$37,GI6+$D$45&lt;=$E$38+1),10,0),IF(AND(GI6+$D$45+2&gt;=$E$37,GI6+$D$45+2&lt;=$E$38+1),10,0))</f>
        <v>0</v>
      </c>
      <c r="GJ37" s="1908">
        <f ca="1">IF(ENTRADAS!$O$1252="J",IF(AND(GJ6+$D$45&gt;=$E$37,GJ6+$D$45&lt;=$E$38+1),10,0),IF(AND(GJ6+$D$45+2&gt;=$E$37,GJ6+$D$45+2&lt;=$E$38+1),10,0))</f>
        <v>0</v>
      </c>
      <c r="GK37" s="1908">
        <f ca="1">IF(ENTRADAS!$O$1252="J",IF(AND(GK6+$D$45&gt;=$E$37,GK6+$D$45&lt;=$E$38+1),10,0),IF(AND(GK6+$D$45+2&gt;=$E$37,GK6+$D$45+2&lt;=$E$38+1),10,0))</f>
        <v>0</v>
      </c>
      <c r="GL37" s="1908">
        <f ca="1">IF(ENTRADAS!$O$1252="J",IF(AND(GL6+$D$45&gt;=$E$37,GL6+$D$45&lt;=$E$38+1),10,0),IF(AND(GL6+$D$45+2&gt;=$E$37,GL6+$D$45+2&lt;=$E$38+1),10,0))</f>
        <v>0</v>
      </c>
      <c r="GM37" s="1908">
        <f ca="1">IF(ENTRADAS!$O$1252="J",IF(AND(GM6+$D$45&gt;=$E$37,GM6+$D$45&lt;=$E$38+1),10,0),IF(AND(GM6+$D$45+2&gt;=$E$37,GM6+$D$45+2&lt;=$E$38+1),10,0))</f>
        <v>0</v>
      </c>
      <c r="GN37" s="1908">
        <f ca="1">IF(ENTRADAS!$O$1252="J",IF(AND(GN6+$D$45&gt;=$E$37,GN6+$D$45&lt;=$E$38+1),10,0),IF(AND(GN6+$D$45+2&gt;=$E$37,GN6+$D$45+2&lt;=$E$38+1),10,0))</f>
        <v>0</v>
      </c>
      <c r="GO37" s="1907">
        <f ca="1">IF(ENTRADAS!$O$1252="J",IF(AND(GO6+$D$45&gt;=$E$37,GO6+$D$45&lt;=$E$38+1),10,0),IF(AND(GO6+$D$45+2&gt;=$E$37,GO6+$D$45+2&lt;=$E$38+1),10,0))</f>
        <v>0</v>
      </c>
      <c r="GP37" s="1908">
        <f ca="1">IF(ENTRADAS!$O$1252="J",IF(AND(GP6+$D$45&gt;=$E$37,GP6+$D$45&lt;=$E$38+1),10,0),IF(AND(GP6+$D$45+2&gt;=$E$37,GP6+$D$45+2&lt;=$E$38+1),10,0))</f>
        <v>0</v>
      </c>
      <c r="GQ37" s="1908">
        <f ca="1">IF(ENTRADAS!$O$1252="J",IF(AND(GQ6+$D$45&gt;=$E$37,GQ6+$D$45&lt;=$E$38+1),10,0),IF(AND(GQ6+$D$45+2&gt;=$E$37,GQ6+$D$45+2&lt;=$E$38+1),10,0))</f>
        <v>0</v>
      </c>
      <c r="GR37" s="1908">
        <f ca="1">IF(ENTRADAS!$O$1252="J",IF(AND(GR6+$D$45&gt;=$E$37,GR6+$D$45&lt;=$E$38+1),10,0),IF(AND(GR6+$D$45+2&gt;=$E$37,GR6+$D$45+2&lt;=$E$38+1),10,0))</f>
        <v>0</v>
      </c>
      <c r="GS37" s="1908">
        <f ca="1">IF(ENTRADAS!$O$1252="J",IF(AND(GS6+$D$45&gt;=$E$37,GS6+$D$45&lt;=$E$38+1),10,0),IF(AND(GS6+$D$45+2&gt;=$E$37,GS6+$D$45+2&lt;=$E$38+1),10,0))</f>
        <v>0</v>
      </c>
      <c r="GT37" s="1908">
        <f ca="1">IF(ENTRADAS!$O$1252="J",IF(AND(GT6+$D$45&gt;=$E$37,GT6+$D$45&lt;=$E$38+1),10,0),IF(AND(GT6+$D$45+2&gt;=$E$37,GT6+$D$45+2&lt;=$E$38+1),10,0))</f>
        <v>0</v>
      </c>
      <c r="GU37" s="1908">
        <f ca="1">IF(ENTRADAS!$O$1252="J",IF(AND(GU6+$D$45&gt;=$E$37,GU6+$D$45&lt;=$E$38+1),10,0),IF(AND(GU6+$D$45+2&gt;=$E$37,GU6+$D$45+2&lt;=$E$38+1),10,0))</f>
        <v>0</v>
      </c>
      <c r="GV37" s="1907">
        <f ca="1">IF(ENTRADAS!$O$1252="J",IF(AND(GV6+$D$45&gt;=$E$37,GV6+$D$45&lt;=$E$38+1),10,0),IF(AND(GV6+$D$45+2&gt;=$E$37,GV6+$D$45+2&lt;=$E$38+1),10,0))</f>
        <v>0</v>
      </c>
      <c r="GW37" s="1908">
        <f ca="1">IF(ENTRADAS!$O$1252="J",IF(AND(GW6+$D$45&gt;=$E$37,GW6+$D$45&lt;=$E$38+1),10,0),IF(AND(GW6+$D$45+2&gt;=$E$37,GW6+$D$45+2&lt;=$E$38+1),10,0))</f>
        <v>0</v>
      </c>
      <c r="GX37" s="1908">
        <f ca="1">IF(ENTRADAS!$O$1252="J",IF(AND(GX6+$D$45&gt;=$E$37,GX6+$D$45&lt;=$E$38+1),10,0),IF(AND(GX6+$D$45+2&gt;=$E$37,GX6+$D$45+2&lt;=$E$38+1),10,0))</f>
        <v>0</v>
      </c>
      <c r="GY37" s="1908">
        <f ca="1">IF(ENTRADAS!$O$1252="J",IF(AND(GY6+$D$45&gt;=$E$37,GY6+$D$45&lt;=$E$38+1),10,0),IF(AND(GY6+$D$45+2&gt;=$E$37,GY6+$D$45+2&lt;=$E$38+1),10,0))</f>
        <v>0</v>
      </c>
      <c r="GZ37" s="1908">
        <f ca="1">IF(ENTRADAS!$O$1252="J",IF(AND(GZ6+$D$45&gt;=$E$37,GZ6+$D$45&lt;=$E$38+1),10,0),IF(AND(GZ6+$D$45+2&gt;=$E$37,GZ6+$D$45+2&lt;=$E$38+1),10,0))</f>
        <v>0</v>
      </c>
      <c r="HA37" s="1908">
        <f ca="1">IF(ENTRADAS!$O$1252="J",IF(AND(HA6+$D$45&gt;=$E$37,HA6+$D$45&lt;=$E$38+1),10,0),IF(AND(HA6+$D$45+2&gt;=$E$37,HA6+$D$45+2&lt;=$E$38+1),10,0))</f>
        <v>0</v>
      </c>
      <c r="HB37" s="1908">
        <f ca="1">IF(ENTRADAS!$O$1252="J",IF(AND(HB6+$D$45&gt;=$E$37,HB6+$D$45&lt;=$E$38+1),10,0),IF(AND(HB6+$D$45+2&gt;=$E$37,HB6+$D$45+2&lt;=$E$38+1),10,0))</f>
        <v>0</v>
      </c>
      <c r="HC37" s="1907">
        <f ca="1">IF(ENTRADAS!$O$1252="J",IF(AND(HC6+$D$45&gt;=$E$37,HC6+$D$45&lt;=$E$38+1),10,0),IF(AND(HC6+$D$45+2&gt;=$E$37,HC6+$D$45+2&lt;=$E$38+1),10,0))</f>
        <v>0</v>
      </c>
      <c r="HD37" s="1908">
        <f ca="1">IF(ENTRADAS!$O$1252="J",IF(AND(HD6+$D$45&gt;=$E$37,HD6+$D$45&lt;=$E$38+1),10,0),IF(AND(HD6+$D$45+2&gt;=$E$37,HD6+$D$45+2&lt;=$E$38+1),10,0))</f>
        <v>0</v>
      </c>
      <c r="HE37" s="1908">
        <f ca="1">IF(ENTRADAS!$O$1252="J",IF(AND(HE6+$D$45&gt;=$E$37,HE6+$D$45&lt;=$E$38+1),10,0),IF(AND(HE6+$D$45+2&gt;=$E$37,HE6+$D$45+2&lt;=$E$38+1),10,0))</f>
        <v>0</v>
      </c>
      <c r="HF37" s="1908">
        <f ca="1">IF(ENTRADAS!$O$1252="J",IF(AND(HF6+$D$45&gt;=$E$37,HF6+$D$45&lt;=$E$38+1),10,0),IF(AND(HF6+$D$45+2&gt;=$E$37,HF6+$D$45+2&lt;=$E$38+1),10,0))</f>
        <v>0</v>
      </c>
      <c r="HG37" s="1908">
        <f ca="1">IF(ENTRADAS!$O$1252="J",IF(AND(HG6+$D$45&gt;=$E$37,HG6+$D$45&lt;=$E$38+1),10,0),IF(AND(HG6+$D$45+2&gt;=$E$37,HG6+$D$45+2&lt;=$E$38+1),10,0))</f>
        <v>0</v>
      </c>
      <c r="HH37" s="1908">
        <f ca="1">IF(ENTRADAS!$O$1252="J",IF(AND(HH6+$D$45&gt;=$E$37,HH6+$D$45&lt;=$E$38+1),10,0),IF(AND(HH6+$D$45+2&gt;=$E$37,HH6+$D$45+2&lt;=$E$38+1),10,0))</f>
        <v>0</v>
      </c>
      <c r="HI37" s="1908">
        <f ca="1">IF(ENTRADAS!$O$1252="J",IF(AND(HI6+$D$45&gt;=$E$37,HI6+$D$45&lt;=$E$38+1),10,0),IF(AND(HI6+$D$45+2&gt;=$E$37,HI6+$D$45+2&lt;=$E$38+1),10,0))</f>
        <v>0</v>
      </c>
      <c r="HJ37" s="1907">
        <f ca="1">IF(ENTRADAS!$O$1252="J",IF(AND(HJ6+$D$45&gt;=$E$37,HJ6+$D$45&lt;=$E$38+1),10,0),IF(AND(HJ6+$D$45+2&gt;=$E$37,HJ6+$D$45+2&lt;=$E$38+1),10,0))</f>
        <v>0</v>
      </c>
      <c r="HK37" s="1908">
        <f ca="1">IF(ENTRADAS!$O$1252="J",IF(AND(HK6+$D$45&gt;=$E$37,HK6+$D$45&lt;=$E$38+1),10,0),IF(AND(HK6+$D$45+2&gt;=$E$37,HK6+$D$45+2&lt;=$E$38+1),10,0))</f>
        <v>0</v>
      </c>
      <c r="HL37" s="1908">
        <f ca="1">IF(ENTRADAS!$O$1252="J",IF(AND(HL6+$D$45&gt;=$E$37,HL6+$D$45&lt;=$E$38+1),10,0),IF(AND(HL6+$D$45+2&gt;=$E$37,HL6+$D$45+2&lt;=$E$38+1),10,0))</f>
        <v>0</v>
      </c>
      <c r="HM37" s="1908">
        <f ca="1">IF(ENTRADAS!$O$1252="J",IF(AND(HM6+$D$45&gt;=$E$37,HM6+$D$45&lt;=$E$38+1),10,0),IF(AND(HM6+$D$45+2&gt;=$E$37,HM6+$D$45+2&lt;=$E$38+1),10,0))</f>
        <v>0</v>
      </c>
      <c r="HN37" s="1908">
        <f ca="1">IF(ENTRADAS!$O$1252="J",IF(AND(HN6+$D$45&gt;=$E$37,HN6+$D$45&lt;=$E$38+1),10,0),IF(AND(HN6+$D$45+2&gt;=$E$37,HN6+$D$45+2&lt;=$E$38+1),10,0))</f>
        <v>0</v>
      </c>
      <c r="HO37" s="1908">
        <f ca="1">IF(ENTRADAS!$O$1252="J",IF(AND(HO6+$D$45&gt;=$E$37,HO6+$D$45&lt;=$E$38+1),10,0),IF(AND(HO6+$D$45+2&gt;=$E$37,HO6+$D$45+2&lt;=$E$38+1),10,0))</f>
        <v>0</v>
      </c>
      <c r="HP37" s="1908">
        <f ca="1">IF(ENTRADAS!$O$1252="J",IF(AND(HP6+$D$45&gt;=$E$37,HP6+$D$45&lt;=$E$38+1),10,0),IF(AND(HP6+$D$45+2&gt;=$E$37,HP6+$D$45+2&lt;=$E$38+1),10,0))</f>
        <v>0</v>
      </c>
      <c r="HQ37" s="1907">
        <f ca="1">IF(ENTRADAS!$O$1252="J",IF(AND(HQ6+$D$45&gt;=$E$37,HQ6+$D$45&lt;=$E$38+1),10,0),IF(AND(HQ6+$D$45+2&gt;=$E$37,HQ6+$D$45+2&lt;=$E$38+1),10,0))</f>
        <v>0</v>
      </c>
      <c r="HR37" s="1908">
        <f ca="1">IF(ENTRADAS!$O$1252="J",IF(AND(HR6+$D$45&gt;=$E$37,HR6+$D$45&lt;=$E$38+1),10,0),IF(AND(HR6+$D$45+2&gt;=$E$37,HR6+$D$45+2&lt;=$E$38+1),10,0))</f>
        <v>0</v>
      </c>
      <c r="HS37" s="1908">
        <f ca="1">IF(ENTRADAS!$O$1252="J",IF(AND(HS6+$D$45&gt;=$E$37,HS6+$D$45&lt;=$E$38+1),10,0),IF(AND(HS6+$D$45+2&gt;=$E$37,HS6+$D$45+2&lt;=$E$38+1),10,0))</f>
        <v>0</v>
      </c>
      <c r="HT37" s="1908">
        <f ca="1">IF(ENTRADAS!$O$1252="J",IF(AND(HT6+$D$45&gt;=$E$37,HT6+$D$45&lt;=$E$38+1),10,0),IF(AND(HT6+$D$45+2&gt;=$E$37,HT6+$D$45+2&lt;=$E$38+1),10,0))</f>
        <v>0</v>
      </c>
      <c r="HU37" s="1908">
        <f ca="1">IF(ENTRADAS!$O$1252="J",IF(AND(HU6+$D$45&gt;=$E$37,HU6+$D$45&lt;=$E$38+1),10,0),IF(AND(HU6+$D$45+2&gt;=$E$37,HU6+$D$45+2&lt;=$E$38+1),10,0))</f>
        <v>0</v>
      </c>
      <c r="HV37" s="1908">
        <f ca="1">IF(ENTRADAS!$O$1252="J",IF(AND(HV6+$D$45&gt;=$E$37,HV6+$D$45&lt;=$E$38+1),10,0),IF(AND(HV6+$D$45+2&gt;=$E$37,HV6+$D$45+2&lt;=$E$38+1),10,0))</f>
        <v>0</v>
      </c>
      <c r="HW37" s="1908">
        <f ca="1">IF(ENTRADAS!$O$1252="J",IF(AND(HW6+$D$45&gt;=$E$37,HW6+$D$45&lt;=$E$38+1),10,0),IF(AND(HW6+$D$45+2&gt;=$E$37,HW6+$D$45+2&lt;=$E$38+1),10,0))</f>
        <v>0</v>
      </c>
      <c r="HX37" s="1907">
        <f ca="1">IF(ENTRADAS!$O$1252="J",IF(AND(HX6+$D$45&gt;=$E$37,HX6+$D$45&lt;=$E$38+1),10,0),IF(AND(HX6+$D$45+2&gt;=$E$37,HX6+$D$45+2&lt;=$E$38+1),10,0))</f>
        <v>0</v>
      </c>
      <c r="HY37" s="1908">
        <f ca="1">IF(ENTRADAS!$O$1252="J",IF(AND(HY6+$D$45&gt;=$E$37,HY6+$D$45&lt;=$E$38+1),10,0),IF(AND(HY6+$D$45+2&gt;=$E$37,HY6+$D$45+2&lt;=$E$38+1),10,0))</f>
        <v>0</v>
      </c>
      <c r="HZ37" s="1908">
        <f ca="1">IF(ENTRADAS!$O$1252="J",IF(AND(HZ6+$D$45&gt;=$E$37,HZ6+$D$45&lt;=$E$38+1),10,0),IF(AND(HZ6+$D$45+2&gt;=$E$37,HZ6+$D$45+2&lt;=$E$38+1),10,0))</f>
        <v>0</v>
      </c>
      <c r="IA37" s="1908">
        <f ca="1">IF(ENTRADAS!$O$1252="J",IF(AND(IA6+$D$45&gt;=$E$37,IA6+$D$45&lt;=$E$38+1),10,0),IF(AND(IA6+$D$45+2&gt;=$E$37,IA6+$D$45+2&lt;=$E$38+1),10,0))</f>
        <v>0</v>
      </c>
      <c r="IB37" s="1908">
        <f ca="1">IF(ENTRADAS!$O$1252="J",IF(AND(IB6+$D$45&gt;=$E$37,IB6+$D$45&lt;=$E$38+1),10,0),IF(AND(IB6+$D$45+2&gt;=$E$37,IB6+$D$45+2&lt;=$E$38+1),10,0))</f>
        <v>0</v>
      </c>
      <c r="IC37" s="1908">
        <f ca="1">IF(ENTRADAS!$O$1252="J",IF(AND(IC6+$D$45&gt;=$E$37,IC6+$D$45&lt;=$E$38+1),10,0),IF(AND(IC6+$D$45+2&gt;=$E$37,IC6+$D$45+2&lt;=$E$38+1),10,0))</f>
        <v>0</v>
      </c>
      <c r="ID37" s="1908">
        <f ca="1">IF(ENTRADAS!$O$1252="J",IF(AND(ID6+$D$45&gt;=$E$37,ID6+$D$45&lt;=$E$38+1),10,0),IF(AND(ID6+$D$45+2&gt;=$E$37,ID6+$D$45+2&lt;=$E$38+1),10,0))</f>
        <v>0</v>
      </c>
      <c r="IE37" s="1907">
        <f ca="1">IF(ENTRADAS!$O$1252="J",IF(AND(IE6+$D$45&gt;=$E$37,IE6+$D$45&lt;=$E$38+1),10,0),IF(AND(IE6+$D$45+2&gt;=$E$37,IE6+$D$45+2&lt;=$E$38+1),10,0))</f>
        <v>0</v>
      </c>
      <c r="IF37" s="1908">
        <f ca="1">IF(ENTRADAS!$O$1252="J",IF(AND(IF6+$D$45&gt;=$E$37,IF6+$D$45&lt;=$E$38+1),10,0),IF(AND(IF6+$D$45+2&gt;=$E$37,IF6+$D$45+2&lt;=$E$38+1),10,0))</f>
        <v>0</v>
      </c>
      <c r="IG37" s="1908">
        <f ca="1">IF(ENTRADAS!$O$1252="J",IF(AND(IG6+$D$45&gt;=$E$37,IG6+$D$45&lt;=$E$38+1),10,0),IF(AND(IG6+$D$45+2&gt;=$E$37,IG6+$D$45+2&lt;=$E$38+1),10,0))</f>
        <v>0</v>
      </c>
      <c r="IH37" s="1908">
        <f ca="1">IF(ENTRADAS!$O$1252="J",IF(AND(IH6+$D$45&gt;=$E$37,IH6+$D$45&lt;=$E$38+1),10,0),IF(AND(IH6+$D$45+2&gt;=$E$37,IH6+$D$45+2&lt;=$E$38+1),10,0))</f>
        <v>0</v>
      </c>
      <c r="II37" s="1908">
        <f ca="1">IF(ENTRADAS!$O$1252="J",IF(AND(II6+$D$45&gt;=$E$37,II6+$D$45&lt;=$E$38+1),10,0),IF(AND(II6+$D$45+2&gt;=$E$37,II6+$D$45+2&lt;=$E$38+1),10,0))</f>
        <v>0</v>
      </c>
      <c r="IJ37" s="1908">
        <f ca="1">IF(ENTRADAS!$O$1252="J",IF(AND(IJ6+$D$45&gt;=$E$37,IJ6+$D$45&lt;=$E$38+1),10,0),IF(AND(IJ6+$D$45+2&gt;=$E$37,IJ6+$D$45+2&lt;=$E$38+1),10,0))</f>
        <v>0</v>
      </c>
      <c r="IK37" s="1909">
        <f ca="1">IF(ENTRADAS!$O$1252="J",IF(AND(IK6+$D$45&gt;=$E$37,IK6+$D$45&lt;=$E$38+1),10,0),IF(AND(IK6+$D$45+2&gt;=$E$37,IK6+$D$45+2&lt;=$E$38+1),10,0))</f>
        <v>0</v>
      </c>
    </row>
    <row r="38" spans="1:245" ht="7.5" hidden="1" customHeight="1" x14ac:dyDescent="0.35">
      <c r="A38" s="195">
        <f>IF(B37=0,0,"XXX")</f>
        <v>0</v>
      </c>
      <c r="B38" s="1910"/>
      <c r="C38" s="1912"/>
      <c r="D38" s="360" t="str">
        <f>IF(ENTRADAS!$F$22=0,0,"término:")</f>
        <v>término:</v>
      </c>
      <c r="E38" s="361">
        <f>IF(C37=0,0,E37+F37-1)</f>
        <v>0</v>
      </c>
      <c r="F38" s="1913"/>
      <c r="G38" s="1914"/>
      <c r="H38" s="1907"/>
      <c r="I38" s="1908"/>
      <c r="J38" s="1908"/>
      <c r="K38" s="1908"/>
      <c r="L38" s="1908"/>
      <c r="M38" s="1908"/>
      <c r="N38" s="1908"/>
      <c r="O38" s="1907"/>
      <c r="P38" s="1908"/>
      <c r="Q38" s="1908"/>
      <c r="R38" s="1908"/>
      <c r="S38" s="1908"/>
      <c r="T38" s="1908"/>
      <c r="U38" s="1908"/>
      <c r="V38" s="1907"/>
      <c r="W38" s="1908"/>
      <c r="X38" s="1908"/>
      <c r="Y38" s="1908"/>
      <c r="Z38" s="1908"/>
      <c r="AA38" s="1908"/>
      <c r="AB38" s="1908"/>
      <c r="AC38" s="1907"/>
      <c r="AD38" s="1908"/>
      <c r="AE38" s="1908"/>
      <c r="AF38" s="1908"/>
      <c r="AG38" s="1908"/>
      <c r="AH38" s="1908"/>
      <c r="AI38" s="1908"/>
      <c r="AJ38" s="1907"/>
      <c r="AK38" s="1908"/>
      <c r="AL38" s="1908"/>
      <c r="AM38" s="1908"/>
      <c r="AN38" s="1908"/>
      <c r="AO38" s="1908"/>
      <c r="AP38" s="1908"/>
      <c r="AQ38" s="1907"/>
      <c r="AR38" s="1908"/>
      <c r="AS38" s="1908"/>
      <c r="AT38" s="1908"/>
      <c r="AU38" s="1908"/>
      <c r="AV38" s="1908"/>
      <c r="AW38" s="1908"/>
      <c r="AX38" s="1907"/>
      <c r="AY38" s="1908"/>
      <c r="AZ38" s="1908"/>
      <c r="BA38" s="1908"/>
      <c r="BB38" s="1908"/>
      <c r="BC38" s="1908"/>
      <c r="BD38" s="1908"/>
      <c r="BE38" s="1907"/>
      <c r="BF38" s="1908"/>
      <c r="BG38" s="1908"/>
      <c r="BH38" s="1908"/>
      <c r="BI38" s="1908"/>
      <c r="BJ38" s="1908"/>
      <c r="BK38" s="1908"/>
      <c r="BL38" s="1907"/>
      <c r="BM38" s="1908"/>
      <c r="BN38" s="1908"/>
      <c r="BO38" s="1908"/>
      <c r="BP38" s="1908"/>
      <c r="BQ38" s="1908"/>
      <c r="BR38" s="1908"/>
      <c r="BS38" s="1907"/>
      <c r="BT38" s="1908"/>
      <c r="BU38" s="1908"/>
      <c r="BV38" s="1908"/>
      <c r="BW38" s="1908"/>
      <c r="BX38" s="1908"/>
      <c r="BY38" s="1908"/>
      <c r="BZ38" s="1907"/>
      <c r="CA38" s="1908"/>
      <c r="CB38" s="1908"/>
      <c r="CC38" s="1908"/>
      <c r="CD38" s="1908"/>
      <c r="CE38" s="1908"/>
      <c r="CF38" s="1908"/>
      <c r="CG38" s="1907"/>
      <c r="CH38" s="1908"/>
      <c r="CI38" s="1908"/>
      <c r="CJ38" s="1908"/>
      <c r="CK38" s="1908"/>
      <c r="CL38" s="1908"/>
      <c r="CM38" s="1908"/>
      <c r="CN38" s="1907"/>
      <c r="CO38" s="1908"/>
      <c r="CP38" s="1908"/>
      <c r="CQ38" s="1908"/>
      <c r="CR38" s="1908"/>
      <c r="CS38" s="1908"/>
      <c r="CT38" s="1908"/>
      <c r="CU38" s="1907"/>
      <c r="CV38" s="1908"/>
      <c r="CW38" s="1908"/>
      <c r="CX38" s="1908"/>
      <c r="CY38" s="1908"/>
      <c r="CZ38" s="1908"/>
      <c r="DA38" s="1908"/>
      <c r="DB38" s="1907"/>
      <c r="DC38" s="1908"/>
      <c r="DD38" s="1908"/>
      <c r="DE38" s="1908"/>
      <c r="DF38" s="1908"/>
      <c r="DG38" s="1908"/>
      <c r="DH38" s="1908"/>
      <c r="DI38" s="1907"/>
      <c r="DJ38" s="1908"/>
      <c r="DK38" s="1908"/>
      <c r="DL38" s="1908"/>
      <c r="DM38" s="1908"/>
      <c r="DN38" s="1908"/>
      <c r="DO38" s="1908"/>
      <c r="DP38" s="1907"/>
      <c r="DQ38" s="1908"/>
      <c r="DR38" s="1908"/>
      <c r="DS38" s="1908"/>
      <c r="DT38" s="1908"/>
      <c r="DU38" s="1908"/>
      <c r="DV38" s="1908"/>
      <c r="DW38" s="1907"/>
      <c r="DX38" s="1908"/>
      <c r="DY38" s="1908"/>
      <c r="DZ38" s="1908"/>
      <c r="EA38" s="1908"/>
      <c r="EB38" s="1908"/>
      <c r="EC38" s="1908"/>
      <c r="ED38" s="1907"/>
      <c r="EE38" s="1908"/>
      <c r="EF38" s="1908"/>
      <c r="EG38" s="1908"/>
      <c r="EH38" s="1908"/>
      <c r="EI38" s="1908"/>
      <c r="EJ38" s="1908"/>
      <c r="EK38" s="1907"/>
      <c r="EL38" s="1908"/>
      <c r="EM38" s="1908"/>
      <c r="EN38" s="1908"/>
      <c r="EO38" s="1908"/>
      <c r="EP38" s="1908"/>
      <c r="EQ38" s="1908"/>
      <c r="ER38" s="1907"/>
      <c r="ES38" s="1908"/>
      <c r="ET38" s="1908"/>
      <c r="EU38" s="1908"/>
      <c r="EV38" s="1908"/>
      <c r="EW38" s="1908"/>
      <c r="EX38" s="1908"/>
      <c r="EY38" s="1907"/>
      <c r="EZ38" s="1908"/>
      <c r="FA38" s="1908"/>
      <c r="FB38" s="1908"/>
      <c r="FC38" s="1908"/>
      <c r="FD38" s="1908"/>
      <c r="FE38" s="1908"/>
      <c r="FF38" s="1907"/>
      <c r="FG38" s="1908"/>
      <c r="FH38" s="1908"/>
      <c r="FI38" s="1908"/>
      <c r="FJ38" s="1908"/>
      <c r="FK38" s="1908"/>
      <c r="FL38" s="1908"/>
      <c r="FM38" s="1907"/>
      <c r="FN38" s="1908"/>
      <c r="FO38" s="1908"/>
      <c r="FP38" s="1908"/>
      <c r="FQ38" s="1908"/>
      <c r="FR38" s="1908"/>
      <c r="FS38" s="1908"/>
      <c r="FT38" s="1907"/>
      <c r="FU38" s="1908"/>
      <c r="FV38" s="1908"/>
      <c r="FW38" s="1908"/>
      <c r="FX38" s="1908"/>
      <c r="FY38" s="1908"/>
      <c r="FZ38" s="1908"/>
      <c r="GA38" s="1907"/>
      <c r="GB38" s="1908"/>
      <c r="GC38" s="1908"/>
      <c r="GD38" s="1908"/>
      <c r="GE38" s="1908"/>
      <c r="GF38" s="1908"/>
      <c r="GG38" s="1908"/>
      <c r="GH38" s="1907"/>
      <c r="GI38" s="1908"/>
      <c r="GJ38" s="1908"/>
      <c r="GK38" s="1908"/>
      <c r="GL38" s="1908"/>
      <c r="GM38" s="1908"/>
      <c r="GN38" s="1908"/>
      <c r="GO38" s="1907"/>
      <c r="GP38" s="1908"/>
      <c r="GQ38" s="1908"/>
      <c r="GR38" s="1908"/>
      <c r="GS38" s="1908"/>
      <c r="GT38" s="1908"/>
      <c r="GU38" s="1908"/>
      <c r="GV38" s="1907"/>
      <c r="GW38" s="1908"/>
      <c r="GX38" s="1908"/>
      <c r="GY38" s="1908"/>
      <c r="GZ38" s="1908"/>
      <c r="HA38" s="1908"/>
      <c r="HB38" s="1908"/>
      <c r="HC38" s="1907"/>
      <c r="HD38" s="1908"/>
      <c r="HE38" s="1908"/>
      <c r="HF38" s="1908"/>
      <c r="HG38" s="1908"/>
      <c r="HH38" s="1908"/>
      <c r="HI38" s="1908"/>
      <c r="HJ38" s="1907"/>
      <c r="HK38" s="1908"/>
      <c r="HL38" s="1908"/>
      <c r="HM38" s="1908"/>
      <c r="HN38" s="1908"/>
      <c r="HO38" s="1908"/>
      <c r="HP38" s="1908"/>
      <c r="HQ38" s="1907"/>
      <c r="HR38" s="1908"/>
      <c r="HS38" s="1908"/>
      <c r="HT38" s="1908"/>
      <c r="HU38" s="1908"/>
      <c r="HV38" s="1908"/>
      <c r="HW38" s="1908"/>
      <c r="HX38" s="1907"/>
      <c r="HY38" s="1908"/>
      <c r="HZ38" s="1908"/>
      <c r="IA38" s="1908"/>
      <c r="IB38" s="1908"/>
      <c r="IC38" s="1908"/>
      <c r="ID38" s="1908"/>
      <c r="IE38" s="1907"/>
      <c r="IF38" s="1908"/>
      <c r="IG38" s="1908"/>
      <c r="IH38" s="1908"/>
      <c r="II38" s="1908"/>
      <c r="IJ38" s="1908"/>
      <c r="IK38" s="1909"/>
    </row>
    <row r="39" spans="1:245" ht="11.1" customHeight="1" x14ac:dyDescent="0.35">
      <c r="A39" s="195" t="str">
        <f>IF(B39=0,0,"XXX")</f>
        <v>XXX</v>
      </c>
      <c r="B39" s="195" t="s">
        <v>10</v>
      </c>
      <c r="C39" s="488">
        <f ca="1">IF(IK9&lt;LARGE(E23:E32,1),"A CAPACIDADE DO CRONOGRAMA FOI ULTRAPASSADA !",0)</f>
        <v>0</v>
      </c>
    </row>
    <row r="40" spans="1:245" ht="5.0999999999999996" hidden="1" customHeight="1" x14ac:dyDescent="0.4">
      <c r="A40" s="195">
        <f>IF(B40=0,0,"XXX")</f>
        <v>0</v>
      </c>
      <c r="B40" s="451"/>
      <c r="F40" s="486">
        <f>IF(F30=0,0,IF((F29+F30)&lt;=F23," CRONOGRAMA INCONSISTENTE ! REVISE !",0))</f>
        <v>0</v>
      </c>
    </row>
    <row r="41" spans="1:245" ht="13.15" hidden="1" x14ac:dyDescent="0.4">
      <c r="A41" s="195">
        <f>IF(B41=0,0,"XXX")</f>
        <v>0</v>
      </c>
      <c r="B41" s="5"/>
      <c r="F41" s="464">
        <f>IF(F30=0,IF(F32=0,0,IF(F31+F32&lt;F29+F23," CRONOGRAMA INCONSISTENTE ! REVISE !",0)),IF(F32=0,0,IF(F31+F32&lt;F29+F30," CRONOGRAMA INCONSISTENTE ! REVISE !",0)))</f>
        <v>0</v>
      </c>
      <c r="V41" s="3"/>
      <c r="W41" s="17"/>
      <c r="X41" s="630">
        <f ca="1">IF(F32=0,IF(F31+F30+F29&lt;F27+F23,10,0))</f>
        <v>0</v>
      </c>
      <c r="Y41" s="32">
        <f>IF(F32&gt;0,IF(F31+F32&lt;F30+F29,10,0),0)</f>
        <v>0</v>
      </c>
    </row>
    <row r="42" spans="1:245" ht="13.15" hidden="1" x14ac:dyDescent="0.4">
      <c r="A42" s="195">
        <f>IF(B42=0,0,"XXX")</f>
        <v>0</v>
      </c>
      <c r="B42" s="5"/>
      <c r="C42" s="12"/>
      <c r="D42" s="12"/>
      <c r="E42" s="12"/>
      <c r="F42" s="12"/>
      <c r="V42" s="32">
        <f ca="1">IF(F30=0,IF(F32=0,IF(F31+F23+F27&lt;F23+F27,10,0),IF(F31+F32&lt;F23+F29+1,10,0)),0)</f>
        <v>0</v>
      </c>
      <c r="W42" s="32">
        <f ca="1">IF(F30&gt;0,W41,X41)</f>
        <v>0</v>
      </c>
      <c r="X42" s="13"/>
      <c r="Y42" s="14"/>
      <c r="EI42" s="32" t="e">
        <f>IF(#REF!=0,0,"X")</f>
        <v>#REF!</v>
      </c>
    </row>
    <row r="43" spans="1:245" ht="13.15" hidden="1" x14ac:dyDescent="0.4">
      <c r="A43" s="195">
        <f>IF(B43=0,0,"XXX")</f>
        <v>0</v>
      </c>
      <c r="B43" s="5"/>
      <c r="C43" s="81" t="s">
        <v>1570</v>
      </c>
      <c r="D43" s="81">
        <v>1</v>
      </c>
      <c r="F43" s="464">
        <f>IF(F32+F30=0,0,IF(V42=10," CRONOGRAMA INCONSISTENTE ! REVISE !",IF(W42=10," CRONOGRAMA INCONSISTENTE ! REVISE !",0)))</f>
        <v>0</v>
      </c>
    </row>
    <row r="44" spans="1:245" ht="13.15" hidden="1" x14ac:dyDescent="0.4">
      <c r="A44" s="195"/>
      <c r="B44" s="5"/>
      <c r="C44" s="81" t="s">
        <v>1571</v>
      </c>
      <c r="D44" s="470">
        <f>ENTRADAS!$F$22</f>
        <v>4</v>
      </c>
      <c r="F44" s="464">
        <f ca="1">IF(E28-E32&gt;0," CRONOGRAMA INCONSISTENTE ! REVISE !",0)</f>
        <v>0</v>
      </c>
    </row>
    <row r="45" spans="1:245" hidden="1" x14ac:dyDescent="0.35">
      <c r="A45" s="195"/>
      <c r="B45" s="5"/>
      <c r="C45" s="472" t="s">
        <v>1572</v>
      </c>
      <c r="D45" s="473">
        <f ca="1">$J$3</f>
        <v>45919</v>
      </c>
    </row>
    <row r="46" spans="1:245" hidden="1" x14ac:dyDescent="0.35">
      <c r="A46" s="195"/>
      <c r="B46" s="5"/>
      <c r="C46" s="472"/>
      <c r="D46" s="475"/>
    </row>
    <row r="47" spans="1:245" hidden="1" x14ac:dyDescent="0.35">
      <c r="A47" s="195"/>
      <c r="B47" s="5"/>
      <c r="C47" s="472"/>
      <c r="D47" s="475"/>
    </row>
    <row r="48" spans="1:245" hidden="1" x14ac:dyDescent="0.35">
      <c r="A48" s="195"/>
      <c r="B48" s="5"/>
      <c r="C48" s="639" t="s">
        <v>1573</v>
      </c>
      <c r="D48" s="770">
        <f ca="1">IF(ENTRADAS!F22=0,0,CÁLCULOS!G701/ENTRADAS!F22)</f>
        <v>25.25</v>
      </c>
      <c r="E48" s="32"/>
      <c r="H48" s="479">
        <f t="shared" ref="H48:AM48" ca="1" si="88">IF(AND(H6&gt;=$E$49,H6&lt;$E$50),10,0)</f>
        <v>0</v>
      </c>
      <c r="I48" s="348">
        <f t="shared" ca="1" si="88"/>
        <v>0</v>
      </c>
      <c r="J48" s="348">
        <f t="shared" ca="1" si="88"/>
        <v>0</v>
      </c>
      <c r="K48" s="348">
        <f t="shared" ca="1" si="88"/>
        <v>0</v>
      </c>
      <c r="L48" s="348">
        <f t="shared" ca="1" si="88"/>
        <v>0</v>
      </c>
      <c r="M48" s="348">
        <f t="shared" ca="1" si="88"/>
        <v>10</v>
      </c>
      <c r="N48" s="348">
        <f t="shared" ca="1" si="88"/>
        <v>10</v>
      </c>
      <c r="O48" s="348">
        <f t="shared" ca="1" si="88"/>
        <v>10</v>
      </c>
      <c r="P48" s="348">
        <f t="shared" ca="1" si="88"/>
        <v>10</v>
      </c>
      <c r="Q48" s="348">
        <f t="shared" ca="1" si="88"/>
        <v>10</v>
      </c>
      <c r="R48" s="348">
        <f t="shared" ca="1" si="88"/>
        <v>10</v>
      </c>
      <c r="S48" s="348">
        <f t="shared" ca="1" si="88"/>
        <v>10</v>
      </c>
      <c r="T48" s="348">
        <f t="shared" ca="1" si="88"/>
        <v>10</v>
      </c>
      <c r="U48" s="348">
        <f t="shared" ca="1" si="88"/>
        <v>10</v>
      </c>
      <c r="V48" s="348">
        <f t="shared" ca="1" si="88"/>
        <v>10</v>
      </c>
      <c r="W48" s="348">
        <f t="shared" ca="1" si="88"/>
        <v>10</v>
      </c>
      <c r="X48" s="348">
        <f ca="1">IF(AND(X6&gt;=$E$49,X6&lt;$E$50),10,0)</f>
        <v>10</v>
      </c>
      <c r="Y48" s="348">
        <f t="shared" ca="1" si="88"/>
        <v>10</v>
      </c>
      <c r="Z48" s="348">
        <f t="shared" ca="1" si="88"/>
        <v>10</v>
      </c>
      <c r="AA48" s="348">
        <f t="shared" ca="1" si="88"/>
        <v>10</v>
      </c>
      <c r="AB48" s="348">
        <f t="shared" ca="1" si="88"/>
        <v>10</v>
      </c>
      <c r="AC48" s="348">
        <f t="shared" ca="1" si="88"/>
        <v>10</v>
      </c>
      <c r="AD48" s="348">
        <f t="shared" ca="1" si="88"/>
        <v>10</v>
      </c>
      <c r="AE48" s="348">
        <f t="shared" ca="1" si="88"/>
        <v>10</v>
      </c>
      <c r="AF48" s="348">
        <f t="shared" ca="1" si="88"/>
        <v>10</v>
      </c>
      <c r="AG48" s="348">
        <f t="shared" ca="1" si="88"/>
        <v>10</v>
      </c>
      <c r="AH48" s="348">
        <f t="shared" ca="1" si="88"/>
        <v>10</v>
      </c>
      <c r="AI48" s="348">
        <f t="shared" ca="1" si="88"/>
        <v>10</v>
      </c>
      <c r="AJ48" s="348">
        <f t="shared" ca="1" si="88"/>
        <v>10</v>
      </c>
      <c r="AK48" s="348">
        <f t="shared" ca="1" si="88"/>
        <v>10</v>
      </c>
      <c r="AL48" s="348">
        <f t="shared" ca="1" si="88"/>
        <v>10</v>
      </c>
      <c r="AM48" s="348">
        <f t="shared" ca="1" si="88"/>
        <v>0</v>
      </c>
      <c r="AN48" s="348">
        <f t="shared" ref="AN48:BS48" ca="1" si="89">IF(AND(AN6&gt;=$E$49,AN6&lt;$E$50),10,0)</f>
        <v>0</v>
      </c>
      <c r="AO48" s="348">
        <f t="shared" ca="1" si="89"/>
        <v>0</v>
      </c>
      <c r="AP48" s="348">
        <f t="shared" ca="1" si="89"/>
        <v>0</v>
      </c>
      <c r="AQ48" s="348">
        <f t="shared" ca="1" si="89"/>
        <v>0</v>
      </c>
      <c r="AR48" s="348">
        <f t="shared" ca="1" si="89"/>
        <v>0</v>
      </c>
      <c r="AS48" s="348">
        <f t="shared" ca="1" si="89"/>
        <v>0</v>
      </c>
      <c r="AT48" s="348">
        <f t="shared" ca="1" si="89"/>
        <v>0</v>
      </c>
      <c r="AU48" s="348">
        <f t="shared" ca="1" si="89"/>
        <v>0</v>
      </c>
      <c r="AV48" s="348">
        <f t="shared" ca="1" si="89"/>
        <v>0</v>
      </c>
      <c r="AW48" s="348">
        <f t="shared" ca="1" si="89"/>
        <v>0</v>
      </c>
      <c r="AX48" s="348">
        <f t="shared" ca="1" si="89"/>
        <v>0</v>
      </c>
      <c r="AY48" s="348">
        <f t="shared" ca="1" si="89"/>
        <v>0</v>
      </c>
      <c r="AZ48" s="348">
        <f t="shared" ca="1" si="89"/>
        <v>0</v>
      </c>
      <c r="BA48" s="348">
        <f t="shared" ca="1" si="89"/>
        <v>0</v>
      </c>
      <c r="BB48" s="348">
        <f t="shared" ca="1" si="89"/>
        <v>0</v>
      </c>
      <c r="BC48" s="348">
        <f t="shared" ca="1" si="89"/>
        <v>0</v>
      </c>
      <c r="BD48" s="348">
        <f t="shared" ca="1" si="89"/>
        <v>0</v>
      </c>
      <c r="BE48" s="348">
        <f t="shared" ca="1" si="89"/>
        <v>0</v>
      </c>
      <c r="BF48" s="348">
        <f t="shared" ca="1" si="89"/>
        <v>0</v>
      </c>
      <c r="BG48" s="348">
        <f t="shared" ca="1" si="89"/>
        <v>0</v>
      </c>
      <c r="BH48" s="348">
        <f t="shared" ca="1" si="89"/>
        <v>0</v>
      </c>
      <c r="BI48" s="348">
        <f t="shared" ca="1" si="89"/>
        <v>0</v>
      </c>
      <c r="BJ48" s="348">
        <f t="shared" ca="1" si="89"/>
        <v>0</v>
      </c>
      <c r="BK48" s="348">
        <f t="shared" ca="1" si="89"/>
        <v>0</v>
      </c>
      <c r="BL48" s="348">
        <f t="shared" ca="1" si="89"/>
        <v>0</v>
      </c>
      <c r="BM48" s="348">
        <f t="shared" ca="1" si="89"/>
        <v>0</v>
      </c>
      <c r="BN48" s="348">
        <f t="shared" ca="1" si="89"/>
        <v>0</v>
      </c>
      <c r="BO48" s="348">
        <f t="shared" ca="1" si="89"/>
        <v>0</v>
      </c>
      <c r="BP48" s="348">
        <f t="shared" ca="1" si="89"/>
        <v>0</v>
      </c>
      <c r="BQ48" s="348">
        <f t="shared" ca="1" si="89"/>
        <v>0</v>
      </c>
      <c r="BR48" s="348">
        <f t="shared" ca="1" si="89"/>
        <v>0</v>
      </c>
      <c r="BS48" s="348">
        <f t="shared" ca="1" si="89"/>
        <v>0</v>
      </c>
      <c r="BT48" s="348">
        <f t="shared" ref="BT48:EE48" ca="1" si="90">IF(AND(BT6&gt;=$E$49,BT6&lt;$E$50),10,0)</f>
        <v>0</v>
      </c>
      <c r="BU48" s="348">
        <f t="shared" ca="1" si="90"/>
        <v>0</v>
      </c>
      <c r="BV48" s="348">
        <f t="shared" ca="1" si="90"/>
        <v>0</v>
      </c>
      <c r="BW48" s="348">
        <f t="shared" ca="1" si="90"/>
        <v>0</v>
      </c>
      <c r="BX48" s="348">
        <f t="shared" ca="1" si="90"/>
        <v>0</v>
      </c>
      <c r="BY48" s="348">
        <f t="shared" ca="1" si="90"/>
        <v>0</v>
      </c>
      <c r="BZ48" s="348">
        <f t="shared" ca="1" si="90"/>
        <v>0</v>
      </c>
      <c r="CA48" s="348">
        <f t="shared" ca="1" si="90"/>
        <v>0</v>
      </c>
      <c r="CB48" s="348">
        <f t="shared" ca="1" si="90"/>
        <v>0</v>
      </c>
      <c r="CC48" s="348">
        <f t="shared" ca="1" si="90"/>
        <v>0</v>
      </c>
      <c r="CD48" s="348">
        <f t="shared" ca="1" si="90"/>
        <v>0</v>
      </c>
      <c r="CE48" s="348">
        <f t="shared" ca="1" si="90"/>
        <v>0</v>
      </c>
      <c r="CF48" s="348">
        <f t="shared" ca="1" si="90"/>
        <v>0</v>
      </c>
      <c r="CG48" s="348">
        <f t="shared" ca="1" si="90"/>
        <v>0</v>
      </c>
      <c r="CH48" s="348">
        <f t="shared" ca="1" si="90"/>
        <v>0</v>
      </c>
      <c r="CI48" s="348">
        <f t="shared" ca="1" si="90"/>
        <v>0</v>
      </c>
      <c r="CJ48" s="348">
        <f t="shared" ca="1" si="90"/>
        <v>0</v>
      </c>
      <c r="CK48" s="348">
        <f t="shared" ca="1" si="90"/>
        <v>0</v>
      </c>
      <c r="CL48" s="348">
        <f t="shared" ca="1" si="90"/>
        <v>0</v>
      </c>
      <c r="CM48" s="348">
        <f t="shared" ca="1" si="90"/>
        <v>0</v>
      </c>
      <c r="CN48" s="348">
        <f t="shared" ca="1" si="90"/>
        <v>0</v>
      </c>
      <c r="CO48" s="348">
        <f t="shared" ca="1" si="90"/>
        <v>0</v>
      </c>
      <c r="CP48" s="348">
        <f t="shared" ca="1" si="90"/>
        <v>0</v>
      </c>
      <c r="CQ48" s="348">
        <f t="shared" ca="1" si="90"/>
        <v>0</v>
      </c>
      <c r="CR48" s="348">
        <f t="shared" ca="1" si="90"/>
        <v>0</v>
      </c>
      <c r="CS48" s="348">
        <f t="shared" ca="1" si="90"/>
        <v>0</v>
      </c>
      <c r="CT48" s="348">
        <f t="shared" ca="1" si="90"/>
        <v>0</v>
      </c>
      <c r="CU48" s="348">
        <f t="shared" ca="1" si="90"/>
        <v>0</v>
      </c>
      <c r="CV48" s="348">
        <f t="shared" ca="1" si="90"/>
        <v>0</v>
      </c>
      <c r="CW48" s="348">
        <f t="shared" ca="1" si="90"/>
        <v>0</v>
      </c>
      <c r="CX48" s="348">
        <f t="shared" ca="1" si="90"/>
        <v>0</v>
      </c>
      <c r="CY48" s="348">
        <f t="shared" ca="1" si="90"/>
        <v>0</v>
      </c>
      <c r="CZ48" s="348">
        <f t="shared" ca="1" si="90"/>
        <v>0</v>
      </c>
      <c r="DA48" s="348">
        <f t="shared" ca="1" si="90"/>
        <v>0</v>
      </c>
      <c r="DB48" s="348">
        <f t="shared" ca="1" si="90"/>
        <v>0</v>
      </c>
      <c r="DC48" s="348">
        <f t="shared" ca="1" si="90"/>
        <v>0</v>
      </c>
      <c r="DD48" s="348">
        <f t="shared" ca="1" si="90"/>
        <v>0</v>
      </c>
      <c r="DE48" s="348">
        <f t="shared" ca="1" si="90"/>
        <v>0</v>
      </c>
      <c r="DF48" s="348">
        <f t="shared" ca="1" si="90"/>
        <v>0</v>
      </c>
      <c r="DG48" s="348">
        <f t="shared" ca="1" si="90"/>
        <v>0</v>
      </c>
      <c r="DH48" s="348">
        <f t="shared" ca="1" si="90"/>
        <v>0</v>
      </c>
      <c r="DI48" s="348">
        <f t="shared" ca="1" si="90"/>
        <v>0</v>
      </c>
      <c r="DJ48" s="348">
        <f t="shared" ca="1" si="90"/>
        <v>0</v>
      </c>
      <c r="DK48" s="348">
        <f t="shared" ca="1" si="90"/>
        <v>0</v>
      </c>
      <c r="DL48" s="348">
        <f t="shared" ca="1" si="90"/>
        <v>0</v>
      </c>
      <c r="DM48" s="348">
        <f t="shared" ca="1" si="90"/>
        <v>0</v>
      </c>
      <c r="DN48" s="348">
        <f t="shared" ca="1" si="90"/>
        <v>0</v>
      </c>
      <c r="DO48" s="348">
        <f t="shared" ca="1" si="90"/>
        <v>0</v>
      </c>
      <c r="DP48" s="348">
        <f t="shared" ca="1" si="90"/>
        <v>0</v>
      </c>
      <c r="DQ48" s="348">
        <f t="shared" ca="1" si="90"/>
        <v>0</v>
      </c>
      <c r="DR48" s="348">
        <f t="shared" ca="1" si="90"/>
        <v>0</v>
      </c>
      <c r="DS48" s="348">
        <f t="shared" ca="1" si="90"/>
        <v>0</v>
      </c>
      <c r="DT48" s="348">
        <f t="shared" ca="1" si="90"/>
        <v>0</v>
      </c>
      <c r="DU48" s="348">
        <f t="shared" ca="1" si="90"/>
        <v>0</v>
      </c>
      <c r="DV48" s="348">
        <f t="shared" ca="1" si="90"/>
        <v>0</v>
      </c>
      <c r="DW48" s="348">
        <f t="shared" ca="1" si="90"/>
        <v>0</v>
      </c>
      <c r="DX48" s="348">
        <f t="shared" ca="1" si="90"/>
        <v>0</v>
      </c>
      <c r="DY48" s="348">
        <f t="shared" ca="1" si="90"/>
        <v>0</v>
      </c>
      <c r="DZ48" s="348">
        <f t="shared" ca="1" si="90"/>
        <v>0</v>
      </c>
      <c r="EA48" s="348">
        <f t="shared" ca="1" si="90"/>
        <v>0</v>
      </c>
      <c r="EB48" s="348">
        <f t="shared" ca="1" si="90"/>
        <v>0</v>
      </c>
      <c r="EC48" s="348">
        <f t="shared" ca="1" si="90"/>
        <v>0</v>
      </c>
      <c r="ED48" s="348">
        <f t="shared" ca="1" si="90"/>
        <v>0</v>
      </c>
      <c r="EE48" s="348">
        <f t="shared" ca="1" si="90"/>
        <v>0</v>
      </c>
      <c r="EF48" s="348">
        <f t="shared" ref="EF48:GQ48" ca="1" si="91">IF(AND(EF6&gt;=$E$49,EF6&lt;$E$50),10,0)</f>
        <v>0</v>
      </c>
      <c r="EG48" s="348">
        <f t="shared" ca="1" si="91"/>
        <v>0</v>
      </c>
      <c r="EH48" s="348">
        <f t="shared" ca="1" si="91"/>
        <v>0</v>
      </c>
      <c r="EI48" s="348">
        <f t="shared" ca="1" si="91"/>
        <v>0</v>
      </c>
      <c r="EJ48" s="348">
        <f t="shared" ca="1" si="91"/>
        <v>0</v>
      </c>
      <c r="EK48" s="348">
        <f t="shared" ca="1" si="91"/>
        <v>0</v>
      </c>
      <c r="EL48" s="348">
        <f t="shared" ca="1" si="91"/>
        <v>0</v>
      </c>
      <c r="EM48" s="348">
        <f t="shared" ca="1" si="91"/>
        <v>0</v>
      </c>
      <c r="EN48" s="348">
        <f t="shared" ca="1" si="91"/>
        <v>0</v>
      </c>
      <c r="EO48" s="348">
        <f t="shared" ca="1" si="91"/>
        <v>0</v>
      </c>
      <c r="EP48" s="348">
        <f t="shared" ca="1" si="91"/>
        <v>0</v>
      </c>
      <c r="EQ48" s="348">
        <f t="shared" ca="1" si="91"/>
        <v>0</v>
      </c>
      <c r="ER48" s="348">
        <f t="shared" ca="1" si="91"/>
        <v>0</v>
      </c>
      <c r="ES48" s="348">
        <f t="shared" ca="1" si="91"/>
        <v>0</v>
      </c>
      <c r="ET48" s="348">
        <f t="shared" ca="1" si="91"/>
        <v>0</v>
      </c>
      <c r="EU48" s="348">
        <f t="shared" ca="1" si="91"/>
        <v>0</v>
      </c>
      <c r="EV48" s="348">
        <f t="shared" ca="1" si="91"/>
        <v>0</v>
      </c>
      <c r="EW48" s="348">
        <f t="shared" ca="1" si="91"/>
        <v>0</v>
      </c>
      <c r="EX48" s="348">
        <f t="shared" ca="1" si="91"/>
        <v>0</v>
      </c>
      <c r="EY48" s="348">
        <f t="shared" ca="1" si="91"/>
        <v>0</v>
      </c>
      <c r="EZ48" s="348">
        <f t="shared" ca="1" si="91"/>
        <v>0</v>
      </c>
      <c r="FA48" s="348">
        <f t="shared" ca="1" si="91"/>
        <v>0</v>
      </c>
      <c r="FB48" s="348">
        <f t="shared" ca="1" si="91"/>
        <v>0</v>
      </c>
      <c r="FC48" s="348">
        <f t="shared" ca="1" si="91"/>
        <v>0</v>
      </c>
      <c r="FD48" s="348">
        <f t="shared" ca="1" si="91"/>
        <v>0</v>
      </c>
      <c r="FE48" s="348">
        <f t="shared" ca="1" si="91"/>
        <v>0</v>
      </c>
      <c r="FF48" s="348">
        <f t="shared" ca="1" si="91"/>
        <v>0</v>
      </c>
      <c r="FG48" s="348">
        <f t="shared" ca="1" si="91"/>
        <v>0</v>
      </c>
      <c r="FH48" s="348">
        <f t="shared" ca="1" si="91"/>
        <v>0</v>
      </c>
      <c r="FI48" s="348">
        <f t="shared" ca="1" si="91"/>
        <v>0</v>
      </c>
      <c r="FJ48" s="348">
        <f t="shared" ca="1" si="91"/>
        <v>0</v>
      </c>
      <c r="FK48" s="348">
        <f t="shared" ca="1" si="91"/>
        <v>0</v>
      </c>
      <c r="FL48" s="348">
        <f t="shared" ca="1" si="91"/>
        <v>0</v>
      </c>
      <c r="FM48" s="348">
        <f t="shared" ca="1" si="91"/>
        <v>0</v>
      </c>
      <c r="FN48" s="348">
        <f t="shared" ca="1" si="91"/>
        <v>0</v>
      </c>
      <c r="FO48" s="348">
        <f t="shared" ca="1" si="91"/>
        <v>0</v>
      </c>
      <c r="FP48" s="348">
        <f t="shared" ca="1" si="91"/>
        <v>0</v>
      </c>
      <c r="FQ48" s="348">
        <f t="shared" ca="1" si="91"/>
        <v>0</v>
      </c>
      <c r="FR48" s="348">
        <f t="shared" ca="1" si="91"/>
        <v>0</v>
      </c>
      <c r="FS48" s="348">
        <f t="shared" ca="1" si="91"/>
        <v>0</v>
      </c>
      <c r="FT48" s="348">
        <f t="shared" ca="1" si="91"/>
        <v>0</v>
      </c>
      <c r="FU48" s="348">
        <f t="shared" ca="1" si="91"/>
        <v>0</v>
      </c>
      <c r="FV48" s="348">
        <f t="shared" ca="1" si="91"/>
        <v>0</v>
      </c>
      <c r="FW48" s="348">
        <f t="shared" ca="1" si="91"/>
        <v>0</v>
      </c>
      <c r="FX48" s="348">
        <f t="shared" ca="1" si="91"/>
        <v>0</v>
      </c>
      <c r="FY48" s="348">
        <f t="shared" ca="1" si="91"/>
        <v>0</v>
      </c>
      <c r="FZ48" s="348">
        <f t="shared" ca="1" si="91"/>
        <v>0</v>
      </c>
      <c r="GA48" s="348">
        <f t="shared" ca="1" si="91"/>
        <v>0</v>
      </c>
      <c r="GB48" s="348">
        <f t="shared" ca="1" si="91"/>
        <v>0</v>
      </c>
      <c r="GC48" s="348">
        <f t="shared" ca="1" si="91"/>
        <v>0</v>
      </c>
      <c r="GD48" s="348">
        <f t="shared" ca="1" si="91"/>
        <v>0</v>
      </c>
      <c r="GE48" s="348">
        <f t="shared" ca="1" si="91"/>
        <v>0</v>
      </c>
      <c r="GF48" s="348">
        <f t="shared" ca="1" si="91"/>
        <v>0</v>
      </c>
      <c r="GG48" s="348">
        <f t="shared" ca="1" si="91"/>
        <v>0</v>
      </c>
      <c r="GH48" s="348">
        <f t="shared" ca="1" si="91"/>
        <v>0</v>
      </c>
      <c r="GI48" s="348">
        <f t="shared" ca="1" si="91"/>
        <v>0</v>
      </c>
      <c r="GJ48" s="348">
        <f t="shared" ca="1" si="91"/>
        <v>0</v>
      </c>
      <c r="GK48" s="348">
        <f t="shared" ca="1" si="91"/>
        <v>0</v>
      </c>
      <c r="GL48" s="348">
        <f t="shared" ca="1" si="91"/>
        <v>0</v>
      </c>
      <c r="GM48" s="348">
        <f t="shared" ca="1" si="91"/>
        <v>0</v>
      </c>
      <c r="GN48" s="348">
        <f t="shared" ca="1" si="91"/>
        <v>0</v>
      </c>
      <c r="GO48" s="348">
        <f t="shared" ca="1" si="91"/>
        <v>0</v>
      </c>
      <c r="GP48" s="348">
        <f t="shared" ca="1" si="91"/>
        <v>0</v>
      </c>
      <c r="GQ48" s="348">
        <f t="shared" ca="1" si="91"/>
        <v>0</v>
      </c>
      <c r="GR48" s="348">
        <f t="shared" ref="GR48:IK48" ca="1" si="92">IF(AND(GR6&gt;=$E$49,GR6&lt;$E$50),10,0)</f>
        <v>0</v>
      </c>
      <c r="GS48" s="348">
        <f t="shared" ca="1" si="92"/>
        <v>0</v>
      </c>
      <c r="GT48" s="348">
        <f t="shared" ca="1" si="92"/>
        <v>0</v>
      </c>
      <c r="GU48" s="348">
        <f t="shared" ca="1" si="92"/>
        <v>0</v>
      </c>
      <c r="GV48" s="348">
        <f t="shared" ca="1" si="92"/>
        <v>0</v>
      </c>
      <c r="GW48" s="348">
        <f t="shared" ca="1" si="92"/>
        <v>0</v>
      </c>
      <c r="GX48" s="348">
        <f t="shared" ca="1" si="92"/>
        <v>0</v>
      </c>
      <c r="GY48" s="348">
        <f t="shared" ca="1" si="92"/>
        <v>0</v>
      </c>
      <c r="GZ48" s="348">
        <f t="shared" ca="1" si="92"/>
        <v>0</v>
      </c>
      <c r="HA48" s="348">
        <f t="shared" ca="1" si="92"/>
        <v>0</v>
      </c>
      <c r="HB48" s="348">
        <f t="shared" ca="1" si="92"/>
        <v>0</v>
      </c>
      <c r="HC48" s="348">
        <f t="shared" ca="1" si="92"/>
        <v>0</v>
      </c>
      <c r="HD48" s="348">
        <f t="shared" ca="1" si="92"/>
        <v>0</v>
      </c>
      <c r="HE48" s="348">
        <f t="shared" ca="1" si="92"/>
        <v>0</v>
      </c>
      <c r="HF48" s="348">
        <f t="shared" ca="1" si="92"/>
        <v>0</v>
      </c>
      <c r="HG48" s="348">
        <f t="shared" ca="1" si="92"/>
        <v>0</v>
      </c>
      <c r="HH48" s="348">
        <f t="shared" ca="1" si="92"/>
        <v>0</v>
      </c>
      <c r="HI48" s="348">
        <f t="shared" ca="1" si="92"/>
        <v>0</v>
      </c>
      <c r="HJ48" s="348">
        <f t="shared" ca="1" si="92"/>
        <v>0</v>
      </c>
      <c r="HK48" s="348">
        <f t="shared" ca="1" si="92"/>
        <v>0</v>
      </c>
      <c r="HL48" s="348">
        <f t="shared" ca="1" si="92"/>
        <v>0</v>
      </c>
      <c r="HM48" s="348">
        <f t="shared" ca="1" si="92"/>
        <v>0</v>
      </c>
      <c r="HN48" s="348">
        <f t="shared" ca="1" si="92"/>
        <v>0</v>
      </c>
      <c r="HO48" s="348">
        <f t="shared" ca="1" si="92"/>
        <v>0</v>
      </c>
      <c r="HP48" s="348">
        <f t="shared" ca="1" si="92"/>
        <v>0</v>
      </c>
      <c r="HQ48" s="348">
        <f t="shared" ca="1" si="92"/>
        <v>0</v>
      </c>
      <c r="HR48" s="348">
        <f t="shared" ca="1" si="92"/>
        <v>0</v>
      </c>
      <c r="HS48" s="348">
        <f t="shared" ca="1" si="92"/>
        <v>0</v>
      </c>
      <c r="HT48" s="348">
        <f t="shared" ca="1" si="92"/>
        <v>0</v>
      </c>
      <c r="HU48" s="348">
        <f t="shared" ca="1" si="92"/>
        <v>0</v>
      </c>
      <c r="HV48" s="348">
        <f t="shared" ca="1" si="92"/>
        <v>0</v>
      </c>
      <c r="HW48" s="348">
        <f t="shared" ca="1" si="92"/>
        <v>0</v>
      </c>
      <c r="HX48" s="348">
        <f t="shared" ca="1" si="92"/>
        <v>0</v>
      </c>
      <c r="HY48" s="348">
        <f t="shared" ca="1" si="92"/>
        <v>0</v>
      </c>
      <c r="HZ48" s="348">
        <f t="shared" ca="1" si="92"/>
        <v>0</v>
      </c>
      <c r="IA48" s="348">
        <f t="shared" ca="1" si="92"/>
        <v>0</v>
      </c>
      <c r="IB48" s="348">
        <f t="shared" ca="1" si="92"/>
        <v>0</v>
      </c>
      <c r="IC48" s="348">
        <f t="shared" ca="1" si="92"/>
        <v>0</v>
      </c>
      <c r="ID48" s="348">
        <f t="shared" ca="1" si="92"/>
        <v>0</v>
      </c>
      <c r="IE48" s="348">
        <f t="shared" ca="1" si="92"/>
        <v>0</v>
      </c>
      <c r="IF48" s="348">
        <f t="shared" ca="1" si="92"/>
        <v>0</v>
      </c>
      <c r="IG48" s="348">
        <f t="shared" ca="1" si="92"/>
        <v>0</v>
      </c>
      <c r="IH48" s="348">
        <f t="shared" ca="1" si="92"/>
        <v>0</v>
      </c>
      <c r="II48" s="348">
        <f t="shared" ca="1" si="92"/>
        <v>0</v>
      </c>
      <c r="IJ48" s="348">
        <f t="shared" ca="1" si="92"/>
        <v>0</v>
      </c>
      <c r="IK48" s="348">
        <f t="shared" ca="1" si="92"/>
        <v>0</v>
      </c>
    </row>
    <row r="49" spans="1:245" hidden="1" x14ac:dyDescent="0.35">
      <c r="A49" s="195"/>
      <c r="B49" s="5"/>
      <c r="C49" s="630" t="s">
        <v>1574</v>
      </c>
      <c r="D49" s="678">
        <f ca="1">IF(ENTRADAS!$F$22=0,0,$J$3+0)</f>
        <v>45919</v>
      </c>
      <c r="E49" s="679">
        <f>IF(ENTRADAS!Q852&gt;0,0+1,1)</f>
        <v>1</v>
      </c>
    </row>
    <row r="50" spans="1:245" hidden="1" x14ac:dyDescent="0.35">
      <c r="A50" s="195"/>
      <c r="B50" s="5"/>
      <c r="C50" s="630" t="s">
        <v>1575</v>
      </c>
      <c r="D50" s="467">
        <f ca="1">IF(ENTRADAS!$F$22=0,0,IF($J$3=0,0,E23+F23-1))</f>
        <v>45943.25</v>
      </c>
      <c r="E50" s="32">
        <f ca="1">E49+D48</f>
        <v>26.25</v>
      </c>
    </row>
    <row r="51" spans="1:245" hidden="1" x14ac:dyDescent="0.35">
      <c r="A51" s="195"/>
      <c r="B51" s="5"/>
      <c r="C51" s="750" t="s">
        <v>1576</v>
      </c>
      <c r="D51" s="32"/>
      <c r="E51" s="32">
        <f ca="1">IF(D43&lt;=D44,LAJES!$H$486/D44,0)</f>
        <v>0</v>
      </c>
    </row>
    <row r="52" spans="1:245" hidden="1" x14ac:dyDescent="0.35">
      <c r="A52" s="195"/>
      <c r="B52" s="5"/>
      <c r="C52" s="630" t="s">
        <v>1577</v>
      </c>
      <c r="D52" s="483">
        <f>IF(ENTRADAS!$F$22=0,0,LAJES!$H$495/D44)</f>
        <v>0</v>
      </c>
      <c r="E52" s="32"/>
      <c r="H52" s="348">
        <f t="shared" ref="H52:BS52" si="93">IF($D$54&gt;0,IF(AND(H6&gt;=$E$54,H6&lt;$E$56),10,0),IF($D$55&gt;0,IF(AND(H6&gt;=$E$55,H6&lt;$E$56),10),0))</f>
        <v>0</v>
      </c>
      <c r="I52" s="348">
        <f t="shared" si="93"/>
        <v>0</v>
      </c>
      <c r="J52" s="348">
        <f t="shared" si="93"/>
        <v>0</v>
      </c>
      <c r="K52" s="348">
        <f t="shared" si="93"/>
        <v>0</v>
      </c>
      <c r="L52" s="348">
        <f t="shared" si="93"/>
        <v>0</v>
      </c>
      <c r="M52" s="348">
        <f t="shared" si="93"/>
        <v>0</v>
      </c>
      <c r="N52" s="348">
        <f t="shared" si="93"/>
        <v>0</v>
      </c>
      <c r="O52" s="348">
        <f t="shared" si="93"/>
        <v>0</v>
      </c>
      <c r="P52" s="348">
        <f t="shared" si="93"/>
        <v>0</v>
      </c>
      <c r="Q52" s="348">
        <f t="shared" si="93"/>
        <v>0</v>
      </c>
      <c r="R52" s="348">
        <f t="shared" si="93"/>
        <v>0</v>
      </c>
      <c r="S52" s="348">
        <f t="shared" si="93"/>
        <v>0</v>
      </c>
      <c r="T52" s="348">
        <f t="shared" si="93"/>
        <v>0</v>
      </c>
      <c r="U52" s="348">
        <f t="shared" si="93"/>
        <v>0</v>
      </c>
      <c r="V52" s="348">
        <f t="shared" si="93"/>
        <v>0</v>
      </c>
      <c r="W52" s="348">
        <f t="shared" si="93"/>
        <v>0</v>
      </c>
      <c r="X52" s="348">
        <f t="shared" si="93"/>
        <v>0</v>
      </c>
      <c r="Y52" s="348">
        <f t="shared" si="93"/>
        <v>0</v>
      </c>
      <c r="Z52" s="348">
        <f t="shared" si="93"/>
        <v>0</v>
      </c>
      <c r="AA52" s="348">
        <f t="shared" si="93"/>
        <v>0</v>
      </c>
      <c r="AB52" s="348">
        <f t="shared" si="93"/>
        <v>0</v>
      </c>
      <c r="AC52" s="348">
        <f t="shared" si="93"/>
        <v>0</v>
      </c>
      <c r="AD52" s="348">
        <f t="shared" si="93"/>
        <v>0</v>
      </c>
      <c r="AE52" s="348">
        <f t="shared" si="93"/>
        <v>0</v>
      </c>
      <c r="AF52" s="348">
        <f t="shared" si="93"/>
        <v>0</v>
      </c>
      <c r="AG52" s="348">
        <f t="shared" si="93"/>
        <v>0</v>
      </c>
      <c r="AH52" s="348">
        <f t="shared" si="93"/>
        <v>0</v>
      </c>
      <c r="AI52" s="348">
        <f t="shared" si="93"/>
        <v>0</v>
      </c>
      <c r="AJ52" s="348">
        <f t="shared" si="93"/>
        <v>0</v>
      </c>
      <c r="AK52" s="348">
        <f t="shared" si="93"/>
        <v>0</v>
      </c>
      <c r="AL52" s="348">
        <f t="shared" si="93"/>
        <v>0</v>
      </c>
      <c r="AM52" s="348">
        <f t="shared" si="93"/>
        <v>0</v>
      </c>
      <c r="AN52" s="348">
        <f t="shared" si="93"/>
        <v>0</v>
      </c>
      <c r="AO52" s="348">
        <f t="shared" si="93"/>
        <v>0</v>
      </c>
      <c r="AP52" s="348">
        <f t="shared" si="93"/>
        <v>0</v>
      </c>
      <c r="AQ52" s="348">
        <f t="shared" si="93"/>
        <v>0</v>
      </c>
      <c r="AR52" s="348">
        <f t="shared" si="93"/>
        <v>0</v>
      </c>
      <c r="AS52" s="348">
        <f t="shared" si="93"/>
        <v>0</v>
      </c>
      <c r="AT52" s="348">
        <f t="shared" si="93"/>
        <v>0</v>
      </c>
      <c r="AU52" s="348">
        <f t="shared" si="93"/>
        <v>0</v>
      </c>
      <c r="AV52" s="348">
        <f t="shared" si="93"/>
        <v>0</v>
      </c>
      <c r="AW52" s="348">
        <f t="shared" si="93"/>
        <v>0</v>
      </c>
      <c r="AX52" s="348">
        <f t="shared" si="93"/>
        <v>0</v>
      </c>
      <c r="AY52" s="348">
        <f t="shared" si="93"/>
        <v>0</v>
      </c>
      <c r="AZ52" s="348">
        <f t="shared" si="93"/>
        <v>0</v>
      </c>
      <c r="BA52" s="348">
        <f t="shared" si="93"/>
        <v>0</v>
      </c>
      <c r="BB52" s="348">
        <f t="shared" si="93"/>
        <v>0</v>
      </c>
      <c r="BC52" s="348">
        <f t="shared" si="93"/>
        <v>0</v>
      </c>
      <c r="BD52" s="348">
        <f t="shared" si="93"/>
        <v>0</v>
      </c>
      <c r="BE52" s="348">
        <f t="shared" si="93"/>
        <v>0</v>
      </c>
      <c r="BF52" s="348">
        <f t="shared" si="93"/>
        <v>0</v>
      </c>
      <c r="BG52" s="348">
        <f t="shared" si="93"/>
        <v>0</v>
      </c>
      <c r="BH52" s="348">
        <f t="shared" si="93"/>
        <v>0</v>
      </c>
      <c r="BI52" s="348">
        <f t="shared" si="93"/>
        <v>0</v>
      </c>
      <c r="BJ52" s="348">
        <f t="shared" si="93"/>
        <v>0</v>
      </c>
      <c r="BK52" s="348">
        <f t="shared" si="93"/>
        <v>0</v>
      </c>
      <c r="BL52" s="348">
        <f t="shared" si="93"/>
        <v>0</v>
      </c>
      <c r="BM52" s="348">
        <f t="shared" si="93"/>
        <v>0</v>
      </c>
      <c r="BN52" s="348">
        <f t="shared" si="93"/>
        <v>0</v>
      </c>
      <c r="BO52" s="348">
        <f t="shared" si="93"/>
        <v>0</v>
      </c>
      <c r="BP52" s="348">
        <f t="shared" si="93"/>
        <v>0</v>
      </c>
      <c r="BQ52" s="348">
        <f t="shared" si="93"/>
        <v>0</v>
      </c>
      <c r="BR52" s="348">
        <f t="shared" si="93"/>
        <v>0</v>
      </c>
      <c r="BS52" s="348">
        <f t="shared" si="93"/>
        <v>0</v>
      </c>
      <c r="BT52" s="348">
        <f t="shared" ref="BT52:EE52" si="94">IF($D$54&gt;0,IF(AND(BT6&gt;=$E$54,BT6&lt;$E$56),10,0),IF($D$55&gt;0,IF(AND(BT6&gt;=$E$55,BT6&lt;$E$56),10),0))</f>
        <v>0</v>
      </c>
      <c r="BU52" s="348">
        <f t="shared" si="94"/>
        <v>0</v>
      </c>
      <c r="BV52" s="348">
        <f t="shared" si="94"/>
        <v>0</v>
      </c>
      <c r="BW52" s="348">
        <f t="shared" si="94"/>
        <v>0</v>
      </c>
      <c r="BX52" s="348">
        <f t="shared" si="94"/>
        <v>0</v>
      </c>
      <c r="BY52" s="348">
        <f t="shared" si="94"/>
        <v>0</v>
      </c>
      <c r="BZ52" s="348">
        <f t="shared" si="94"/>
        <v>0</v>
      </c>
      <c r="CA52" s="348">
        <f t="shared" si="94"/>
        <v>0</v>
      </c>
      <c r="CB52" s="348">
        <f t="shared" si="94"/>
        <v>0</v>
      </c>
      <c r="CC52" s="348">
        <f t="shared" si="94"/>
        <v>0</v>
      </c>
      <c r="CD52" s="348">
        <f t="shared" si="94"/>
        <v>0</v>
      </c>
      <c r="CE52" s="348">
        <f t="shared" si="94"/>
        <v>0</v>
      </c>
      <c r="CF52" s="348">
        <f t="shared" si="94"/>
        <v>0</v>
      </c>
      <c r="CG52" s="348">
        <f t="shared" si="94"/>
        <v>0</v>
      </c>
      <c r="CH52" s="348">
        <f t="shared" si="94"/>
        <v>0</v>
      </c>
      <c r="CI52" s="348">
        <f t="shared" si="94"/>
        <v>0</v>
      </c>
      <c r="CJ52" s="348">
        <f t="shared" si="94"/>
        <v>0</v>
      </c>
      <c r="CK52" s="348">
        <f t="shared" si="94"/>
        <v>0</v>
      </c>
      <c r="CL52" s="348">
        <f t="shared" si="94"/>
        <v>0</v>
      </c>
      <c r="CM52" s="348">
        <f t="shared" si="94"/>
        <v>0</v>
      </c>
      <c r="CN52" s="348">
        <f t="shared" si="94"/>
        <v>0</v>
      </c>
      <c r="CO52" s="348">
        <f t="shared" si="94"/>
        <v>0</v>
      </c>
      <c r="CP52" s="348">
        <f t="shared" si="94"/>
        <v>0</v>
      </c>
      <c r="CQ52" s="348">
        <f t="shared" si="94"/>
        <v>0</v>
      </c>
      <c r="CR52" s="348">
        <f t="shared" si="94"/>
        <v>0</v>
      </c>
      <c r="CS52" s="348">
        <f t="shared" si="94"/>
        <v>0</v>
      </c>
      <c r="CT52" s="348">
        <f t="shared" si="94"/>
        <v>0</v>
      </c>
      <c r="CU52" s="348">
        <f t="shared" si="94"/>
        <v>0</v>
      </c>
      <c r="CV52" s="348">
        <f t="shared" si="94"/>
        <v>0</v>
      </c>
      <c r="CW52" s="348">
        <f t="shared" si="94"/>
        <v>0</v>
      </c>
      <c r="CX52" s="348">
        <f t="shared" si="94"/>
        <v>0</v>
      </c>
      <c r="CY52" s="348">
        <f t="shared" si="94"/>
        <v>0</v>
      </c>
      <c r="CZ52" s="348">
        <f t="shared" si="94"/>
        <v>0</v>
      </c>
      <c r="DA52" s="348">
        <f t="shared" si="94"/>
        <v>0</v>
      </c>
      <c r="DB52" s="348">
        <f t="shared" si="94"/>
        <v>0</v>
      </c>
      <c r="DC52" s="348">
        <f t="shared" si="94"/>
        <v>0</v>
      </c>
      <c r="DD52" s="348">
        <f t="shared" si="94"/>
        <v>0</v>
      </c>
      <c r="DE52" s="348">
        <f t="shared" si="94"/>
        <v>0</v>
      </c>
      <c r="DF52" s="348">
        <f t="shared" si="94"/>
        <v>0</v>
      </c>
      <c r="DG52" s="348">
        <f t="shared" si="94"/>
        <v>0</v>
      </c>
      <c r="DH52" s="348">
        <f t="shared" si="94"/>
        <v>0</v>
      </c>
      <c r="DI52" s="348">
        <f t="shared" si="94"/>
        <v>0</v>
      </c>
      <c r="DJ52" s="348">
        <f t="shared" si="94"/>
        <v>0</v>
      </c>
      <c r="DK52" s="348">
        <f t="shared" si="94"/>
        <v>0</v>
      </c>
      <c r="DL52" s="348">
        <f t="shared" si="94"/>
        <v>0</v>
      </c>
      <c r="DM52" s="348">
        <f t="shared" si="94"/>
        <v>0</v>
      </c>
      <c r="DN52" s="348">
        <f t="shared" si="94"/>
        <v>0</v>
      </c>
      <c r="DO52" s="348">
        <f t="shared" si="94"/>
        <v>0</v>
      </c>
      <c r="DP52" s="348">
        <f t="shared" si="94"/>
        <v>0</v>
      </c>
      <c r="DQ52" s="348">
        <f t="shared" si="94"/>
        <v>0</v>
      </c>
      <c r="DR52" s="348">
        <f t="shared" si="94"/>
        <v>0</v>
      </c>
      <c r="DS52" s="348">
        <f t="shared" si="94"/>
        <v>0</v>
      </c>
      <c r="DT52" s="348">
        <f t="shared" si="94"/>
        <v>0</v>
      </c>
      <c r="DU52" s="348">
        <f t="shared" si="94"/>
        <v>0</v>
      </c>
      <c r="DV52" s="348">
        <f t="shared" si="94"/>
        <v>0</v>
      </c>
      <c r="DW52" s="348">
        <f t="shared" si="94"/>
        <v>0</v>
      </c>
      <c r="DX52" s="348">
        <f t="shared" si="94"/>
        <v>0</v>
      </c>
      <c r="DY52" s="348">
        <f t="shared" si="94"/>
        <v>0</v>
      </c>
      <c r="DZ52" s="348">
        <f t="shared" si="94"/>
        <v>0</v>
      </c>
      <c r="EA52" s="348">
        <f t="shared" si="94"/>
        <v>0</v>
      </c>
      <c r="EB52" s="348">
        <f t="shared" si="94"/>
        <v>0</v>
      </c>
      <c r="EC52" s="348">
        <f t="shared" si="94"/>
        <v>0</v>
      </c>
      <c r="ED52" s="348">
        <f t="shared" si="94"/>
        <v>0</v>
      </c>
      <c r="EE52" s="348">
        <f t="shared" si="94"/>
        <v>0</v>
      </c>
      <c r="EF52" s="348">
        <f t="shared" ref="EF52:GQ52" si="95">IF($D$54&gt;0,IF(AND(EF6&gt;=$E$54,EF6&lt;$E$56),10,0),IF($D$55&gt;0,IF(AND(EF6&gt;=$E$55,EF6&lt;$E$56),10),0))</f>
        <v>0</v>
      </c>
      <c r="EG52" s="348">
        <f t="shared" si="95"/>
        <v>0</v>
      </c>
      <c r="EH52" s="348">
        <f t="shared" si="95"/>
        <v>0</v>
      </c>
      <c r="EI52" s="348">
        <f t="shared" si="95"/>
        <v>0</v>
      </c>
      <c r="EJ52" s="348">
        <f t="shared" si="95"/>
        <v>0</v>
      </c>
      <c r="EK52" s="348">
        <f t="shared" si="95"/>
        <v>0</v>
      </c>
      <c r="EL52" s="348">
        <f t="shared" si="95"/>
        <v>0</v>
      </c>
      <c r="EM52" s="348">
        <f t="shared" si="95"/>
        <v>0</v>
      </c>
      <c r="EN52" s="348">
        <f t="shared" si="95"/>
        <v>0</v>
      </c>
      <c r="EO52" s="348">
        <f t="shared" si="95"/>
        <v>0</v>
      </c>
      <c r="EP52" s="348">
        <f t="shared" si="95"/>
        <v>0</v>
      </c>
      <c r="EQ52" s="348">
        <f t="shared" si="95"/>
        <v>0</v>
      </c>
      <c r="ER52" s="348">
        <f t="shared" si="95"/>
        <v>0</v>
      </c>
      <c r="ES52" s="348">
        <f t="shared" si="95"/>
        <v>0</v>
      </c>
      <c r="ET52" s="348">
        <f t="shared" si="95"/>
        <v>0</v>
      </c>
      <c r="EU52" s="348">
        <f t="shared" si="95"/>
        <v>0</v>
      </c>
      <c r="EV52" s="348">
        <f t="shared" si="95"/>
        <v>0</v>
      </c>
      <c r="EW52" s="348">
        <f t="shared" si="95"/>
        <v>0</v>
      </c>
      <c r="EX52" s="348">
        <f t="shared" si="95"/>
        <v>0</v>
      </c>
      <c r="EY52" s="348">
        <f t="shared" si="95"/>
        <v>0</v>
      </c>
      <c r="EZ52" s="348">
        <f t="shared" si="95"/>
        <v>0</v>
      </c>
      <c r="FA52" s="348">
        <f t="shared" si="95"/>
        <v>0</v>
      </c>
      <c r="FB52" s="348">
        <f t="shared" si="95"/>
        <v>0</v>
      </c>
      <c r="FC52" s="348">
        <f t="shared" si="95"/>
        <v>0</v>
      </c>
      <c r="FD52" s="348">
        <f t="shared" si="95"/>
        <v>0</v>
      </c>
      <c r="FE52" s="348">
        <f t="shared" si="95"/>
        <v>0</v>
      </c>
      <c r="FF52" s="348">
        <f t="shared" si="95"/>
        <v>0</v>
      </c>
      <c r="FG52" s="348">
        <f t="shared" si="95"/>
        <v>0</v>
      </c>
      <c r="FH52" s="348">
        <f t="shared" si="95"/>
        <v>0</v>
      </c>
      <c r="FI52" s="348">
        <f t="shared" si="95"/>
        <v>0</v>
      </c>
      <c r="FJ52" s="348">
        <f t="shared" si="95"/>
        <v>0</v>
      </c>
      <c r="FK52" s="348">
        <f t="shared" si="95"/>
        <v>0</v>
      </c>
      <c r="FL52" s="348">
        <f t="shared" si="95"/>
        <v>0</v>
      </c>
      <c r="FM52" s="348">
        <f t="shared" si="95"/>
        <v>0</v>
      </c>
      <c r="FN52" s="348">
        <f t="shared" si="95"/>
        <v>0</v>
      </c>
      <c r="FO52" s="348">
        <f t="shared" si="95"/>
        <v>0</v>
      </c>
      <c r="FP52" s="348">
        <f t="shared" si="95"/>
        <v>0</v>
      </c>
      <c r="FQ52" s="348">
        <f t="shared" si="95"/>
        <v>0</v>
      </c>
      <c r="FR52" s="348">
        <f t="shared" si="95"/>
        <v>0</v>
      </c>
      <c r="FS52" s="348">
        <f t="shared" si="95"/>
        <v>0</v>
      </c>
      <c r="FT52" s="348">
        <f t="shared" si="95"/>
        <v>0</v>
      </c>
      <c r="FU52" s="348">
        <f t="shared" si="95"/>
        <v>0</v>
      </c>
      <c r="FV52" s="348">
        <f t="shared" si="95"/>
        <v>0</v>
      </c>
      <c r="FW52" s="348">
        <f t="shared" si="95"/>
        <v>0</v>
      </c>
      <c r="FX52" s="348">
        <f t="shared" si="95"/>
        <v>0</v>
      </c>
      <c r="FY52" s="348">
        <f t="shared" si="95"/>
        <v>0</v>
      </c>
      <c r="FZ52" s="348">
        <f t="shared" si="95"/>
        <v>0</v>
      </c>
      <c r="GA52" s="348">
        <f t="shared" si="95"/>
        <v>0</v>
      </c>
      <c r="GB52" s="348">
        <f t="shared" si="95"/>
        <v>0</v>
      </c>
      <c r="GC52" s="348">
        <f t="shared" si="95"/>
        <v>0</v>
      </c>
      <c r="GD52" s="348">
        <f t="shared" si="95"/>
        <v>0</v>
      </c>
      <c r="GE52" s="348">
        <f t="shared" si="95"/>
        <v>0</v>
      </c>
      <c r="GF52" s="348">
        <f t="shared" si="95"/>
        <v>0</v>
      </c>
      <c r="GG52" s="348">
        <f t="shared" si="95"/>
        <v>0</v>
      </c>
      <c r="GH52" s="348">
        <f t="shared" si="95"/>
        <v>0</v>
      </c>
      <c r="GI52" s="348">
        <f t="shared" si="95"/>
        <v>0</v>
      </c>
      <c r="GJ52" s="348">
        <f t="shared" si="95"/>
        <v>0</v>
      </c>
      <c r="GK52" s="348">
        <f t="shared" si="95"/>
        <v>0</v>
      </c>
      <c r="GL52" s="348">
        <f t="shared" si="95"/>
        <v>0</v>
      </c>
      <c r="GM52" s="348">
        <f t="shared" si="95"/>
        <v>0</v>
      </c>
      <c r="GN52" s="348">
        <f t="shared" si="95"/>
        <v>0</v>
      </c>
      <c r="GO52" s="348">
        <f t="shared" si="95"/>
        <v>0</v>
      </c>
      <c r="GP52" s="348">
        <f t="shared" si="95"/>
        <v>0</v>
      </c>
      <c r="GQ52" s="348">
        <f t="shared" si="95"/>
        <v>0</v>
      </c>
      <c r="GR52" s="348">
        <f t="shared" ref="GR52:IK52" si="96">IF($D$54&gt;0,IF(AND(GR6&gt;=$E$54,GR6&lt;$E$56),10,0),IF($D$55&gt;0,IF(AND(GR6&gt;=$E$55,GR6&lt;$E$56),10),0))</f>
        <v>0</v>
      </c>
      <c r="GS52" s="348">
        <f t="shared" si="96"/>
        <v>0</v>
      </c>
      <c r="GT52" s="348">
        <f t="shared" si="96"/>
        <v>0</v>
      </c>
      <c r="GU52" s="348">
        <f t="shared" si="96"/>
        <v>0</v>
      </c>
      <c r="GV52" s="348">
        <f t="shared" si="96"/>
        <v>0</v>
      </c>
      <c r="GW52" s="348">
        <f t="shared" si="96"/>
        <v>0</v>
      </c>
      <c r="GX52" s="348">
        <f t="shared" si="96"/>
        <v>0</v>
      </c>
      <c r="GY52" s="348">
        <f t="shared" si="96"/>
        <v>0</v>
      </c>
      <c r="GZ52" s="348">
        <f t="shared" si="96"/>
        <v>0</v>
      </c>
      <c r="HA52" s="348">
        <f t="shared" si="96"/>
        <v>0</v>
      </c>
      <c r="HB52" s="348">
        <f t="shared" si="96"/>
        <v>0</v>
      </c>
      <c r="HC52" s="348">
        <f t="shared" si="96"/>
        <v>0</v>
      </c>
      <c r="HD52" s="348">
        <f t="shared" si="96"/>
        <v>0</v>
      </c>
      <c r="HE52" s="348">
        <f t="shared" si="96"/>
        <v>0</v>
      </c>
      <c r="HF52" s="348">
        <f t="shared" si="96"/>
        <v>0</v>
      </c>
      <c r="HG52" s="348">
        <f t="shared" si="96"/>
        <v>0</v>
      </c>
      <c r="HH52" s="348">
        <f t="shared" si="96"/>
        <v>0</v>
      </c>
      <c r="HI52" s="348">
        <f t="shared" si="96"/>
        <v>0</v>
      </c>
      <c r="HJ52" s="348">
        <f t="shared" si="96"/>
        <v>0</v>
      </c>
      <c r="HK52" s="348">
        <f t="shared" si="96"/>
        <v>0</v>
      </c>
      <c r="HL52" s="348">
        <f t="shared" si="96"/>
        <v>0</v>
      </c>
      <c r="HM52" s="348">
        <f t="shared" si="96"/>
        <v>0</v>
      </c>
      <c r="HN52" s="348">
        <f t="shared" si="96"/>
        <v>0</v>
      </c>
      <c r="HO52" s="348">
        <f t="shared" si="96"/>
        <v>0</v>
      </c>
      <c r="HP52" s="348">
        <f t="shared" si="96"/>
        <v>0</v>
      </c>
      <c r="HQ52" s="348">
        <f t="shared" si="96"/>
        <v>0</v>
      </c>
      <c r="HR52" s="348">
        <f t="shared" si="96"/>
        <v>0</v>
      </c>
      <c r="HS52" s="348">
        <f t="shared" si="96"/>
        <v>0</v>
      </c>
      <c r="HT52" s="348">
        <f t="shared" si="96"/>
        <v>0</v>
      </c>
      <c r="HU52" s="348">
        <f t="shared" si="96"/>
        <v>0</v>
      </c>
      <c r="HV52" s="348">
        <f t="shared" si="96"/>
        <v>0</v>
      </c>
      <c r="HW52" s="348">
        <f t="shared" si="96"/>
        <v>0</v>
      </c>
      <c r="HX52" s="348">
        <f t="shared" si="96"/>
        <v>0</v>
      </c>
      <c r="HY52" s="348">
        <f t="shared" si="96"/>
        <v>0</v>
      </c>
      <c r="HZ52" s="348">
        <f t="shared" si="96"/>
        <v>0</v>
      </c>
      <c r="IA52" s="348">
        <f t="shared" si="96"/>
        <v>0</v>
      </c>
      <c r="IB52" s="348">
        <f t="shared" si="96"/>
        <v>0</v>
      </c>
      <c r="IC52" s="348">
        <f t="shared" si="96"/>
        <v>0</v>
      </c>
      <c r="ID52" s="348">
        <f t="shared" si="96"/>
        <v>0</v>
      </c>
      <c r="IE52" s="348">
        <f t="shared" si="96"/>
        <v>0</v>
      </c>
      <c r="IF52" s="348">
        <f t="shared" si="96"/>
        <v>0</v>
      </c>
      <c r="IG52" s="348">
        <f t="shared" si="96"/>
        <v>0</v>
      </c>
      <c r="IH52" s="348">
        <f t="shared" si="96"/>
        <v>0</v>
      </c>
      <c r="II52" s="348">
        <f t="shared" si="96"/>
        <v>0</v>
      </c>
      <c r="IJ52" s="348">
        <f t="shared" si="96"/>
        <v>0</v>
      </c>
      <c r="IK52" s="348">
        <f t="shared" si="96"/>
        <v>0</v>
      </c>
    </row>
    <row r="53" spans="1:245" hidden="1" x14ac:dyDescent="0.35">
      <c r="A53" s="195"/>
      <c r="B53" s="5"/>
      <c r="C53" s="630"/>
      <c r="D53" s="468"/>
      <c r="E53" s="32"/>
    </row>
    <row r="54" spans="1:245" hidden="1" x14ac:dyDescent="0.35">
      <c r="A54" s="195"/>
      <c r="B54" s="5"/>
      <c r="C54" s="630" t="s">
        <v>1578</v>
      </c>
      <c r="D54" s="678">
        <f>IF(ENTRADAS!$F$22=0,0,IF(ENTRADAS!$E$1038=0,0,IF(D52=0,0,IF(D48-D52&gt;=0,$J$3+D48-D52+0,0))))</f>
        <v>0</v>
      </c>
      <c r="E54" s="679">
        <f>IF(D54&gt;0,D54-D49+1+0,IF(D55&gt;0,D55-D49+1,0))</f>
        <v>0</v>
      </c>
    </row>
    <row r="55" spans="1:245" hidden="1" x14ac:dyDescent="0.35">
      <c r="A55" s="195"/>
      <c r="B55" s="5"/>
      <c r="C55" s="630" t="s">
        <v>1579</v>
      </c>
      <c r="D55" s="467">
        <f>IF(ENTRADAS!$F$22=0,0,IF(ENTRADAS!$E$1038=0,0,IF(D48-D52&lt;0,$J$3+D48+ENTRADAS!$Q$852,0)))</f>
        <v>0</v>
      </c>
      <c r="E55" s="32"/>
    </row>
    <row r="56" spans="1:245" hidden="1" x14ac:dyDescent="0.35">
      <c r="A56" s="195"/>
      <c r="B56" s="5"/>
      <c r="C56" s="630" t="s">
        <v>1580</v>
      </c>
      <c r="D56" s="467">
        <f>IF(G56&gt;0,G56,IF(G57&gt;0,G57,IF(ENTRADAS!$F$22=0,0,IF(ENTRADAS!$E$1038=0,0,IF(D52&gt;0,D50,0)))))</f>
        <v>0</v>
      </c>
      <c r="E56" s="679">
        <f>IF(G56&gt;0,G56-D49,IF(G57&gt;0,G57-D49+0,D52+E54))</f>
        <v>0</v>
      </c>
      <c r="G56" s="471">
        <f>IF(ENTRADAS!$F$22=0,0,IF(ENTRADAS!$E$1038=0,0,IF(ENTRADAS!$F$22=D43+1,IF((D43+1)*D48&gt;E54+LAJES!$H$486/D44,D54+LAJES!$H$486/D44+1,0),0)))</f>
        <v>0</v>
      </c>
    </row>
    <row r="57" spans="1:245" hidden="1" x14ac:dyDescent="0.35">
      <c r="A57" s="195"/>
      <c r="B57" s="5"/>
      <c r="G57" s="471">
        <f>IF(ENTRADAS!$F$22=0,0,IF(ENTRADAS!$E$1038=0,0,IF(ENTRADAS!$F$22&gt;D43+1,D54+LAJES!$H$486/D44+1,0)))</f>
        <v>0</v>
      </c>
    </row>
    <row r="58" spans="1:245" ht="12" hidden="1" customHeight="1" x14ac:dyDescent="0.35">
      <c r="A58" s="195"/>
      <c r="B58" s="5"/>
    </row>
    <row r="59" spans="1:245" ht="3.75" hidden="1" customHeight="1" x14ac:dyDescent="0.35">
      <c r="A59" s="195"/>
      <c r="B59" s="5"/>
    </row>
    <row r="60" spans="1:245" ht="3.75" hidden="1" customHeight="1" x14ac:dyDescent="0.35">
      <c r="A60" s="195"/>
      <c r="B60" s="5"/>
    </row>
    <row r="61" spans="1:245" hidden="1" x14ac:dyDescent="0.35">
      <c r="A61" s="195"/>
      <c r="B61" s="5"/>
      <c r="C61" s="32" t="s">
        <v>1581</v>
      </c>
      <c r="D61" s="342">
        <f>IF(ENTRADAS!$D$912=0,0,IF(ENTRADAS!$E$1038=0,LAJES!$H$486/D44,0))</f>
        <v>0</v>
      </c>
      <c r="E61" s="32"/>
      <c r="H61" s="348">
        <f t="shared" ref="H61:BS61" si="97">IF(AND(H6&gt;=$E$62,H6&lt;$E$63),10,0)</f>
        <v>0</v>
      </c>
      <c r="I61" s="348">
        <f t="shared" si="97"/>
        <v>0</v>
      </c>
      <c r="J61" s="348">
        <f t="shared" si="97"/>
        <v>0</v>
      </c>
      <c r="K61" s="348">
        <f t="shared" si="97"/>
        <v>0</v>
      </c>
      <c r="L61" s="348">
        <f t="shared" si="97"/>
        <v>0</v>
      </c>
      <c r="M61" s="348">
        <f t="shared" si="97"/>
        <v>0</v>
      </c>
      <c r="N61" s="348">
        <f t="shared" si="97"/>
        <v>0</v>
      </c>
      <c r="O61" s="348">
        <f t="shared" si="97"/>
        <v>0</v>
      </c>
      <c r="P61" s="348">
        <f t="shared" si="97"/>
        <v>0</v>
      </c>
      <c r="Q61" s="348">
        <f t="shared" si="97"/>
        <v>0</v>
      </c>
      <c r="R61" s="348">
        <f t="shared" si="97"/>
        <v>0</v>
      </c>
      <c r="S61" s="348">
        <f t="shared" si="97"/>
        <v>0</v>
      </c>
      <c r="T61" s="348">
        <f t="shared" si="97"/>
        <v>0</v>
      </c>
      <c r="U61" s="348">
        <f t="shared" si="97"/>
        <v>0</v>
      </c>
      <c r="V61" s="348">
        <f t="shared" si="97"/>
        <v>0</v>
      </c>
      <c r="W61" s="348">
        <f t="shared" si="97"/>
        <v>0</v>
      </c>
      <c r="X61" s="348">
        <f t="shared" si="97"/>
        <v>0</v>
      </c>
      <c r="Y61" s="348">
        <f t="shared" si="97"/>
        <v>0</v>
      </c>
      <c r="Z61" s="348">
        <f t="shared" si="97"/>
        <v>0</v>
      </c>
      <c r="AA61" s="348">
        <f t="shared" si="97"/>
        <v>0</v>
      </c>
      <c r="AB61" s="348">
        <f t="shared" si="97"/>
        <v>0</v>
      </c>
      <c r="AC61" s="348">
        <f t="shared" si="97"/>
        <v>0</v>
      </c>
      <c r="AD61" s="348">
        <f t="shared" si="97"/>
        <v>0</v>
      </c>
      <c r="AE61" s="348">
        <f t="shared" si="97"/>
        <v>0</v>
      </c>
      <c r="AF61" s="348">
        <f t="shared" si="97"/>
        <v>0</v>
      </c>
      <c r="AG61" s="348">
        <f t="shared" si="97"/>
        <v>0</v>
      </c>
      <c r="AH61" s="348">
        <f t="shared" si="97"/>
        <v>0</v>
      </c>
      <c r="AI61" s="348">
        <f t="shared" si="97"/>
        <v>0</v>
      </c>
      <c r="AJ61" s="348">
        <f t="shared" si="97"/>
        <v>0</v>
      </c>
      <c r="AK61" s="348">
        <f t="shared" si="97"/>
        <v>0</v>
      </c>
      <c r="AL61" s="348">
        <f t="shared" si="97"/>
        <v>0</v>
      </c>
      <c r="AM61" s="348">
        <f t="shared" si="97"/>
        <v>0</v>
      </c>
      <c r="AN61" s="348">
        <f t="shared" si="97"/>
        <v>0</v>
      </c>
      <c r="AO61" s="348">
        <f t="shared" si="97"/>
        <v>0</v>
      </c>
      <c r="AP61" s="348">
        <f t="shared" si="97"/>
        <v>0</v>
      </c>
      <c r="AQ61" s="348">
        <f t="shared" si="97"/>
        <v>0</v>
      </c>
      <c r="AR61" s="348">
        <f t="shared" si="97"/>
        <v>0</v>
      </c>
      <c r="AS61" s="348">
        <f t="shared" si="97"/>
        <v>0</v>
      </c>
      <c r="AT61" s="348">
        <f t="shared" si="97"/>
        <v>0</v>
      </c>
      <c r="AU61" s="348">
        <f t="shared" si="97"/>
        <v>0</v>
      </c>
      <c r="AV61" s="348">
        <f t="shared" si="97"/>
        <v>0</v>
      </c>
      <c r="AW61" s="348">
        <f t="shared" si="97"/>
        <v>0</v>
      </c>
      <c r="AX61" s="348">
        <f t="shared" si="97"/>
        <v>0</v>
      </c>
      <c r="AY61" s="348">
        <f t="shared" si="97"/>
        <v>0</v>
      </c>
      <c r="AZ61" s="348">
        <f t="shared" si="97"/>
        <v>0</v>
      </c>
      <c r="BA61" s="348">
        <f t="shared" si="97"/>
        <v>0</v>
      </c>
      <c r="BB61" s="348">
        <f t="shared" si="97"/>
        <v>0</v>
      </c>
      <c r="BC61" s="348">
        <f t="shared" si="97"/>
        <v>0</v>
      </c>
      <c r="BD61" s="348">
        <f t="shared" si="97"/>
        <v>0</v>
      </c>
      <c r="BE61" s="348">
        <f t="shared" si="97"/>
        <v>0</v>
      </c>
      <c r="BF61" s="348">
        <f t="shared" si="97"/>
        <v>0</v>
      </c>
      <c r="BG61" s="348">
        <f t="shared" si="97"/>
        <v>0</v>
      </c>
      <c r="BH61" s="348">
        <f t="shared" si="97"/>
        <v>0</v>
      </c>
      <c r="BI61" s="348">
        <f t="shared" si="97"/>
        <v>0</v>
      </c>
      <c r="BJ61" s="348">
        <f t="shared" si="97"/>
        <v>0</v>
      </c>
      <c r="BK61" s="348">
        <f t="shared" si="97"/>
        <v>0</v>
      </c>
      <c r="BL61" s="348">
        <f t="shared" si="97"/>
        <v>0</v>
      </c>
      <c r="BM61" s="348">
        <f t="shared" si="97"/>
        <v>0</v>
      </c>
      <c r="BN61" s="348">
        <f t="shared" si="97"/>
        <v>0</v>
      </c>
      <c r="BO61" s="348">
        <f t="shared" si="97"/>
        <v>0</v>
      </c>
      <c r="BP61" s="348">
        <f t="shared" si="97"/>
        <v>0</v>
      </c>
      <c r="BQ61" s="348">
        <f t="shared" si="97"/>
        <v>0</v>
      </c>
      <c r="BR61" s="348">
        <f t="shared" si="97"/>
        <v>0</v>
      </c>
      <c r="BS61" s="348">
        <f t="shared" si="97"/>
        <v>0</v>
      </c>
      <c r="BT61" s="348">
        <f t="shared" ref="BT61:EE61" si="98">IF(AND(BT6&gt;=$E$62,BT6&lt;$E$63),10,0)</f>
        <v>0</v>
      </c>
      <c r="BU61" s="348">
        <f t="shared" si="98"/>
        <v>0</v>
      </c>
      <c r="BV61" s="348">
        <f t="shared" si="98"/>
        <v>0</v>
      </c>
      <c r="BW61" s="348">
        <f t="shared" si="98"/>
        <v>0</v>
      </c>
      <c r="BX61" s="348">
        <f t="shared" si="98"/>
        <v>0</v>
      </c>
      <c r="BY61" s="348">
        <f t="shared" si="98"/>
        <v>0</v>
      </c>
      <c r="BZ61" s="348">
        <f t="shared" si="98"/>
        <v>0</v>
      </c>
      <c r="CA61" s="348">
        <f t="shared" si="98"/>
        <v>0</v>
      </c>
      <c r="CB61" s="348">
        <f t="shared" si="98"/>
        <v>0</v>
      </c>
      <c r="CC61" s="348">
        <f t="shared" si="98"/>
        <v>0</v>
      </c>
      <c r="CD61" s="348">
        <f t="shared" si="98"/>
        <v>0</v>
      </c>
      <c r="CE61" s="348">
        <f t="shared" si="98"/>
        <v>0</v>
      </c>
      <c r="CF61" s="348">
        <f t="shared" si="98"/>
        <v>0</v>
      </c>
      <c r="CG61" s="348">
        <f t="shared" si="98"/>
        <v>0</v>
      </c>
      <c r="CH61" s="348">
        <f t="shared" si="98"/>
        <v>0</v>
      </c>
      <c r="CI61" s="348">
        <f t="shared" si="98"/>
        <v>0</v>
      </c>
      <c r="CJ61" s="348">
        <f t="shared" si="98"/>
        <v>0</v>
      </c>
      <c r="CK61" s="348">
        <f t="shared" si="98"/>
        <v>0</v>
      </c>
      <c r="CL61" s="348">
        <f t="shared" si="98"/>
        <v>0</v>
      </c>
      <c r="CM61" s="348">
        <f t="shared" si="98"/>
        <v>0</v>
      </c>
      <c r="CN61" s="348">
        <f t="shared" si="98"/>
        <v>0</v>
      </c>
      <c r="CO61" s="348">
        <f t="shared" si="98"/>
        <v>0</v>
      </c>
      <c r="CP61" s="348">
        <f t="shared" si="98"/>
        <v>0</v>
      </c>
      <c r="CQ61" s="348">
        <f t="shared" si="98"/>
        <v>0</v>
      </c>
      <c r="CR61" s="348">
        <f t="shared" si="98"/>
        <v>0</v>
      </c>
      <c r="CS61" s="348">
        <f t="shared" si="98"/>
        <v>0</v>
      </c>
      <c r="CT61" s="348">
        <f t="shared" si="98"/>
        <v>0</v>
      </c>
      <c r="CU61" s="348">
        <f t="shared" si="98"/>
        <v>0</v>
      </c>
      <c r="CV61" s="348">
        <f t="shared" si="98"/>
        <v>0</v>
      </c>
      <c r="CW61" s="348">
        <f t="shared" si="98"/>
        <v>0</v>
      </c>
      <c r="CX61" s="348">
        <f t="shared" si="98"/>
        <v>0</v>
      </c>
      <c r="CY61" s="348">
        <f t="shared" si="98"/>
        <v>0</v>
      </c>
      <c r="CZ61" s="348">
        <f t="shared" si="98"/>
        <v>0</v>
      </c>
      <c r="DA61" s="348">
        <f t="shared" si="98"/>
        <v>0</v>
      </c>
      <c r="DB61" s="348">
        <f t="shared" si="98"/>
        <v>0</v>
      </c>
      <c r="DC61" s="348">
        <f t="shared" si="98"/>
        <v>0</v>
      </c>
      <c r="DD61" s="348">
        <f t="shared" si="98"/>
        <v>0</v>
      </c>
      <c r="DE61" s="348">
        <f t="shared" si="98"/>
        <v>0</v>
      </c>
      <c r="DF61" s="348">
        <f t="shared" si="98"/>
        <v>0</v>
      </c>
      <c r="DG61" s="348">
        <f t="shared" si="98"/>
        <v>0</v>
      </c>
      <c r="DH61" s="348">
        <f t="shared" si="98"/>
        <v>0</v>
      </c>
      <c r="DI61" s="348">
        <f t="shared" si="98"/>
        <v>0</v>
      </c>
      <c r="DJ61" s="348">
        <f t="shared" si="98"/>
        <v>0</v>
      </c>
      <c r="DK61" s="348">
        <f t="shared" si="98"/>
        <v>0</v>
      </c>
      <c r="DL61" s="348">
        <f t="shared" si="98"/>
        <v>0</v>
      </c>
      <c r="DM61" s="348">
        <f t="shared" si="98"/>
        <v>0</v>
      </c>
      <c r="DN61" s="348">
        <f t="shared" si="98"/>
        <v>0</v>
      </c>
      <c r="DO61" s="348">
        <f t="shared" si="98"/>
        <v>0</v>
      </c>
      <c r="DP61" s="348">
        <f t="shared" si="98"/>
        <v>0</v>
      </c>
      <c r="DQ61" s="348">
        <f t="shared" si="98"/>
        <v>0</v>
      </c>
      <c r="DR61" s="348">
        <f t="shared" si="98"/>
        <v>0</v>
      </c>
      <c r="DS61" s="348">
        <f t="shared" si="98"/>
        <v>0</v>
      </c>
      <c r="DT61" s="348">
        <f t="shared" si="98"/>
        <v>0</v>
      </c>
      <c r="DU61" s="348">
        <f t="shared" si="98"/>
        <v>0</v>
      </c>
      <c r="DV61" s="348">
        <f t="shared" si="98"/>
        <v>0</v>
      </c>
      <c r="DW61" s="348">
        <f t="shared" si="98"/>
        <v>0</v>
      </c>
      <c r="DX61" s="348">
        <f t="shared" si="98"/>
        <v>0</v>
      </c>
      <c r="DY61" s="348">
        <f t="shared" si="98"/>
        <v>0</v>
      </c>
      <c r="DZ61" s="348">
        <f t="shared" si="98"/>
        <v>0</v>
      </c>
      <c r="EA61" s="348">
        <f t="shared" si="98"/>
        <v>0</v>
      </c>
      <c r="EB61" s="348">
        <f t="shared" si="98"/>
        <v>0</v>
      </c>
      <c r="EC61" s="348">
        <f t="shared" si="98"/>
        <v>0</v>
      </c>
      <c r="ED61" s="348">
        <f t="shared" si="98"/>
        <v>0</v>
      </c>
      <c r="EE61" s="348">
        <f t="shared" si="98"/>
        <v>0</v>
      </c>
      <c r="EF61" s="348">
        <f t="shared" ref="EF61:GQ61" si="99">IF(AND(EF6&gt;=$E$62,EF6&lt;$E$63),10,0)</f>
        <v>0</v>
      </c>
      <c r="EG61" s="348">
        <f t="shared" si="99"/>
        <v>0</v>
      </c>
      <c r="EH61" s="348">
        <f t="shared" si="99"/>
        <v>0</v>
      </c>
      <c r="EI61" s="348">
        <f t="shared" si="99"/>
        <v>0</v>
      </c>
      <c r="EJ61" s="348">
        <f t="shared" si="99"/>
        <v>0</v>
      </c>
      <c r="EK61" s="348">
        <f t="shared" si="99"/>
        <v>0</v>
      </c>
      <c r="EL61" s="348">
        <f t="shared" si="99"/>
        <v>0</v>
      </c>
      <c r="EM61" s="348">
        <f t="shared" si="99"/>
        <v>0</v>
      </c>
      <c r="EN61" s="348">
        <f t="shared" si="99"/>
        <v>0</v>
      </c>
      <c r="EO61" s="348">
        <f t="shared" si="99"/>
        <v>0</v>
      </c>
      <c r="EP61" s="348">
        <f t="shared" si="99"/>
        <v>0</v>
      </c>
      <c r="EQ61" s="348">
        <f t="shared" si="99"/>
        <v>0</v>
      </c>
      <c r="ER61" s="348">
        <f t="shared" si="99"/>
        <v>0</v>
      </c>
      <c r="ES61" s="348">
        <f t="shared" si="99"/>
        <v>0</v>
      </c>
      <c r="ET61" s="348">
        <f t="shared" si="99"/>
        <v>0</v>
      </c>
      <c r="EU61" s="348">
        <f t="shared" si="99"/>
        <v>0</v>
      </c>
      <c r="EV61" s="348">
        <f t="shared" si="99"/>
        <v>0</v>
      </c>
      <c r="EW61" s="348">
        <f t="shared" si="99"/>
        <v>0</v>
      </c>
      <c r="EX61" s="348">
        <f t="shared" si="99"/>
        <v>0</v>
      </c>
      <c r="EY61" s="348">
        <f t="shared" si="99"/>
        <v>0</v>
      </c>
      <c r="EZ61" s="348">
        <f t="shared" si="99"/>
        <v>0</v>
      </c>
      <c r="FA61" s="348">
        <f t="shared" si="99"/>
        <v>0</v>
      </c>
      <c r="FB61" s="348">
        <f t="shared" si="99"/>
        <v>0</v>
      </c>
      <c r="FC61" s="348">
        <f t="shared" si="99"/>
        <v>0</v>
      </c>
      <c r="FD61" s="348">
        <f t="shared" si="99"/>
        <v>0</v>
      </c>
      <c r="FE61" s="348">
        <f t="shared" si="99"/>
        <v>0</v>
      </c>
      <c r="FF61" s="348">
        <f t="shared" si="99"/>
        <v>0</v>
      </c>
      <c r="FG61" s="348">
        <f t="shared" si="99"/>
        <v>0</v>
      </c>
      <c r="FH61" s="348">
        <f t="shared" si="99"/>
        <v>0</v>
      </c>
      <c r="FI61" s="348">
        <f t="shared" si="99"/>
        <v>0</v>
      </c>
      <c r="FJ61" s="348">
        <f t="shared" si="99"/>
        <v>0</v>
      </c>
      <c r="FK61" s="348">
        <f t="shared" si="99"/>
        <v>0</v>
      </c>
      <c r="FL61" s="348">
        <f t="shared" si="99"/>
        <v>0</v>
      </c>
      <c r="FM61" s="348">
        <f t="shared" si="99"/>
        <v>0</v>
      </c>
      <c r="FN61" s="348">
        <f t="shared" si="99"/>
        <v>0</v>
      </c>
      <c r="FO61" s="348">
        <f t="shared" si="99"/>
        <v>0</v>
      </c>
      <c r="FP61" s="348">
        <f t="shared" si="99"/>
        <v>0</v>
      </c>
      <c r="FQ61" s="348">
        <f t="shared" si="99"/>
        <v>0</v>
      </c>
      <c r="FR61" s="348">
        <f t="shared" si="99"/>
        <v>0</v>
      </c>
      <c r="FS61" s="348">
        <f t="shared" si="99"/>
        <v>0</v>
      </c>
      <c r="FT61" s="348">
        <f t="shared" si="99"/>
        <v>0</v>
      </c>
      <c r="FU61" s="348">
        <f t="shared" si="99"/>
        <v>0</v>
      </c>
      <c r="FV61" s="348">
        <f t="shared" si="99"/>
        <v>0</v>
      </c>
      <c r="FW61" s="348">
        <f t="shared" si="99"/>
        <v>0</v>
      </c>
      <c r="FX61" s="348">
        <f t="shared" si="99"/>
        <v>0</v>
      </c>
      <c r="FY61" s="348">
        <f t="shared" si="99"/>
        <v>0</v>
      </c>
      <c r="FZ61" s="348">
        <f t="shared" si="99"/>
        <v>0</v>
      </c>
      <c r="GA61" s="348">
        <f t="shared" si="99"/>
        <v>0</v>
      </c>
      <c r="GB61" s="348">
        <f t="shared" si="99"/>
        <v>0</v>
      </c>
      <c r="GC61" s="348">
        <f t="shared" si="99"/>
        <v>0</v>
      </c>
      <c r="GD61" s="348">
        <f t="shared" si="99"/>
        <v>0</v>
      </c>
      <c r="GE61" s="348">
        <f t="shared" si="99"/>
        <v>0</v>
      </c>
      <c r="GF61" s="348">
        <f t="shared" si="99"/>
        <v>0</v>
      </c>
      <c r="GG61" s="348">
        <f t="shared" si="99"/>
        <v>0</v>
      </c>
      <c r="GH61" s="348">
        <f t="shared" si="99"/>
        <v>0</v>
      </c>
      <c r="GI61" s="348">
        <f t="shared" si="99"/>
        <v>0</v>
      </c>
      <c r="GJ61" s="348">
        <f t="shared" si="99"/>
        <v>0</v>
      </c>
      <c r="GK61" s="348">
        <f t="shared" si="99"/>
        <v>0</v>
      </c>
      <c r="GL61" s="348">
        <f t="shared" si="99"/>
        <v>0</v>
      </c>
      <c r="GM61" s="348">
        <f t="shared" si="99"/>
        <v>0</v>
      </c>
      <c r="GN61" s="348">
        <f t="shared" si="99"/>
        <v>0</v>
      </c>
      <c r="GO61" s="348">
        <f t="shared" si="99"/>
        <v>0</v>
      </c>
      <c r="GP61" s="348">
        <f t="shared" si="99"/>
        <v>0</v>
      </c>
      <c r="GQ61" s="348">
        <f t="shared" si="99"/>
        <v>0</v>
      </c>
      <c r="GR61" s="348">
        <f t="shared" ref="GR61:IK61" si="100">IF(AND(GR6&gt;=$E$62,GR6&lt;$E$63),10,0)</f>
        <v>0</v>
      </c>
      <c r="GS61" s="348">
        <f t="shared" si="100"/>
        <v>0</v>
      </c>
      <c r="GT61" s="348">
        <f t="shared" si="100"/>
        <v>0</v>
      </c>
      <c r="GU61" s="348">
        <f t="shared" si="100"/>
        <v>0</v>
      </c>
      <c r="GV61" s="348">
        <f t="shared" si="100"/>
        <v>0</v>
      </c>
      <c r="GW61" s="348">
        <f t="shared" si="100"/>
        <v>0</v>
      </c>
      <c r="GX61" s="348">
        <f t="shared" si="100"/>
        <v>0</v>
      </c>
      <c r="GY61" s="348">
        <f t="shared" si="100"/>
        <v>0</v>
      </c>
      <c r="GZ61" s="348">
        <f t="shared" si="100"/>
        <v>0</v>
      </c>
      <c r="HA61" s="348">
        <f t="shared" si="100"/>
        <v>0</v>
      </c>
      <c r="HB61" s="348">
        <f t="shared" si="100"/>
        <v>0</v>
      </c>
      <c r="HC61" s="348">
        <f t="shared" si="100"/>
        <v>0</v>
      </c>
      <c r="HD61" s="348">
        <f t="shared" si="100"/>
        <v>0</v>
      </c>
      <c r="HE61" s="348">
        <f t="shared" si="100"/>
        <v>0</v>
      </c>
      <c r="HF61" s="348">
        <f t="shared" si="100"/>
        <v>0</v>
      </c>
      <c r="HG61" s="348">
        <f t="shared" si="100"/>
        <v>0</v>
      </c>
      <c r="HH61" s="348">
        <f t="shared" si="100"/>
        <v>0</v>
      </c>
      <c r="HI61" s="348">
        <f t="shared" si="100"/>
        <v>0</v>
      </c>
      <c r="HJ61" s="348">
        <f t="shared" si="100"/>
        <v>0</v>
      </c>
      <c r="HK61" s="348">
        <f t="shared" si="100"/>
        <v>0</v>
      </c>
      <c r="HL61" s="348">
        <f t="shared" si="100"/>
        <v>0</v>
      </c>
      <c r="HM61" s="348">
        <f t="shared" si="100"/>
        <v>0</v>
      </c>
      <c r="HN61" s="348">
        <f t="shared" si="100"/>
        <v>0</v>
      </c>
      <c r="HO61" s="348">
        <f t="shared" si="100"/>
        <v>0</v>
      </c>
      <c r="HP61" s="348">
        <f t="shared" si="100"/>
        <v>0</v>
      </c>
      <c r="HQ61" s="348">
        <f t="shared" si="100"/>
        <v>0</v>
      </c>
      <c r="HR61" s="348">
        <f t="shared" si="100"/>
        <v>0</v>
      </c>
      <c r="HS61" s="348">
        <f t="shared" si="100"/>
        <v>0</v>
      </c>
      <c r="HT61" s="348">
        <f t="shared" si="100"/>
        <v>0</v>
      </c>
      <c r="HU61" s="348">
        <f t="shared" si="100"/>
        <v>0</v>
      </c>
      <c r="HV61" s="348">
        <f t="shared" si="100"/>
        <v>0</v>
      </c>
      <c r="HW61" s="348">
        <f t="shared" si="100"/>
        <v>0</v>
      </c>
      <c r="HX61" s="348">
        <f t="shared" si="100"/>
        <v>0</v>
      </c>
      <c r="HY61" s="348">
        <f t="shared" si="100"/>
        <v>0</v>
      </c>
      <c r="HZ61" s="348">
        <f t="shared" si="100"/>
        <v>0</v>
      </c>
      <c r="IA61" s="348">
        <f t="shared" si="100"/>
        <v>0</v>
      </c>
      <c r="IB61" s="348">
        <f t="shared" si="100"/>
        <v>0</v>
      </c>
      <c r="IC61" s="348">
        <f t="shared" si="100"/>
        <v>0</v>
      </c>
      <c r="ID61" s="348">
        <f t="shared" si="100"/>
        <v>0</v>
      </c>
      <c r="IE61" s="348">
        <f t="shared" si="100"/>
        <v>0</v>
      </c>
      <c r="IF61" s="348">
        <f t="shared" si="100"/>
        <v>0</v>
      </c>
      <c r="IG61" s="348">
        <f t="shared" si="100"/>
        <v>0</v>
      </c>
      <c r="IH61" s="348">
        <f t="shared" si="100"/>
        <v>0</v>
      </c>
      <c r="II61" s="348">
        <f t="shared" si="100"/>
        <v>0</v>
      </c>
      <c r="IJ61" s="348">
        <f t="shared" si="100"/>
        <v>0</v>
      </c>
      <c r="IK61" s="348">
        <f t="shared" si="100"/>
        <v>0</v>
      </c>
    </row>
    <row r="62" spans="1:245" hidden="1" x14ac:dyDescent="0.35">
      <c r="A62" s="195"/>
      <c r="B62" s="5"/>
      <c r="C62" s="630" t="s">
        <v>1582</v>
      </c>
      <c r="D62" s="678">
        <f>IF(ENTRADAS!$D$912=0,0,IF(ENTRADAS!$E$1038=0,D45+D48+1+0,0))</f>
        <v>0</v>
      </c>
      <c r="E62" s="32">
        <f>IF(D62=0,0,D62-D45)</f>
        <v>0</v>
      </c>
    </row>
    <row r="63" spans="1:245" hidden="1" x14ac:dyDescent="0.35">
      <c r="A63" s="195"/>
      <c r="B63" s="5"/>
      <c r="C63" s="630" t="s">
        <v>1583</v>
      </c>
      <c r="D63" s="467">
        <f>IF(ENTRADAS!$D$912=0,0,IF(ENTRADAS!$E$1038=0,D62+D61-1,0))</f>
        <v>0</v>
      </c>
      <c r="E63" s="32">
        <f>IF(D61=0,0,D61+E62)</f>
        <v>0</v>
      </c>
      <c r="G63" s="467" t="b">
        <f ca="1">IF(D44&gt;D43,IF(D54+D55-D45+(((D43)*E51))&gt;(D43+1)*D48,((D43+1)*D48+D45)),0)</f>
        <v>0</v>
      </c>
    </row>
    <row r="64" spans="1:245" hidden="1" x14ac:dyDescent="0.35">
      <c r="A64" s="195"/>
      <c r="B64" s="5"/>
      <c r="C64" s="630" t="s">
        <v>1584</v>
      </c>
      <c r="D64" s="468">
        <f>IF(D44=0,0,IF(D66=0,0,IF(G64&gt;0,G64,LAJES!$H$486/D44-D52)))</f>
        <v>0</v>
      </c>
      <c r="E64" s="32"/>
      <c r="G64" s="32">
        <f ca="1">IF(D43=D44,IF(D43*E51+$G$77&gt;D43*D48+D45,(D43*E51+$G$77)-(D43*D48+D45),0),G63-D50)</f>
        <v>-45943.25</v>
      </c>
      <c r="H64" s="348">
        <f t="shared" ref="H64:BS64" si="101">IF($D$64&gt;0,IF(AND(H6&gt;=$E$66,H6&lt;$E$67),10,0),0)</f>
        <v>0</v>
      </c>
      <c r="I64" s="348">
        <f t="shared" si="101"/>
        <v>0</v>
      </c>
      <c r="J64" s="348">
        <f t="shared" si="101"/>
        <v>0</v>
      </c>
      <c r="K64" s="348">
        <f t="shared" si="101"/>
        <v>0</v>
      </c>
      <c r="L64" s="348">
        <f t="shared" si="101"/>
        <v>0</v>
      </c>
      <c r="M64" s="348">
        <f t="shared" si="101"/>
        <v>0</v>
      </c>
      <c r="N64" s="348">
        <f t="shared" si="101"/>
        <v>0</v>
      </c>
      <c r="O64" s="348">
        <f t="shared" si="101"/>
        <v>0</v>
      </c>
      <c r="P64" s="348">
        <f t="shared" si="101"/>
        <v>0</v>
      </c>
      <c r="Q64" s="348">
        <f t="shared" si="101"/>
        <v>0</v>
      </c>
      <c r="R64" s="348">
        <f t="shared" si="101"/>
        <v>0</v>
      </c>
      <c r="S64" s="348">
        <f t="shared" si="101"/>
        <v>0</v>
      </c>
      <c r="T64" s="348">
        <f t="shared" si="101"/>
        <v>0</v>
      </c>
      <c r="U64" s="348">
        <f t="shared" si="101"/>
        <v>0</v>
      </c>
      <c r="V64" s="348">
        <f t="shared" si="101"/>
        <v>0</v>
      </c>
      <c r="W64" s="348">
        <f t="shared" si="101"/>
        <v>0</v>
      </c>
      <c r="X64" s="348">
        <f t="shared" si="101"/>
        <v>0</v>
      </c>
      <c r="Y64" s="348">
        <f t="shared" si="101"/>
        <v>0</v>
      </c>
      <c r="Z64" s="348">
        <f t="shared" si="101"/>
        <v>0</v>
      </c>
      <c r="AA64" s="348">
        <f t="shared" si="101"/>
        <v>0</v>
      </c>
      <c r="AB64" s="348">
        <f t="shared" si="101"/>
        <v>0</v>
      </c>
      <c r="AC64" s="348">
        <f t="shared" si="101"/>
        <v>0</v>
      </c>
      <c r="AD64" s="348">
        <f t="shared" si="101"/>
        <v>0</v>
      </c>
      <c r="AE64" s="348">
        <f t="shared" si="101"/>
        <v>0</v>
      </c>
      <c r="AF64" s="348">
        <f t="shared" si="101"/>
        <v>0</v>
      </c>
      <c r="AG64" s="348">
        <f t="shared" si="101"/>
        <v>0</v>
      </c>
      <c r="AH64" s="348">
        <f t="shared" si="101"/>
        <v>0</v>
      </c>
      <c r="AI64" s="348">
        <f t="shared" si="101"/>
        <v>0</v>
      </c>
      <c r="AJ64" s="348">
        <f t="shared" si="101"/>
        <v>0</v>
      </c>
      <c r="AK64" s="348">
        <f t="shared" si="101"/>
        <v>0</v>
      </c>
      <c r="AL64" s="348">
        <f t="shared" si="101"/>
        <v>0</v>
      </c>
      <c r="AM64" s="348">
        <f t="shared" si="101"/>
        <v>0</v>
      </c>
      <c r="AN64" s="348">
        <f t="shared" si="101"/>
        <v>0</v>
      </c>
      <c r="AO64" s="348">
        <f t="shared" si="101"/>
        <v>0</v>
      </c>
      <c r="AP64" s="348">
        <f t="shared" si="101"/>
        <v>0</v>
      </c>
      <c r="AQ64" s="348">
        <f t="shared" si="101"/>
        <v>0</v>
      </c>
      <c r="AR64" s="348">
        <f t="shared" si="101"/>
        <v>0</v>
      </c>
      <c r="AS64" s="348">
        <f t="shared" si="101"/>
        <v>0</v>
      </c>
      <c r="AT64" s="348">
        <f t="shared" si="101"/>
        <v>0</v>
      </c>
      <c r="AU64" s="348">
        <f t="shared" si="101"/>
        <v>0</v>
      </c>
      <c r="AV64" s="348">
        <f t="shared" si="101"/>
        <v>0</v>
      </c>
      <c r="AW64" s="348">
        <f t="shared" si="101"/>
        <v>0</v>
      </c>
      <c r="AX64" s="348">
        <f t="shared" si="101"/>
        <v>0</v>
      </c>
      <c r="AY64" s="348">
        <f t="shared" si="101"/>
        <v>0</v>
      </c>
      <c r="AZ64" s="348">
        <f t="shared" si="101"/>
        <v>0</v>
      </c>
      <c r="BA64" s="348">
        <f t="shared" si="101"/>
        <v>0</v>
      </c>
      <c r="BB64" s="348">
        <f t="shared" si="101"/>
        <v>0</v>
      </c>
      <c r="BC64" s="348">
        <f t="shared" si="101"/>
        <v>0</v>
      </c>
      <c r="BD64" s="348">
        <f t="shared" si="101"/>
        <v>0</v>
      </c>
      <c r="BE64" s="348">
        <f t="shared" si="101"/>
        <v>0</v>
      </c>
      <c r="BF64" s="348">
        <f t="shared" si="101"/>
        <v>0</v>
      </c>
      <c r="BG64" s="348">
        <f t="shared" si="101"/>
        <v>0</v>
      </c>
      <c r="BH64" s="348">
        <f t="shared" si="101"/>
        <v>0</v>
      </c>
      <c r="BI64" s="348">
        <f t="shared" si="101"/>
        <v>0</v>
      </c>
      <c r="BJ64" s="348">
        <f t="shared" si="101"/>
        <v>0</v>
      </c>
      <c r="BK64" s="348">
        <f t="shared" si="101"/>
        <v>0</v>
      </c>
      <c r="BL64" s="348">
        <f t="shared" si="101"/>
        <v>0</v>
      </c>
      <c r="BM64" s="348">
        <f t="shared" si="101"/>
        <v>0</v>
      </c>
      <c r="BN64" s="348">
        <f t="shared" si="101"/>
        <v>0</v>
      </c>
      <c r="BO64" s="348">
        <f t="shared" si="101"/>
        <v>0</v>
      </c>
      <c r="BP64" s="348">
        <f t="shared" si="101"/>
        <v>0</v>
      </c>
      <c r="BQ64" s="348">
        <f t="shared" si="101"/>
        <v>0</v>
      </c>
      <c r="BR64" s="348">
        <f t="shared" si="101"/>
        <v>0</v>
      </c>
      <c r="BS64" s="348">
        <f t="shared" si="101"/>
        <v>0</v>
      </c>
      <c r="BT64" s="348">
        <f t="shared" ref="BT64:EE64" si="102">IF($D$64&gt;0,IF(AND(BT6&gt;=$E$66,BT6&lt;$E$67),10,0),0)</f>
        <v>0</v>
      </c>
      <c r="BU64" s="348">
        <f t="shared" si="102"/>
        <v>0</v>
      </c>
      <c r="BV64" s="348">
        <f t="shared" si="102"/>
        <v>0</v>
      </c>
      <c r="BW64" s="348">
        <f t="shared" si="102"/>
        <v>0</v>
      </c>
      <c r="BX64" s="348">
        <f t="shared" si="102"/>
        <v>0</v>
      </c>
      <c r="BY64" s="348">
        <f t="shared" si="102"/>
        <v>0</v>
      </c>
      <c r="BZ64" s="348">
        <f t="shared" si="102"/>
        <v>0</v>
      </c>
      <c r="CA64" s="348">
        <f t="shared" si="102"/>
        <v>0</v>
      </c>
      <c r="CB64" s="348">
        <f t="shared" si="102"/>
        <v>0</v>
      </c>
      <c r="CC64" s="348">
        <f t="shared" si="102"/>
        <v>0</v>
      </c>
      <c r="CD64" s="348">
        <f t="shared" si="102"/>
        <v>0</v>
      </c>
      <c r="CE64" s="348">
        <f t="shared" si="102"/>
        <v>0</v>
      </c>
      <c r="CF64" s="348">
        <f t="shared" si="102"/>
        <v>0</v>
      </c>
      <c r="CG64" s="348">
        <f t="shared" si="102"/>
        <v>0</v>
      </c>
      <c r="CH64" s="348">
        <f t="shared" si="102"/>
        <v>0</v>
      </c>
      <c r="CI64" s="348">
        <f t="shared" si="102"/>
        <v>0</v>
      </c>
      <c r="CJ64" s="348">
        <f t="shared" si="102"/>
        <v>0</v>
      </c>
      <c r="CK64" s="348">
        <f t="shared" si="102"/>
        <v>0</v>
      </c>
      <c r="CL64" s="348">
        <f t="shared" si="102"/>
        <v>0</v>
      </c>
      <c r="CM64" s="348">
        <f t="shared" si="102"/>
        <v>0</v>
      </c>
      <c r="CN64" s="348">
        <f t="shared" si="102"/>
        <v>0</v>
      </c>
      <c r="CO64" s="348">
        <f t="shared" si="102"/>
        <v>0</v>
      </c>
      <c r="CP64" s="348">
        <f t="shared" si="102"/>
        <v>0</v>
      </c>
      <c r="CQ64" s="348">
        <f t="shared" si="102"/>
        <v>0</v>
      </c>
      <c r="CR64" s="348">
        <f t="shared" si="102"/>
        <v>0</v>
      </c>
      <c r="CS64" s="348">
        <f t="shared" si="102"/>
        <v>0</v>
      </c>
      <c r="CT64" s="348">
        <f t="shared" si="102"/>
        <v>0</v>
      </c>
      <c r="CU64" s="348">
        <f t="shared" si="102"/>
        <v>0</v>
      </c>
      <c r="CV64" s="348">
        <f t="shared" si="102"/>
        <v>0</v>
      </c>
      <c r="CW64" s="348">
        <f t="shared" si="102"/>
        <v>0</v>
      </c>
      <c r="CX64" s="348">
        <f t="shared" si="102"/>
        <v>0</v>
      </c>
      <c r="CY64" s="348">
        <f t="shared" si="102"/>
        <v>0</v>
      </c>
      <c r="CZ64" s="348">
        <f t="shared" si="102"/>
        <v>0</v>
      </c>
      <c r="DA64" s="348">
        <f t="shared" si="102"/>
        <v>0</v>
      </c>
      <c r="DB64" s="348">
        <f t="shared" si="102"/>
        <v>0</v>
      </c>
      <c r="DC64" s="348">
        <f t="shared" si="102"/>
        <v>0</v>
      </c>
      <c r="DD64" s="348">
        <f t="shared" si="102"/>
        <v>0</v>
      </c>
      <c r="DE64" s="348">
        <f t="shared" si="102"/>
        <v>0</v>
      </c>
      <c r="DF64" s="348">
        <f t="shared" si="102"/>
        <v>0</v>
      </c>
      <c r="DG64" s="348">
        <f t="shared" si="102"/>
        <v>0</v>
      </c>
      <c r="DH64" s="348">
        <f t="shared" si="102"/>
        <v>0</v>
      </c>
      <c r="DI64" s="348">
        <f t="shared" si="102"/>
        <v>0</v>
      </c>
      <c r="DJ64" s="348">
        <f t="shared" si="102"/>
        <v>0</v>
      </c>
      <c r="DK64" s="348">
        <f t="shared" si="102"/>
        <v>0</v>
      </c>
      <c r="DL64" s="348">
        <f t="shared" si="102"/>
        <v>0</v>
      </c>
      <c r="DM64" s="348">
        <f t="shared" si="102"/>
        <v>0</v>
      </c>
      <c r="DN64" s="348">
        <f t="shared" si="102"/>
        <v>0</v>
      </c>
      <c r="DO64" s="348">
        <f t="shared" si="102"/>
        <v>0</v>
      </c>
      <c r="DP64" s="348">
        <f t="shared" si="102"/>
        <v>0</v>
      </c>
      <c r="DQ64" s="348">
        <f t="shared" si="102"/>
        <v>0</v>
      </c>
      <c r="DR64" s="348">
        <f t="shared" si="102"/>
        <v>0</v>
      </c>
      <c r="DS64" s="348">
        <f t="shared" si="102"/>
        <v>0</v>
      </c>
      <c r="DT64" s="348">
        <f t="shared" si="102"/>
        <v>0</v>
      </c>
      <c r="DU64" s="348">
        <f t="shared" si="102"/>
        <v>0</v>
      </c>
      <c r="DV64" s="348">
        <f t="shared" si="102"/>
        <v>0</v>
      </c>
      <c r="DW64" s="348">
        <f t="shared" si="102"/>
        <v>0</v>
      </c>
      <c r="DX64" s="348">
        <f t="shared" si="102"/>
        <v>0</v>
      </c>
      <c r="DY64" s="348">
        <f t="shared" si="102"/>
        <v>0</v>
      </c>
      <c r="DZ64" s="348">
        <f t="shared" si="102"/>
        <v>0</v>
      </c>
      <c r="EA64" s="348">
        <f t="shared" si="102"/>
        <v>0</v>
      </c>
      <c r="EB64" s="348">
        <f t="shared" si="102"/>
        <v>0</v>
      </c>
      <c r="EC64" s="348">
        <f t="shared" si="102"/>
        <v>0</v>
      </c>
      <c r="ED64" s="348">
        <f t="shared" si="102"/>
        <v>0</v>
      </c>
      <c r="EE64" s="348">
        <f t="shared" si="102"/>
        <v>0</v>
      </c>
      <c r="EF64" s="348">
        <f t="shared" ref="EF64:GQ64" si="103">IF($D$64&gt;0,IF(AND(EF6&gt;=$E$66,EF6&lt;$E$67),10,0),0)</f>
        <v>0</v>
      </c>
      <c r="EG64" s="348">
        <f t="shared" si="103"/>
        <v>0</v>
      </c>
      <c r="EH64" s="348">
        <f t="shared" si="103"/>
        <v>0</v>
      </c>
      <c r="EI64" s="348">
        <f t="shared" si="103"/>
        <v>0</v>
      </c>
      <c r="EJ64" s="348">
        <f t="shared" si="103"/>
        <v>0</v>
      </c>
      <c r="EK64" s="348">
        <f t="shared" si="103"/>
        <v>0</v>
      </c>
      <c r="EL64" s="348">
        <f t="shared" si="103"/>
        <v>0</v>
      </c>
      <c r="EM64" s="348">
        <f t="shared" si="103"/>
        <v>0</v>
      </c>
      <c r="EN64" s="348">
        <f t="shared" si="103"/>
        <v>0</v>
      </c>
      <c r="EO64" s="348">
        <f t="shared" si="103"/>
        <v>0</v>
      </c>
      <c r="EP64" s="348">
        <f t="shared" si="103"/>
        <v>0</v>
      </c>
      <c r="EQ64" s="348">
        <f t="shared" si="103"/>
        <v>0</v>
      </c>
      <c r="ER64" s="348">
        <f t="shared" si="103"/>
        <v>0</v>
      </c>
      <c r="ES64" s="348">
        <f t="shared" si="103"/>
        <v>0</v>
      </c>
      <c r="ET64" s="348">
        <f t="shared" si="103"/>
        <v>0</v>
      </c>
      <c r="EU64" s="348">
        <f t="shared" si="103"/>
        <v>0</v>
      </c>
      <c r="EV64" s="348">
        <f t="shared" si="103"/>
        <v>0</v>
      </c>
      <c r="EW64" s="348">
        <f t="shared" si="103"/>
        <v>0</v>
      </c>
      <c r="EX64" s="348">
        <f t="shared" si="103"/>
        <v>0</v>
      </c>
      <c r="EY64" s="348">
        <f t="shared" si="103"/>
        <v>0</v>
      </c>
      <c r="EZ64" s="348">
        <f t="shared" si="103"/>
        <v>0</v>
      </c>
      <c r="FA64" s="348">
        <f t="shared" si="103"/>
        <v>0</v>
      </c>
      <c r="FB64" s="348">
        <f t="shared" si="103"/>
        <v>0</v>
      </c>
      <c r="FC64" s="348">
        <f t="shared" si="103"/>
        <v>0</v>
      </c>
      <c r="FD64" s="348">
        <f t="shared" si="103"/>
        <v>0</v>
      </c>
      <c r="FE64" s="348">
        <f t="shared" si="103"/>
        <v>0</v>
      </c>
      <c r="FF64" s="348">
        <f t="shared" si="103"/>
        <v>0</v>
      </c>
      <c r="FG64" s="348">
        <f t="shared" si="103"/>
        <v>0</v>
      </c>
      <c r="FH64" s="348">
        <f t="shared" si="103"/>
        <v>0</v>
      </c>
      <c r="FI64" s="348">
        <f t="shared" si="103"/>
        <v>0</v>
      </c>
      <c r="FJ64" s="348">
        <f t="shared" si="103"/>
        <v>0</v>
      </c>
      <c r="FK64" s="348">
        <f t="shared" si="103"/>
        <v>0</v>
      </c>
      <c r="FL64" s="348">
        <f t="shared" si="103"/>
        <v>0</v>
      </c>
      <c r="FM64" s="348">
        <f t="shared" si="103"/>
        <v>0</v>
      </c>
      <c r="FN64" s="348">
        <f t="shared" si="103"/>
        <v>0</v>
      </c>
      <c r="FO64" s="348">
        <f t="shared" si="103"/>
        <v>0</v>
      </c>
      <c r="FP64" s="348">
        <f t="shared" si="103"/>
        <v>0</v>
      </c>
      <c r="FQ64" s="348">
        <f t="shared" si="103"/>
        <v>0</v>
      </c>
      <c r="FR64" s="348">
        <f t="shared" si="103"/>
        <v>0</v>
      </c>
      <c r="FS64" s="348">
        <f t="shared" si="103"/>
        <v>0</v>
      </c>
      <c r="FT64" s="348">
        <f t="shared" si="103"/>
        <v>0</v>
      </c>
      <c r="FU64" s="348">
        <f t="shared" si="103"/>
        <v>0</v>
      </c>
      <c r="FV64" s="348">
        <f t="shared" si="103"/>
        <v>0</v>
      </c>
      <c r="FW64" s="348">
        <f t="shared" si="103"/>
        <v>0</v>
      </c>
      <c r="FX64" s="348">
        <f t="shared" si="103"/>
        <v>0</v>
      </c>
      <c r="FY64" s="348">
        <f t="shared" si="103"/>
        <v>0</v>
      </c>
      <c r="FZ64" s="348">
        <f t="shared" si="103"/>
        <v>0</v>
      </c>
      <c r="GA64" s="348">
        <f t="shared" si="103"/>
        <v>0</v>
      </c>
      <c r="GB64" s="348">
        <f t="shared" si="103"/>
        <v>0</v>
      </c>
      <c r="GC64" s="348">
        <f t="shared" si="103"/>
        <v>0</v>
      </c>
      <c r="GD64" s="348">
        <f t="shared" si="103"/>
        <v>0</v>
      </c>
      <c r="GE64" s="348">
        <f t="shared" si="103"/>
        <v>0</v>
      </c>
      <c r="GF64" s="348">
        <f t="shared" si="103"/>
        <v>0</v>
      </c>
      <c r="GG64" s="348">
        <f t="shared" si="103"/>
        <v>0</v>
      </c>
      <c r="GH64" s="348">
        <f t="shared" si="103"/>
        <v>0</v>
      </c>
      <c r="GI64" s="348">
        <f t="shared" si="103"/>
        <v>0</v>
      </c>
      <c r="GJ64" s="348">
        <f t="shared" si="103"/>
        <v>0</v>
      </c>
      <c r="GK64" s="348">
        <f t="shared" si="103"/>
        <v>0</v>
      </c>
      <c r="GL64" s="348">
        <f t="shared" si="103"/>
        <v>0</v>
      </c>
      <c r="GM64" s="348">
        <f t="shared" si="103"/>
        <v>0</v>
      </c>
      <c r="GN64" s="348">
        <f t="shared" si="103"/>
        <v>0</v>
      </c>
      <c r="GO64" s="348">
        <f t="shared" si="103"/>
        <v>0</v>
      </c>
      <c r="GP64" s="348">
        <f t="shared" si="103"/>
        <v>0</v>
      </c>
      <c r="GQ64" s="348">
        <f t="shared" si="103"/>
        <v>0</v>
      </c>
      <c r="GR64" s="348">
        <f t="shared" ref="GR64:IK64" si="104">IF($D$64&gt;0,IF(AND(GR6&gt;=$E$66,GR6&lt;$E$67),10,0),0)</f>
        <v>0</v>
      </c>
      <c r="GS64" s="348">
        <f t="shared" si="104"/>
        <v>0</v>
      </c>
      <c r="GT64" s="348">
        <f t="shared" si="104"/>
        <v>0</v>
      </c>
      <c r="GU64" s="348">
        <f t="shared" si="104"/>
        <v>0</v>
      </c>
      <c r="GV64" s="348">
        <f t="shared" si="104"/>
        <v>0</v>
      </c>
      <c r="GW64" s="348">
        <f t="shared" si="104"/>
        <v>0</v>
      </c>
      <c r="GX64" s="348">
        <f t="shared" si="104"/>
        <v>0</v>
      </c>
      <c r="GY64" s="348">
        <f t="shared" si="104"/>
        <v>0</v>
      </c>
      <c r="GZ64" s="348">
        <f t="shared" si="104"/>
        <v>0</v>
      </c>
      <c r="HA64" s="348">
        <f t="shared" si="104"/>
        <v>0</v>
      </c>
      <c r="HB64" s="348">
        <f t="shared" si="104"/>
        <v>0</v>
      </c>
      <c r="HC64" s="348">
        <f t="shared" si="104"/>
        <v>0</v>
      </c>
      <c r="HD64" s="348">
        <f t="shared" si="104"/>
        <v>0</v>
      </c>
      <c r="HE64" s="348">
        <f t="shared" si="104"/>
        <v>0</v>
      </c>
      <c r="HF64" s="348">
        <f t="shared" si="104"/>
        <v>0</v>
      </c>
      <c r="HG64" s="348">
        <f t="shared" si="104"/>
        <v>0</v>
      </c>
      <c r="HH64" s="348">
        <f t="shared" si="104"/>
        <v>0</v>
      </c>
      <c r="HI64" s="348">
        <f t="shared" si="104"/>
        <v>0</v>
      </c>
      <c r="HJ64" s="348">
        <f t="shared" si="104"/>
        <v>0</v>
      </c>
      <c r="HK64" s="348">
        <f t="shared" si="104"/>
        <v>0</v>
      </c>
      <c r="HL64" s="348">
        <f t="shared" si="104"/>
        <v>0</v>
      </c>
      <c r="HM64" s="348">
        <f t="shared" si="104"/>
        <v>0</v>
      </c>
      <c r="HN64" s="348">
        <f t="shared" si="104"/>
        <v>0</v>
      </c>
      <c r="HO64" s="348">
        <f t="shared" si="104"/>
        <v>0</v>
      </c>
      <c r="HP64" s="348">
        <f t="shared" si="104"/>
        <v>0</v>
      </c>
      <c r="HQ64" s="348">
        <f t="shared" si="104"/>
        <v>0</v>
      </c>
      <c r="HR64" s="348">
        <f t="shared" si="104"/>
        <v>0</v>
      </c>
      <c r="HS64" s="348">
        <f t="shared" si="104"/>
        <v>0</v>
      </c>
      <c r="HT64" s="348">
        <f t="shared" si="104"/>
        <v>0</v>
      </c>
      <c r="HU64" s="348">
        <f t="shared" si="104"/>
        <v>0</v>
      </c>
      <c r="HV64" s="348">
        <f t="shared" si="104"/>
        <v>0</v>
      </c>
      <c r="HW64" s="348">
        <f t="shared" si="104"/>
        <v>0</v>
      </c>
      <c r="HX64" s="348">
        <f t="shared" si="104"/>
        <v>0</v>
      </c>
      <c r="HY64" s="348">
        <f t="shared" si="104"/>
        <v>0</v>
      </c>
      <c r="HZ64" s="348">
        <f t="shared" si="104"/>
        <v>0</v>
      </c>
      <c r="IA64" s="348">
        <f t="shared" si="104"/>
        <v>0</v>
      </c>
      <c r="IB64" s="348">
        <f t="shared" si="104"/>
        <v>0</v>
      </c>
      <c r="IC64" s="348">
        <f t="shared" si="104"/>
        <v>0</v>
      </c>
      <c r="ID64" s="348">
        <f t="shared" si="104"/>
        <v>0</v>
      </c>
      <c r="IE64" s="348">
        <f t="shared" si="104"/>
        <v>0</v>
      </c>
      <c r="IF64" s="348">
        <f t="shared" si="104"/>
        <v>0</v>
      </c>
      <c r="IG64" s="348">
        <f t="shared" si="104"/>
        <v>0</v>
      </c>
      <c r="IH64" s="348">
        <f t="shared" si="104"/>
        <v>0</v>
      </c>
      <c r="II64" s="348">
        <f t="shared" si="104"/>
        <v>0</v>
      </c>
      <c r="IJ64" s="348">
        <f t="shared" si="104"/>
        <v>0</v>
      </c>
      <c r="IK64" s="348">
        <f t="shared" si="104"/>
        <v>0</v>
      </c>
    </row>
    <row r="65" spans="1:245" hidden="1" x14ac:dyDescent="0.35">
      <c r="A65" s="195"/>
      <c r="B65" s="5"/>
      <c r="C65" s="630"/>
      <c r="D65" s="468"/>
      <c r="E65" s="32"/>
    </row>
    <row r="66" spans="1:245" hidden="1" x14ac:dyDescent="0.35">
      <c r="A66" s="195"/>
      <c r="B66" s="5"/>
      <c r="C66" s="630" t="s">
        <v>1585</v>
      </c>
      <c r="D66" s="471">
        <f>IF(ENTRADAS!$F$22=0,0,IF(ENTRADAS!$E$1038=0,0,IF(ENTRADAS!$F$22&gt;D43+1,0,IF(ENTRADAS!$F$22=D43+1,IF((D43+1)*D48&gt;E54+LAJES!$H$486/D44,0,E56-1+D45),D56+1))))</f>
        <v>0</v>
      </c>
      <c r="E66" s="32">
        <f>IF(D66=0,0,D66-D49+1)</f>
        <v>0</v>
      </c>
    </row>
    <row r="67" spans="1:245" hidden="1" x14ac:dyDescent="0.35">
      <c r="A67" s="195"/>
      <c r="B67" s="5"/>
      <c r="C67" s="630" t="s">
        <v>1586</v>
      </c>
      <c r="D67" s="467">
        <f>IF(D66=0,0,D66+D64-1)</f>
        <v>0</v>
      </c>
      <c r="E67" s="32">
        <f>D64+E66</f>
        <v>0</v>
      </c>
    </row>
    <row r="68" spans="1:245" ht="9.75" hidden="1" customHeight="1" x14ac:dyDescent="0.35">
      <c r="A68" s="195"/>
      <c r="B68" s="5"/>
      <c r="G68" s="473">
        <f>IF(D67&gt;D56,D67,IF(D56&gt;D67,D56,0))</f>
        <v>0</v>
      </c>
    </row>
    <row r="69" spans="1:245" ht="9.75" hidden="1" customHeight="1" x14ac:dyDescent="0.35">
      <c r="A69" s="195"/>
      <c r="B69" s="5"/>
    </row>
    <row r="70" spans="1:245" ht="9.75" hidden="1" customHeight="1" x14ac:dyDescent="0.35">
      <c r="A70" s="195"/>
      <c r="B70" s="5"/>
    </row>
    <row r="71" spans="1:245" ht="4.5" hidden="1" customHeight="1" x14ac:dyDescent="0.35">
      <c r="A71" s="195"/>
      <c r="B71" s="5"/>
    </row>
    <row r="72" spans="1:245" hidden="1" x14ac:dyDescent="0.35">
      <c r="A72" s="195"/>
      <c r="B72" s="5"/>
      <c r="C72" s="630" t="s">
        <v>1587</v>
      </c>
      <c r="D72" s="468">
        <f ca="1">IF(ENTRADAS!$F$22=0,0,IF($J$3=0,0,ROUNDUP(CÁLCULOS!$L$536/ENTRADAS!$F$22,0)))</f>
        <v>29</v>
      </c>
      <c r="E72" s="32"/>
      <c r="H72" s="348">
        <f t="shared" ref="H72:BS72" ca="1" si="105">IF($E$74&gt;0,IF(AND(H6&gt;=$E$77,H6&lt;$E$78+1),10,0),IF(AND(H6&gt;=$E$77-1,H6&lt;$E$78-1),10,0))</f>
        <v>0</v>
      </c>
      <c r="I72" s="348">
        <f t="shared" ca="1" si="105"/>
        <v>0</v>
      </c>
      <c r="J72" s="348">
        <f t="shared" ca="1" si="105"/>
        <v>0</v>
      </c>
      <c r="K72" s="348">
        <f t="shared" ca="1" si="105"/>
        <v>0</v>
      </c>
      <c r="L72" s="348">
        <f t="shared" ca="1" si="105"/>
        <v>0</v>
      </c>
      <c r="M72" s="348">
        <f t="shared" ca="1" si="105"/>
        <v>0</v>
      </c>
      <c r="N72" s="348">
        <f t="shared" ca="1" si="105"/>
        <v>0</v>
      </c>
      <c r="O72" s="348">
        <f t="shared" ca="1" si="105"/>
        <v>0</v>
      </c>
      <c r="P72" s="348">
        <f t="shared" ca="1" si="105"/>
        <v>0</v>
      </c>
      <c r="Q72" s="348">
        <f t="shared" ca="1" si="105"/>
        <v>0</v>
      </c>
      <c r="R72" s="348">
        <f t="shared" ca="1" si="105"/>
        <v>0</v>
      </c>
      <c r="S72" s="348">
        <f t="shared" ca="1" si="105"/>
        <v>0</v>
      </c>
      <c r="T72" s="348">
        <f t="shared" ca="1" si="105"/>
        <v>0</v>
      </c>
      <c r="U72" s="348">
        <f t="shared" ca="1" si="105"/>
        <v>0</v>
      </c>
      <c r="V72" s="348">
        <f t="shared" ca="1" si="105"/>
        <v>0</v>
      </c>
      <c r="W72" s="348">
        <f t="shared" ca="1" si="105"/>
        <v>0</v>
      </c>
      <c r="X72" s="348">
        <f t="shared" ca="1" si="105"/>
        <v>0</v>
      </c>
      <c r="Y72" s="348">
        <f t="shared" ca="1" si="105"/>
        <v>0</v>
      </c>
      <c r="Z72" s="348">
        <f t="shared" ca="1" si="105"/>
        <v>0</v>
      </c>
      <c r="AA72" s="348">
        <f t="shared" ca="1" si="105"/>
        <v>0</v>
      </c>
      <c r="AB72" s="348">
        <f t="shared" ca="1" si="105"/>
        <v>0</v>
      </c>
      <c r="AC72" s="348">
        <f t="shared" ca="1" si="105"/>
        <v>0</v>
      </c>
      <c r="AD72" s="348">
        <f t="shared" ca="1" si="105"/>
        <v>0</v>
      </c>
      <c r="AE72" s="348">
        <f t="shared" ca="1" si="105"/>
        <v>0</v>
      </c>
      <c r="AF72" s="348">
        <f t="shared" ca="1" si="105"/>
        <v>0</v>
      </c>
      <c r="AG72" s="348">
        <f t="shared" ca="1" si="105"/>
        <v>0</v>
      </c>
      <c r="AH72" s="348">
        <f t="shared" ca="1" si="105"/>
        <v>0</v>
      </c>
      <c r="AI72" s="348">
        <f t="shared" ca="1" si="105"/>
        <v>0</v>
      </c>
      <c r="AJ72" s="348">
        <f t="shared" ca="1" si="105"/>
        <v>0</v>
      </c>
      <c r="AK72" s="348">
        <f t="shared" ca="1" si="105"/>
        <v>0</v>
      </c>
      <c r="AL72" s="348">
        <f t="shared" ca="1" si="105"/>
        <v>0</v>
      </c>
      <c r="AM72" s="348">
        <f ca="1">IF($E$74&gt;0,IF(AND(AM6&gt;=$E$77,AM6&lt;$E$78+1),10,0),IF(AND(AM6&gt;=$E$77-1,AM6&lt;$E$78-1),10,0))</f>
        <v>10</v>
      </c>
      <c r="AN72" s="348">
        <f t="shared" ca="1" si="105"/>
        <v>10</v>
      </c>
      <c r="AO72" s="348">
        <f t="shared" ca="1" si="105"/>
        <v>10</v>
      </c>
      <c r="AP72" s="348">
        <f t="shared" ca="1" si="105"/>
        <v>10</v>
      </c>
      <c r="AQ72" s="348">
        <f t="shared" ca="1" si="105"/>
        <v>10</v>
      </c>
      <c r="AR72" s="348">
        <f t="shared" ca="1" si="105"/>
        <v>10</v>
      </c>
      <c r="AS72" s="348">
        <f t="shared" ca="1" si="105"/>
        <v>10</v>
      </c>
      <c r="AT72" s="348">
        <f t="shared" ca="1" si="105"/>
        <v>10</v>
      </c>
      <c r="AU72" s="348">
        <f t="shared" ca="1" si="105"/>
        <v>10</v>
      </c>
      <c r="AV72" s="348">
        <f t="shared" ca="1" si="105"/>
        <v>10</v>
      </c>
      <c r="AW72" s="348">
        <f t="shared" ca="1" si="105"/>
        <v>10</v>
      </c>
      <c r="AX72" s="348">
        <f t="shared" ca="1" si="105"/>
        <v>10</v>
      </c>
      <c r="AY72" s="348">
        <f t="shared" ca="1" si="105"/>
        <v>10</v>
      </c>
      <c r="AZ72" s="348">
        <f t="shared" ca="1" si="105"/>
        <v>10</v>
      </c>
      <c r="BA72" s="348">
        <f t="shared" ca="1" si="105"/>
        <v>10</v>
      </c>
      <c r="BB72" s="348">
        <f t="shared" ca="1" si="105"/>
        <v>10</v>
      </c>
      <c r="BC72" s="348">
        <f t="shared" ca="1" si="105"/>
        <v>10</v>
      </c>
      <c r="BD72" s="348">
        <f t="shared" ca="1" si="105"/>
        <v>10</v>
      </c>
      <c r="BE72" s="348">
        <f t="shared" ca="1" si="105"/>
        <v>10</v>
      </c>
      <c r="BF72" s="348">
        <f t="shared" ca="1" si="105"/>
        <v>10</v>
      </c>
      <c r="BG72" s="348">
        <f t="shared" ca="1" si="105"/>
        <v>10</v>
      </c>
      <c r="BH72" s="348">
        <f t="shared" ca="1" si="105"/>
        <v>10</v>
      </c>
      <c r="BI72" s="348">
        <f t="shared" ca="1" si="105"/>
        <v>10</v>
      </c>
      <c r="BJ72" s="348">
        <f t="shared" ca="1" si="105"/>
        <v>10</v>
      </c>
      <c r="BK72" s="348">
        <f t="shared" ca="1" si="105"/>
        <v>10</v>
      </c>
      <c r="BL72" s="348">
        <f t="shared" ca="1" si="105"/>
        <v>10</v>
      </c>
      <c r="BM72" s="348">
        <f t="shared" ca="1" si="105"/>
        <v>10</v>
      </c>
      <c r="BN72" s="348">
        <f t="shared" ca="1" si="105"/>
        <v>10</v>
      </c>
      <c r="BO72" s="348">
        <f t="shared" ca="1" si="105"/>
        <v>10</v>
      </c>
      <c r="BP72" s="348">
        <f t="shared" ca="1" si="105"/>
        <v>0</v>
      </c>
      <c r="BQ72" s="348">
        <f t="shared" ca="1" si="105"/>
        <v>0</v>
      </c>
      <c r="BR72" s="348">
        <f t="shared" ca="1" si="105"/>
        <v>0</v>
      </c>
      <c r="BS72" s="348">
        <f t="shared" ca="1" si="105"/>
        <v>0</v>
      </c>
      <c r="BT72" s="348">
        <f t="shared" ref="BT72:EE72" ca="1" si="106">IF($E$74&gt;0,IF(AND(BT6&gt;=$E$77,BT6&lt;$E$78+1),10,0),IF(AND(BT6&gt;=$E$77-1,BT6&lt;$E$78-1),10,0))</f>
        <v>0</v>
      </c>
      <c r="BU72" s="348">
        <f t="shared" ca="1" si="106"/>
        <v>0</v>
      </c>
      <c r="BV72" s="348">
        <f t="shared" ca="1" si="106"/>
        <v>0</v>
      </c>
      <c r="BW72" s="348">
        <f t="shared" ca="1" si="106"/>
        <v>0</v>
      </c>
      <c r="BX72" s="348">
        <f t="shared" ca="1" si="106"/>
        <v>0</v>
      </c>
      <c r="BY72" s="348">
        <f t="shared" ca="1" si="106"/>
        <v>0</v>
      </c>
      <c r="BZ72" s="348">
        <f t="shared" ca="1" si="106"/>
        <v>0</v>
      </c>
      <c r="CA72" s="348">
        <f t="shared" ca="1" si="106"/>
        <v>0</v>
      </c>
      <c r="CB72" s="348">
        <f t="shared" ca="1" si="106"/>
        <v>0</v>
      </c>
      <c r="CC72" s="348">
        <f t="shared" ca="1" si="106"/>
        <v>0</v>
      </c>
      <c r="CD72" s="348">
        <f t="shared" ca="1" si="106"/>
        <v>0</v>
      </c>
      <c r="CE72" s="348">
        <f t="shared" ca="1" si="106"/>
        <v>0</v>
      </c>
      <c r="CF72" s="348">
        <f t="shared" ca="1" si="106"/>
        <v>0</v>
      </c>
      <c r="CG72" s="348">
        <f t="shared" ca="1" si="106"/>
        <v>0</v>
      </c>
      <c r="CH72" s="348">
        <f t="shared" ca="1" si="106"/>
        <v>0</v>
      </c>
      <c r="CI72" s="348">
        <f t="shared" ca="1" si="106"/>
        <v>0</v>
      </c>
      <c r="CJ72" s="348">
        <f t="shared" ca="1" si="106"/>
        <v>0</v>
      </c>
      <c r="CK72" s="348">
        <f t="shared" ca="1" si="106"/>
        <v>0</v>
      </c>
      <c r="CL72" s="348">
        <f t="shared" ca="1" si="106"/>
        <v>0</v>
      </c>
      <c r="CM72" s="348">
        <f t="shared" ca="1" si="106"/>
        <v>0</v>
      </c>
      <c r="CN72" s="348">
        <f t="shared" ca="1" si="106"/>
        <v>0</v>
      </c>
      <c r="CO72" s="348">
        <f t="shared" ca="1" si="106"/>
        <v>0</v>
      </c>
      <c r="CP72" s="348">
        <f t="shared" ca="1" si="106"/>
        <v>0</v>
      </c>
      <c r="CQ72" s="348">
        <f t="shared" ca="1" si="106"/>
        <v>0</v>
      </c>
      <c r="CR72" s="348">
        <f t="shared" ca="1" si="106"/>
        <v>0</v>
      </c>
      <c r="CS72" s="348">
        <f t="shared" ca="1" si="106"/>
        <v>0</v>
      </c>
      <c r="CT72" s="348">
        <f t="shared" ca="1" si="106"/>
        <v>0</v>
      </c>
      <c r="CU72" s="348">
        <f t="shared" ca="1" si="106"/>
        <v>0</v>
      </c>
      <c r="CV72" s="348">
        <f t="shared" ca="1" si="106"/>
        <v>0</v>
      </c>
      <c r="CW72" s="348">
        <f t="shared" ca="1" si="106"/>
        <v>0</v>
      </c>
      <c r="CX72" s="348">
        <f t="shared" ca="1" si="106"/>
        <v>0</v>
      </c>
      <c r="CY72" s="348">
        <f t="shared" ca="1" si="106"/>
        <v>0</v>
      </c>
      <c r="CZ72" s="348">
        <f t="shared" ca="1" si="106"/>
        <v>0</v>
      </c>
      <c r="DA72" s="348">
        <f t="shared" ca="1" si="106"/>
        <v>0</v>
      </c>
      <c r="DB72" s="348">
        <f t="shared" ca="1" si="106"/>
        <v>0</v>
      </c>
      <c r="DC72" s="348">
        <f t="shared" ca="1" si="106"/>
        <v>0</v>
      </c>
      <c r="DD72" s="348">
        <f t="shared" ca="1" si="106"/>
        <v>0</v>
      </c>
      <c r="DE72" s="348">
        <f t="shared" ca="1" si="106"/>
        <v>0</v>
      </c>
      <c r="DF72" s="348">
        <f t="shared" ca="1" si="106"/>
        <v>0</v>
      </c>
      <c r="DG72" s="348">
        <f t="shared" ca="1" si="106"/>
        <v>0</v>
      </c>
      <c r="DH72" s="348">
        <f t="shared" ca="1" si="106"/>
        <v>0</v>
      </c>
      <c r="DI72" s="348">
        <f t="shared" ca="1" si="106"/>
        <v>0</v>
      </c>
      <c r="DJ72" s="348">
        <f t="shared" ca="1" si="106"/>
        <v>0</v>
      </c>
      <c r="DK72" s="348">
        <f t="shared" ca="1" si="106"/>
        <v>0</v>
      </c>
      <c r="DL72" s="348">
        <f t="shared" ca="1" si="106"/>
        <v>0</v>
      </c>
      <c r="DM72" s="348">
        <f t="shared" ca="1" si="106"/>
        <v>0</v>
      </c>
      <c r="DN72" s="348">
        <f t="shared" ca="1" si="106"/>
        <v>0</v>
      </c>
      <c r="DO72" s="348">
        <f t="shared" ca="1" si="106"/>
        <v>0</v>
      </c>
      <c r="DP72" s="348">
        <f t="shared" ca="1" si="106"/>
        <v>0</v>
      </c>
      <c r="DQ72" s="348">
        <f t="shared" ca="1" si="106"/>
        <v>0</v>
      </c>
      <c r="DR72" s="348">
        <f t="shared" ca="1" si="106"/>
        <v>0</v>
      </c>
      <c r="DS72" s="348">
        <f t="shared" ca="1" si="106"/>
        <v>0</v>
      </c>
      <c r="DT72" s="348">
        <f t="shared" ca="1" si="106"/>
        <v>0</v>
      </c>
      <c r="DU72" s="348">
        <f t="shared" ca="1" si="106"/>
        <v>0</v>
      </c>
      <c r="DV72" s="348">
        <f t="shared" ca="1" si="106"/>
        <v>0</v>
      </c>
      <c r="DW72" s="348">
        <f t="shared" ca="1" si="106"/>
        <v>0</v>
      </c>
      <c r="DX72" s="348">
        <f t="shared" ca="1" si="106"/>
        <v>0</v>
      </c>
      <c r="DY72" s="348">
        <f t="shared" ca="1" si="106"/>
        <v>0</v>
      </c>
      <c r="DZ72" s="348">
        <f t="shared" ca="1" si="106"/>
        <v>0</v>
      </c>
      <c r="EA72" s="348">
        <f t="shared" ca="1" si="106"/>
        <v>0</v>
      </c>
      <c r="EB72" s="348">
        <f t="shared" ca="1" si="106"/>
        <v>0</v>
      </c>
      <c r="EC72" s="348">
        <f t="shared" ca="1" si="106"/>
        <v>0</v>
      </c>
      <c r="ED72" s="348">
        <f t="shared" ca="1" si="106"/>
        <v>0</v>
      </c>
      <c r="EE72" s="348">
        <f t="shared" ca="1" si="106"/>
        <v>0</v>
      </c>
      <c r="EF72" s="348">
        <f t="shared" ref="EF72:GQ72" ca="1" si="107">IF($E$74&gt;0,IF(AND(EF6&gt;=$E$77,EF6&lt;$E$78+1),10,0),IF(AND(EF6&gt;=$E$77-1,EF6&lt;$E$78-1),10,0))</f>
        <v>0</v>
      </c>
      <c r="EG72" s="348">
        <f t="shared" ca="1" si="107"/>
        <v>0</v>
      </c>
      <c r="EH72" s="348">
        <f t="shared" ca="1" si="107"/>
        <v>0</v>
      </c>
      <c r="EI72" s="348">
        <f t="shared" ca="1" si="107"/>
        <v>0</v>
      </c>
      <c r="EJ72" s="348">
        <f t="shared" ca="1" si="107"/>
        <v>0</v>
      </c>
      <c r="EK72" s="348">
        <f t="shared" ca="1" si="107"/>
        <v>0</v>
      </c>
      <c r="EL72" s="348">
        <f t="shared" ca="1" si="107"/>
        <v>0</v>
      </c>
      <c r="EM72" s="348">
        <f t="shared" ca="1" si="107"/>
        <v>0</v>
      </c>
      <c r="EN72" s="348">
        <f t="shared" ca="1" si="107"/>
        <v>0</v>
      </c>
      <c r="EO72" s="348">
        <f t="shared" ca="1" si="107"/>
        <v>0</v>
      </c>
      <c r="EP72" s="348">
        <f t="shared" ca="1" si="107"/>
        <v>0</v>
      </c>
      <c r="EQ72" s="348">
        <f t="shared" ca="1" si="107"/>
        <v>0</v>
      </c>
      <c r="ER72" s="348">
        <f t="shared" ca="1" si="107"/>
        <v>0</v>
      </c>
      <c r="ES72" s="348">
        <f t="shared" ca="1" si="107"/>
        <v>0</v>
      </c>
      <c r="ET72" s="348">
        <f t="shared" ca="1" si="107"/>
        <v>0</v>
      </c>
      <c r="EU72" s="348">
        <f t="shared" ca="1" si="107"/>
        <v>0</v>
      </c>
      <c r="EV72" s="348">
        <f t="shared" ca="1" si="107"/>
        <v>0</v>
      </c>
      <c r="EW72" s="348">
        <f t="shared" ca="1" si="107"/>
        <v>0</v>
      </c>
      <c r="EX72" s="348">
        <f t="shared" ca="1" si="107"/>
        <v>0</v>
      </c>
      <c r="EY72" s="348">
        <f t="shared" ca="1" si="107"/>
        <v>0</v>
      </c>
      <c r="EZ72" s="348">
        <f t="shared" ca="1" si="107"/>
        <v>0</v>
      </c>
      <c r="FA72" s="348">
        <f t="shared" ca="1" si="107"/>
        <v>0</v>
      </c>
      <c r="FB72" s="348">
        <f t="shared" ca="1" si="107"/>
        <v>0</v>
      </c>
      <c r="FC72" s="348">
        <f t="shared" ca="1" si="107"/>
        <v>0</v>
      </c>
      <c r="FD72" s="348">
        <f t="shared" ca="1" si="107"/>
        <v>0</v>
      </c>
      <c r="FE72" s="348">
        <f t="shared" ca="1" si="107"/>
        <v>0</v>
      </c>
      <c r="FF72" s="348">
        <f t="shared" ca="1" si="107"/>
        <v>0</v>
      </c>
      <c r="FG72" s="348">
        <f t="shared" ca="1" si="107"/>
        <v>0</v>
      </c>
      <c r="FH72" s="348">
        <f t="shared" ca="1" si="107"/>
        <v>0</v>
      </c>
      <c r="FI72" s="348">
        <f t="shared" ca="1" si="107"/>
        <v>0</v>
      </c>
      <c r="FJ72" s="348">
        <f t="shared" ca="1" si="107"/>
        <v>0</v>
      </c>
      <c r="FK72" s="348">
        <f t="shared" ca="1" si="107"/>
        <v>0</v>
      </c>
      <c r="FL72" s="348">
        <f t="shared" ca="1" si="107"/>
        <v>0</v>
      </c>
      <c r="FM72" s="348">
        <f t="shared" ca="1" si="107"/>
        <v>0</v>
      </c>
      <c r="FN72" s="348">
        <f t="shared" ca="1" si="107"/>
        <v>0</v>
      </c>
      <c r="FO72" s="348">
        <f t="shared" ca="1" si="107"/>
        <v>0</v>
      </c>
      <c r="FP72" s="348">
        <f t="shared" ca="1" si="107"/>
        <v>0</v>
      </c>
      <c r="FQ72" s="348">
        <f t="shared" ca="1" si="107"/>
        <v>0</v>
      </c>
      <c r="FR72" s="348">
        <f t="shared" ca="1" si="107"/>
        <v>0</v>
      </c>
      <c r="FS72" s="348">
        <f t="shared" ca="1" si="107"/>
        <v>0</v>
      </c>
      <c r="FT72" s="348">
        <f t="shared" ca="1" si="107"/>
        <v>0</v>
      </c>
      <c r="FU72" s="348">
        <f t="shared" ca="1" si="107"/>
        <v>0</v>
      </c>
      <c r="FV72" s="348">
        <f t="shared" ca="1" si="107"/>
        <v>0</v>
      </c>
      <c r="FW72" s="348">
        <f t="shared" ca="1" si="107"/>
        <v>0</v>
      </c>
      <c r="FX72" s="348">
        <f t="shared" ca="1" si="107"/>
        <v>0</v>
      </c>
      <c r="FY72" s="348">
        <f t="shared" ca="1" si="107"/>
        <v>0</v>
      </c>
      <c r="FZ72" s="348">
        <f t="shared" ca="1" si="107"/>
        <v>0</v>
      </c>
      <c r="GA72" s="348">
        <f t="shared" ca="1" si="107"/>
        <v>0</v>
      </c>
      <c r="GB72" s="348">
        <f t="shared" ca="1" si="107"/>
        <v>0</v>
      </c>
      <c r="GC72" s="348">
        <f t="shared" ca="1" si="107"/>
        <v>0</v>
      </c>
      <c r="GD72" s="348">
        <f t="shared" ca="1" si="107"/>
        <v>0</v>
      </c>
      <c r="GE72" s="348">
        <f t="shared" ca="1" si="107"/>
        <v>0</v>
      </c>
      <c r="GF72" s="348">
        <f t="shared" ca="1" si="107"/>
        <v>0</v>
      </c>
      <c r="GG72" s="348">
        <f t="shared" ca="1" si="107"/>
        <v>0</v>
      </c>
      <c r="GH72" s="348">
        <f t="shared" ca="1" si="107"/>
        <v>0</v>
      </c>
      <c r="GI72" s="348">
        <f t="shared" ca="1" si="107"/>
        <v>0</v>
      </c>
      <c r="GJ72" s="348">
        <f t="shared" ca="1" si="107"/>
        <v>0</v>
      </c>
      <c r="GK72" s="348">
        <f t="shared" ca="1" si="107"/>
        <v>0</v>
      </c>
      <c r="GL72" s="348">
        <f t="shared" ca="1" si="107"/>
        <v>0</v>
      </c>
      <c r="GM72" s="348">
        <f t="shared" ca="1" si="107"/>
        <v>0</v>
      </c>
      <c r="GN72" s="348">
        <f t="shared" ca="1" si="107"/>
        <v>0</v>
      </c>
      <c r="GO72" s="348">
        <f t="shared" ca="1" si="107"/>
        <v>0</v>
      </c>
      <c r="GP72" s="348">
        <f t="shared" ca="1" si="107"/>
        <v>0</v>
      </c>
      <c r="GQ72" s="348">
        <f t="shared" ca="1" si="107"/>
        <v>0</v>
      </c>
      <c r="GR72" s="348">
        <f t="shared" ref="GR72:IK72" ca="1" si="108">IF($E$74&gt;0,IF(AND(GR6&gt;=$E$77,GR6&lt;$E$78+1),10,0),IF(AND(GR6&gt;=$E$77-1,GR6&lt;$E$78-1),10,0))</f>
        <v>0</v>
      </c>
      <c r="GS72" s="348">
        <f t="shared" ca="1" si="108"/>
        <v>0</v>
      </c>
      <c r="GT72" s="348">
        <f t="shared" ca="1" si="108"/>
        <v>0</v>
      </c>
      <c r="GU72" s="348">
        <f t="shared" ca="1" si="108"/>
        <v>0</v>
      </c>
      <c r="GV72" s="348">
        <f t="shared" ca="1" si="108"/>
        <v>0</v>
      </c>
      <c r="GW72" s="348">
        <f t="shared" ca="1" si="108"/>
        <v>0</v>
      </c>
      <c r="GX72" s="348">
        <f t="shared" ca="1" si="108"/>
        <v>0</v>
      </c>
      <c r="GY72" s="348">
        <f t="shared" ca="1" si="108"/>
        <v>0</v>
      </c>
      <c r="GZ72" s="348">
        <f t="shared" ca="1" si="108"/>
        <v>0</v>
      </c>
      <c r="HA72" s="348">
        <f t="shared" ca="1" si="108"/>
        <v>0</v>
      </c>
      <c r="HB72" s="348">
        <f t="shared" ca="1" si="108"/>
        <v>0</v>
      </c>
      <c r="HC72" s="348">
        <f t="shared" ca="1" si="108"/>
        <v>0</v>
      </c>
      <c r="HD72" s="348">
        <f t="shared" ca="1" si="108"/>
        <v>0</v>
      </c>
      <c r="HE72" s="348">
        <f t="shared" ca="1" si="108"/>
        <v>0</v>
      </c>
      <c r="HF72" s="348">
        <f t="shared" ca="1" si="108"/>
        <v>0</v>
      </c>
      <c r="HG72" s="348">
        <f t="shared" ca="1" si="108"/>
        <v>0</v>
      </c>
      <c r="HH72" s="348">
        <f t="shared" ca="1" si="108"/>
        <v>0</v>
      </c>
      <c r="HI72" s="348">
        <f t="shared" ca="1" si="108"/>
        <v>0</v>
      </c>
      <c r="HJ72" s="348">
        <f t="shared" ca="1" si="108"/>
        <v>0</v>
      </c>
      <c r="HK72" s="348">
        <f t="shared" ca="1" si="108"/>
        <v>0</v>
      </c>
      <c r="HL72" s="348">
        <f t="shared" ca="1" si="108"/>
        <v>0</v>
      </c>
      <c r="HM72" s="348">
        <f t="shared" ca="1" si="108"/>
        <v>0</v>
      </c>
      <c r="HN72" s="348">
        <f t="shared" ca="1" si="108"/>
        <v>0</v>
      </c>
      <c r="HO72" s="348">
        <f t="shared" ca="1" si="108"/>
        <v>0</v>
      </c>
      <c r="HP72" s="348">
        <f t="shared" ca="1" si="108"/>
        <v>0</v>
      </c>
      <c r="HQ72" s="348">
        <f t="shared" ca="1" si="108"/>
        <v>0</v>
      </c>
      <c r="HR72" s="348">
        <f t="shared" ca="1" si="108"/>
        <v>0</v>
      </c>
      <c r="HS72" s="348">
        <f t="shared" ca="1" si="108"/>
        <v>0</v>
      </c>
      <c r="HT72" s="348">
        <f t="shared" ca="1" si="108"/>
        <v>0</v>
      </c>
      <c r="HU72" s="348">
        <f t="shared" ca="1" si="108"/>
        <v>0</v>
      </c>
      <c r="HV72" s="348">
        <f t="shared" ca="1" si="108"/>
        <v>0</v>
      </c>
      <c r="HW72" s="348">
        <f t="shared" ca="1" si="108"/>
        <v>0</v>
      </c>
      <c r="HX72" s="348">
        <f t="shared" ca="1" si="108"/>
        <v>0</v>
      </c>
      <c r="HY72" s="348">
        <f t="shared" ca="1" si="108"/>
        <v>0</v>
      </c>
      <c r="HZ72" s="348">
        <f t="shared" ca="1" si="108"/>
        <v>0</v>
      </c>
      <c r="IA72" s="348">
        <f t="shared" ca="1" si="108"/>
        <v>0</v>
      </c>
      <c r="IB72" s="348">
        <f t="shared" ca="1" si="108"/>
        <v>0</v>
      </c>
      <c r="IC72" s="348">
        <f t="shared" ca="1" si="108"/>
        <v>0</v>
      </c>
      <c r="ID72" s="348">
        <f t="shared" ca="1" si="108"/>
        <v>0</v>
      </c>
      <c r="IE72" s="348">
        <f t="shared" ca="1" si="108"/>
        <v>0</v>
      </c>
      <c r="IF72" s="348">
        <f t="shared" ca="1" si="108"/>
        <v>0</v>
      </c>
      <c r="IG72" s="348">
        <f t="shared" ca="1" si="108"/>
        <v>0</v>
      </c>
      <c r="IH72" s="348">
        <f t="shared" ca="1" si="108"/>
        <v>0</v>
      </c>
      <c r="II72" s="348">
        <f t="shared" ca="1" si="108"/>
        <v>0</v>
      </c>
      <c r="IJ72" s="348">
        <f t="shared" ca="1" si="108"/>
        <v>0</v>
      </c>
      <c r="IK72" s="348">
        <f t="shared" ca="1" si="108"/>
        <v>0</v>
      </c>
    </row>
    <row r="73" spans="1:245" hidden="1" x14ac:dyDescent="0.35">
      <c r="A73" s="195"/>
      <c r="B73" s="5"/>
      <c r="C73" s="630" t="s">
        <v>1588</v>
      </c>
      <c r="D73" s="467">
        <f ca="1">IF(ENTRADAS!G91+ENTRADAS!G93+ENTRADAS!G97&gt;30,IF($CV$5=1,IF(F30&gt;0,0,IF(D44=0,0,IF($J$3=0,0,D50+1))),IF($CV$5=2,IF(F30&gt;0,0,IF(D44=0,0,IF($J$3=0,0,D50+1))),IF($CV$5=3,IF(F30&gt;0,0,IF(D44=0,0,IF($J$3=0,0,D50+1))),IF($CV$5=4,IF(D43=D44,D50+1-D90,IF(D44&gt;D43,D157-D72+D90,0)))))),IF($CV$5=1,IF(F30&gt;0,0,IF(D44=0,0,IF($J$3=0,0,D50+5))),IF($CV$5=2,IF(F30&gt;0,0,IF(D44=0,0,IF($J$3=0,0,D50+5))),IF($CV$5=3,IF(F30&gt;0,0,IF(D44=0,0,IF($J$3=0,0,D50+5))),IF($CV$5=4,IF(D43=D44,D50+5-D90,IF(D44&gt;D43,D157-D72+D90,0)))))))</f>
        <v>45944.25</v>
      </c>
      <c r="E73" s="32">
        <f ca="1">IF(ENTRADAS!G91+ENTRADAS!G93+ENTRADAS!G97&gt;30,IF($CV$5=1,IF(F30&gt;0,0,IF(D44=0,0,IF($J$3=0,0,E50+1))),IF($CV$5=2,IF(F30&gt;0,0,IF(D44=0,0,IF($J$3=0,0,E50+1))),IF($CV$5=3,IF(F30&gt;0,0,IF(D44=0,0,IF($J$3=0,0,E50+1))),IF($CV$5=4,IF(D43=D44,E50+1-D90,IF(D44&gt;D43,E157-D72+D90,0)))))),IF($CV$5=1,IF(F30&gt;0,0,IF(D44=0,0,IF($J$3=0,0,E50+5))),IF($CV$5=2,IF(F30&gt;0,0,IF(D44=0,0,IF($J$3=0,0,E50+5))),IF($CV$5=3,IF(F30&gt;0,0,IF(D44=0,0,IF($J$3=0,0,E50+5))),IF($CV$5=4,IF(D43=D44,E50+5-D90,IF(D44&gt;D43,E157-D72+D90,0)))))))</f>
        <v>27.25</v>
      </c>
    </row>
    <row r="74" spans="1:245" hidden="1" x14ac:dyDescent="0.35">
      <c r="A74" s="195"/>
      <c r="B74" s="5"/>
      <c r="C74" s="630" t="s">
        <v>1589</v>
      </c>
      <c r="D74" s="467">
        <f>IF(F30=0,0,IF(ENTRADAS!$F$22=0,0,IF($J$3=0,0,$J$3+F30-1)))</f>
        <v>0</v>
      </c>
      <c r="E74" s="385">
        <f>F30</f>
        <v>0</v>
      </c>
      <c r="G74" s="471">
        <f ca="1">IF(D62=0,1000+D45,D62)</f>
        <v>46919</v>
      </c>
    </row>
    <row r="75" spans="1:245" hidden="1" x14ac:dyDescent="0.35">
      <c r="A75" s="195"/>
      <c r="B75" s="5"/>
      <c r="C75" s="630" t="s">
        <v>1590</v>
      </c>
      <c r="D75" s="467">
        <f ca="1">IF(D73=0,0,D73+D72-1)</f>
        <v>45972.25</v>
      </c>
      <c r="E75" s="32">
        <f ca="1">IF(F30&gt;0,0,D72+E73)</f>
        <v>56.25</v>
      </c>
      <c r="G75" s="471">
        <f ca="1">IF(D54+D55=0,1000+D45,LARGE(D54:D55,1))</f>
        <v>46919</v>
      </c>
    </row>
    <row r="76" spans="1:245" hidden="1" x14ac:dyDescent="0.35">
      <c r="A76" s="195"/>
      <c r="B76" s="5"/>
      <c r="C76" s="630" t="s">
        <v>1591</v>
      </c>
      <c r="D76" s="467">
        <f>IF(F30=0,0,IF(ENTRADAS!$F$22=0,0,IF($J$3=0,0,$J$3+F30+D72-2)))</f>
        <v>0</v>
      </c>
      <c r="E76" s="385">
        <f>IF(F30=0,0,F30+D72-1)</f>
        <v>0</v>
      </c>
      <c r="G76" s="471">
        <f ca="1">IF(D66=0,1000+D45,D66)</f>
        <v>46919</v>
      </c>
    </row>
    <row r="77" spans="1:245" hidden="1" x14ac:dyDescent="0.35">
      <c r="A77" s="195"/>
      <c r="B77" s="5"/>
      <c r="C77" s="630" t="s">
        <v>1592</v>
      </c>
      <c r="D77" s="467">
        <f ca="1">D73+D74</f>
        <v>45944.25</v>
      </c>
      <c r="E77" s="385">
        <f ca="1">E73+E74</f>
        <v>27.25</v>
      </c>
      <c r="F77" t="s">
        <v>1593</v>
      </c>
      <c r="G77" s="473">
        <f ca="1">SMALL(G74:G76,1)</f>
        <v>46919</v>
      </c>
    </row>
    <row r="78" spans="1:245" hidden="1" x14ac:dyDescent="0.35">
      <c r="A78" s="195"/>
      <c r="B78" s="5"/>
      <c r="C78" s="630" t="s">
        <v>1594</v>
      </c>
      <c r="D78" s="467">
        <f ca="1">D75+D76</f>
        <v>45972.25</v>
      </c>
      <c r="E78" s="385">
        <f ca="1">E75+E76</f>
        <v>56.25</v>
      </c>
    </row>
    <row r="79" spans="1:245" ht="4.5" hidden="1" customHeight="1" x14ac:dyDescent="0.35">
      <c r="A79" s="195"/>
      <c r="B79" s="5"/>
      <c r="C79" s="627"/>
      <c r="D79" s="474"/>
      <c r="E79" s="450"/>
    </row>
    <row r="80" spans="1:245" ht="4.5" hidden="1" customHeight="1" x14ac:dyDescent="0.35">
      <c r="A80" s="195"/>
      <c r="B80" s="5"/>
      <c r="C80" s="627"/>
      <c r="D80" s="474"/>
      <c r="E80" s="450"/>
    </row>
    <row r="81" spans="1:245" ht="4.5" hidden="1" customHeight="1" x14ac:dyDescent="0.35">
      <c r="A81" s="195"/>
      <c r="B81" s="5"/>
    </row>
    <row r="82" spans="1:245" ht="4.5" hidden="1" customHeight="1" x14ac:dyDescent="0.35">
      <c r="A82" s="195"/>
      <c r="B82" s="5"/>
    </row>
    <row r="83" spans="1:245" hidden="1" x14ac:dyDescent="0.35">
      <c r="A83" s="195"/>
      <c r="B83" s="5"/>
      <c r="C83" s="630" t="s">
        <v>1595</v>
      </c>
      <c r="D83" s="468">
        <f ca="1">IF(ENTRADAS!$F$22=0,0,LAJES!$H$116/D44)</f>
        <v>0</v>
      </c>
      <c r="E83" s="32"/>
      <c r="G83" s="471">
        <f>D63</f>
        <v>0</v>
      </c>
      <c r="H83" s="348">
        <f t="shared" ref="H83:BS83" ca="1" si="109">IF(AND(H6&gt;=$E$88,H6&lt;$E$89+1),10,0)</f>
        <v>0</v>
      </c>
      <c r="I83" s="348">
        <f t="shared" ca="1" si="109"/>
        <v>0</v>
      </c>
      <c r="J83" s="348">
        <f t="shared" ca="1" si="109"/>
        <v>0</v>
      </c>
      <c r="K83" s="348">
        <f t="shared" ca="1" si="109"/>
        <v>0</v>
      </c>
      <c r="L83" s="348">
        <f t="shared" ca="1" si="109"/>
        <v>0</v>
      </c>
      <c r="M83" s="348">
        <f t="shared" ca="1" si="109"/>
        <v>0</v>
      </c>
      <c r="N83" s="348">
        <f t="shared" ca="1" si="109"/>
        <v>0</v>
      </c>
      <c r="O83" s="348">
        <f t="shared" ca="1" si="109"/>
        <v>0</v>
      </c>
      <c r="P83" s="348">
        <f t="shared" ca="1" si="109"/>
        <v>0</v>
      </c>
      <c r="Q83" s="348">
        <f t="shared" ca="1" si="109"/>
        <v>0</v>
      </c>
      <c r="R83" s="348">
        <f t="shared" ca="1" si="109"/>
        <v>0</v>
      </c>
      <c r="S83" s="348">
        <f t="shared" ca="1" si="109"/>
        <v>0</v>
      </c>
      <c r="T83" s="348">
        <f t="shared" ca="1" si="109"/>
        <v>0</v>
      </c>
      <c r="U83" s="348">
        <f t="shared" ca="1" si="109"/>
        <v>0</v>
      </c>
      <c r="V83" s="348">
        <f t="shared" ca="1" si="109"/>
        <v>0</v>
      </c>
      <c r="W83" s="348">
        <f t="shared" ca="1" si="109"/>
        <v>0</v>
      </c>
      <c r="X83" s="348">
        <f t="shared" ca="1" si="109"/>
        <v>0</v>
      </c>
      <c r="Y83" s="348">
        <f t="shared" ca="1" si="109"/>
        <v>0</v>
      </c>
      <c r="Z83" s="348">
        <f t="shared" ca="1" si="109"/>
        <v>0</v>
      </c>
      <c r="AA83" s="348">
        <f t="shared" ca="1" si="109"/>
        <v>0</v>
      </c>
      <c r="AB83" s="348">
        <f t="shared" ca="1" si="109"/>
        <v>0</v>
      </c>
      <c r="AC83" s="348">
        <f t="shared" ca="1" si="109"/>
        <v>0</v>
      </c>
      <c r="AD83" s="348">
        <f t="shared" ca="1" si="109"/>
        <v>0</v>
      </c>
      <c r="AE83" s="348">
        <f t="shared" ca="1" si="109"/>
        <v>0</v>
      </c>
      <c r="AF83" s="348">
        <f ca="1">IF(AND(AF6&gt;=$E$88,AF6&lt;$E$89+1),10,0)</f>
        <v>0</v>
      </c>
      <c r="AG83" s="348">
        <f t="shared" ca="1" si="109"/>
        <v>0</v>
      </c>
      <c r="AH83" s="348">
        <f t="shared" ca="1" si="109"/>
        <v>0</v>
      </c>
      <c r="AI83" s="348">
        <f t="shared" ca="1" si="109"/>
        <v>0</v>
      </c>
      <c r="AJ83" s="348">
        <f t="shared" ca="1" si="109"/>
        <v>0</v>
      </c>
      <c r="AK83" s="348">
        <f t="shared" ca="1" si="109"/>
        <v>0</v>
      </c>
      <c r="AL83" s="348">
        <f t="shared" ca="1" si="109"/>
        <v>0</v>
      </c>
      <c r="AM83" s="348">
        <f t="shared" ca="1" si="109"/>
        <v>0</v>
      </c>
      <c r="AN83" s="348">
        <f t="shared" ca="1" si="109"/>
        <v>0</v>
      </c>
      <c r="AO83" s="348">
        <f t="shared" ca="1" si="109"/>
        <v>0</v>
      </c>
      <c r="AP83" s="348">
        <f t="shared" ca="1" si="109"/>
        <v>0</v>
      </c>
      <c r="AQ83" s="348">
        <f t="shared" ca="1" si="109"/>
        <v>0</v>
      </c>
      <c r="AR83" s="348">
        <f t="shared" ca="1" si="109"/>
        <v>0</v>
      </c>
      <c r="AS83" s="348">
        <f t="shared" ca="1" si="109"/>
        <v>0</v>
      </c>
      <c r="AT83" s="348">
        <f t="shared" ca="1" si="109"/>
        <v>0</v>
      </c>
      <c r="AU83" s="348">
        <f t="shared" ca="1" si="109"/>
        <v>0</v>
      </c>
      <c r="AV83" s="348">
        <f t="shared" ca="1" si="109"/>
        <v>0</v>
      </c>
      <c r="AW83" s="348">
        <f t="shared" ca="1" si="109"/>
        <v>0</v>
      </c>
      <c r="AX83" s="348">
        <f t="shared" ca="1" si="109"/>
        <v>0</v>
      </c>
      <c r="AY83" s="348">
        <f t="shared" ca="1" si="109"/>
        <v>0</v>
      </c>
      <c r="AZ83" s="348">
        <f t="shared" ca="1" si="109"/>
        <v>0</v>
      </c>
      <c r="BA83" s="348">
        <f t="shared" ca="1" si="109"/>
        <v>0</v>
      </c>
      <c r="BB83" s="348">
        <f t="shared" ca="1" si="109"/>
        <v>0</v>
      </c>
      <c r="BC83" s="348">
        <f t="shared" ca="1" si="109"/>
        <v>0</v>
      </c>
      <c r="BD83" s="348">
        <f t="shared" ca="1" si="109"/>
        <v>0</v>
      </c>
      <c r="BE83" s="348">
        <f t="shared" ca="1" si="109"/>
        <v>0</v>
      </c>
      <c r="BF83" s="348">
        <f t="shared" ca="1" si="109"/>
        <v>0</v>
      </c>
      <c r="BG83" s="348">
        <f t="shared" ca="1" si="109"/>
        <v>0</v>
      </c>
      <c r="BH83" s="348">
        <f t="shared" ca="1" si="109"/>
        <v>0</v>
      </c>
      <c r="BI83" s="348">
        <f t="shared" ca="1" si="109"/>
        <v>0</v>
      </c>
      <c r="BJ83" s="348">
        <f t="shared" ca="1" si="109"/>
        <v>0</v>
      </c>
      <c r="BK83" s="348">
        <f t="shared" ca="1" si="109"/>
        <v>0</v>
      </c>
      <c r="BL83" s="348">
        <f t="shared" ca="1" si="109"/>
        <v>0</v>
      </c>
      <c r="BM83" s="348">
        <f t="shared" ca="1" si="109"/>
        <v>0</v>
      </c>
      <c r="BN83" s="348">
        <f t="shared" ca="1" si="109"/>
        <v>0</v>
      </c>
      <c r="BO83" s="348">
        <f t="shared" ca="1" si="109"/>
        <v>0</v>
      </c>
      <c r="BP83" s="348">
        <f t="shared" ca="1" si="109"/>
        <v>0</v>
      </c>
      <c r="BQ83" s="348">
        <f t="shared" ca="1" si="109"/>
        <v>0</v>
      </c>
      <c r="BR83" s="348">
        <f t="shared" ca="1" si="109"/>
        <v>0</v>
      </c>
      <c r="BS83" s="348">
        <f t="shared" ca="1" si="109"/>
        <v>0</v>
      </c>
      <c r="BT83" s="348">
        <f t="shared" ref="BT83:EE83" ca="1" si="110">IF(AND(BT6&gt;=$E$88,BT6&lt;$E$89+1),10,0)</f>
        <v>0</v>
      </c>
      <c r="BU83" s="348">
        <f t="shared" ca="1" si="110"/>
        <v>0</v>
      </c>
      <c r="BV83" s="348">
        <f t="shared" ca="1" si="110"/>
        <v>0</v>
      </c>
      <c r="BW83" s="348">
        <f t="shared" ca="1" si="110"/>
        <v>0</v>
      </c>
      <c r="BX83" s="348">
        <f t="shared" ca="1" si="110"/>
        <v>0</v>
      </c>
      <c r="BY83" s="348">
        <f t="shared" ca="1" si="110"/>
        <v>0</v>
      </c>
      <c r="BZ83" s="348">
        <f t="shared" ca="1" si="110"/>
        <v>0</v>
      </c>
      <c r="CA83" s="348">
        <f t="shared" ca="1" si="110"/>
        <v>0</v>
      </c>
      <c r="CB83" s="348">
        <f t="shared" ca="1" si="110"/>
        <v>0</v>
      </c>
      <c r="CC83" s="348">
        <f t="shared" ca="1" si="110"/>
        <v>0</v>
      </c>
      <c r="CD83" s="348">
        <f t="shared" ca="1" si="110"/>
        <v>0</v>
      </c>
      <c r="CE83" s="348">
        <f t="shared" ca="1" si="110"/>
        <v>0</v>
      </c>
      <c r="CF83" s="348">
        <f t="shared" ca="1" si="110"/>
        <v>0</v>
      </c>
      <c r="CG83" s="348">
        <f t="shared" ca="1" si="110"/>
        <v>0</v>
      </c>
      <c r="CH83" s="348">
        <f t="shared" ca="1" si="110"/>
        <v>0</v>
      </c>
      <c r="CI83" s="348">
        <f t="shared" ca="1" si="110"/>
        <v>0</v>
      </c>
      <c r="CJ83" s="348">
        <f t="shared" ca="1" si="110"/>
        <v>0</v>
      </c>
      <c r="CK83" s="348">
        <f t="shared" ca="1" si="110"/>
        <v>0</v>
      </c>
      <c r="CL83" s="348">
        <f t="shared" ca="1" si="110"/>
        <v>0</v>
      </c>
      <c r="CM83" s="348">
        <f t="shared" ca="1" si="110"/>
        <v>0</v>
      </c>
      <c r="CN83" s="348">
        <f t="shared" ca="1" si="110"/>
        <v>0</v>
      </c>
      <c r="CO83" s="348">
        <f t="shared" ca="1" si="110"/>
        <v>0</v>
      </c>
      <c r="CP83" s="348">
        <f t="shared" ca="1" si="110"/>
        <v>0</v>
      </c>
      <c r="CQ83" s="348">
        <f t="shared" ca="1" si="110"/>
        <v>0</v>
      </c>
      <c r="CR83" s="348">
        <f t="shared" ca="1" si="110"/>
        <v>0</v>
      </c>
      <c r="CS83" s="348">
        <f t="shared" ca="1" si="110"/>
        <v>0</v>
      </c>
      <c r="CT83" s="348">
        <f t="shared" ca="1" si="110"/>
        <v>0</v>
      </c>
      <c r="CU83" s="348">
        <f t="shared" ca="1" si="110"/>
        <v>0</v>
      </c>
      <c r="CV83" s="348">
        <f t="shared" ca="1" si="110"/>
        <v>0</v>
      </c>
      <c r="CW83" s="348">
        <f t="shared" ca="1" si="110"/>
        <v>0</v>
      </c>
      <c r="CX83" s="348">
        <f t="shared" ca="1" si="110"/>
        <v>0</v>
      </c>
      <c r="CY83" s="348">
        <f t="shared" ca="1" si="110"/>
        <v>0</v>
      </c>
      <c r="CZ83" s="348">
        <f t="shared" ca="1" si="110"/>
        <v>0</v>
      </c>
      <c r="DA83" s="348">
        <f t="shared" ca="1" si="110"/>
        <v>0</v>
      </c>
      <c r="DB83" s="348">
        <f t="shared" ca="1" si="110"/>
        <v>0</v>
      </c>
      <c r="DC83" s="348">
        <f t="shared" ca="1" si="110"/>
        <v>0</v>
      </c>
      <c r="DD83" s="348">
        <f t="shared" ca="1" si="110"/>
        <v>0</v>
      </c>
      <c r="DE83" s="348">
        <f t="shared" ca="1" si="110"/>
        <v>0</v>
      </c>
      <c r="DF83" s="348">
        <f t="shared" ca="1" si="110"/>
        <v>0</v>
      </c>
      <c r="DG83" s="348">
        <f t="shared" ca="1" si="110"/>
        <v>0</v>
      </c>
      <c r="DH83" s="348">
        <f t="shared" ca="1" si="110"/>
        <v>0</v>
      </c>
      <c r="DI83" s="348">
        <f t="shared" ca="1" si="110"/>
        <v>0</v>
      </c>
      <c r="DJ83" s="348">
        <f t="shared" ca="1" si="110"/>
        <v>0</v>
      </c>
      <c r="DK83" s="348">
        <f t="shared" ca="1" si="110"/>
        <v>0</v>
      </c>
      <c r="DL83" s="348">
        <f t="shared" ca="1" si="110"/>
        <v>0</v>
      </c>
      <c r="DM83" s="348">
        <f t="shared" ca="1" si="110"/>
        <v>0</v>
      </c>
      <c r="DN83" s="348">
        <f t="shared" ca="1" si="110"/>
        <v>0</v>
      </c>
      <c r="DO83" s="348">
        <f t="shared" ca="1" si="110"/>
        <v>0</v>
      </c>
      <c r="DP83" s="348">
        <f t="shared" ca="1" si="110"/>
        <v>0</v>
      </c>
      <c r="DQ83" s="348">
        <f t="shared" ca="1" si="110"/>
        <v>0</v>
      </c>
      <c r="DR83" s="348">
        <f t="shared" ca="1" si="110"/>
        <v>0</v>
      </c>
      <c r="DS83" s="348">
        <f t="shared" ca="1" si="110"/>
        <v>0</v>
      </c>
      <c r="DT83" s="348">
        <f t="shared" ca="1" si="110"/>
        <v>0</v>
      </c>
      <c r="DU83" s="348">
        <f t="shared" ca="1" si="110"/>
        <v>0</v>
      </c>
      <c r="DV83" s="348">
        <f t="shared" ca="1" si="110"/>
        <v>0</v>
      </c>
      <c r="DW83" s="348">
        <f t="shared" ca="1" si="110"/>
        <v>0</v>
      </c>
      <c r="DX83" s="348">
        <f t="shared" ca="1" si="110"/>
        <v>0</v>
      </c>
      <c r="DY83" s="348">
        <f t="shared" ca="1" si="110"/>
        <v>0</v>
      </c>
      <c r="DZ83" s="348">
        <f t="shared" ca="1" si="110"/>
        <v>0</v>
      </c>
      <c r="EA83" s="348">
        <f t="shared" ca="1" si="110"/>
        <v>0</v>
      </c>
      <c r="EB83" s="348">
        <f t="shared" ca="1" si="110"/>
        <v>0</v>
      </c>
      <c r="EC83" s="348">
        <f t="shared" ca="1" si="110"/>
        <v>0</v>
      </c>
      <c r="ED83" s="348">
        <f t="shared" ca="1" si="110"/>
        <v>0</v>
      </c>
      <c r="EE83" s="348">
        <f t="shared" ca="1" si="110"/>
        <v>0</v>
      </c>
      <c r="EF83" s="348">
        <f t="shared" ref="EF83:GQ83" ca="1" si="111">IF(AND(EF6&gt;=$E$88,EF6&lt;$E$89+1),10,0)</f>
        <v>0</v>
      </c>
      <c r="EG83" s="348">
        <f t="shared" ca="1" si="111"/>
        <v>0</v>
      </c>
      <c r="EH83" s="348">
        <f t="shared" ca="1" si="111"/>
        <v>0</v>
      </c>
      <c r="EI83" s="348">
        <f t="shared" ca="1" si="111"/>
        <v>0</v>
      </c>
      <c r="EJ83" s="348">
        <f t="shared" ca="1" si="111"/>
        <v>0</v>
      </c>
      <c r="EK83" s="348">
        <f t="shared" ca="1" si="111"/>
        <v>0</v>
      </c>
      <c r="EL83" s="348">
        <f t="shared" ca="1" si="111"/>
        <v>0</v>
      </c>
      <c r="EM83" s="348">
        <f t="shared" ca="1" si="111"/>
        <v>0</v>
      </c>
      <c r="EN83" s="348">
        <f t="shared" ca="1" si="111"/>
        <v>0</v>
      </c>
      <c r="EO83" s="348">
        <f t="shared" ca="1" si="111"/>
        <v>0</v>
      </c>
      <c r="EP83" s="348">
        <f t="shared" ca="1" si="111"/>
        <v>0</v>
      </c>
      <c r="EQ83" s="348">
        <f t="shared" ca="1" si="111"/>
        <v>0</v>
      </c>
      <c r="ER83" s="348">
        <f t="shared" ca="1" si="111"/>
        <v>0</v>
      </c>
      <c r="ES83" s="348">
        <f t="shared" ca="1" si="111"/>
        <v>0</v>
      </c>
      <c r="ET83" s="348">
        <f t="shared" ca="1" si="111"/>
        <v>0</v>
      </c>
      <c r="EU83" s="348">
        <f t="shared" ca="1" si="111"/>
        <v>0</v>
      </c>
      <c r="EV83" s="348">
        <f t="shared" ca="1" si="111"/>
        <v>0</v>
      </c>
      <c r="EW83" s="348">
        <f t="shared" ca="1" si="111"/>
        <v>0</v>
      </c>
      <c r="EX83" s="348">
        <f t="shared" ca="1" si="111"/>
        <v>0</v>
      </c>
      <c r="EY83" s="348">
        <f t="shared" ca="1" si="111"/>
        <v>0</v>
      </c>
      <c r="EZ83" s="348">
        <f t="shared" ca="1" si="111"/>
        <v>0</v>
      </c>
      <c r="FA83" s="348">
        <f t="shared" ca="1" si="111"/>
        <v>0</v>
      </c>
      <c r="FB83" s="348">
        <f t="shared" ca="1" si="111"/>
        <v>0</v>
      </c>
      <c r="FC83" s="348">
        <f t="shared" ca="1" si="111"/>
        <v>0</v>
      </c>
      <c r="FD83" s="348">
        <f t="shared" ca="1" si="111"/>
        <v>0</v>
      </c>
      <c r="FE83" s="348">
        <f t="shared" ca="1" si="111"/>
        <v>0</v>
      </c>
      <c r="FF83" s="348">
        <f t="shared" ca="1" si="111"/>
        <v>0</v>
      </c>
      <c r="FG83" s="348">
        <f t="shared" ca="1" si="111"/>
        <v>0</v>
      </c>
      <c r="FH83" s="348">
        <f t="shared" ca="1" si="111"/>
        <v>0</v>
      </c>
      <c r="FI83" s="348">
        <f t="shared" ca="1" si="111"/>
        <v>0</v>
      </c>
      <c r="FJ83" s="348">
        <f t="shared" ca="1" si="111"/>
        <v>0</v>
      </c>
      <c r="FK83" s="348">
        <f t="shared" ca="1" si="111"/>
        <v>0</v>
      </c>
      <c r="FL83" s="348">
        <f t="shared" ca="1" si="111"/>
        <v>0</v>
      </c>
      <c r="FM83" s="348">
        <f t="shared" ca="1" si="111"/>
        <v>0</v>
      </c>
      <c r="FN83" s="348">
        <f t="shared" ca="1" si="111"/>
        <v>0</v>
      </c>
      <c r="FO83" s="348">
        <f t="shared" ca="1" si="111"/>
        <v>0</v>
      </c>
      <c r="FP83" s="348">
        <f t="shared" ca="1" si="111"/>
        <v>0</v>
      </c>
      <c r="FQ83" s="348">
        <f t="shared" ca="1" si="111"/>
        <v>0</v>
      </c>
      <c r="FR83" s="348">
        <f t="shared" ca="1" si="111"/>
        <v>0</v>
      </c>
      <c r="FS83" s="348">
        <f t="shared" ca="1" si="111"/>
        <v>0</v>
      </c>
      <c r="FT83" s="348">
        <f t="shared" ca="1" si="111"/>
        <v>0</v>
      </c>
      <c r="FU83" s="348">
        <f t="shared" ca="1" si="111"/>
        <v>0</v>
      </c>
      <c r="FV83" s="348">
        <f t="shared" ca="1" si="111"/>
        <v>0</v>
      </c>
      <c r="FW83" s="348">
        <f t="shared" ca="1" si="111"/>
        <v>0</v>
      </c>
      <c r="FX83" s="348">
        <f t="shared" ca="1" si="111"/>
        <v>0</v>
      </c>
      <c r="FY83" s="348">
        <f t="shared" ca="1" si="111"/>
        <v>0</v>
      </c>
      <c r="FZ83" s="348">
        <f t="shared" ca="1" si="111"/>
        <v>0</v>
      </c>
      <c r="GA83" s="348">
        <f t="shared" ca="1" si="111"/>
        <v>0</v>
      </c>
      <c r="GB83" s="348">
        <f t="shared" ca="1" si="111"/>
        <v>0</v>
      </c>
      <c r="GC83" s="348">
        <f t="shared" ca="1" si="111"/>
        <v>0</v>
      </c>
      <c r="GD83" s="348">
        <f t="shared" ca="1" si="111"/>
        <v>0</v>
      </c>
      <c r="GE83" s="348">
        <f t="shared" ca="1" si="111"/>
        <v>0</v>
      </c>
      <c r="GF83" s="348">
        <f t="shared" ca="1" si="111"/>
        <v>0</v>
      </c>
      <c r="GG83" s="348">
        <f t="shared" ca="1" si="111"/>
        <v>0</v>
      </c>
      <c r="GH83" s="348">
        <f t="shared" ca="1" si="111"/>
        <v>0</v>
      </c>
      <c r="GI83" s="348">
        <f t="shared" ca="1" si="111"/>
        <v>0</v>
      </c>
      <c r="GJ83" s="348">
        <f t="shared" ca="1" si="111"/>
        <v>0</v>
      </c>
      <c r="GK83" s="348">
        <f t="shared" ca="1" si="111"/>
        <v>0</v>
      </c>
      <c r="GL83" s="348">
        <f t="shared" ca="1" si="111"/>
        <v>0</v>
      </c>
      <c r="GM83" s="348">
        <f t="shared" ca="1" si="111"/>
        <v>0</v>
      </c>
      <c r="GN83" s="348">
        <f t="shared" ca="1" si="111"/>
        <v>0</v>
      </c>
      <c r="GO83" s="348">
        <f t="shared" ca="1" si="111"/>
        <v>0</v>
      </c>
      <c r="GP83" s="348">
        <f t="shared" ca="1" si="111"/>
        <v>0</v>
      </c>
      <c r="GQ83" s="348">
        <f t="shared" ca="1" si="111"/>
        <v>0</v>
      </c>
      <c r="GR83" s="348">
        <f t="shared" ref="GR83:IK83" ca="1" si="112">IF(AND(GR6&gt;=$E$88,GR6&lt;$E$89+1),10,0)</f>
        <v>0</v>
      </c>
      <c r="GS83" s="348">
        <f t="shared" ca="1" si="112"/>
        <v>0</v>
      </c>
      <c r="GT83" s="348">
        <f t="shared" ca="1" si="112"/>
        <v>0</v>
      </c>
      <c r="GU83" s="348">
        <f t="shared" ca="1" si="112"/>
        <v>0</v>
      </c>
      <c r="GV83" s="348">
        <f t="shared" ca="1" si="112"/>
        <v>0</v>
      </c>
      <c r="GW83" s="348">
        <f t="shared" ca="1" si="112"/>
        <v>0</v>
      </c>
      <c r="GX83" s="348">
        <f t="shared" ca="1" si="112"/>
        <v>0</v>
      </c>
      <c r="GY83" s="348">
        <f t="shared" ca="1" si="112"/>
        <v>0</v>
      </c>
      <c r="GZ83" s="348">
        <f t="shared" ca="1" si="112"/>
        <v>0</v>
      </c>
      <c r="HA83" s="348">
        <f t="shared" ca="1" si="112"/>
        <v>0</v>
      </c>
      <c r="HB83" s="348">
        <f t="shared" ca="1" si="112"/>
        <v>0</v>
      </c>
      <c r="HC83" s="348">
        <f t="shared" ca="1" si="112"/>
        <v>0</v>
      </c>
      <c r="HD83" s="348">
        <f t="shared" ca="1" si="112"/>
        <v>0</v>
      </c>
      <c r="HE83" s="348">
        <f t="shared" ca="1" si="112"/>
        <v>0</v>
      </c>
      <c r="HF83" s="348">
        <f t="shared" ca="1" si="112"/>
        <v>0</v>
      </c>
      <c r="HG83" s="348">
        <f t="shared" ca="1" si="112"/>
        <v>0</v>
      </c>
      <c r="HH83" s="348">
        <f t="shared" ca="1" si="112"/>
        <v>0</v>
      </c>
      <c r="HI83" s="348">
        <f t="shared" ca="1" si="112"/>
        <v>0</v>
      </c>
      <c r="HJ83" s="348">
        <f t="shared" ca="1" si="112"/>
        <v>0</v>
      </c>
      <c r="HK83" s="348">
        <f t="shared" ca="1" si="112"/>
        <v>0</v>
      </c>
      <c r="HL83" s="348">
        <f t="shared" ca="1" si="112"/>
        <v>0</v>
      </c>
      <c r="HM83" s="348">
        <f t="shared" ca="1" si="112"/>
        <v>0</v>
      </c>
      <c r="HN83" s="348">
        <f t="shared" ca="1" si="112"/>
        <v>0</v>
      </c>
      <c r="HO83" s="348">
        <f t="shared" ca="1" si="112"/>
        <v>0</v>
      </c>
      <c r="HP83" s="348">
        <f t="shared" ca="1" si="112"/>
        <v>0</v>
      </c>
      <c r="HQ83" s="348">
        <f t="shared" ca="1" si="112"/>
        <v>0</v>
      </c>
      <c r="HR83" s="348">
        <f t="shared" ca="1" si="112"/>
        <v>0</v>
      </c>
      <c r="HS83" s="348">
        <f t="shared" ca="1" si="112"/>
        <v>0</v>
      </c>
      <c r="HT83" s="348">
        <f t="shared" ca="1" si="112"/>
        <v>0</v>
      </c>
      <c r="HU83" s="348">
        <f t="shared" ca="1" si="112"/>
        <v>0</v>
      </c>
      <c r="HV83" s="348">
        <f t="shared" ca="1" si="112"/>
        <v>0</v>
      </c>
      <c r="HW83" s="348">
        <f t="shared" ca="1" si="112"/>
        <v>0</v>
      </c>
      <c r="HX83" s="348">
        <f t="shared" ca="1" si="112"/>
        <v>0</v>
      </c>
      <c r="HY83" s="348">
        <f t="shared" ca="1" si="112"/>
        <v>0</v>
      </c>
      <c r="HZ83" s="348">
        <f t="shared" ca="1" si="112"/>
        <v>0</v>
      </c>
      <c r="IA83" s="348">
        <f t="shared" ca="1" si="112"/>
        <v>0</v>
      </c>
      <c r="IB83" s="348">
        <f t="shared" ca="1" si="112"/>
        <v>0</v>
      </c>
      <c r="IC83" s="348">
        <f t="shared" ca="1" si="112"/>
        <v>0</v>
      </c>
      <c r="ID83" s="348">
        <f t="shared" ca="1" si="112"/>
        <v>0</v>
      </c>
      <c r="IE83" s="348">
        <f t="shared" ca="1" si="112"/>
        <v>0</v>
      </c>
      <c r="IF83" s="348">
        <f t="shared" ca="1" si="112"/>
        <v>0</v>
      </c>
      <c r="IG83" s="348">
        <f t="shared" ca="1" si="112"/>
        <v>0</v>
      </c>
      <c r="IH83" s="348">
        <f t="shared" ca="1" si="112"/>
        <v>0</v>
      </c>
      <c r="II83" s="348">
        <f t="shared" ca="1" si="112"/>
        <v>0</v>
      </c>
      <c r="IJ83" s="348">
        <f t="shared" ca="1" si="112"/>
        <v>0</v>
      </c>
      <c r="IK83" s="348">
        <f t="shared" ca="1" si="112"/>
        <v>0</v>
      </c>
    </row>
    <row r="84" spans="1:245" hidden="1" x14ac:dyDescent="0.35">
      <c r="A84" s="195"/>
      <c r="B84" s="5"/>
      <c r="C84" s="630" t="s">
        <v>1596</v>
      </c>
      <c r="D84" s="467">
        <f ca="1">IF($CV$5=1,IF(F32&gt;0,0,G87),IF($CV$5=2,IF(F32&gt;0,0,IF(G87+D83&lt;LARGE(G83:G85,1),LARGE(G83:G85,1)-30/100*D48,G87)),IF($CV$5=3,LARGE(G83:G85,1)-20/100*E51,IF($CV$5=4,IF(D43=D44,G68-50/100*D83,IF(D43&lt;D44,D168-D83,0)),0))))</f>
        <v>45969.35</v>
      </c>
      <c r="E84" s="32">
        <f ca="1">IF($CV$5=1,IF(D84=0,0,IF(F30&gt;0,IF(D56&gt;D78,E67,E78+1),G87-D45)),IF($CV$5=2,IF(F32&gt;0,0,IF(G87-D45+D83&lt;LARGE(G83:G85,1)-D45,LARGE(G83:G85,1)-D45-30/100*D48,G87-D45)),IF($CV$5=3,LARGE(G83:G85,1)-20/100*E51-D45,IF($CV$5=4,IF(D43=D44,G68-50/100*D83-D45,IF(D43&lt;D44,E168-D83,0)),0))))</f>
        <v>50.349999999998545</v>
      </c>
      <c r="G84" s="471">
        <f>D56</f>
        <v>0</v>
      </c>
    </row>
    <row r="85" spans="1:245" hidden="1" x14ac:dyDescent="0.35">
      <c r="A85" s="195"/>
      <c r="B85" s="5"/>
      <c r="C85" s="630" t="s">
        <v>1597</v>
      </c>
      <c r="D85" s="467">
        <f>IF(F32&gt;0,$J$3+F32,0)</f>
        <v>0</v>
      </c>
      <c r="E85" s="385">
        <f>IF(F32&gt;0,F32+1,0)</f>
        <v>0</v>
      </c>
      <c r="G85" s="471">
        <f>D67</f>
        <v>0</v>
      </c>
    </row>
    <row r="86" spans="1:245" hidden="1" x14ac:dyDescent="0.35">
      <c r="A86" s="195"/>
      <c r="B86" s="5"/>
      <c r="C86" s="630" t="s">
        <v>1598</v>
      </c>
      <c r="D86" s="467">
        <f ca="1">IF(D84=0,0,D84+D83-1)</f>
        <v>45968.35</v>
      </c>
      <c r="E86" s="32">
        <f ca="1">IF(D86=0,0,E84+D83-1)</f>
        <v>49.349999999998545</v>
      </c>
      <c r="G86" s="471">
        <f ca="1">D78</f>
        <v>45972.25</v>
      </c>
    </row>
    <row r="87" spans="1:245" hidden="1" x14ac:dyDescent="0.35">
      <c r="A87" s="195"/>
      <c r="B87" s="5"/>
      <c r="C87" s="630" t="s">
        <v>1599</v>
      </c>
      <c r="D87" s="467">
        <f>IF(D85=0,0,D85+D83-1)</f>
        <v>0</v>
      </c>
      <c r="E87" s="385">
        <f>IF(D87=0,0,E85+D83-1)</f>
        <v>0</v>
      </c>
      <c r="G87" s="471">
        <f ca="1">IF(OR(G86&lt;G83,G86&lt;G84,G86&lt;G85),G86-10/100*D72,LARGE(G83:G86,1)-10/100*D72)</f>
        <v>45969.35</v>
      </c>
    </row>
    <row r="88" spans="1:245" hidden="1" x14ac:dyDescent="0.35">
      <c r="A88" s="195"/>
      <c r="B88" s="5"/>
      <c r="C88" s="630" t="s">
        <v>1600</v>
      </c>
      <c r="D88" s="467">
        <f ca="1">D84+D85</f>
        <v>45969.35</v>
      </c>
      <c r="E88" s="385">
        <f ca="1">E84+E85</f>
        <v>50.349999999998545</v>
      </c>
      <c r="G88" s="183">
        <f ca="1">IF(H6&lt;=LARGE(H89:IK89,1),1000,0)</f>
        <v>0</v>
      </c>
      <c r="H88" s="32">
        <f t="shared" ref="H88:BS88" ca="1" si="113">IF(H6&lt;=LARGE($H$89:$IK$89,1),1000,0)</f>
        <v>0</v>
      </c>
      <c r="I88" s="32">
        <f t="shared" ca="1" si="113"/>
        <v>0</v>
      </c>
      <c r="J88" s="32">
        <f t="shared" ca="1" si="113"/>
        <v>0</v>
      </c>
      <c r="K88" s="32">
        <f t="shared" ca="1" si="113"/>
        <v>0</v>
      </c>
      <c r="L88" s="32">
        <f t="shared" ca="1" si="113"/>
        <v>0</v>
      </c>
      <c r="M88" s="32">
        <f t="shared" ca="1" si="113"/>
        <v>1000</v>
      </c>
      <c r="N88" s="32">
        <f t="shared" ca="1" si="113"/>
        <v>1000</v>
      </c>
      <c r="O88" s="32">
        <f t="shared" ca="1" si="113"/>
        <v>1000</v>
      </c>
      <c r="P88" s="32">
        <f t="shared" ca="1" si="113"/>
        <v>1000</v>
      </c>
      <c r="Q88" s="32">
        <f t="shared" ca="1" si="113"/>
        <v>1000</v>
      </c>
      <c r="R88" s="32">
        <f t="shared" ca="1" si="113"/>
        <v>1000</v>
      </c>
      <c r="S88" s="32">
        <f t="shared" ca="1" si="113"/>
        <v>1000</v>
      </c>
      <c r="T88" s="32">
        <f t="shared" ca="1" si="113"/>
        <v>1000</v>
      </c>
      <c r="U88" s="32">
        <f t="shared" ca="1" si="113"/>
        <v>1000</v>
      </c>
      <c r="V88" s="32">
        <f t="shared" ca="1" si="113"/>
        <v>1000</v>
      </c>
      <c r="W88" s="32">
        <f t="shared" ca="1" si="113"/>
        <v>1000</v>
      </c>
      <c r="X88" s="32">
        <f t="shared" ca="1" si="113"/>
        <v>1000</v>
      </c>
      <c r="Y88" s="32">
        <f t="shared" ca="1" si="113"/>
        <v>1000</v>
      </c>
      <c r="Z88" s="32">
        <f t="shared" ca="1" si="113"/>
        <v>1000</v>
      </c>
      <c r="AA88" s="32">
        <f t="shared" ca="1" si="113"/>
        <v>1000</v>
      </c>
      <c r="AB88" s="32">
        <f t="shared" ca="1" si="113"/>
        <v>1000</v>
      </c>
      <c r="AC88" s="32">
        <f t="shared" ca="1" si="113"/>
        <v>1000</v>
      </c>
      <c r="AD88" s="32">
        <f t="shared" ca="1" si="113"/>
        <v>1000</v>
      </c>
      <c r="AE88" s="32">
        <f t="shared" ca="1" si="113"/>
        <v>1000</v>
      </c>
      <c r="AF88" s="32">
        <f t="shared" ca="1" si="113"/>
        <v>1000</v>
      </c>
      <c r="AG88" s="32">
        <f t="shared" ca="1" si="113"/>
        <v>1000</v>
      </c>
      <c r="AH88" s="32">
        <f t="shared" ca="1" si="113"/>
        <v>1000</v>
      </c>
      <c r="AI88" s="32">
        <f t="shared" ca="1" si="113"/>
        <v>1000</v>
      </c>
      <c r="AJ88" s="32">
        <f t="shared" ca="1" si="113"/>
        <v>1000</v>
      </c>
      <c r="AK88" s="32">
        <f t="shared" ca="1" si="113"/>
        <v>1000</v>
      </c>
      <c r="AL88" s="32">
        <f t="shared" ca="1" si="113"/>
        <v>1000</v>
      </c>
      <c r="AM88" s="32">
        <f t="shared" ca="1" si="113"/>
        <v>1000</v>
      </c>
      <c r="AN88" s="32">
        <f t="shared" ca="1" si="113"/>
        <v>1000</v>
      </c>
      <c r="AO88" s="32">
        <f t="shared" ca="1" si="113"/>
        <v>1000</v>
      </c>
      <c r="AP88" s="32">
        <f t="shared" ca="1" si="113"/>
        <v>1000</v>
      </c>
      <c r="AQ88" s="32">
        <f t="shared" ca="1" si="113"/>
        <v>1000</v>
      </c>
      <c r="AR88" s="32">
        <f t="shared" ca="1" si="113"/>
        <v>1000</v>
      </c>
      <c r="AS88" s="32">
        <f t="shared" ca="1" si="113"/>
        <v>1000</v>
      </c>
      <c r="AT88" s="32">
        <f t="shared" ca="1" si="113"/>
        <v>1000</v>
      </c>
      <c r="AU88" s="32">
        <f t="shared" ca="1" si="113"/>
        <v>1000</v>
      </c>
      <c r="AV88" s="32">
        <f t="shared" ca="1" si="113"/>
        <v>1000</v>
      </c>
      <c r="AW88" s="32">
        <f t="shared" ca="1" si="113"/>
        <v>1000</v>
      </c>
      <c r="AX88" s="32">
        <f t="shared" ca="1" si="113"/>
        <v>1000</v>
      </c>
      <c r="AY88" s="32">
        <f t="shared" ca="1" si="113"/>
        <v>1000</v>
      </c>
      <c r="AZ88" s="32">
        <f t="shared" ca="1" si="113"/>
        <v>1000</v>
      </c>
      <c r="BA88" s="32">
        <f t="shared" ca="1" si="113"/>
        <v>1000</v>
      </c>
      <c r="BB88" s="32">
        <f t="shared" ca="1" si="113"/>
        <v>1000</v>
      </c>
      <c r="BC88" s="32">
        <f t="shared" ca="1" si="113"/>
        <v>1000</v>
      </c>
      <c r="BD88" s="32">
        <f t="shared" ca="1" si="113"/>
        <v>1000</v>
      </c>
      <c r="BE88" s="32">
        <f t="shared" ca="1" si="113"/>
        <v>1000</v>
      </c>
      <c r="BF88" s="32">
        <f t="shared" ca="1" si="113"/>
        <v>1000</v>
      </c>
      <c r="BG88" s="32">
        <f t="shared" ca="1" si="113"/>
        <v>1000</v>
      </c>
      <c r="BH88" s="32">
        <f t="shared" ca="1" si="113"/>
        <v>1000</v>
      </c>
      <c r="BI88" s="32">
        <f t="shared" ca="1" si="113"/>
        <v>1000</v>
      </c>
      <c r="BJ88" s="32">
        <f t="shared" ca="1" si="113"/>
        <v>1000</v>
      </c>
      <c r="BK88" s="32">
        <f t="shared" ca="1" si="113"/>
        <v>1000</v>
      </c>
      <c r="BL88" s="32">
        <f t="shared" ca="1" si="113"/>
        <v>1000</v>
      </c>
      <c r="BM88" s="32">
        <f t="shared" ca="1" si="113"/>
        <v>1000</v>
      </c>
      <c r="BN88" s="32">
        <f t="shared" ca="1" si="113"/>
        <v>1000</v>
      </c>
      <c r="BO88" s="32">
        <f t="shared" ca="1" si="113"/>
        <v>1000</v>
      </c>
      <c r="BP88" s="32">
        <f t="shared" ca="1" si="113"/>
        <v>0</v>
      </c>
      <c r="BQ88" s="32">
        <f t="shared" ca="1" si="113"/>
        <v>0</v>
      </c>
      <c r="BR88" s="32">
        <f t="shared" ca="1" si="113"/>
        <v>0</v>
      </c>
      <c r="BS88" s="32">
        <f t="shared" ca="1" si="113"/>
        <v>0</v>
      </c>
      <c r="BT88" s="32">
        <f t="shared" ref="BT88:EE88" ca="1" si="114">IF(BT6&lt;=LARGE($H$89:$IK$89,1),1000,0)</f>
        <v>0</v>
      </c>
      <c r="BU88" s="32">
        <f t="shared" ca="1" si="114"/>
        <v>0</v>
      </c>
      <c r="BV88" s="32">
        <f t="shared" ca="1" si="114"/>
        <v>0</v>
      </c>
      <c r="BW88" s="32">
        <f t="shared" ca="1" si="114"/>
        <v>0</v>
      </c>
      <c r="BX88" s="32">
        <f t="shared" ca="1" si="114"/>
        <v>0</v>
      </c>
      <c r="BY88" s="32">
        <f t="shared" ca="1" si="114"/>
        <v>0</v>
      </c>
      <c r="BZ88" s="32">
        <f t="shared" ca="1" si="114"/>
        <v>0</v>
      </c>
      <c r="CA88" s="32">
        <f t="shared" ca="1" si="114"/>
        <v>0</v>
      </c>
      <c r="CB88" s="32">
        <f t="shared" ca="1" si="114"/>
        <v>0</v>
      </c>
      <c r="CC88" s="32">
        <f t="shared" ca="1" si="114"/>
        <v>0</v>
      </c>
      <c r="CD88" s="32">
        <f t="shared" ca="1" si="114"/>
        <v>0</v>
      </c>
      <c r="CE88" s="32">
        <f t="shared" ca="1" si="114"/>
        <v>0</v>
      </c>
      <c r="CF88" s="32">
        <f t="shared" ca="1" si="114"/>
        <v>0</v>
      </c>
      <c r="CG88" s="32">
        <f t="shared" ca="1" si="114"/>
        <v>0</v>
      </c>
      <c r="CH88" s="32">
        <f t="shared" ca="1" si="114"/>
        <v>0</v>
      </c>
      <c r="CI88" s="32">
        <f t="shared" ca="1" si="114"/>
        <v>0</v>
      </c>
      <c r="CJ88" s="32">
        <f t="shared" ca="1" si="114"/>
        <v>0</v>
      </c>
      <c r="CK88" s="32">
        <f t="shared" ca="1" si="114"/>
        <v>0</v>
      </c>
      <c r="CL88" s="32">
        <f t="shared" ca="1" si="114"/>
        <v>0</v>
      </c>
      <c r="CM88" s="32">
        <f t="shared" ca="1" si="114"/>
        <v>0</v>
      </c>
      <c r="CN88" s="32">
        <f t="shared" ca="1" si="114"/>
        <v>0</v>
      </c>
      <c r="CO88" s="32">
        <f t="shared" ca="1" si="114"/>
        <v>0</v>
      </c>
      <c r="CP88" s="32">
        <f t="shared" ca="1" si="114"/>
        <v>0</v>
      </c>
      <c r="CQ88" s="32">
        <f t="shared" ca="1" si="114"/>
        <v>0</v>
      </c>
      <c r="CR88" s="32">
        <f t="shared" ca="1" si="114"/>
        <v>0</v>
      </c>
      <c r="CS88" s="32">
        <f t="shared" ca="1" si="114"/>
        <v>0</v>
      </c>
      <c r="CT88" s="32">
        <f t="shared" ca="1" si="114"/>
        <v>0</v>
      </c>
      <c r="CU88" s="32">
        <f t="shared" ca="1" si="114"/>
        <v>0</v>
      </c>
      <c r="CV88" s="32">
        <f t="shared" ca="1" si="114"/>
        <v>0</v>
      </c>
      <c r="CW88" s="32">
        <f t="shared" ca="1" si="114"/>
        <v>0</v>
      </c>
      <c r="CX88" s="32">
        <f t="shared" ca="1" si="114"/>
        <v>0</v>
      </c>
      <c r="CY88" s="32">
        <f t="shared" ca="1" si="114"/>
        <v>0</v>
      </c>
      <c r="CZ88" s="32">
        <f t="shared" ca="1" si="114"/>
        <v>0</v>
      </c>
      <c r="DA88" s="32">
        <f t="shared" ca="1" si="114"/>
        <v>0</v>
      </c>
      <c r="DB88" s="32">
        <f t="shared" ca="1" si="114"/>
        <v>0</v>
      </c>
      <c r="DC88" s="32">
        <f t="shared" ca="1" si="114"/>
        <v>0</v>
      </c>
      <c r="DD88" s="32">
        <f t="shared" ca="1" si="114"/>
        <v>0</v>
      </c>
      <c r="DE88" s="32">
        <f t="shared" ca="1" si="114"/>
        <v>0</v>
      </c>
      <c r="DF88" s="32">
        <f t="shared" ca="1" si="114"/>
        <v>0</v>
      </c>
      <c r="DG88" s="32">
        <f t="shared" ca="1" si="114"/>
        <v>0</v>
      </c>
      <c r="DH88" s="32">
        <f t="shared" ca="1" si="114"/>
        <v>0</v>
      </c>
      <c r="DI88" s="32">
        <f t="shared" ca="1" si="114"/>
        <v>0</v>
      </c>
      <c r="DJ88" s="32">
        <f t="shared" ca="1" si="114"/>
        <v>0</v>
      </c>
      <c r="DK88" s="32">
        <f t="shared" ca="1" si="114"/>
        <v>0</v>
      </c>
      <c r="DL88" s="32">
        <f t="shared" ca="1" si="114"/>
        <v>0</v>
      </c>
      <c r="DM88" s="32">
        <f t="shared" ca="1" si="114"/>
        <v>0</v>
      </c>
      <c r="DN88" s="32">
        <f t="shared" ca="1" si="114"/>
        <v>0</v>
      </c>
      <c r="DO88" s="32">
        <f t="shared" ca="1" si="114"/>
        <v>0</v>
      </c>
      <c r="DP88" s="32">
        <f t="shared" ca="1" si="114"/>
        <v>0</v>
      </c>
      <c r="DQ88" s="32">
        <f t="shared" ca="1" si="114"/>
        <v>0</v>
      </c>
      <c r="DR88" s="32">
        <f t="shared" ca="1" si="114"/>
        <v>0</v>
      </c>
      <c r="DS88" s="32">
        <f t="shared" ca="1" si="114"/>
        <v>0</v>
      </c>
      <c r="DT88" s="32">
        <f t="shared" ca="1" si="114"/>
        <v>0</v>
      </c>
      <c r="DU88" s="32">
        <f t="shared" ca="1" si="114"/>
        <v>0</v>
      </c>
      <c r="DV88" s="32">
        <f t="shared" ca="1" si="114"/>
        <v>0</v>
      </c>
      <c r="DW88" s="32">
        <f t="shared" ca="1" si="114"/>
        <v>0</v>
      </c>
      <c r="DX88" s="32">
        <f t="shared" ca="1" si="114"/>
        <v>0</v>
      </c>
      <c r="DY88" s="32">
        <f t="shared" ca="1" si="114"/>
        <v>0</v>
      </c>
      <c r="DZ88" s="32">
        <f t="shared" ca="1" si="114"/>
        <v>0</v>
      </c>
      <c r="EA88" s="32">
        <f t="shared" ca="1" si="114"/>
        <v>0</v>
      </c>
      <c r="EB88" s="32">
        <f t="shared" ca="1" si="114"/>
        <v>0</v>
      </c>
      <c r="EC88" s="32">
        <f t="shared" ca="1" si="114"/>
        <v>0</v>
      </c>
      <c r="ED88" s="32">
        <f t="shared" ca="1" si="114"/>
        <v>0</v>
      </c>
      <c r="EE88" s="32">
        <f t="shared" ca="1" si="114"/>
        <v>0</v>
      </c>
      <c r="EF88" s="32">
        <f t="shared" ref="EF88:GQ88" ca="1" si="115">IF(EF6&lt;=LARGE($H$89:$IK$89,1),1000,0)</f>
        <v>0</v>
      </c>
      <c r="EG88" s="32">
        <f t="shared" ca="1" si="115"/>
        <v>0</v>
      </c>
      <c r="EH88" s="32">
        <f t="shared" ca="1" si="115"/>
        <v>0</v>
      </c>
      <c r="EI88" s="32">
        <f t="shared" ca="1" si="115"/>
        <v>0</v>
      </c>
      <c r="EJ88" s="32">
        <f t="shared" ca="1" si="115"/>
        <v>0</v>
      </c>
      <c r="EK88" s="32">
        <f t="shared" ca="1" si="115"/>
        <v>0</v>
      </c>
      <c r="EL88" s="32">
        <f t="shared" ca="1" si="115"/>
        <v>0</v>
      </c>
      <c r="EM88" s="32">
        <f t="shared" ca="1" si="115"/>
        <v>0</v>
      </c>
      <c r="EN88" s="32">
        <f t="shared" ca="1" si="115"/>
        <v>0</v>
      </c>
      <c r="EO88" s="32">
        <f t="shared" ca="1" si="115"/>
        <v>0</v>
      </c>
      <c r="EP88" s="32">
        <f t="shared" ca="1" si="115"/>
        <v>0</v>
      </c>
      <c r="EQ88" s="32">
        <f t="shared" ca="1" si="115"/>
        <v>0</v>
      </c>
      <c r="ER88" s="32">
        <f t="shared" ca="1" si="115"/>
        <v>0</v>
      </c>
      <c r="ES88" s="32">
        <f t="shared" ca="1" si="115"/>
        <v>0</v>
      </c>
      <c r="ET88" s="32">
        <f t="shared" ca="1" si="115"/>
        <v>0</v>
      </c>
      <c r="EU88" s="32">
        <f t="shared" ca="1" si="115"/>
        <v>0</v>
      </c>
      <c r="EV88" s="32">
        <f t="shared" ca="1" si="115"/>
        <v>0</v>
      </c>
      <c r="EW88" s="32">
        <f t="shared" ca="1" si="115"/>
        <v>0</v>
      </c>
      <c r="EX88" s="32">
        <f t="shared" ca="1" si="115"/>
        <v>0</v>
      </c>
      <c r="EY88" s="32">
        <f t="shared" ca="1" si="115"/>
        <v>0</v>
      </c>
      <c r="EZ88" s="32">
        <f t="shared" ca="1" si="115"/>
        <v>0</v>
      </c>
      <c r="FA88" s="32">
        <f t="shared" ca="1" si="115"/>
        <v>0</v>
      </c>
      <c r="FB88" s="32">
        <f t="shared" ca="1" si="115"/>
        <v>0</v>
      </c>
      <c r="FC88" s="32">
        <f t="shared" ca="1" si="115"/>
        <v>0</v>
      </c>
      <c r="FD88" s="32">
        <f t="shared" ca="1" si="115"/>
        <v>0</v>
      </c>
      <c r="FE88" s="32">
        <f t="shared" ca="1" si="115"/>
        <v>0</v>
      </c>
      <c r="FF88" s="32">
        <f t="shared" ca="1" si="115"/>
        <v>0</v>
      </c>
      <c r="FG88" s="32">
        <f t="shared" ca="1" si="115"/>
        <v>0</v>
      </c>
      <c r="FH88" s="32">
        <f t="shared" ca="1" si="115"/>
        <v>0</v>
      </c>
      <c r="FI88" s="32">
        <f t="shared" ca="1" si="115"/>
        <v>0</v>
      </c>
      <c r="FJ88" s="32">
        <f t="shared" ca="1" si="115"/>
        <v>0</v>
      </c>
      <c r="FK88" s="32">
        <f t="shared" ca="1" si="115"/>
        <v>0</v>
      </c>
      <c r="FL88" s="32">
        <f t="shared" ca="1" si="115"/>
        <v>0</v>
      </c>
      <c r="FM88" s="32">
        <f t="shared" ca="1" si="115"/>
        <v>0</v>
      </c>
      <c r="FN88" s="32">
        <f t="shared" ca="1" si="115"/>
        <v>0</v>
      </c>
      <c r="FO88" s="32">
        <f t="shared" ca="1" si="115"/>
        <v>0</v>
      </c>
      <c r="FP88" s="32">
        <f t="shared" ca="1" si="115"/>
        <v>0</v>
      </c>
      <c r="FQ88" s="32">
        <f t="shared" ca="1" si="115"/>
        <v>0</v>
      </c>
      <c r="FR88" s="32">
        <f t="shared" ca="1" si="115"/>
        <v>0</v>
      </c>
      <c r="FS88" s="32">
        <f t="shared" ca="1" si="115"/>
        <v>0</v>
      </c>
      <c r="FT88" s="32">
        <f t="shared" ca="1" si="115"/>
        <v>0</v>
      </c>
      <c r="FU88" s="32">
        <f t="shared" ca="1" si="115"/>
        <v>0</v>
      </c>
      <c r="FV88" s="32">
        <f t="shared" ca="1" si="115"/>
        <v>0</v>
      </c>
      <c r="FW88" s="32">
        <f t="shared" ca="1" si="115"/>
        <v>0</v>
      </c>
      <c r="FX88" s="32">
        <f t="shared" ca="1" si="115"/>
        <v>0</v>
      </c>
      <c r="FY88" s="32">
        <f t="shared" ca="1" si="115"/>
        <v>0</v>
      </c>
      <c r="FZ88" s="32">
        <f t="shared" ca="1" si="115"/>
        <v>0</v>
      </c>
      <c r="GA88" s="32">
        <f t="shared" ca="1" si="115"/>
        <v>0</v>
      </c>
      <c r="GB88" s="32">
        <f t="shared" ca="1" si="115"/>
        <v>0</v>
      </c>
      <c r="GC88" s="32">
        <f t="shared" ca="1" si="115"/>
        <v>0</v>
      </c>
      <c r="GD88" s="32">
        <f t="shared" ca="1" si="115"/>
        <v>0</v>
      </c>
      <c r="GE88" s="32">
        <f t="shared" ca="1" si="115"/>
        <v>0</v>
      </c>
      <c r="GF88" s="32">
        <f t="shared" ca="1" si="115"/>
        <v>0</v>
      </c>
      <c r="GG88" s="32">
        <f t="shared" ca="1" si="115"/>
        <v>0</v>
      </c>
      <c r="GH88" s="32">
        <f t="shared" ca="1" si="115"/>
        <v>0</v>
      </c>
      <c r="GI88" s="32">
        <f t="shared" ca="1" si="115"/>
        <v>0</v>
      </c>
      <c r="GJ88" s="32">
        <f t="shared" ca="1" si="115"/>
        <v>0</v>
      </c>
      <c r="GK88" s="32">
        <f t="shared" ca="1" si="115"/>
        <v>0</v>
      </c>
      <c r="GL88" s="32">
        <f t="shared" ca="1" si="115"/>
        <v>0</v>
      </c>
      <c r="GM88" s="32">
        <f t="shared" ca="1" si="115"/>
        <v>0</v>
      </c>
      <c r="GN88" s="32">
        <f t="shared" ca="1" si="115"/>
        <v>0</v>
      </c>
      <c r="GO88" s="32">
        <f t="shared" ca="1" si="115"/>
        <v>0</v>
      </c>
      <c r="GP88" s="32">
        <f t="shared" ca="1" si="115"/>
        <v>0</v>
      </c>
      <c r="GQ88" s="32">
        <f t="shared" ca="1" si="115"/>
        <v>0</v>
      </c>
      <c r="GR88" s="32">
        <f t="shared" ref="GR88:IK88" ca="1" si="116">IF(GR6&lt;=LARGE($H$89:$IK$89,1),1000,0)</f>
        <v>0</v>
      </c>
      <c r="GS88" s="32">
        <f t="shared" ca="1" si="116"/>
        <v>0</v>
      </c>
      <c r="GT88" s="32">
        <f t="shared" ca="1" si="116"/>
        <v>0</v>
      </c>
      <c r="GU88" s="32">
        <f t="shared" ca="1" si="116"/>
        <v>0</v>
      </c>
      <c r="GV88" s="32">
        <f t="shared" ca="1" si="116"/>
        <v>0</v>
      </c>
      <c r="GW88" s="32">
        <f t="shared" ca="1" si="116"/>
        <v>0</v>
      </c>
      <c r="GX88" s="32">
        <f t="shared" ca="1" si="116"/>
        <v>0</v>
      </c>
      <c r="GY88" s="32">
        <f t="shared" ca="1" si="116"/>
        <v>0</v>
      </c>
      <c r="GZ88" s="32">
        <f t="shared" ca="1" si="116"/>
        <v>0</v>
      </c>
      <c r="HA88" s="32">
        <f t="shared" ca="1" si="116"/>
        <v>0</v>
      </c>
      <c r="HB88" s="32">
        <f t="shared" ca="1" si="116"/>
        <v>0</v>
      </c>
      <c r="HC88" s="32">
        <f t="shared" ca="1" si="116"/>
        <v>0</v>
      </c>
      <c r="HD88" s="32">
        <f t="shared" ca="1" si="116"/>
        <v>0</v>
      </c>
      <c r="HE88" s="32">
        <f t="shared" ca="1" si="116"/>
        <v>0</v>
      </c>
      <c r="HF88" s="32">
        <f t="shared" ca="1" si="116"/>
        <v>0</v>
      </c>
      <c r="HG88" s="32">
        <f t="shared" ca="1" si="116"/>
        <v>0</v>
      </c>
      <c r="HH88" s="32">
        <f t="shared" ca="1" si="116"/>
        <v>0</v>
      </c>
      <c r="HI88" s="32">
        <f t="shared" ca="1" si="116"/>
        <v>0</v>
      </c>
      <c r="HJ88" s="32">
        <f t="shared" ca="1" si="116"/>
        <v>0</v>
      </c>
      <c r="HK88" s="32">
        <f t="shared" ca="1" si="116"/>
        <v>0</v>
      </c>
      <c r="HL88" s="32">
        <f t="shared" ca="1" si="116"/>
        <v>0</v>
      </c>
      <c r="HM88" s="32">
        <f t="shared" ca="1" si="116"/>
        <v>0</v>
      </c>
      <c r="HN88" s="32">
        <f t="shared" ca="1" si="116"/>
        <v>0</v>
      </c>
      <c r="HO88" s="32">
        <f t="shared" ca="1" si="116"/>
        <v>0</v>
      </c>
      <c r="HP88" s="32">
        <f t="shared" ca="1" si="116"/>
        <v>0</v>
      </c>
      <c r="HQ88" s="32">
        <f t="shared" ca="1" si="116"/>
        <v>0</v>
      </c>
      <c r="HR88" s="32">
        <f t="shared" ca="1" si="116"/>
        <v>0</v>
      </c>
      <c r="HS88" s="32">
        <f t="shared" ca="1" si="116"/>
        <v>0</v>
      </c>
      <c r="HT88" s="32">
        <f t="shared" ca="1" si="116"/>
        <v>0</v>
      </c>
      <c r="HU88" s="32">
        <f t="shared" ca="1" si="116"/>
        <v>0</v>
      </c>
      <c r="HV88" s="32">
        <f t="shared" ca="1" si="116"/>
        <v>0</v>
      </c>
      <c r="HW88" s="32">
        <f t="shared" ca="1" si="116"/>
        <v>0</v>
      </c>
      <c r="HX88" s="32">
        <f t="shared" ca="1" si="116"/>
        <v>0</v>
      </c>
      <c r="HY88" s="32">
        <f t="shared" ca="1" si="116"/>
        <v>0</v>
      </c>
      <c r="HZ88" s="32">
        <f t="shared" ca="1" si="116"/>
        <v>0</v>
      </c>
      <c r="IA88" s="32">
        <f t="shared" ca="1" si="116"/>
        <v>0</v>
      </c>
      <c r="IB88" s="32">
        <f t="shared" ca="1" si="116"/>
        <v>0</v>
      </c>
      <c r="IC88" s="32">
        <f t="shared" ca="1" si="116"/>
        <v>0</v>
      </c>
      <c r="ID88" s="32">
        <f t="shared" ca="1" si="116"/>
        <v>0</v>
      </c>
      <c r="IE88" s="32">
        <f t="shared" ca="1" si="116"/>
        <v>0</v>
      </c>
      <c r="IF88" s="32">
        <f t="shared" ca="1" si="116"/>
        <v>0</v>
      </c>
      <c r="IG88" s="32">
        <f t="shared" ca="1" si="116"/>
        <v>0</v>
      </c>
      <c r="IH88" s="32">
        <f t="shared" ca="1" si="116"/>
        <v>0</v>
      </c>
      <c r="II88" s="32">
        <f t="shared" ca="1" si="116"/>
        <v>0</v>
      </c>
      <c r="IJ88" s="32">
        <f t="shared" ca="1" si="116"/>
        <v>0</v>
      </c>
      <c r="IK88" s="32">
        <f t="shared" ca="1" si="116"/>
        <v>0</v>
      </c>
    </row>
    <row r="89" spans="1:245" hidden="1" x14ac:dyDescent="0.35">
      <c r="A89" s="195"/>
      <c r="B89" s="5"/>
      <c r="C89" s="630" t="s">
        <v>1601</v>
      </c>
      <c r="D89" s="467">
        <f ca="1">D86+D87</f>
        <v>45968.35</v>
      </c>
      <c r="E89" s="385">
        <f ca="1">E86+E87</f>
        <v>49.349999999998545</v>
      </c>
      <c r="H89" s="32">
        <f t="shared" ref="H89:BS89" ca="1" si="117">IF(H90&gt;0,H6,0)</f>
        <v>0</v>
      </c>
      <c r="I89" s="32">
        <f t="shared" ca="1" si="117"/>
        <v>0</v>
      </c>
      <c r="J89" s="32">
        <f ca="1">IF(J90&gt;0,J6,0)</f>
        <v>0</v>
      </c>
      <c r="K89" s="32">
        <f t="shared" ca="1" si="117"/>
        <v>0</v>
      </c>
      <c r="L89" s="32">
        <f t="shared" ca="1" si="117"/>
        <v>0</v>
      </c>
      <c r="M89" s="32">
        <f t="shared" ca="1" si="117"/>
        <v>1</v>
      </c>
      <c r="N89" s="32">
        <f t="shared" ca="1" si="117"/>
        <v>2</v>
      </c>
      <c r="O89" s="32">
        <f t="shared" ca="1" si="117"/>
        <v>3</v>
      </c>
      <c r="P89" s="32">
        <f t="shared" ca="1" si="117"/>
        <v>4</v>
      </c>
      <c r="Q89" s="32">
        <f t="shared" ca="1" si="117"/>
        <v>5</v>
      </c>
      <c r="R89" s="32">
        <f t="shared" ca="1" si="117"/>
        <v>6</v>
      </c>
      <c r="S89" s="32">
        <f t="shared" ca="1" si="117"/>
        <v>7</v>
      </c>
      <c r="T89" s="32">
        <f t="shared" ca="1" si="117"/>
        <v>8</v>
      </c>
      <c r="U89" s="32">
        <f t="shared" ca="1" si="117"/>
        <v>9</v>
      </c>
      <c r="V89" s="32">
        <f t="shared" ca="1" si="117"/>
        <v>10</v>
      </c>
      <c r="W89" s="32">
        <f t="shared" ca="1" si="117"/>
        <v>11</v>
      </c>
      <c r="X89" s="32">
        <f t="shared" ca="1" si="117"/>
        <v>12</v>
      </c>
      <c r="Y89" s="32">
        <f t="shared" ca="1" si="117"/>
        <v>13</v>
      </c>
      <c r="Z89" s="32">
        <f t="shared" ca="1" si="117"/>
        <v>14</v>
      </c>
      <c r="AA89" s="32">
        <f t="shared" ca="1" si="117"/>
        <v>15</v>
      </c>
      <c r="AB89" s="32">
        <f t="shared" ca="1" si="117"/>
        <v>16</v>
      </c>
      <c r="AC89" s="32">
        <f t="shared" ca="1" si="117"/>
        <v>17</v>
      </c>
      <c r="AD89" s="32">
        <f t="shared" ca="1" si="117"/>
        <v>18</v>
      </c>
      <c r="AE89" s="32">
        <f t="shared" ca="1" si="117"/>
        <v>19</v>
      </c>
      <c r="AF89" s="32">
        <f t="shared" ca="1" si="117"/>
        <v>20</v>
      </c>
      <c r="AG89" s="32">
        <f t="shared" ca="1" si="117"/>
        <v>21</v>
      </c>
      <c r="AH89" s="32">
        <f t="shared" ca="1" si="117"/>
        <v>22</v>
      </c>
      <c r="AI89" s="32">
        <f t="shared" ca="1" si="117"/>
        <v>23</v>
      </c>
      <c r="AJ89" s="32">
        <f t="shared" ca="1" si="117"/>
        <v>24</v>
      </c>
      <c r="AK89" s="32">
        <f t="shared" ca="1" si="117"/>
        <v>25</v>
      </c>
      <c r="AL89" s="32">
        <f t="shared" ca="1" si="117"/>
        <v>26</v>
      </c>
      <c r="AM89" s="32">
        <f t="shared" ca="1" si="117"/>
        <v>27</v>
      </c>
      <c r="AN89" s="32">
        <f t="shared" ca="1" si="117"/>
        <v>28</v>
      </c>
      <c r="AO89" s="32">
        <f t="shared" ca="1" si="117"/>
        <v>29</v>
      </c>
      <c r="AP89" s="32">
        <f t="shared" ca="1" si="117"/>
        <v>30</v>
      </c>
      <c r="AQ89" s="32">
        <f t="shared" ca="1" si="117"/>
        <v>31</v>
      </c>
      <c r="AR89" s="32">
        <f t="shared" ca="1" si="117"/>
        <v>32</v>
      </c>
      <c r="AS89" s="32">
        <f t="shared" ca="1" si="117"/>
        <v>33</v>
      </c>
      <c r="AT89" s="32">
        <f t="shared" ca="1" si="117"/>
        <v>34</v>
      </c>
      <c r="AU89" s="32">
        <f t="shared" ca="1" si="117"/>
        <v>35</v>
      </c>
      <c r="AV89" s="32">
        <f t="shared" ca="1" si="117"/>
        <v>36</v>
      </c>
      <c r="AW89" s="32">
        <f t="shared" ca="1" si="117"/>
        <v>37</v>
      </c>
      <c r="AX89" s="32">
        <f t="shared" ca="1" si="117"/>
        <v>38</v>
      </c>
      <c r="AY89" s="32">
        <f t="shared" ca="1" si="117"/>
        <v>39</v>
      </c>
      <c r="AZ89" s="32">
        <f t="shared" ca="1" si="117"/>
        <v>40</v>
      </c>
      <c r="BA89" s="32">
        <f t="shared" ca="1" si="117"/>
        <v>41</v>
      </c>
      <c r="BB89" s="32">
        <f t="shared" ca="1" si="117"/>
        <v>42</v>
      </c>
      <c r="BC89" s="32">
        <f t="shared" ca="1" si="117"/>
        <v>43</v>
      </c>
      <c r="BD89" s="32">
        <f t="shared" ca="1" si="117"/>
        <v>44</v>
      </c>
      <c r="BE89" s="32">
        <f t="shared" ca="1" si="117"/>
        <v>45</v>
      </c>
      <c r="BF89" s="32">
        <f t="shared" ca="1" si="117"/>
        <v>46</v>
      </c>
      <c r="BG89" s="32">
        <f t="shared" ca="1" si="117"/>
        <v>47</v>
      </c>
      <c r="BH89" s="32">
        <f t="shared" ca="1" si="117"/>
        <v>48</v>
      </c>
      <c r="BI89" s="32">
        <f t="shared" ca="1" si="117"/>
        <v>49</v>
      </c>
      <c r="BJ89" s="32">
        <f t="shared" ca="1" si="117"/>
        <v>50</v>
      </c>
      <c r="BK89" s="32">
        <f t="shared" ca="1" si="117"/>
        <v>51</v>
      </c>
      <c r="BL89" s="32">
        <f t="shared" ca="1" si="117"/>
        <v>52</v>
      </c>
      <c r="BM89" s="32">
        <f t="shared" ca="1" si="117"/>
        <v>53</v>
      </c>
      <c r="BN89" s="32">
        <f t="shared" ca="1" si="117"/>
        <v>54</v>
      </c>
      <c r="BO89" s="32">
        <f t="shared" ca="1" si="117"/>
        <v>55</v>
      </c>
      <c r="BP89" s="32">
        <f t="shared" ca="1" si="117"/>
        <v>0</v>
      </c>
      <c r="BQ89" s="32">
        <f t="shared" ca="1" si="117"/>
        <v>0</v>
      </c>
      <c r="BR89" s="32">
        <f t="shared" ca="1" si="117"/>
        <v>0</v>
      </c>
      <c r="BS89" s="32">
        <f t="shared" ca="1" si="117"/>
        <v>0</v>
      </c>
      <c r="BT89" s="32">
        <f t="shared" ref="BT89:EE89" ca="1" si="118">IF(BT90&gt;0,BT6,0)</f>
        <v>0</v>
      </c>
      <c r="BU89" s="32">
        <f t="shared" ca="1" si="118"/>
        <v>0</v>
      </c>
      <c r="BV89" s="32">
        <f t="shared" ca="1" si="118"/>
        <v>0</v>
      </c>
      <c r="BW89" s="32">
        <f t="shared" ca="1" si="118"/>
        <v>0</v>
      </c>
      <c r="BX89" s="32">
        <f t="shared" ca="1" si="118"/>
        <v>0</v>
      </c>
      <c r="BY89" s="32">
        <f t="shared" ca="1" si="118"/>
        <v>0</v>
      </c>
      <c r="BZ89" s="32">
        <f t="shared" ca="1" si="118"/>
        <v>0</v>
      </c>
      <c r="CA89" s="32">
        <f t="shared" ca="1" si="118"/>
        <v>0</v>
      </c>
      <c r="CB89" s="32">
        <f t="shared" ca="1" si="118"/>
        <v>0</v>
      </c>
      <c r="CC89" s="32">
        <f t="shared" ca="1" si="118"/>
        <v>0</v>
      </c>
      <c r="CD89" s="32">
        <f t="shared" ca="1" si="118"/>
        <v>0</v>
      </c>
      <c r="CE89" s="32">
        <f t="shared" ca="1" si="118"/>
        <v>0</v>
      </c>
      <c r="CF89" s="32">
        <f t="shared" ca="1" si="118"/>
        <v>0</v>
      </c>
      <c r="CG89" s="32">
        <f t="shared" ca="1" si="118"/>
        <v>0</v>
      </c>
      <c r="CH89" s="32">
        <f t="shared" ca="1" si="118"/>
        <v>0</v>
      </c>
      <c r="CI89" s="32">
        <f t="shared" ca="1" si="118"/>
        <v>0</v>
      </c>
      <c r="CJ89" s="32">
        <f t="shared" ca="1" si="118"/>
        <v>0</v>
      </c>
      <c r="CK89" s="32">
        <f t="shared" ca="1" si="118"/>
        <v>0</v>
      </c>
      <c r="CL89" s="32">
        <f t="shared" ca="1" si="118"/>
        <v>0</v>
      </c>
      <c r="CM89" s="32">
        <f t="shared" ca="1" si="118"/>
        <v>0</v>
      </c>
      <c r="CN89" s="32">
        <f t="shared" ca="1" si="118"/>
        <v>0</v>
      </c>
      <c r="CO89" s="32">
        <f t="shared" ca="1" si="118"/>
        <v>0</v>
      </c>
      <c r="CP89" s="32">
        <f t="shared" ca="1" si="118"/>
        <v>0</v>
      </c>
      <c r="CQ89" s="32">
        <f t="shared" ca="1" si="118"/>
        <v>0</v>
      </c>
      <c r="CR89" s="32">
        <f t="shared" ca="1" si="118"/>
        <v>0</v>
      </c>
      <c r="CS89" s="32">
        <f t="shared" ca="1" si="118"/>
        <v>0</v>
      </c>
      <c r="CT89" s="32">
        <f t="shared" ca="1" si="118"/>
        <v>0</v>
      </c>
      <c r="CU89" s="32">
        <f t="shared" ca="1" si="118"/>
        <v>0</v>
      </c>
      <c r="CV89" s="32">
        <f t="shared" ca="1" si="118"/>
        <v>0</v>
      </c>
      <c r="CW89" s="32">
        <f t="shared" ca="1" si="118"/>
        <v>0</v>
      </c>
      <c r="CX89" s="32">
        <f t="shared" ca="1" si="118"/>
        <v>0</v>
      </c>
      <c r="CY89" s="32">
        <f t="shared" ca="1" si="118"/>
        <v>0</v>
      </c>
      <c r="CZ89" s="32">
        <f t="shared" ca="1" si="118"/>
        <v>0</v>
      </c>
      <c r="DA89" s="32">
        <f t="shared" ca="1" si="118"/>
        <v>0</v>
      </c>
      <c r="DB89" s="32">
        <f t="shared" ca="1" si="118"/>
        <v>0</v>
      </c>
      <c r="DC89" s="32">
        <f t="shared" ca="1" si="118"/>
        <v>0</v>
      </c>
      <c r="DD89" s="32">
        <f t="shared" ca="1" si="118"/>
        <v>0</v>
      </c>
      <c r="DE89" s="32">
        <f t="shared" ca="1" si="118"/>
        <v>0</v>
      </c>
      <c r="DF89" s="32">
        <f t="shared" ca="1" si="118"/>
        <v>0</v>
      </c>
      <c r="DG89" s="32">
        <f t="shared" ca="1" si="118"/>
        <v>0</v>
      </c>
      <c r="DH89" s="32">
        <f t="shared" ca="1" si="118"/>
        <v>0</v>
      </c>
      <c r="DI89" s="32">
        <f t="shared" ca="1" si="118"/>
        <v>0</v>
      </c>
      <c r="DJ89" s="32">
        <f t="shared" ca="1" si="118"/>
        <v>0</v>
      </c>
      <c r="DK89" s="32">
        <f t="shared" ca="1" si="118"/>
        <v>0</v>
      </c>
      <c r="DL89" s="32">
        <f t="shared" ca="1" si="118"/>
        <v>0</v>
      </c>
      <c r="DM89" s="32">
        <f t="shared" ca="1" si="118"/>
        <v>0</v>
      </c>
      <c r="DN89" s="32">
        <f t="shared" ca="1" si="118"/>
        <v>0</v>
      </c>
      <c r="DO89" s="32">
        <f t="shared" ca="1" si="118"/>
        <v>0</v>
      </c>
      <c r="DP89" s="32">
        <f t="shared" ca="1" si="118"/>
        <v>0</v>
      </c>
      <c r="DQ89" s="32">
        <f t="shared" ca="1" si="118"/>
        <v>0</v>
      </c>
      <c r="DR89" s="32">
        <f t="shared" ca="1" si="118"/>
        <v>0</v>
      </c>
      <c r="DS89" s="32">
        <f t="shared" ca="1" si="118"/>
        <v>0</v>
      </c>
      <c r="DT89" s="32">
        <f t="shared" ca="1" si="118"/>
        <v>0</v>
      </c>
      <c r="DU89" s="32">
        <f t="shared" ca="1" si="118"/>
        <v>0</v>
      </c>
      <c r="DV89" s="32">
        <f t="shared" ca="1" si="118"/>
        <v>0</v>
      </c>
      <c r="DW89" s="32">
        <f t="shared" ca="1" si="118"/>
        <v>0</v>
      </c>
      <c r="DX89" s="32">
        <f t="shared" ca="1" si="118"/>
        <v>0</v>
      </c>
      <c r="DY89" s="32">
        <f t="shared" ca="1" si="118"/>
        <v>0</v>
      </c>
      <c r="DZ89" s="32">
        <f t="shared" ca="1" si="118"/>
        <v>0</v>
      </c>
      <c r="EA89" s="32">
        <f t="shared" ca="1" si="118"/>
        <v>0</v>
      </c>
      <c r="EB89" s="32">
        <f t="shared" ca="1" si="118"/>
        <v>0</v>
      </c>
      <c r="EC89" s="32">
        <f t="shared" ca="1" si="118"/>
        <v>0</v>
      </c>
      <c r="ED89" s="32">
        <f t="shared" ca="1" si="118"/>
        <v>0</v>
      </c>
      <c r="EE89" s="32">
        <f t="shared" ca="1" si="118"/>
        <v>0</v>
      </c>
      <c r="EF89" s="32">
        <f t="shared" ref="EF89:GQ89" ca="1" si="119">IF(EF90&gt;0,EF6,0)</f>
        <v>0</v>
      </c>
      <c r="EG89" s="32">
        <f t="shared" ca="1" si="119"/>
        <v>0</v>
      </c>
      <c r="EH89" s="32">
        <f t="shared" ca="1" si="119"/>
        <v>0</v>
      </c>
      <c r="EI89" s="32">
        <f t="shared" ca="1" si="119"/>
        <v>0</v>
      </c>
      <c r="EJ89" s="32">
        <f t="shared" ca="1" si="119"/>
        <v>0</v>
      </c>
      <c r="EK89" s="32">
        <f t="shared" ca="1" si="119"/>
        <v>0</v>
      </c>
      <c r="EL89" s="32">
        <f t="shared" ca="1" si="119"/>
        <v>0</v>
      </c>
      <c r="EM89" s="32">
        <f t="shared" ca="1" si="119"/>
        <v>0</v>
      </c>
      <c r="EN89" s="32">
        <f t="shared" ca="1" si="119"/>
        <v>0</v>
      </c>
      <c r="EO89" s="32">
        <f t="shared" ca="1" si="119"/>
        <v>0</v>
      </c>
      <c r="EP89" s="32">
        <f t="shared" ca="1" si="119"/>
        <v>0</v>
      </c>
      <c r="EQ89" s="32">
        <f t="shared" ca="1" si="119"/>
        <v>0</v>
      </c>
      <c r="ER89" s="32">
        <f t="shared" ca="1" si="119"/>
        <v>0</v>
      </c>
      <c r="ES89" s="32">
        <f t="shared" ca="1" si="119"/>
        <v>0</v>
      </c>
      <c r="ET89" s="32">
        <f t="shared" ca="1" si="119"/>
        <v>0</v>
      </c>
      <c r="EU89" s="32">
        <f t="shared" ca="1" si="119"/>
        <v>0</v>
      </c>
      <c r="EV89" s="32">
        <f t="shared" ca="1" si="119"/>
        <v>0</v>
      </c>
      <c r="EW89" s="32">
        <f t="shared" ca="1" si="119"/>
        <v>0</v>
      </c>
      <c r="EX89" s="32">
        <f t="shared" ca="1" si="119"/>
        <v>0</v>
      </c>
      <c r="EY89" s="32">
        <f t="shared" ca="1" si="119"/>
        <v>0</v>
      </c>
      <c r="EZ89" s="32">
        <f t="shared" ca="1" si="119"/>
        <v>0</v>
      </c>
      <c r="FA89" s="32">
        <f t="shared" ca="1" si="119"/>
        <v>0</v>
      </c>
      <c r="FB89" s="32">
        <f t="shared" ca="1" si="119"/>
        <v>0</v>
      </c>
      <c r="FC89" s="32">
        <f t="shared" ca="1" si="119"/>
        <v>0</v>
      </c>
      <c r="FD89" s="32">
        <f t="shared" ca="1" si="119"/>
        <v>0</v>
      </c>
      <c r="FE89" s="32">
        <f t="shared" ca="1" si="119"/>
        <v>0</v>
      </c>
      <c r="FF89" s="32">
        <f t="shared" ca="1" si="119"/>
        <v>0</v>
      </c>
      <c r="FG89" s="32">
        <f t="shared" ca="1" si="119"/>
        <v>0</v>
      </c>
      <c r="FH89" s="32">
        <f t="shared" ca="1" si="119"/>
        <v>0</v>
      </c>
      <c r="FI89" s="32">
        <f t="shared" ca="1" si="119"/>
        <v>0</v>
      </c>
      <c r="FJ89" s="32">
        <f t="shared" ca="1" si="119"/>
        <v>0</v>
      </c>
      <c r="FK89" s="32">
        <f t="shared" ca="1" si="119"/>
        <v>0</v>
      </c>
      <c r="FL89" s="32">
        <f t="shared" ca="1" si="119"/>
        <v>0</v>
      </c>
      <c r="FM89" s="32">
        <f t="shared" ca="1" si="119"/>
        <v>0</v>
      </c>
      <c r="FN89" s="32">
        <f t="shared" ca="1" si="119"/>
        <v>0</v>
      </c>
      <c r="FO89" s="32">
        <f t="shared" ca="1" si="119"/>
        <v>0</v>
      </c>
      <c r="FP89" s="32">
        <f t="shared" ca="1" si="119"/>
        <v>0</v>
      </c>
      <c r="FQ89" s="32">
        <f t="shared" ca="1" si="119"/>
        <v>0</v>
      </c>
      <c r="FR89" s="32">
        <f t="shared" ca="1" si="119"/>
        <v>0</v>
      </c>
      <c r="FS89" s="32">
        <f t="shared" ca="1" si="119"/>
        <v>0</v>
      </c>
      <c r="FT89" s="32">
        <f t="shared" ca="1" si="119"/>
        <v>0</v>
      </c>
      <c r="FU89" s="32">
        <f t="shared" ca="1" si="119"/>
        <v>0</v>
      </c>
      <c r="FV89" s="32">
        <f t="shared" ca="1" si="119"/>
        <v>0</v>
      </c>
      <c r="FW89" s="32">
        <f t="shared" ca="1" si="119"/>
        <v>0</v>
      </c>
      <c r="FX89" s="32">
        <f t="shared" ca="1" si="119"/>
        <v>0</v>
      </c>
      <c r="FY89" s="32">
        <f t="shared" ca="1" si="119"/>
        <v>0</v>
      </c>
      <c r="FZ89" s="32">
        <f t="shared" ca="1" si="119"/>
        <v>0</v>
      </c>
      <c r="GA89" s="32">
        <f t="shared" ca="1" si="119"/>
        <v>0</v>
      </c>
      <c r="GB89" s="32">
        <f t="shared" ca="1" si="119"/>
        <v>0</v>
      </c>
      <c r="GC89" s="32">
        <f t="shared" ca="1" si="119"/>
        <v>0</v>
      </c>
      <c r="GD89" s="32">
        <f t="shared" ca="1" si="119"/>
        <v>0</v>
      </c>
      <c r="GE89" s="32">
        <f t="shared" ca="1" si="119"/>
        <v>0</v>
      </c>
      <c r="GF89" s="32">
        <f t="shared" ca="1" si="119"/>
        <v>0</v>
      </c>
      <c r="GG89" s="32">
        <f t="shared" ca="1" si="119"/>
        <v>0</v>
      </c>
      <c r="GH89" s="32">
        <f t="shared" ca="1" si="119"/>
        <v>0</v>
      </c>
      <c r="GI89" s="32">
        <f t="shared" ca="1" si="119"/>
        <v>0</v>
      </c>
      <c r="GJ89" s="32">
        <f t="shared" ca="1" si="119"/>
        <v>0</v>
      </c>
      <c r="GK89" s="32">
        <f t="shared" ca="1" si="119"/>
        <v>0</v>
      </c>
      <c r="GL89" s="32">
        <f t="shared" ca="1" si="119"/>
        <v>0</v>
      </c>
      <c r="GM89" s="32">
        <f t="shared" ca="1" si="119"/>
        <v>0</v>
      </c>
      <c r="GN89" s="32">
        <f t="shared" ca="1" si="119"/>
        <v>0</v>
      </c>
      <c r="GO89" s="32">
        <f t="shared" ca="1" si="119"/>
        <v>0</v>
      </c>
      <c r="GP89" s="32">
        <f t="shared" ca="1" si="119"/>
        <v>0</v>
      </c>
      <c r="GQ89" s="32">
        <f t="shared" ca="1" si="119"/>
        <v>0</v>
      </c>
      <c r="GR89" s="32">
        <f t="shared" ref="GR89:IK89" ca="1" si="120">IF(GR90&gt;0,GR6,0)</f>
        <v>0</v>
      </c>
      <c r="GS89" s="32">
        <f t="shared" ca="1" si="120"/>
        <v>0</v>
      </c>
      <c r="GT89" s="32">
        <f t="shared" ca="1" si="120"/>
        <v>0</v>
      </c>
      <c r="GU89" s="32">
        <f t="shared" ca="1" si="120"/>
        <v>0</v>
      </c>
      <c r="GV89" s="32">
        <f t="shared" ca="1" si="120"/>
        <v>0</v>
      </c>
      <c r="GW89" s="32">
        <f t="shared" ca="1" si="120"/>
        <v>0</v>
      </c>
      <c r="GX89" s="32">
        <f t="shared" ca="1" si="120"/>
        <v>0</v>
      </c>
      <c r="GY89" s="32">
        <f t="shared" ca="1" si="120"/>
        <v>0</v>
      </c>
      <c r="GZ89" s="32">
        <f t="shared" ca="1" si="120"/>
        <v>0</v>
      </c>
      <c r="HA89" s="32">
        <f t="shared" ca="1" si="120"/>
        <v>0</v>
      </c>
      <c r="HB89" s="32">
        <f t="shared" ca="1" si="120"/>
        <v>0</v>
      </c>
      <c r="HC89" s="32">
        <f t="shared" ca="1" si="120"/>
        <v>0</v>
      </c>
      <c r="HD89" s="32">
        <f t="shared" ca="1" si="120"/>
        <v>0</v>
      </c>
      <c r="HE89" s="32">
        <f t="shared" ca="1" si="120"/>
        <v>0</v>
      </c>
      <c r="HF89" s="32">
        <f t="shared" ca="1" si="120"/>
        <v>0</v>
      </c>
      <c r="HG89" s="32">
        <f t="shared" ca="1" si="120"/>
        <v>0</v>
      </c>
      <c r="HH89" s="32">
        <f t="shared" ca="1" si="120"/>
        <v>0</v>
      </c>
      <c r="HI89" s="32">
        <f t="shared" ca="1" si="120"/>
        <v>0</v>
      </c>
      <c r="HJ89" s="32">
        <f t="shared" ca="1" si="120"/>
        <v>0</v>
      </c>
      <c r="HK89" s="32">
        <f t="shared" ca="1" si="120"/>
        <v>0</v>
      </c>
      <c r="HL89" s="32">
        <f t="shared" ca="1" si="120"/>
        <v>0</v>
      </c>
      <c r="HM89" s="32">
        <f t="shared" ca="1" si="120"/>
        <v>0</v>
      </c>
      <c r="HN89" s="32">
        <f t="shared" ca="1" si="120"/>
        <v>0</v>
      </c>
      <c r="HO89" s="32">
        <f t="shared" ca="1" si="120"/>
        <v>0</v>
      </c>
      <c r="HP89" s="32">
        <f t="shared" ca="1" si="120"/>
        <v>0</v>
      </c>
      <c r="HQ89" s="32">
        <f t="shared" ca="1" si="120"/>
        <v>0</v>
      </c>
      <c r="HR89" s="32">
        <f t="shared" ca="1" si="120"/>
        <v>0</v>
      </c>
      <c r="HS89" s="32">
        <f t="shared" ca="1" si="120"/>
        <v>0</v>
      </c>
      <c r="HT89" s="32">
        <f t="shared" ca="1" si="120"/>
        <v>0</v>
      </c>
      <c r="HU89" s="32">
        <f t="shared" ca="1" si="120"/>
        <v>0</v>
      </c>
      <c r="HV89" s="32">
        <f t="shared" ca="1" si="120"/>
        <v>0</v>
      </c>
      <c r="HW89" s="32">
        <f t="shared" ca="1" si="120"/>
        <v>0</v>
      </c>
      <c r="HX89" s="32">
        <f t="shared" ca="1" si="120"/>
        <v>0</v>
      </c>
      <c r="HY89" s="32">
        <f t="shared" ca="1" si="120"/>
        <v>0</v>
      </c>
      <c r="HZ89" s="32">
        <f t="shared" ca="1" si="120"/>
        <v>0</v>
      </c>
      <c r="IA89" s="32">
        <f t="shared" ca="1" si="120"/>
        <v>0</v>
      </c>
      <c r="IB89" s="32">
        <f t="shared" ca="1" si="120"/>
        <v>0</v>
      </c>
      <c r="IC89" s="32">
        <f t="shared" ca="1" si="120"/>
        <v>0</v>
      </c>
      <c r="ID89" s="32">
        <f t="shared" ca="1" si="120"/>
        <v>0</v>
      </c>
      <c r="IE89" s="32">
        <f t="shared" ca="1" si="120"/>
        <v>0</v>
      </c>
      <c r="IF89" s="32">
        <f t="shared" ca="1" si="120"/>
        <v>0</v>
      </c>
      <c r="IG89" s="32">
        <f t="shared" ca="1" si="120"/>
        <v>0</v>
      </c>
      <c r="IH89" s="32">
        <f t="shared" ca="1" si="120"/>
        <v>0</v>
      </c>
      <c r="II89" s="32">
        <f t="shared" ca="1" si="120"/>
        <v>0</v>
      </c>
      <c r="IJ89" s="32">
        <f t="shared" ca="1" si="120"/>
        <v>0</v>
      </c>
      <c r="IK89" s="32">
        <f t="shared" ca="1" si="120"/>
        <v>0</v>
      </c>
    </row>
    <row r="90" spans="1:245" hidden="1" x14ac:dyDescent="0.35">
      <c r="A90" s="195">
        <f>IF(B90=0,0,"XXX")</f>
        <v>0</v>
      </c>
      <c r="B90" s="5"/>
      <c r="C90" s="627" t="s">
        <v>1602</v>
      </c>
      <c r="D90">
        <f ca="1">ROUNDDOWN(((CÁLCULOS!$J$362+CÁLCULOS!$J$363+CÁLCULOS!$J$364+CÁLCULOS!$J$412+CÁLCULOS!$J$413+CÁLCULOS!$J$414)/5.5*7)/ENTRADAS!$F$22,0)</f>
        <v>8</v>
      </c>
      <c r="H90" s="32">
        <f ca="1">IF(SUM(H48:H83)&gt;0,100,0)</f>
        <v>0</v>
      </c>
      <c r="I90" s="32">
        <f t="shared" ref="I90:BT90" ca="1" si="121">IF(SUM(I48:I83)&gt;0,100,0)</f>
        <v>0</v>
      </c>
      <c r="J90" s="32">
        <f t="shared" ca="1" si="121"/>
        <v>0</v>
      </c>
      <c r="K90" s="32">
        <f t="shared" ca="1" si="121"/>
        <v>0</v>
      </c>
      <c r="L90" s="32">
        <f t="shared" ca="1" si="121"/>
        <v>0</v>
      </c>
      <c r="M90" s="32">
        <f t="shared" ca="1" si="121"/>
        <v>100</v>
      </c>
      <c r="N90" s="32">
        <f t="shared" ca="1" si="121"/>
        <v>100</v>
      </c>
      <c r="O90" s="32">
        <f t="shared" ca="1" si="121"/>
        <v>100</v>
      </c>
      <c r="P90" s="32">
        <f t="shared" ca="1" si="121"/>
        <v>100</v>
      </c>
      <c r="Q90" s="32">
        <f t="shared" ca="1" si="121"/>
        <v>100</v>
      </c>
      <c r="R90" s="32">
        <f t="shared" ca="1" si="121"/>
        <v>100</v>
      </c>
      <c r="S90" s="32">
        <f t="shared" ca="1" si="121"/>
        <v>100</v>
      </c>
      <c r="T90" s="32">
        <f t="shared" ca="1" si="121"/>
        <v>100</v>
      </c>
      <c r="U90" s="32">
        <f t="shared" ca="1" si="121"/>
        <v>100</v>
      </c>
      <c r="V90" s="32">
        <f t="shared" ca="1" si="121"/>
        <v>100</v>
      </c>
      <c r="W90" s="32">
        <f t="shared" ca="1" si="121"/>
        <v>100</v>
      </c>
      <c r="X90" s="32">
        <f t="shared" ca="1" si="121"/>
        <v>100</v>
      </c>
      <c r="Y90" s="32">
        <f t="shared" ca="1" si="121"/>
        <v>100</v>
      </c>
      <c r="Z90" s="32">
        <f t="shared" ca="1" si="121"/>
        <v>100</v>
      </c>
      <c r="AA90" s="32">
        <f t="shared" ca="1" si="121"/>
        <v>100</v>
      </c>
      <c r="AB90" s="32">
        <f t="shared" ca="1" si="121"/>
        <v>100</v>
      </c>
      <c r="AC90" s="32">
        <f t="shared" ca="1" si="121"/>
        <v>100</v>
      </c>
      <c r="AD90" s="32">
        <f t="shared" ca="1" si="121"/>
        <v>100</v>
      </c>
      <c r="AE90" s="32">
        <f t="shared" ca="1" si="121"/>
        <v>100</v>
      </c>
      <c r="AF90" s="32">
        <f t="shared" ca="1" si="121"/>
        <v>100</v>
      </c>
      <c r="AG90" s="32">
        <f t="shared" ca="1" si="121"/>
        <v>100</v>
      </c>
      <c r="AH90" s="32">
        <f t="shared" ca="1" si="121"/>
        <v>100</v>
      </c>
      <c r="AI90" s="32">
        <f t="shared" ca="1" si="121"/>
        <v>100</v>
      </c>
      <c r="AJ90" s="32">
        <f t="shared" ca="1" si="121"/>
        <v>100</v>
      </c>
      <c r="AK90" s="32">
        <f t="shared" ca="1" si="121"/>
        <v>100</v>
      </c>
      <c r="AL90" s="32">
        <f t="shared" ca="1" si="121"/>
        <v>100</v>
      </c>
      <c r="AM90" s="32">
        <f t="shared" ca="1" si="121"/>
        <v>100</v>
      </c>
      <c r="AN90" s="32">
        <f t="shared" ca="1" si="121"/>
        <v>100</v>
      </c>
      <c r="AO90" s="32">
        <f t="shared" ca="1" si="121"/>
        <v>100</v>
      </c>
      <c r="AP90" s="32">
        <f t="shared" ca="1" si="121"/>
        <v>100</v>
      </c>
      <c r="AQ90" s="32">
        <f t="shared" ca="1" si="121"/>
        <v>100</v>
      </c>
      <c r="AR90" s="32">
        <f t="shared" ca="1" si="121"/>
        <v>100</v>
      </c>
      <c r="AS90" s="32">
        <f t="shared" ca="1" si="121"/>
        <v>100</v>
      </c>
      <c r="AT90" s="32">
        <f t="shared" ca="1" si="121"/>
        <v>100</v>
      </c>
      <c r="AU90" s="32">
        <f t="shared" ca="1" si="121"/>
        <v>100</v>
      </c>
      <c r="AV90" s="32">
        <f t="shared" ca="1" si="121"/>
        <v>100</v>
      </c>
      <c r="AW90" s="32">
        <f t="shared" ca="1" si="121"/>
        <v>100</v>
      </c>
      <c r="AX90" s="32">
        <f t="shared" ca="1" si="121"/>
        <v>100</v>
      </c>
      <c r="AY90" s="32">
        <f t="shared" ca="1" si="121"/>
        <v>100</v>
      </c>
      <c r="AZ90" s="32">
        <f t="shared" ca="1" si="121"/>
        <v>100</v>
      </c>
      <c r="BA90" s="32">
        <f t="shared" ca="1" si="121"/>
        <v>100</v>
      </c>
      <c r="BB90" s="32">
        <f t="shared" ca="1" si="121"/>
        <v>100</v>
      </c>
      <c r="BC90" s="32">
        <f t="shared" ca="1" si="121"/>
        <v>100</v>
      </c>
      <c r="BD90" s="32">
        <f t="shared" ca="1" si="121"/>
        <v>100</v>
      </c>
      <c r="BE90" s="32">
        <f t="shared" ca="1" si="121"/>
        <v>100</v>
      </c>
      <c r="BF90" s="32">
        <f t="shared" ca="1" si="121"/>
        <v>100</v>
      </c>
      <c r="BG90" s="32">
        <f t="shared" ca="1" si="121"/>
        <v>100</v>
      </c>
      <c r="BH90" s="32">
        <f t="shared" ca="1" si="121"/>
        <v>100</v>
      </c>
      <c r="BI90" s="32">
        <f t="shared" ca="1" si="121"/>
        <v>100</v>
      </c>
      <c r="BJ90" s="32">
        <f t="shared" ca="1" si="121"/>
        <v>100</v>
      </c>
      <c r="BK90" s="32">
        <f t="shared" ca="1" si="121"/>
        <v>100</v>
      </c>
      <c r="BL90" s="32">
        <f t="shared" ca="1" si="121"/>
        <v>100</v>
      </c>
      <c r="BM90" s="32">
        <f t="shared" ca="1" si="121"/>
        <v>100</v>
      </c>
      <c r="BN90" s="32">
        <f t="shared" ca="1" si="121"/>
        <v>100</v>
      </c>
      <c r="BO90" s="32">
        <f t="shared" ca="1" si="121"/>
        <v>100</v>
      </c>
      <c r="BP90" s="32">
        <f t="shared" ca="1" si="121"/>
        <v>0</v>
      </c>
      <c r="BQ90" s="32">
        <f t="shared" ca="1" si="121"/>
        <v>0</v>
      </c>
      <c r="BR90" s="32">
        <f t="shared" ca="1" si="121"/>
        <v>0</v>
      </c>
      <c r="BS90" s="32">
        <f t="shared" ca="1" si="121"/>
        <v>0</v>
      </c>
      <c r="BT90" s="32">
        <f t="shared" ca="1" si="121"/>
        <v>0</v>
      </c>
      <c r="BU90" s="32">
        <f t="shared" ref="BU90:EF90" ca="1" si="122">IF(SUM(BU48:BU83)&gt;0,100,0)</f>
        <v>0</v>
      </c>
      <c r="BV90" s="32">
        <f t="shared" ca="1" si="122"/>
        <v>0</v>
      </c>
      <c r="BW90" s="32">
        <f t="shared" ca="1" si="122"/>
        <v>0</v>
      </c>
      <c r="BX90" s="32">
        <f t="shared" ca="1" si="122"/>
        <v>0</v>
      </c>
      <c r="BY90" s="32">
        <f t="shared" ca="1" si="122"/>
        <v>0</v>
      </c>
      <c r="BZ90" s="32">
        <f t="shared" ca="1" si="122"/>
        <v>0</v>
      </c>
      <c r="CA90" s="32">
        <f t="shared" ca="1" si="122"/>
        <v>0</v>
      </c>
      <c r="CB90" s="32">
        <f t="shared" ca="1" si="122"/>
        <v>0</v>
      </c>
      <c r="CC90" s="32">
        <f t="shared" ca="1" si="122"/>
        <v>0</v>
      </c>
      <c r="CD90" s="32">
        <f t="shared" ca="1" si="122"/>
        <v>0</v>
      </c>
      <c r="CE90" s="32">
        <f t="shared" ca="1" si="122"/>
        <v>0</v>
      </c>
      <c r="CF90" s="32">
        <f t="shared" ca="1" si="122"/>
        <v>0</v>
      </c>
      <c r="CG90" s="32">
        <f t="shared" ca="1" si="122"/>
        <v>0</v>
      </c>
      <c r="CH90" s="32">
        <f t="shared" ca="1" si="122"/>
        <v>0</v>
      </c>
      <c r="CI90" s="32">
        <f t="shared" ca="1" si="122"/>
        <v>0</v>
      </c>
      <c r="CJ90" s="32">
        <f t="shared" ca="1" si="122"/>
        <v>0</v>
      </c>
      <c r="CK90" s="32">
        <f t="shared" ca="1" si="122"/>
        <v>0</v>
      </c>
      <c r="CL90" s="32">
        <f t="shared" ca="1" si="122"/>
        <v>0</v>
      </c>
      <c r="CM90" s="32">
        <f t="shared" ca="1" si="122"/>
        <v>0</v>
      </c>
      <c r="CN90" s="32">
        <f t="shared" ca="1" si="122"/>
        <v>0</v>
      </c>
      <c r="CO90" s="32">
        <f t="shared" ca="1" si="122"/>
        <v>0</v>
      </c>
      <c r="CP90" s="32">
        <f t="shared" ca="1" si="122"/>
        <v>0</v>
      </c>
      <c r="CQ90" s="32">
        <f t="shared" ca="1" si="122"/>
        <v>0</v>
      </c>
      <c r="CR90" s="32">
        <f t="shared" ca="1" si="122"/>
        <v>0</v>
      </c>
      <c r="CS90" s="32">
        <f t="shared" ca="1" si="122"/>
        <v>0</v>
      </c>
      <c r="CT90" s="32">
        <f t="shared" ca="1" si="122"/>
        <v>0</v>
      </c>
      <c r="CU90" s="32">
        <f t="shared" ca="1" si="122"/>
        <v>0</v>
      </c>
      <c r="CV90" s="32">
        <f t="shared" ca="1" si="122"/>
        <v>0</v>
      </c>
      <c r="CW90" s="32">
        <f t="shared" ca="1" si="122"/>
        <v>0</v>
      </c>
      <c r="CX90" s="32">
        <f t="shared" ca="1" si="122"/>
        <v>0</v>
      </c>
      <c r="CY90" s="32">
        <f t="shared" ca="1" si="122"/>
        <v>0</v>
      </c>
      <c r="CZ90" s="32">
        <f t="shared" ca="1" si="122"/>
        <v>0</v>
      </c>
      <c r="DA90" s="32">
        <f t="shared" ca="1" si="122"/>
        <v>0</v>
      </c>
      <c r="DB90" s="32">
        <f t="shared" ca="1" si="122"/>
        <v>0</v>
      </c>
      <c r="DC90" s="32">
        <f t="shared" ca="1" si="122"/>
        <v>0</v>
      </c>
      <c r="DD90" s="32">
        <f t="shared" ca="1" si="122"/>
        <v>0</v>
      </c>
      <c r="DE90" s="32">
        <f t="shared" ca="1" si="122"/>
        <v>0</v>
      </c>
      <c r="DF90" s="32">
        <f t="shared" ca="1" si="122"/>
        <v>0</v>
      </c>
      <c r="DG90" s="32">
        <f t="shared" ca="1" si="122"/>
        <v>0</v>
      </c>
      <c r="DH90" s="32">
        <f t="shared" ca="1" si="122"/>
        <v>0</v>
      </c>
      <c r="DI90" s="32">
        <f t="shared" ca="1" si="122"/>
        <v>0</v>
      </c>
      <c r="DJ90" s="32">
        <f t="shared" ca="1" si="122"/>
        <v>0</v>
      </c>
      <c r="DK90" s="32">
        <f t="shared" ca="1" si="122"/>
        <v>0</v>
      </c>
      <c r="DL90" s="32">
        <f t="shared" ca="1" si="122"/>
        <v>0</v>
      </c>
      <c r="DM90" s="32">
        <f t="shared" ca="1" si="122"/>
        <v>0</v>
      </c>
      <c r="DN90" s="32">
        <f t="shared" ca="1" si="122"/>
        <v>0</v>
      </c>
      <c r="DO90" s="32">
        <f t="shared" ca="1" si="122"/>
        <v>0</v>
      </c>
      <c r="DP90" s="32">
        <f t="shared" ca="1" si="122"/>
        <v>0</v>
      </c>
      <c r="DQ90" s="32">
        <f t="shared" ca="1" si="122"/>
        <v>0</v>
      </c>
      <c r="DR90" s="32">
        <f t="shared" ca="1" si="122"/>
        <v>0</v>
      </c>
      <c r="DS90" s="32">
        <f t="shared" ca="1" si="122"/>
        <v>0</v>
      </c>
      <c r="DT90" s="32">
        <f t="shared" ca="1" si="122"/>
        <v>0</v>
      </c>
      <c r="DU90" s="32">
        <f t="shared" ca="1" si="122"/>
        <v>0</v>
      </c>
      <c r="DV90" s="32">
        <f t="shared" ca="1" si="122"/>
        <v>0</v>
      </c>
      <c r="DW90" s="32">
        <f t="shared" ca="1" si="122"/>
        <v>0</v>
      </c>
      <c r="DX90" s="32">
        <f t="shared" ca="1" si="122"/>
        <v>0</v>
      </c>
      <c r="DY90" s="32">
        <f t="shared" ca="1" si="122"/>
        <v>0</v>
      </c>
      <c r="DZ90" s="32">
        <f t="shared" ca="1" si="122"/>
        <v>0</v>
      </c>
      <c r="EA90" s="32">
        <f t="shared" ca="1" si="122"/>
        <v>0</v>
      </c>
      <c r="EB90" s="32">
        <f t="shared" ca="1" si="122"/>
        <v>0</v>
      </c>
      <c r="EC90" s="32">
        <f t="shared" ca="1" si="122"/>
        <v>0</v>
      </c>
      <c r="ED90" s="32">
        <f t="shared" ca="1" si="122"/>
        <v>0</v>
      </c>
      <c r="EE90" s="32">
        <f t="shared" ca="1" si="122"/>
        <v>0</v>
      </c>
      <c r="EF90" s="32">
        <f t="shared" ca="1" si="122"/>
        <v>0</v>
      </c>
      <c r="EG90" s="32">
        <f t="shared" ref="EG90:GR90" ca="1" si="123">IF(SUM(EG48:EG83)&gt;0,100,0)</f>
        <v>0</v>
      </c>
      <c r="EH90" s="32">
        <f t="shared" ca="1" si="123"/>
        <v>0</v>
      </c>
      <c r="EI90" s="32">
        <f t="shared" ca="1" si="123"/>
        <v>0</v>
      </c>
      <c r="EJ90" s="32">
        <f t="shared" ca="1" si="123"/>
        <v>0</v>
      </c>
      <c r="EK90" s="32">
        <f t="shared" ca="1" si="123"/>
        <v>0</v>
      </c>
      <c r="EL90" s="32">
        <f t="shared" ca="1" si="123"/>
        <v>0</v>
      </c>
      <c r="EM90" s="32">
        <f t="shared" ca="1" si="123"/>
        <v>0</v>
      </c>
      <c r="EN90" s="32">
        <f t="shared" ca="1" si="123"/>
        <v>0</v>
      </c>
      <c r="EO90" s="32">
        <f t="shared" ca="1" si="123"/>
        <v>0</v>
      </c>
      <c r="EP90" s="32">
        <f t="shared" ca="1" si="123"/>
        <v>0</v>
      </c>
      <c r="EQ90" s="32">
        <f t="shared" ca="1" si="123"/>
        <v>0</v>
      </c>
      <c r="ER90" s="32">
        <f t="shared" ca="1" si="123"/>
        <v>0</v>
      </c>
      <c r="ES90" s="32">
        <f t="shared" ca="1" si="123"/>
        <v>0</v>
      </c>
      <c r="ET90" s="32">
        <f t="shared" ca="1" si="123"/>
        <v>0</v>
      </c>
      <c r="EU90" s="32">
        <f t="shared" ca="1" si="123"/>
        <v>0</v>
      </c>
      <c r="EV90" s="32">
        <f t="shared" ca="1" si="123"/>
        <v>0</v>
      </c>
      <c r="EW90" s="32">
        <f t="shared" ca="1" si="123"/>
        <v>0</v>
      </c>
      <c r="EX90" s="32">
        <f t="shared" ca="1" si="123"/>
        <v>0</v>
      </c>
      <c r="EY90" s="32">
        <f t="shared" ca="1" si="123"/>
        <v>0</v>
      </c>
      <c r="EZ90" s="32">
        <f t="shared" ca="1" si="123"/>
        <v>0</v>
      </c>
      <c r="FA90" s="32">
        <f t="shared" ca="1" si="123"/>
        <v>0</v>
      </c>
      <c r="FB90" s="32">
        <f t="shared" ca="1" si="123"/>
        <v>0</v>
      </c>
      <c r="FC90" s="32">
        <f t="shared" ca="1" si="123"/>
        <v>0</v>
      </c>
      <c r="FD90" s="32">
        <f t="shared" ca="1" si="123"/>
        <v>0</v>
      </c>
      <c r="FE90" s="32">
        <f t="shared" ca="1" si="123"/>
        <v>0</v>
      </c>
      <c r="FF90" s="32">
        <f t="shared" ca="1" si="123"/>
        <v>0</v>
      </c>
      <c r="FG90" s="32">
        <f t="shared" ca="1" si="123"/>
        <v>0</v>
      </c>
      <c r="FH90" s="32">
        <f t="shared" ca="1" si="123"/>
        <v>0</v>
      </c>
      <c r="FI90" s="32">
        <f t="shared" ca="1" si="123"/>
        <v>0</v>
      </c>
      <c r="FJ90" s="32">
        <f t="shared" ca="1" si="123"/>
        <v>0</v>
      </c>
      <c r="FK90" s="32">
        <f t="shared" ca="1" si="123"/>
        <v>0</v>
      </c>
      <c r="FL90" s="32">
        <f t="shared" ca="1" si="123"/>
        <v>0</v>
      </c>
      <c r="FM90" s="32">
        <f t="shared" ca="1" si="123"/>
        <v>0</v>
      </c>
      <c r="FN90" s="32">
        <f t="shared" ca="1" si="123"/>
        <v>0</v>
      </c>
      <c r="FO90" s="32">
        <f t="shared" ca="1" si="123"/>
        <v>0</v>
      </c>
      <c r="FP90" s="32">
        <f t="shared" ca="1" si="123"/>
        <v>0</v>
      </c>
      <c r="FQ90" s="32">
        <f t="shared" ca="1" si="123"/>
        <v>0</v>
      </c>
      <c r="FR90" s="32">
        <f t="shared" ca="1" si="123"/>
        <v>0</v>
      </c>
      <c r="FS90" s="32">
        <f t="shared" ca="1" si="123"/>
        <v>0</v>
      </c>
      <c r="FT90" s="32">
        <f t="shared" ca="1" si="123"/>
        <v>0</v>
      </c>
      <c r="FU90" s="32">
        <f t="shared" ca="1" si="123"/>
        <v>0</v>
      </c>
      <c r="FV90" s="32">
        <f t="shared" ca="1" si="123"/>
        <v>0</v>
      </c>
      <c r="FW90" s="32">
        <f t="shared" ca="1" si="123"/>
        <v>0</v>
      </c>
      <c r="FX90" s="32">
        <f t="shared" ca="1" si="123"/>
        <v>0</v>
      </c>
      <c r="FY90" s="32">
        <f t="shared" ca="1" si="123"/>
        <v>0</v>
      </c>
      <c r="FZ90" s="32">
        <f t="shared" ca="1" si="123"/>
        <v>0</v>
      </c>
      <c r="GA90" s="32">
        <f t="shared" ca="1" si="123"/>
        <v>0</v>
      </c>
      <c r="GB90" s="32">
        <f t="shared" ca="1" si="123"/>
        <v>0</v>
      </c>
      <c r="GC90" s="32">
        <f t="shared" ca="1" si="123"/>
        <v>0</v>
      </c>
      <c r="GD90" s="32">
        <f t="shared" ca="1" si="123"/>
        <v>0</v>
      </c>
      <c r="GE90" s="32">
        <f t="shared" ca="1" si="123"/>
        <v>0</v>
      </c>
      <c r="GF90" s="32">
        <f t="shared" ca="1" si="123"/>
        <v>0</v>
      </c>
      <c r="GG90" s="32">
        <f t="shared" ca="1" si="123"/>
        <v>0</v>
      </c>
      <c r="GH90" s="32">
        <f t="shared" ca="1" si="123"/>
        <v>0</v>
      </c>
      <c r="GI90" s="32">
        <f t="shared" ca="1" si="123"/>
        <v>0</v>
      </c>
      <c r="GJ90" s="32">
        <f t="shared" ca="1" si="123"/>
        <v>0</v>
      </c>
      <c r="GK90" s="32">
        <f t="shared" ca="1" si="123"/>
        <v>0</v>
      </c>
      <c r="GL90" s="32">
        <f t="shared" ca="1" si="123"/>
        <v>0</v>
      </c>
      <c r="GM90" s="32">
        <f t="shared" ca="1" si="123"/>
        <v>0</v>
      </c>
      <c r="GN90" s="32">
        <f t="shared" ca="1" si="123"/>
        <v>0</v>
      </c>
      <c r="GO90" s="32">
        <f t="shared" ca="1" si="123"/>
        <v>0</v>
      </c>
      <c r="GP90" s="32">
        <f t="shared" ca="1" si="123"/>
        <v>0</v>
      </c>
      <c r="GQ90" s="32">
        <f t="shared" ca="1" si="123"/>
        <v>0</v>
      </c>
      <c r="GR90" s="32">
        <f t="shared" ca="1" si="123"/>
        <v>0</v>
      </c>
      <c r="GS90" s="32">
        <f t="shared" ref="GS90:IK90" ca="1" si="124">IF(SUM(GS48:GS83)&gt;0,100,0)</f>
        <v>0</v>
      </c>
      <c r="GT90" s="32">
        <f t="shared" ca="1" si="124"/>
        <v>0</v>
      </c>
      <c r="GU90" s="32">
        <f t="shared" ca="1" si="124"/>
        <v>0</v>
      </c>
      <c r="GV90" s="32">
        <f t="shared" ca="1" si="124"/>
        <v>0</v>
      </c>
      <c r="GW90" s="32">
        <f t="shared" ca="1" si="124"/>
        <v>0</v>
      </c>
      <c r="GX90" s="32">
        <f t="shared" ca="1" si="124"/>
        <v>0</v>
      </c>
      <c r="GY90" s="32">
        <f t="shared" ca="1" si="124"/>
        <v>0</v>
      </c>
      <c r="GZ90" s="32">
        <f t="shared" ca="1" si="124"/>
        <v>0</v>
      </c>
      <c r="HA90" s="32">
        <f t="shared" ca="1" si="124"/>
        <v>0</v>
      </c>
      <c r="HB90" s="32">
        <f t="shared" ca="1" si="124"/>
        <v>0</v>
      </c>
      <c r="HC90" s="32">
        <f t="shared" ca="1" si="124"/>
        <v>0</v>
      </c>
      <c r="HD90" s="32">
        <f t="shared" ca="1" si="124"/>
        <v>0</v>
      </c>
      <c r="HE90" s="32">
        <f t="shared" ca="1" si="124"/>
        <v>0</v>
      </c>
      <c r="HF90" s="32">
        <f t="shared" ca="1" si="124"/>
        <v>0</v>
      </c>
      <c r="HG90" s="32">
        <f t="shared" ca="1" si="124"/>
        <v>0</v>
      </c>
      <c r="HH90" s="32">
        <f t="shared" ca="1" si="124"/>
        <v>0</v>
      </c>
      <c r="HI90" s="32">
        <f t="shared" ca="1" si="124"/>
        <v>0</v>
      </c>
      <c r="HJ90" s="32">
        <f t="shared" ca="1" si="124"/>
        <v>0</v>
      </c>
      <c r="HK90" s="32">
        <f t="shared" ca="1" si="124"/>
        <v>0</v>
      </c>
      <c r="HL90" s="32">
        <f t="shared" ca="1" si="124"/>
        <v>0</v>
      </c>
      <c r="HM90" s="32">
        <f t="shared" ca="1" si="124"/>
        <v>0</v>
      </c>
      <c r="HN90" s="32">
        <f t="shared" ca="1" si="124"/>
        <v>0</v>
      </c>
      <c r="HO90" s="32">
        <f t="shared" ca="1" si="124"/>
        <v>0</v>
      </c>
      <c r="HP90" s="32">
        <f t="shared" ca="1" si="124"/>
        <v>0</v>
      </c>
      <c r="HQ90" s="32">
        <f t="shared" ca="1" si="124"/>
        <v>0</v>
      </c>
      <c r="HR90" s="32">
        <f t="shared" ca="1" si="124"/>
        <v>0</v>
      </c>
      <c r="HS90" s="32">
        <f t="shared" ca="1" si="124"/>
        <v>0</v>
      </c>
      <c r="HT90" s="32">
        <f t="shared" ca="1" si="124"/>
        <v>0</v>
      </c>
      <c r="HU90" s="32">
        <f t="shared" ca="1" si="124"/>
        <v>0</v>
      </c>
      <c r="HV90" s="32">
        <f t="shared" ca="1" si="124"/>
        <v>0</v>
      </c>
      <c r="HW90" s="32">
        <f t="shared" ca="1" si="124"/>
        <v>0</v>
      </c>
      <c r="HX90" s="32">
        <f t="shared" ca="1" si="124"/>
        <v>0</v>
      </c>
      <c r="HY90" s="32">
        <f t="shared" ca="1" si="124"/>
        <v>0</v>
      </c>
      <c r="HZ90" s="32">
        <f t="shared" ca="1" si="124"/>
        <v>0</v>
      </c>
      <c r="IA90" s="32">
        <f t="shared" ca="1" si="124"/>
        <v>0</v>
      </c>
      <c r="IB90" s="32">
        <f t="shared" ca="1" si="124"/>
        <v>0</v>
      </c>
      <c r="IC90" s="32">
        <f t="shared" ca="1" si="124"/>
        <v>0</v>
      </c>
      <c r="ID90" s="32">
        <f t="shared" ca="1" si="124"/>
        <v>0</v>
      </c>
      <c r="IE90" s="32">
        <f t="shared" ca="1" si="124"/>
        <v>0</v>
      </c>
      <c r="IF90" s="32">
        <f t="shared" ca="1" si="124"/>
        <v>0</v>
      </c>
      <c r="IG90" s="32">
        <f t="shared" ca="1" si="124"/>
        <v>0</v>
      </c>
      <c r="IH90" s="32">
        <f t="shared" ca="1" si="124"/>
        <v>0</v>
      </c>
      <c r="II90" s="32">
        <f t="shared" ca="1" si="124"/>
        <v>0</v>
      </c>
      <c r="IJ90" s="32">
        <f t="shared" ca="1" si="124"/>
        <v>0</v>
      </c>
      <c r="IK90" s="32">
        <f t="shared" ca="1" si="124"/>
        <v>0</v>
      </c>
    </row>
    <row r="91" spans="1:245" hidden="1" x14ac:dyDescent="0.35">
      <c r="A91" s="195">
        <f>IF(B91=0,0,"XXX")</f>
        <v>0</v>
      </c>
      <c r="B91" s="463"/>
      <c r="G91" s="450"/>
    </row>
    <row r="92" spans="1:245" s="195" customFormat="1" hidden="1" x14ac:dyDescent="0.35">
      <c r="B92" s="463"/>
      <c r="C92"/>
      <c r="D92" s="461"/>
      <c r="E92" s="462"/>
      <c r="F92" s="362"/>
      <c r="G92" s="363"/>
      <c r="H92" s="350">
        <f>H6</f>
        <v>1000</v>
      </c>
      <c r="I92" s="350">
        <f t="shared" ref="I92:BT92" si="125">I6</f>
        <v>1000</v>
      </c>
      <c r="J92" s="350">
        <f t="shared" si="125"/>
        <v>1000</v>
      </c>
      <c r="K92" s="350">
        <f t="shared" si="125"/>
        <v>1000</v>
      </c>
      <c r="L92" s="350">
        <f t="shared" si="125"/>
        <v>1000</v>
      </c>
      <c r="M92" s="350">
        <f t="shared" si="125"/>
        <v>1</v>
      </c>
      <c r="N92" s="350">
        <f t="shared" si="125"/>
        <v>2</v>
      </c>
      <c r="O92" s="350">
        <f t="shared" si="125"/>
        <v>3</v>
      </c>
      <c r="P92" s="350">
        <f t="shared" si="125"/>
        <v>4</v>
      </c>
      <c r="Q92" s="350">
        <f t="shared" si="125"/>
        <v>5</v>
      </c>
      <c r="R92" s="350">
        <f t="shared" si="125"/>
        <v>6</v>
      </c>
      <c r="S92" s="350">
        <f t="shared" si="125"/>
        <v>7</v>
      </c>
      <c r="T92" s="350">
        <f t="shared" si="125"/>
        <v>8</v>
      </c>
      <c r="U92" s="350">
        <f t="shared" si="125"/>
        <v>9</v>
      </c>
      <c r="V92" s="350">
        <f t="shared" si="125"/>
        <v>10</v>
      </c>
      <c r="W92" s="350">
        <f t="shared" si="125"/>
        <v>11</v>
      </c>
      <c r="X92" s="350">
        <f t="shared" si="125"/>
        <v>12</v>
      </c>
      <c r="Y92" s="350">
        <f t="shared" si="125"/>
        <v>13</v>
      </c>
      <c r="Z92" s="350">
        <f t="shared" si="125"/>
        <v>14</v>
      </c>
      <c r="AA92" s="350">
        <f t="shared" si="125"/>
        <v>15</v>
      </c>
      <c r="AB92" s="350">
        <f t="shared" si="125"/>
        <v>16</v>
      </c>
      <c r="AC92" s="350">
        <f t="shared" si="125"/>
        <v>17</v>
      </c>
      <c r="AD92" s="350">
        <f t="shared" si="125"/>
        <v>18</v>
      </c>
      <c r="AE92" s="350">
        <f t="shared" si="125"/>
        <v>19</v>
      </c>
      <c r="AF92" s="350">
        <f t="shared" si="125"/>
        <v>20</v>
      </c>
      <c r="AG92" s="350">
        <f t="shared" si="125"/>
        <v>21</v>
      </c>
      <c r="AH92" s="350">
        <f t="shared" si="125"/>
        <v>22</v>
      </c>
      <c r="AI92" s="350">
        <f t="shared" si="125"/>
        <v>23</v>
      </c>
      <c r="AJ92" s="350">
        <f t="shared" si="125"/>
        <v>24</v>
      </c>
      <c r="AK92" s="350">
        <f t="shared" si="125"/>
        <v>25</v>
      </c>
      <c r="AL92" s="350">
        <f t="shared" si="125"/>
        <v>26</v>
      </c>
      <c r="AM92" s="350">
        <f t="shared" si="125"/>
        <v>27</v>
      </c>
      <c r="AN92" s="350">
        <f t="shared" si="125"/>
        <v>28</v>
      </c>
      <c r="AO92" s="350">
        <f t="shared" si="125"/>
        <v>29</v>
      </c>
      <c r="AP92" s="350">
        <f t="shared" si="125"/>
        <v>30</v>
      </c>
      <c r="AQ92" s="350">
        <f t="shared" si="125"/>
        <v>31</v>
      </c>
      <c r="AR92" s="350">
        <f t="shared" si="125"/>
        <v>32</v>
      </c>
      <c r="AS92" s="350">
        <f t="shared" si="125"/>
        <v>33</v>
      </c>
      <c r="AT92" s="350">
        <f t="shared" si="125"/>
        <v>34</v>
      </c>
      <c r="AU92" s="350">
        <f t="shared" si="125"/>
        <v>35</v>
      </c>
      <c r="AV92" s="350">
        <f t="shared" si="125"/>
        <v>36</v>
      </c>
      <c r="AW92" s="350">
        <f t="shared" si="125"/>
        <v>37</v>
      </c>
      <c r="AX92" s="350">
        <f t="shared" si="125"/>
        <v>38</v>
      </c>
      <c r="AY92" s="350">
        <f t="shared" si="125"/>
        <v>39</v>
      </c>
      <c r="AZ92" s="350">
        <f t="shared" si="125"/>
        <v>40</v>
      </c>
      <c r="BA92" s="350">
        <f t="shared" si="125"/>
        <v>41</v>
      </c>
      <c r="BB92" s="350">
        <f t="shared" si="125"/>
        <v>42</v>
      </c>
      <c r="BC92" s="350">
        <f t="shared" si="125"/>
        <v>43</v>
      </c>
      <c r="BD92" s="350">
        <f t="shared" si="125"/>
        <v>44</v>
      </c>
      <c r="BE92" s="350">
        <f t="shared" si="125"/>
        <v>45</v>
      </c>
      <c r="BF92" s="350">
        <f t="shared" si="125"/>
        <v>46</v>
      </c>
      <c r="BG92" s="350">
        <f t="shared" si="125"/>
        <v>47</v>
      </c>
      <c r="BH92" s="350">
        <f t="shared" si="125"/>
        <v>48</v>
      </c>
      <c r="BI92" s="350">
        <f t="shared" si="125"/>
        <v>49</v>
      </c>
      <c r="BJ92" s="350">
        <f t="shared" si="125"/>
        <v>50</v>
      </c>
      <c r="BK92" s="350">
        <f t="shared" si="125"/>
        <v>51</v>
      </c>
      <c r="BL92" s="350">
        <f t="shared" si="125"/>
        <v>52</v>
      </c>
      <c r="BM92" s="350">
        <f t="shared" si="125"/>
        <v>53</v>
      </c>
      <c r="BN92" s="350">
        <f t="shared" si="125"/>
        <v>54</v>
      </c>
      <c r="BO92" s="350">
        <f t="shared" si="125"/>
        <v>55</v>
      </c>
      <c r="BP92" s="350">
        <f t="shared" si="125"/>
        <v>56</v>
      </c>
      <c r="BQ92" s="350">
        <f t="shared" si="125"/>
        <v>57</v>
      </c>
      <c r="BR92" s="350">
        <f t="shared" si="125"/>
        <v>58</v>
      </c>
      <c r="BS92" s="350">
        <f t="shared" si="125"/>
        <v>59</v>
      </c>
      <c r="BT92" s="350">
        <f t="shared" si="125"/>
        <v>60</v>
      </c>
      <c r="BU92" s="350">
        <f t="shared" ref="BU92:EF92" si="126">BU6</f>
        <v>61</v>
      </c>
      <c r="BV92" s="350">
        <f t="shared" si="126"/>
        <v>62</v>
      </c>
      <c r="BW92" s="350">
        <f t="shared" si="126"/>
        <v>63</v>
      </c>
      <c r="BX92" s="350">
        <f t="shared" si="126"/>
        <v>64</v>
      </c>
      <c r="BY92" s="350">
        <f t="shared" si="126"/>
        <v>65</v>
      </c>
      <c r="BZ92" s="350">
        <f t="shared" si="126"/>
        <v>66</v>
      </c>
      <c r="CA92" s="350">
        <f t="shared" si="126"/>
        <v>67</v>
      </c>
      <c r="CB92" s="350">
        <f t="shared" si="126"/>
        <v>68</v>
      </c>
      <c r="CC92" s="350">
        <f t="shared" si="126"/>
        <v>69</v>
      </c>
      <c r="CD92" s="350">
        <f t="shared" si="126"/>
        <v>70</v>
      </c>
      <c r="CE92" s="350">
        <f t="shared" si="126"/>
        <v>71</v>
      </c>
      <c r="CF92" s="350">
        <f t="shared" si="126"/>
        <v>72</v>
      </c>
      <c r="CG92" s="350">
        <f t="shared" si="126"/>
        <v>73</v>
      </c>
      <c r="CH92" s="350">
        <f t="shared" si="126"/>
        <v>74</v>
      </c>
      <c r="CI92" s="350">
        <f t="shared" si="126"/>
        <v>75</v>
      </c>
      <c r="CJ92" s="350">
        <f t="shared" si="126"/>
        <v>76</v>
      </c>
      <c r="CK92" s="350">
        <f t="shared" si="126"/>
        <v>77</v>
      </c>
      <c r="CL92" s="350">
        <f t="shared" si="126"/>
        <v>78</v>
      </c>
      <c r="CM92" s="350">
        <f t="shared" si="126"/>
        <v>79</v>
      </c>
      <c r="CN92" s="350">
        <f t="shared" si="126"/>
        <v>80</v>
      </c>
      <c r="CO92" s="350">
        <f t="shared" si="126"/>
        <v>81</v>
      </c>
      <c r="CP92" s="350">
        <f t="shared" si="126"/>
        <v>82</v>
      </c>
      <c r="CQ92" s="350">
        <f t="shared" si="126"/>
        <v>83</v>
      </c>
      <c r="CR92" s="350">
        <f t="shared" si="126"/>
        <v>84</v>
      </c>
      <c r="CS92" s="350">
        <f t="shared" si="126"/>
        <v>85</v>
      </c>
      <c r="CT92" s="350">
        <f t="shared" si="126"/>
        <v>86</v>
      </c>
      <c r="CU92" s="350">
        <f t="shared" si="126"/>
        <v>87</v>
      </c>
      <c r="CV92" s="350">
        <f t="shared" si="126"/>
        <v>88</v>
      </c>
      <c r="CW92" s="350">
        <f t="shared" si="126"/>
        <v>89</v>
      </c>
      <c r="CX92" s="350">
        <f t="shared" si="126"/>
        <v>90</v>
      </c>
      <c r="CY92" s="350">
        <f t="shared" si="126"/>
        <v>91</v>
      </c>
      <c r="CZ92" s="350">
        <f t="shared" si="126"/>
        <v>92</v>
      </c>
      <c r="DA92" s="350">
        <f t="shared" si="126"/>
        <v>93</v>
      </c>
      <c r="DB92" s="350">
        <f t="shared" si="126"/>
        <v>94</v>
      </c>
      <c r="DC92" s="350">
        <f t="shared" si="126"/>
        <v>95</v>
      </c>
      <c r="DD92" s="350">
        <f t="shared" si="126"/>
        <v>96</v>
      </c>
      <c r="DE92" s="350">
        <f t="shared" si="126"/>
        <v>97</v>
      </c>
      <c r="DF92" s="350">
        <f t="shared" si="126"/>
        <v>98</v>
      </c>
      <c r="DG92" s="350">
        <f t="shared" si="126"/>
        <v>99</v>
      </c>
      <c r="DH92" s="350">
        <f t="shared" si="126"/>
        <v>100</v>
      </c>
      <c r="DI92" s="350">
        <f t="shared" si="126"/>
        <v>101</v>
      </c>
      <c r="DJ92" s="350">
        <f t="shared" si="126"/>
        <v>102</v>
      </c>
      <c r="DK92" s="350">
        <f t="shared" si="126"/>
        <v>103</v>
      </c>
      <c r="DL92" s="350">
        <f t="shared" si="126"/>
        <v>104</v>
      </c>
      <c r="DM92" s="350">
        <f t="shared" si="126"/>
        <v>105</v>
      </c>
      <c r="DN92" s="350">
        <f t="shared" si="126"/>
        <v>106</v>
      </c>
      <c r="DO92" s="350">
        <f t="shared" si="126"/>
        <v>107</v>
      </c>
      <c r="DP92" s="350">
        <f t="shared" si="126"/>
        <v>108</v>
      </c>
      <c r="DQ92" s="350">
        <f t="shared" si="126"/>
        <v>109</v>
      </c>
      <c r="DR92" s="350">
        <f t="shared" si="126"/>
        <v>110</v>
      </c>
      <c r="DS92" s="350">
        <f t="shared" si="126"/>
        <v>111</v>
      </c>
      <c r="DT92" s="350">
        <f t="shared" si="126"/>
        <v>112</v>
      </c>
      <c r="DU92" s="350">
        <f t="shared" si="126"/>
        <v>113</v>
      </c>
      <c r="DV92" s="350">
        <f t="shared" si="126"/>
        <v>114</v>
      </c>
      <c r="DW92" s="350">
        <f t="shared" si="126"/>
        <v>115</v>
      </c>
      <c r="DX92" s="350">
        <f t="shared" si="126"/>
        <v>116</v>
      </c>
      <c r="DY92" s="350">
        <f t="shared" si="126"/>
        <v>117</v>
      </c>
      <c r="DZ92" s="350">
        <f t="shared" si="126"/>
        <v>118</v>
      </c>
      <c r="EA92" s="350">
        <f t="shared" si="126"/>
        <v>119</v>
      </c>
      <c r="EB92" s="350">
        <f t="shared" si="126"/>
        <v>120</v>
      </c>
      <c r="EC92" s="350">
        <f t="shared" si="126"/>
        <v>121</v>
      </c>
      <c r="ED92" s="350">
        <f t="shared" si="126"/>
        <v>122</v>
      </c>
      <c r="EE92" s="350">
        <f t="shared" si="126"/>
        <v>123</v>
      </c>
      <c r="EF92" s="350">
        <f t="shared" si="126"/>
        <v>124</v>
      </c>
      <c r="EG92" s="350">
        <f t="shared" ref="EG92:GR92" si="127">EG6</f>
        <v>125</v>
      </c>
      <c r="EH92" s="350">
        <f t="shared" si="127"/>
        <v>126</v>
      </c>
      <c r="EI92" s="350">
        <f t="shared" si="127"/>
        <v>127</v>
      </c>
      <c r="EJ92" s="350">
        <f t="shared" si="127"/>
        <v>128</v>
      </c>
      <c r="EK92" s="350">
        <f t="shared" si="127"/>
        <v>129</v>
      </c>
      <c r="EL92" s="350">
        <f t="shared" si="127"/>
        <v>130</v>
      </c>
      <c r="EM92" s="350">
        <f t="shared" si="127"/>
        <v>131</v>
      </c>
      <c r="EN92" s="350">
        <f t="shared" si="127"/>
        <v>132</v>
      </c>
      <c r="EO92" s="350">
        <f t="shared" si="127"/>
        <v>133</v>
      </c>
      <c r="EP92" s="350">
        <f t="shared" si="127"/>
        <v>134</v>
      </c>
      <c r="EQ92" s="350">
        <f t="shared" si="127"/>
        <v>135</v>
      </c>
      <c r="ER92" s="350">
        <f t="shared" si="127"/>
        <v>136</v>
      </c>
      <c r="ES92" s="350">
        <f t="shared" si="127"/>
        <v>137</v>
      </c>
      <c r="ET92" s="350">
        <f t="shared" si="127"/>
        <v>138</v>
      </c>
      <c r="EU92" s="350">
        <f t="shared" si="127"/>
        <v>139</v>
      </c>
      <c r="EV92" s="350">
        <f t="shared" si="127"/>
        <v>140</v>
      </c>
      <c r="EW92" s="350">
        <f t="shared" si="127"/>
        <v>141</v>
      </c>
      <c r="EX92" s="350">
        <f t="shared" si="127"/>
        <v>142</v>
      </c>
      <c r="EY92" s="350">
        <f t="shared" si="127"/>
        <v>143</v>
      </c>
      <c r="EZ92" s="350">
        <f t="shared" si="127"/>
        <v>144</v>
      </c>
      <c r="FA92" s="350">
        <f t="shared" si="127"/>
        <v>145</v>
      </c>
      <c r="FB92" s="350">
        <f t="shared" si="127"/>
        <v>146</v>
      </c>
      <c r="FC92" s="350">
        <f t="shared" si="127"/>
        <v>147</v>
      </c>
      <c r="FD92" s="350">
        <f t="shared" si="127"/>
        <v>148</v>
      </c>
      <c r="FE92" s="350">
        <f t="shared" si="127"/>
        <v>149</v>
      </c>
      <c r="FF92" s="350">
        <f t="shared" si="127"/>
        <v>150</v>
      </c>
      <c r="FG92" s="350">
        <f t="shared" si="127"/>
        <v>151</v>
      </c>
      <c r="FH92" s="350">
        <f t="shared" si="127"/>
        <v>152</v>
      </c>
      <c r="FI92" s="350">
        <f t="shared" si="127"/>
        <v>153</v>
      </c>
      <c r="FJ92" s="350">
        <f t="shared" si="127"/>
        <v>154</v>
      </c>
      <c r="FK92" s="350">
        <f t="shared" si="127"/>
        <v>155</v>
      </c>
      <c r="FL92" s="350">
        <f t="shared" si="127"/>
        <v>156</v>
      </c>
      <c r="FM92" s="350">
        <f t="shared" si="127"/>
        <v>157</v>
      </c>
      <c r="FN92" s="350">
        <f t="shared" si="127"/>
        <v>158</v>
      </c>
      <c r="FO92" s="350">
        <f t="shared" si="127"/>
        <v>159</v>
      </c>
      <c r="FP92" s="350">
        <f t="shared" si="127"/>
        <v>160</v>
      </c>
      <c r="FQ92" s="350">
        <f t="shared" si="127"/>
        <v>161</v>
      </c>
      <c r="FR92" s="350">
        <f t="shared" si="127"/>
        <v>162</v>
      </c>
      <c r="FS92" s="350">
        <f t="shared" si="127"/>
        <v>163</v>
      </c>
      <c r="FT92" s="350">
        <f t="shared" si="127"/>
        <v>164</v>
      </c>
      <c r="FU92" s="350">
        <f t="shared" si="127"/>
        <v>165</v>
      </c>
      <c r="FV92" s="350">
        <f t="shared" si="127"/>
        <v>166</v>
      </c>
      <c r="FW92" s="350">
        <f t="shared" si="127"/>
        <v>167</v>
      </c>
      <c r="FX92" s="350">
        <f t="shared" si="127"/>
        <v>168</v>
      </c>
      <c r="FY92" s="350">
        <f t="shared" si="127"/>
        <v>169</v>
      </c>
      <c r="FZ92" s="350">
        <f t="shared" si="127"/>
        <v>170</v>
      </c>
      <c r="GA92" s="350">
        <f t="shared" si="127"/>
        <v>171</v>
      </c>
      <c r="GB92" s="350">
        <f t="shared" si="127"/>
        <v>172</v>
      </c>
      <c r="GC92" s="350">
        <f t="shared" si="127"/>
        <v>173</v>
      </c>
      <c r="GD92" s="350">
        <f t="shared" si="127"/>
        <v>174</v>
      </c>
      <c r="GE92" s="350">
        <f t="shared" si="127"/>
        <v>175</v>
      </c>
      <c r="GF92" s="350">
        <f t="shared" si="127"/>
        <v>176</v>
      </c>
      <c r="GG92" s="350">
        <f t="shared" si="127"/>
        <v>177</v>
      </c>
      <c r="GH92" s="350">
        <f t="shared" si="127"/>
        <v>178</v>
      </c>
      <c r="GI92" s="350">
        <f t="shared" si="127"/>
        <v>179</v>
      </c>
      <c r="GJ92" s="350">
        <f t="shared" si="127"/>
        <v>180</v>
      </c>
      <c r="GK92" s="350">
        <f t="shared" si="127"/>
        <v>181</v>
      </c>
      <c r="GL92" s="350">
        <f t="shared" si="127"/>
        <v>182</v>
      </c>
      <c r="GM92" s="350">
        <f t="shared" si="127"/>
        <v>183</v>
      </c>
      <c r="GN92" s="350">
        <f t="shared" si="127"/>
        <v>184</v>
      </c>
      <c r="GO92" s="350">
        <f t="shared" si="127"/>
        <v>185</v>
      </c>
      <c r="GP92" s="350">
        <f t="shared" si="127"/>
        <v>186</v>
      </c>
      <c r="GQ92" s="350">
        <f t="shared" si="127"/>
        <v>187</v>
      </c>
      <c r="GR92" s="350">
        <f t="shared" si="127"/>
        <v>188</v>
      </c>
      <c r="GS92" s="350">
        <f t="shared" ref="GS92:IK92" si="128">GS6</f>
        <v>189</v>
      </c>
      <c r="GT92" s="350">
        <f t="shared" si="128"/>
        <v>190</v>
      </c>
      <c r="GU92" s="350">
        <f t="shared" si="128"/>
        <v>191</v>
      </c>
      <c r="GV92" s="350">
        <f t="shared" si="128"/>
        <v>192</v>
      </c>
      <c r="GW92" s="350">
        <f t="shared" si="128"/>
        <v>193</v>
      </c>
      <c r="GX92" s="350">
        <f t="shared" si="128"/>
        <v>194</v>
      </c>
      <c r="GY92" s="350">
        <f t="shared" si="128"/>
        <v>195</v>
      </c>
      <c r="GZ92" s="350">
        <f t="shared" si="128"/>
        <v>196</v>
      </c>
      <c r="HA92" s="350">
        <f t="shared" si="128"/>
        <v>197</v>
      </c>
      <c r="HB92" s="350">
        <f t="shared" si="128"/>
        <v>198</v>
      </c>
      <c r="HC92" s="350">
        <f t="shared" si="128"/>
        <v>199</v>
      </c>
      <c r="HD92" s="350">
        <f t="shared" si="128"/>
        <v>200</v>
      </c>
      <c r="HE92" s="350">
        <f t="shared" si="128"/>
        <v>201</v>
      </c>
      <c r="HF92" s="350">
        <f t="shared" si="128"/>
        <v>202</v>
      </c>
      <c r="HG92" s="350">
        <f t="shared" si="128"/>
        <v>203</v>
      </c>
      <c r="HH92" s="350">
        <f t="shared" si="128"/>
        <v>204</v>
      </c>
      <c r="HI92" s="350">
        <f t="shared" si="128"/>
        <v>205</v>
      </c>
      <c r="HJ92" s="350">
        <f t="shared" si="128"/>
        <v>206</v>
      </c>
      <c r="HK92" s="350">
        <f t="shared" si="128"/>
        <v>207</v>
      </c>
      <c r="HL92" s="350">
        <f t="shared" si="128"/>
        <v>208</v>
      </c>
      <c r="HM92" s="350">
        <f t="shared" si="128"/>
        <v>209</v>
      </c>
      <c r="HN92" s="350">
        <f t="shared" si="128"/>
        <v>210</v>
      </c>
      <c r="HO92" s="350">
        <f t="shared" si="128"/>
        <v>211</v>
      </c>
      <c r="HP92" s="350">
        <f t="shared" si="128"/>
        <v>212</v>
      </c>
      <c r="HQ92" s="350">
        <f t="shared" si="128"/>
        <v>213</v>
      </c>
      <c r="HR92" s="350">
        <f t="shared" si="128"/>
        <v>214</v>
      </c>
      <c r="HS92" s="350">
        <f t="shared" si="128"/>
        <v>215</v>
      </c>
      <c r="HT92" s="350">
        <f t="shared" si="128"/>
        <v>216</v>
      </c>
      <c r="HU92" s="350">
        <f t="shared" si="128"/>
        <v>217</v>
      </c>
      <c r="HV92" s="350">
        <f t="shared" si="128"/>
        <v>218</v>
      </c>
      <c r="HW92" s="350">
        <f t="shared" si="128"/>
        <v>219</v>
      </c>
      <c r="HX92" s="350">
        <f t="shared" si="128"/>
        <v>220</v>
      </c>
      <c r="HY92" s="350">
        <f t="shared" si="128"/>
        <v>221</v>
      </c>
      <c r="HZ92" s="350">
        <f t="shared" si="128"/>
        <v>222</v>
      </c>
      <c r="IA92" s="350">
        <f t="shared" si="128"/>
        <v>223</v>
      </c>
      <c r="IB92" s="350">
        <f t="shared" si="128"/>
        <v>224</v>
      </c>
      <c r="IC92" s="350">
        <f t="shared" si="128"/>
        <v>225</v>
      </c>
      <c r="ID92" s="350">
        <f t="shared" si="128"/>
        <v>226</v>
      </c>
      <c r="IE92" s="350">
        <f t="shared" si="128"/>
        <v>227</v>
      </c>
      <c r="IF92" s="350">
        <f t="shared" si="128"/>
        <v>228</v>
      </c>
      <c r="IG92" s="350">
        <f t="shared" si="128"/>
        <v>229</v>
      </c>
      <c r="IH92" s="350">
        <f t="shared" si="128"/>
        <v>230</v>
      </c>
      <c r="II92" s="350">
        <f t="shared" si="128"/>
        <v>231</v>
      </c>
      <c r="IJ92" s="350">
        <f t="shared" si="128"/>
        <v>232</v>
      </c>
      <c r="IK92" s="350">
        <f t="shared" si="128"/>
        <v>233</v>
      </c>
    </row>
    <row r="93" spans="1:245" hidden="1" x14ac:dyDescent="0.35">
      <c r="A93" s="205"/>
      <c r="B93" s="32"/>
      <c r="C93" s="32"/>
      <c r="D93" s="32"/>
      <c r="E93" s="32"/>
      <c r="F93" s="32"/>
      <c r="G93" s="32"/>
      <c r="H93" s="343"/>
      <c r="I93" s="343"/>
      <c r="J93" s="343"/>
      <c r="K93" s="343"/>
      <c r="L93" s="343"/>
      <c r="M93" s="343"/>
      <c r="N93" s="343"/>
      <c r="O93" s="343"/>
      <c r="P93" s="343"/>
      <c r="Q93" s="343"/>
      <c r="R93" s="343"/>
      <c r="S93" s="343"/>
      <c r="T93" s="343"/>
      <c r="U93" s="343"/>
      <c r="V93" s="343"/>
      <c r="W93" s="343"/>
      <c r="X93" s="343"/>
      <c r="Y93" s="343"/>
      <c r="Z93" s="343"/>
      <c r="AA93" s="343"/>
      <c r="AB93" s="343"/>
      <c r="AC93" s="343"/>
      <c r="AD93" s="343"/>
      <c r="AE93" s="343"/>
      <c r="AF93" s="343"/>
      <c r="AG93" s="343"/>
      <c r="AH93" s="343"/>
      <c r="AI93" s="343"/>
      <c r="AJ93" s="343"/>
      <c r="AK93" s="343"/>
      <c r="AL93" s="343"/>
      <c r="AM93" s="343"/>
      <c r="AN93" s="343"/>
      <c r="AO93" s="343"/>
      <c r="AP93" s="343"/>
      <c r="AQ93" s="343"/>
      <c r="AR93" s="343"/>
      <c r="AS93" s="343"/>
      <c r="AT93" s="343"/>
      <c r="AU93" s="343"/>
      <c r="AV93" s="343"/>
      <c r="AW93" s="343"/>
      <c r="AX93" s="343"/>
      <c r="AY93" s="343"/>
      <c r="AZ93" s="343"/>
      <c r="BA93" s="343"/>
      <c r="BB93" s="343"/>
      <c r="BC93" s="343"/>
      <c r="BD93" s="343"/>
      <c r="BE93" s="343"/>
      <c r="BF93" s="343"/>
      <c r="BG93" s="343"/>
      <c r="BH93" s="343"/>
      <c r="BI93" s="343"/>
      <c r="BJ93" s="343"/>
      <c r="BK93" s="343"/>
      <c r="BL93" s="343"/>
      <c r="BM93" s="343"/>
      <c r="BN93" s="343"/>
      <c r="BO93" s="343"/>
      <c r="BP93" s="343"/>
      <c r="BQ93" s="343"/>
      <c r="BR93" s="343"/>
      <c r="BS93" s="343"/>
      <c r="BT93" s="343"/>
      <c r="BU93" s="343"/>
      <c r="BV93" s="343"/>
      <c r="BW93" s="343"/>
      <c r="BX93" s="343"/>
      <c r="BY93" s="343"/>
      <c r="BZ93" s="343"/>
      <c r="CA93" s="343"/>
      <c r="CB93" s="343"/>
      <c r="CC93" s="343"/>
      <c r="CD93" s="343"/>
      <c r="CE93" s="343"/>
      <c r="CF93" s="343"/>
      <c r="CG93" s="343"/>
      <c r="CH93" s="343"/>
      <c r="CI93" s="343"/>
      <c r="CJ93" s="343"/>
      <c r="CK93" s="343"/>
      <c r="CL93" s="343"/>
      <c r="CM93" s="343"/>
      <c r="CN93" s="343"/>
      <c r="CO93" s="343"/>
      <c r="CP93" s="343"/>
      <c r="CQ93" s="343"/>
      <c r="CR93" s="343"/>
      <c r="CS93" s="343"/>
      <c r="CT93" s="343"/>
      <c r="CU93" s="343"/>
      <c r="CV93" s="343"/>
      <c r="CW93" s="343"/>
      <c r="CX93" s="343"/>
      <c r="CY93" s="343"/>
      <c r="CZ93" s="343"/>
      <c r="DA93" s="343"/>
      <c r="DB93" s="343"/>
      <c r="DC93" s="343"/>
      <c r="DD93" s="343"/>
      <c r="DE93" s="343"/>
      <c r="DF93" s="343"/>
      <c r="DG93" s="343"/>
      <c r="DH93" s="343"/>
      <c r="DI93" s="343"/>
      <c r="DJ93" s="343"/>
      <c r="DK93" s="343"/>
      <c r="DL93" s="343"/>
      <c r="DM93" s="343"/>
      <c r="DN93" s="343"/>
      <c r="DO93" s="343"/>
      <c r="DP93" s="343"/>
      <c r="DQ93" s="343"/>
      <c r="DR93" s="343"/>
      <c r="DS93" s="343"/>
      <c r="DT93" s="343"/>
      <c r="DU93" s="343"/>
      <c r="DV93" s="347"/>
      <c r="DW93" s="343"/>
      <c r="DX93" s="343"/>
      <c r="DY93" s="343"/>
      <c r="DZ93" s="343"/>
      <c r="EA93" s="343"/>
      <c r="EB93" s="343"/>
      <c r="EC93" s="347"/>
      <c r="ED93" s="343"/>
      <c r="EE93" s="343"/>
      <c r="EF93" s="343"/>
      <c r="EG93" s="343"/>
      <c r="EH93" s="343"/>
      <c r="EI93" s="343"/>
      <c r="EJ93" s="347"/>
      <c r="EK93" s="343"/>
      <c r="EL93" s="343"/>
      <c r="EM93" s="343"/>
      <c r="EN93" s="343"/>
      <c r="EO93" s="343"/>
      <c r="EP93" s="343"/>
      <c r="EQ93" s="347"/>
      <c r="ER93" s="343"/>
      <c r="ES93" s="343"/>
      <c r="ET93" s="343"/>
      <c r="EU93" s="343"/>
      <c r="EV93" s="343"/>
      <c r="EW93" s="343"/>
      <c r="EX93" s="343"/>
      <c r="EY93" s="343"/>
      <c r="EZ93" s="343"/>
      <c r="FA93" s="343"/>
      <c r="FB93" s="343"/>
      <c r="FC93" s="343"/>
      <c r="FD93" s="343"/>
      <c r="FE93" s="343"/>
      <c r="FF93" s="343"/>
      <c r="FG93" s="343"/>
      <c r="FH93" s="343"/>
      <c r="FI93" s="343"/>
      <c r="FJ93" s="343"/>
      <c r="FK93" s="343"/>
      <c r="FL93" s="343"/>
      <c r="FM93" s="343"/>
      <c r="FN93" s="343"/>
      <c r="FO93" s="343"/>
      <c r="FP93" s="343"/>
      <c r="FQ93" s="343"/>
      <c r="FR93" s="343"/>
      <c r="FS93" s="343"/>
      <c r="FT93" s="343"/>
      <c r="FU93" s="343"/>
      <c r="FV93" s="343"/>
      <c r="FW93" s="343"/>
      <c r="FX93" s="343"/>
      <c r="FY93" s="343"/>
      <c r="FZ93" s="343"/>
      <c r="GA93" s="343"/>
      <c r="GB93" s="343"/>
      <c r="GC93" s="343"/>
      <c r="GD93" s="343"/>
      <c r="GE93" s="343"/>
      <c r="GF93" s="343"/>
      <c r="GG93" s="343"/>
      <c r="GH93" s="343"/>
      <c r="GI93" s="343"/>
      <c r="GJ93" s="343"/>
      <c r="GK93" s="343"/>
      <c r="GL93" s="343"/>
      <c r="GM93" s="343"/>
      <c r="GN93" s="343"/>
      <c r="GO93" s="343"/>
      <c r="GP93" s="343"/>
      <c r="GQ93" s="343"/>
      <c r="GR93" s="343"/>
      <c r="GS93" s="343"/>
      <c r="GT93" s="343"/>
      <c r="GU93" s="343"/>
      <c r="GV93" s="343"/>
      <c r="GW93" s="343"/>
      <c r="GX93" s="343"/>
      <c r="GY93" s="343"/>
      <c r="GZ93" s="343"/>
      <c r="HA93" s="343"/>
      <c r="HB93" s="343"/>
      <c r="HC93" s="343"/>
      <c r="HD93" s="343"/>
      <c r="HE93" s="343"/>
      <c r="HF93" s="343"/>
      <c r="HG93" s="343"/>
      <c r="HH93" s="343"/>
      <c r="HI93" s="343"/>
      <c r="HJ93" s="343"/>
      <c r="HK93" s="343"/>
      <c r="HL93" s="343"/>
      <c r="HM93" s="343"/>
      <c r="HN93" s="343"/>
      <c r="HO93" s="343"/>
      <c r="HP93" s="343"/>
      <c r="HQ93" s="343"/>
      <c r="HR93" s="343"/>
      <c r="HS93" s="343"/>
      <c r="HT93" s="343"/>
      <c r="HU93" s="343"/>
      <c r="HV93" s="343"/>
      <c r="HW93" s="343"/>
      <c r="HX93" s="343"/>
      <c r="HY93" s="343"/>
      <c r="HZ93" s="343"/>
      <c r="IA93" s="343"/>
      <c r="IB93" s="343"/>
      <c r="IC93" s="343"/>
      <c r="ID93" s="343"/>
      <c r="IE93" s="343"/>
      <c r="IF93" s="343"/>
      <c r="IG93" s="343"/>
      <c r="IH93" s="343"/>
      <c r="II93" s="343"/>
      <c r="IJ93" s="343"/>
      <c r="IK93" s="343"/>
    </row>
    <row r="94" spans="1:245" hidden="1" x14ac:dyDescent="0.35">
      <c r="A94" s="205"/>
      <c r="B94" s="32"/>
      <c r="C94" s="32"/>
      <c r="D94" s="32"/>
      <c r="E94" s="32"/>
      <c r="F94" s="32"/>
      <c r="G94" s="32"/>
      <c r="H94" s="1915">
        <f ca="1">$J$2</f>
        <v>45914</v>
      </c>
      <c r="I94" s="1915">
        <f t="shared" ref="I94:BT94" ca="1" si="129">IF($J$2=0,0,H94+1)</f>
        <v>45915</v>
      </c>
      <c r="J94" s="1915">
        <f t="shared" ca="1" si="129"/>
        <v>45916</v>
      </c>
      <c r="K94" s="1915">
        <f t="shared" ca="1" si="129"/>
        <v>45917</v>
      </c>
      <c r="L94" s="1915">
        <f t="shared" ca="1" si="129"/>
        <v>45918</v>
      </c>
      <c r="M94" s="1915">
        <f t="shared" ca="1" si="129"/>
        <v>45919</v>
      </c>
      <c r="N94" s="1915">
        <f t="shared" ca="1" si="129"/>
        <v>45920</v>
      </c>
      <c r="O94" s="1915">
        <f t="shared" ca="1" si="129"/>
        <v>45921</v>
      </c>
      <c r="P94" s="1915">
        <f t="shared" ca="1" si="129"/>
        <v>45922</v>
      </c>
      <c r="Q94" s="1915">
        <f t="shared" ca="1" si="129"/>
        <v>45923</v>
      </c>
      <c r="R94" s="1915">
        <f t="shared" ca="1" si="129"/>
        <v>45924</v>
      </c>
      <c r="S94" s="1915">
        <f t="shared" ca="1" si="129"/>
        <v>45925</v>
      </c>
      <c r="T94" s="1915">
        <f t="shared" ca="1" si="129"/>
        <v>45926</v>
      </c>
      <c r="U94" s="1915">
        <f t="shared" ca="1" si="129"/>
        <v>45927</v>
      </c>
      <c r="V94" s="1915">
        <f t="shared" ca="1" si="129"/>
        <v>45928</v>
      </c>
      <c r="W94" s="1915">
        <f t="shared" ca="1" si="129"/>
        <v>45929</v>
      </c>
      <c r="X94" s="1915">
        <f t="shared" ca="1" si="129"/>
        <v>45930</v>
      </c>
      <c r="Y94" s="1915">
        <f t="shared" ca="1" si="129"/>
        <v>45931</v>
      </c>
      <c r="Z94" s="1915">
        <f t="shared" ca="1" si="129"/>
        <v>45932</v>
      </c>
      <c r="AA94" s="1915">
        <f t="shared" ca="1" si="129"/>
        <v>45933</v>
      </c>
      <c r="AB94" s="1915">
        <f t="shared" ca="1" si="129"/>
        <v>45934</v>
      </c>
      <c r="AC94" s="1915">
        <f t="shared" ca="1" si="129"/>
        <v>45935</v>
      </c>
      <c r="AD94" s="1915">
        <f t="shared" ca="1" si="129"/>
        <v>45936</v>
      </c>
      <c r="AE94" s="1915">
        <f t="shared" ca="1" si="129"/>
        <v>45937</v>
      </c>
      <c r="AF94" s="1915">
        <f t="shared" ca="1" si="129"/>
        <v>45938</v>
      </c>
      <c r="AG94" s="1915">
        <f t="shared" ca="1" si="129"/>
        <v>45939</v>
      </c>
      <c r="AH94" s="1915">
        <f t="shared" ca="1" si="129"/>
        <v>45940</v>
      </c>
      <c r="AI94" s="1915">
        <f t="shared" ca="1" si="129"/>
        <v>45941</v>
      </c>
      <c r="AJ94" s="1915">
        <f t="shared" ca="1" si="129"/>
        <v>45942</v>
      </c>
      <c r="AK94" s="1915">
        <f t="shared" ca="1" si="129"/>
        <v>45943</v>
      </c>
      <c r="AL94" s="1915">
        <f t="shared" ca="1" si="129"/>
        <v>45944</v>
      </c>
      <c r="AM94" s="1915">
        <f t="shared" ca="1" si="129"/>
        <v>45945</v>
      </c>
      <c r="AN94" s="1915">
        <f t="shared" ca="1" si="129"/>
        <v>45946</v>
      </c>
      <c r="AO94" s="1915">
        <f t="shared" ca="1" si="129"/>
        <v>45947</v>
      </c>
      <c r="AP94" s="1915">
        <f t="shared" ca="1" si="129"/>
        <v>45948</v>
      </c>
      <c r="AQ94" s="1915">
        <f t="shared" ca="1" si="129"/>
        <v>45949</v>
      </c>
      <c r="AR94" s="1915">
        <f t="shared" ca="1" si="129"/>
        <v>45950</v>
      </c>
      <c r="AS94" s="1915">
        <f t="shared" ca="1" si="129"/>
        <v>45951</v>
      </c>
      <c r="AT94" s="1915">
        <f t="shared" ca="1" si="129"/>
        <v>45952</v>
      </c>
      <c r="AU94" s="1915">
        <f t="shared" ca="1" si="129"/>
        <v>45953</v>
      </c>
      <c r="AV94" s="1915">
        <f t="shared" ca="1" si="129"/>
        <v>45954</v>
      </c>
      <c r="AW94" s="1915">
        <f t="shared" ca="1" si="129"/>
        <v>45955</v>
      </c>
      <c r="AX94" s="1915">
        <f t="shared" ca="1" si="129"/>
        <v>45956</v>
      </c>
      <c r="AY94" s="1915">
        <f t="shared" ca="1" si="129"/>
        <v>45957</v>
      </c>
      <c r="AZ94" s="1915">
        <f t="shared" ca="1" si="129"/>
        <v>45958</v>
      </c>
      <c r="BA94" s="1915">
        <f t="shared" ca="1" si="129"/>
        <v>45959</v>
      </c>
      <c r="BB94" s="1915">
        <f t="shared" ca="1" si="129"/>
        <v>45960</v>
      </c>
      <c r="BC94" s="1915">
        <f t="shared" ca="1" si="129"/>
        <v>45961</v>
      </c>
      <c r="BD94" s="1915">
        <f t="shared" ca="1" si="129"/>
        <v>45962</v>
      </c>
      <c r="BE94" s="1915">
        <f t="shared" ca="1" si="129"/>
        <v>45963</v>
      </c>
      <c r="BF94" s="1915">
        <f t="shared" ca="1" si="129"/>
        <v>45964</v>
      </c>
      <c r="BG94" s="1915">
        <f t="shared" ca="1" si="129"/>
        <v>45965</v>
      </c>
      <c r="BH94" s="1915">
        <f t="shared" ca="1" si="129"/>
        <v>45966</v>
      </c>
      <c r="BI94" s="1915">
        <f t="shared" ca="1" si="129"/>
        <v>45967</v>
      </c>
      <c r="BJ94" s="1915">
        <f t="shared" ca="1" si="129"/>
        <v>45968</v>
      </c>
      <c r="BK94" s="1915">
        <f t="shared" ca="1" si="129"/>
        <v>45969</v>
      </c>
      <c r="BL94" s="1915">
        <f t="shared" ca="1" si="129"/>
        <v>45970</v>
      </c>
      <c r="BM94" s="1915">
        <f t="shared" ca="1" si="129"/>
        <v>45971</v>
      </c>
      <c r="BN94" s="1915">
        <f t="shared" ca="1" si="129"/>
        <v>45972</v>
      </c>
      <c r="BO94" s="1915">
        <f t="shared" ca="1" si="129"/>
        <v>45973</v>
      </c>
      <c r="BP94" s="1915">
        <f t="shared" ca="1" si="129"/>
        <v>45974</v>
      </c>
      <c r="BQ94" s="1915">
        <f t="shared" ca="1" si="129"/>
        <v>45975</v>
      </c>
      <c r="BR94" s="1915">
        <f t="shared" ca="1" si="129"/>
        <v>45976</v>
      </c>
      <c r="BS94" s="1915">
        <f t="shared" ca="1" si="129"/>
        <v>45977</v>
      </c>
      <c r="BT94" s="1915">
        <f t="shared" ca="1" si="129"/>
        <v>45978</v>
      </c>
      <c r="BU94" s="1915">
        <f t="shared" ref="BU94:EF94" ca="1" si="130">IF($J$2=0,0,BT94+1)</f>
        <v>45979</v>
      </c>
      <c r="BV94" s="1915">
        <f t="shared" ca="1" si="130"/>
        <v>45980</v>
      </c>
      <c r="BW94" s="1915">
        <f t="shared" ca="1" si="130"/>
        <v>45981</v>
      </c>
      <c r="BX94" s="1915">
        <f t="shared" ca="1" si="130"/>
        <v>45982</v>
      </c>
      <c r="BY94" s="1915">
        <f t="shared" ca="1" si="130"/>
        <v>45983</v>
      </c>
      <c r="BZ94" s="1915">
        <f t="shared" ca="1" si="130"/>
        <v>45984</v>
      </c>
      <c r="CA94" s="1915">
        <f t="shared" ca="1" si="130"/>
        <v>45985</v>
      </c>
      <c r="CB94" s="1915">
        <f t="shared" ca="1" si="130"/>
        <v>45986</v>
      </c>
      <c r="CC94" s="1915">
        <f t="shared" ca="1" si="130"/>
        <v>45987</v>
      </c>
      <c r="CD94" s="1915">
        <f t="shared" ca="1" si="130"/>
        <v>45988</v>
      </c>
      <c r="CE94" s="1915">
        <f t="shared" ca="1" si="130"/>
        <v>45989</v>
      </c>
      <c r="CF94" s="1915">
        <f t="shared" ca="1" si="130"/>
        <v>45990</v>
      </c>
      <c r="CG94" s="1915">
        <f t="shared" ca="1" si="130"/>
        <v>45991</v>
      </c>
      <c r="CH94" s="1915">
        <f t="shared" ca="1" si="130"/>
        <v>45992</v>
      </c>
      <c r="CI94" s="1915">
        <f t="shared" ca="1" si="130"/>
        <v>45993</v>
      </c>
      <c r="CJ94" s="1915">
        <f t="shared" ca="1" si="130"/>
        <v>45994</v>
      </c>
      <c r="CK94" s="1915">
        <f t="shared" ca="1" si="130"/>
        <v>45995</v>
      </c>
      <c r="CL94" s="1915">
        <f t="shared" ca="1" si="130"/>
        <v>45996</v>
      </c>
      <c r="CM94" s="1915">
        <f t="shared" ca="1" si="130"/>
        <v>45997</v>
      </c>
      <c r="CN94" s="1915">
        <f t="shared" ca="1" si="130"/>
        <v>45998</v>
      </c>
      <c r="CO94" s="1915">
        <f t="shared" ca="1" si="130"/>
        <v>45999</v>
      </c>
      <c r="CP94" s="1915">
        <f t="shared" ca="1" si="130"/>
        <v>46000</v>
      </c>
      <c r="CQ94" s="1915">
        <f t="shared" ca="1" si="130"/>
        <v>46001</v>
      </c>
      <c r="CR94" s="1915">
        <f t="shared" ca="1" si="130"/>
        <v>46002</v>
      </c>
      <c r="CS94" s="1915">
        <f t="shared" ca="1" si="130"/>
        <v>46003</v>
      </c>
      <c r="CT94" s="1915">
        <f t="shared" ca="1" si="130"/>
        <v>46004</v>
      </c>
      <c r="CU94" s="1915">
        <f t="shared" ca="1" si="130"/>
        <v>46005</v>
      </c>
      <c r="CV94" s="1915">
        <f t="shared" ca="1" si="130"/>
        <v>46006</v>
      </c>
      <c r="CW94" s="1915">
        <f t="shared" ca="1" si="130"/>
        <v>46007</v>
      </c>
      <c r="CX94" s="1915">
        <f t="shared" ca="1" si="130"/>
        <v>46008</v>
      </c>
      <c r="CY94" s="1915">
        <f t="shared" ca="1" si="130"/>
        <v>46009</v>
      </c>
      <c r="CZ94" s="1915">
        <f t="shared" ca="1" si="130"/>
        <v>46010</v>
      </c>
      <c r="DA94" s="1915">
        <f t="shared" ca="1" si="130"/>
        <v>46011</v>
      </c>
      <c r="DB94" s="1915">
        <f t="shared" ca="1" si="130"/>
        <v>46012</v>
      </c>
      <c r="DC94" s="1915">
        <f t="shared" ca="1" si="130"/>
        <v>46013</v>
      </c>
      <c r="DD94" s="1915">
        <f t="shared" ca="1" si="130"/>
        <v>46014</v>
      </c>
      <c r="DE94" s="1915">
        <f t="shared" ca="1" si="130"/>
        <v>46015</v>
      </c>
      <c r="DF94" s="1915">
        <f t="shared" ca="1" si="130"/>
        <v>46016</v>
      </c>
      <c r="DG94" s="1915">
        <f t="shared" ca="1" si="130"/>
        <v>46017</v>
      </c>
      <c r="DH94" s="1915">
        <f t="shared" ca="1" si="130"/>
        <v>46018</v>
      </c>
      <c r="DI94" s="1915">
        <f t="shared" ca="1" si="130"/>
        <v>46019</v>
      </c>
      <c r="DJ94" s="1915">
        <f t="shared" ca="1" si="130"/>
        <v>46020</v>
      </c>
      <c r="DK94" s="1915">
        <f t="shared" ca="1" si="130"/>
        <v>46021</v>
      </c>
      <c r="DL94" s="1915">
        <f t="shared" ca="1" si="130"/>
        <v>46022</v>
      </c>
      <c r="DM94" s="1915">
        <f t="shared" ca="1" si="130"/>
        <v>46023</v>
      </c>
      <c r="DN94" s="1915">
        <f t="shared" ca="1" si="130"/>
        <v>46024</v>
      </c>
      <c r="DO94" s="1915">
        <f t="shared" ca="1" si="130"/>
        <v>46025</v>
      </c>
      <c r="DP94" s="1915">
        <f t="shared" ca="1" si="130"/>
        <v>46026</v>
      </c>
      <c r="DQ94" s="1915">
        <f t="shared" ca="1" si="130"/>
        <v>46027</v>
      </c>
      <c r="DR94" s="1915">
        <f t="shared" ca="1" si="130"/>
        <v>46028</v>
      </c>
      <c r="DS94" s="1915">
        <f t="shared" ca="1" si="130"/>
        <v>46029</v>
      </c>
      <c r="DT94" s="1915">
        <f t="shared" ca="1" si="130"/>
        <v>46030</v>
      </c>
      <c r="DU94" s="1915">
        <f t="shared" ca="1" si="130"/>
        <v>46031</v>
      </c>
      <c r="DV94" s="1957">
        <f t="shared" ca="1" si="130"/>
        <v>46032</v>
      </c>
      <c r="DW94" s="1915">
        <f t="shared" ca="1" si="130"/>
        <v>46033</v>
      </c>
      <c r="DX94" s="1915">
        <f t="shared" ca="1" si="130"/>
        <v>46034</v>
      </c>
      <c r="DY94" s="1915">
        <f t="shared" ca="1" si="130"/>
        <v>46035</v>
      </c>
      <c r="DZ94" s="1915">
        <f t="shared" ca="1" si="130"/>
        <v>46036</v>
      </c>
      <c r="EA94" s="1915">
        <f t="shared" ca="1" si="130"/>
        <v>46037</v>
      </c>
      <c r="EB94" s="1915">
        <f t="shared" ca="1" si="130"/>
        <v>46038</v>
      </c>
      <c r="EC94" s="1957">
        <f t="shared" ca="1" si="130"/>
        <v>46039</v>
      </c>
      <c r="ED94" s="1915">
        <f t="shared" ca="1" si="130"/>
        <v>46040</v>
      </c>
      <c r="EE94" s="1915">
        <f t="shared" ca="1" si="130"/>
        <v>46041</v>
      </c>
      <c r="EF94" s="1915">
        <f t="shared" ca="1" si="130"/>
        <v>46042</v>
      </c>
      <c r="EG94" s="1915">
        <f t="shared" ref="EG94:GR94" ca="1" si="131">IF($J$2=0,0,EF94+1)</f>
        <v>46043</v>
      </c>
      <c r="EH94" s="1915">
        <f t="shared" ca="1" si="131"/>
        <v>46044</v>
      </c>
      <c r="EI94" s="1915">
        <f t="shared" ca="1" si="131"/>
        <v>46045</v>
      </c>
      <c r="EJ94" s="1957">
        <f t="shared" ca="1" si="131"/>
        <v>46046</v>
      </c>
      <c r="EK94" s="1915">
        <f t="shared" ca="1" si="131"/>
        <v>46047</v>
      </c>
      <c r="EL94" s="1915">
        <f t="shared" ca="1" si="131"/>
        <v>46048</v>
      </c>
      <c r="EM94" s="1915">
        <f t="shared" ca="1" si="131"/>
        <v>46049</v>
      </c>
      <c r="EN94" s="1915">
        <f t="shared" ca="1" si="131"/>
        <v>46050</v>
      </c>
      <c r="EO94" s="1915">
        <f t="shared" ca="1" si="131"/>
        <v>46051</v>
      </c>
      <c r="EP94" s="1915">
        <f t="shared" ca="1" si="131"/>
        <v>46052</v>
      </c>
      <c r="EQ94" s="1957">
        <f t="shared" ca="1" si="131"/>
        <v>46053</v>
      </c>
      <c r="ER94" s="1915">
        <f t="shared" ca="1" si="131"/>
        <v>46054</v>
      </c>
      <c r="ES94" s="1915">
        <f t="shared" ca="1" si="131"/>
        <v>46055</v>
      </c>
      <c r="ET94" s="1915">
        <f t="shared" ca="1" si="131"/>
        <v>46056</v>
      </c>
      <c r="EU94" s="1915">
        <f t="shared" ca="1" si="131"/>
        <v>46057</v>
      </c>
      <c r="EV94" s="1915">
        <f t="shared" ca="1" si="131"/>
        <v>46058</v>
      </c>
      <c r="EW94" s="1915">
        <f t="shared" ca="1" si="131"/>
        <v>46059</v>
      </c>
      <c r="EX94" s="1915">
        <f t="shared" ca="1" si="131"/>
        <v>46060</v>
      </c>
      <c r="EY94" s="1915">
        <f t="shared" ca="1" si="131"/>
        <v>46061</v>
      </c>
      <c r="EZ94" s="1915">
        <f t="shared" ca="1" si="131"/>
        <v>46062</v>
      </c>
      <c r="FA94" s="1915">
        <f t="shared" ca="1" si="131"/>
        <v>46063</v>
      </c>
      <c r="FB94" s="1915">
        <f t="shared" ca="1" si="131"/>
        <v>46064</v>
      </c>
      <c r="FC94" s="1915">
        <f t="shared" ca="1" si="131"/>
        <v>46065</v>
      </c>
      <c r="FD94" s="1915">
        <f t="shared" ca="1" si="131"/>
        <v>46066</v>
      </c>
      <c r="FE94" s="1915">
        <f t="shared" ca="1" si="131"/>
        <v>46067</v>
      </c>
      <c r="FF94" s="1915">
        <f t="shared" ca="1" si="131"/>
        <v>46068</v>
      </c>
      <c r="FG94" s="1915">
        <f t="shared" ca="1" si="131"/>
        <v>46069</v>
      </c>
      <c r="FH94" s="1915">
        <f t="shared" ca="1" si="131"/>
        <v>46070</v>
      </c>
      <c r="FI94" s="1915">
        <f t="shared" ca="1" si="131"/>
        <v>46071</v>
      </c>
      <c r="FJ94" s="1915">
        <f t="shared" ca="1" si="131"/>
        <v>46072</v>
      </c>
      <c r="FK94" s="1915">
        <f t="shared" ca="1" si="131"/>
        <v>46073</v>
      </c>
      <c r="FL94" s="1915">
        <f t="shared" ca="1" si="131"/>
        <v>46074</v>
      </c>
      <c r="FM94" s="1915">
        <f t="shared" ca="1" si="131"/>
        <v>46075</v>
      </c>
      <c r="FN94" s="1915">
        <f t="shared" ca="1" si="131"/>
        <v>46076</v>
      </c>
      <c r="FO94" s="1915">
        <f t="shared" ca="1" si="131"/>
        <v>46077</v>
      </c>
      <c r="FP94" s="1915">
        <f t="shared" ca="1" si="131"/>
        <v>46078</v>
      </c>
      <c r="FQ94" s="1915">
        <f t="shared" ca="1" si="131"/>
        <v>46079</v>
      </c>
      <c r="FR94" s="1915">
        <f t="shared" ca="1" si="131"/>
        <v>46080</v>
      </c>
      <c r="FS94" s="1915">
        <f t="shared" ca="1" si="131"/>
        <v>46081</v>
      </c>
      <c r="FT94" s="1915">
        <f t="shared" ca="1" si="131"/>
        <v>46082</v>
      </c>
      <c r="FU94" s="1915">
        <f t="shared" ca="1" si="131"/>
        <v>46083</v>
      </c>
      <c r="FV94" s="1915">
        <f t="shared" ca="1" si="131"/>
        <v>46084</v>
      </c>
      <c r="FW94" s="1915">
        <f t="shared" ca="1" si="131"/>
        <v>46085</v>
      </c>
      <c r="FX94" s="1915">
        <f t="shared" ca="1" si="131"/>
        <v>46086</v>
      </c>
      <c r="FY94" s="1915">
        <f t="shared" ca="1" si="131"/>
        <v>46087</v>
      </c>
      <c r="FZ94" s="1915">
        <f t="shared" ca="1" si="131"/>
        <v>46088</v>
      </c>
      <c r="GA94" s="1915">
        <f t="shared" ca="1" si="131"/>
        <v>46089</v>
      </c>
      <c r="GB94" s="1915">
        <f t="shared" ca="1" si="131"/>
        <v>46090</v>
      </c>
      <c r="GC94" s="1915">
        <f t="shared" ca="1" si="131"/>
        <v>46091</v>
      </c>
      <c r="GD94" s="1915">
        <f t="shared" ca="1" si="131"/>
        <v>46092</v>
      </c>
      <c r="GE94" s="1915">
        <f t="shared" ca="1" si="131"/>
        <v>46093</v>
      </c>
      <c r="GF94" s="1915">
        <f t="shared" ca="1" si="131"/>
        <v>46094</v>
      </c>
      <c r="GG94" s="1915">
        <f t="shared" ca="1" si="131"/>
        <v>46095</v>
      </c>
      <c r="GH94" s="1915">
        <f t="shared" ca="1" si="131"/>
        <v>46096</v>
      </c>
      <c r="GI94" s="1915">
        <f t="shared" ca="1" si="131"/>
        <v>46097</v>
      </c>
      <c r="GJ94" s="1915">
        <f t="shared" ca="1" si="131"/>
        <v>46098</v>
      </c>
      <c r="GK94" s="1915">
        <f t="shared" ca="1" si="131"/>
        <v>46099</v>
      </c>
      <c r="GL94" s="1915">
        <f t="shared" ca="1" si="131"/>
        <v>46100</v>
      </c>
      <c r="GM94" s="1915">
        <f t="shared" ca="1" si="131"/>
        <v>46101</v>
      </c>
      <c r="GN94" s="1915">
        <f t="shared" ca="1" si="131"/>
        <v>46102</v>
      </c>
      <c r="GO94" s="1915">
        <f t="shared" ca="1" si="131"/>
        <v>46103</v>
      </c>
      <c r="GP94" s="1915">
        <f t="shared" ca="1" si="131"/>
        <v>46104</v>
      </c>
      <c r="GQ94" s="1915">
        <f t="shared" ca="1" si="131"/>
        <v>46105</v>
      </c>
      <c r="GR94" s="1915">
        <f t="shared" ca="1" si="131"/>
        <v>46106</v>
      </c>
      <c r="GS94" s="1915">
        <f t="shared" ref="GS94:IK94" ca="1" si="132">IF($J$2=0,0,GR94+1)</f>
        <v>46107</v>
      </c>
      <c r="GT94" s="1915">
        <f t="shared" ca="1" si="132"/>
        <v>46108</v>
      </c>
      <c r="GU94" s="1915">
        <f t="shared" ca="1" si="132"/>
        <v>46109</v>
      </c>
      <c r="GV94" s="1915">
        <f t="shared" ca="1" si="132"/>
        <v>46110</v>
      </c>
      <c r="GW94" s="1915">
        <f t="shared" ca="1" si="132"/>
        <v>46111</v>
      </c>
      <c r="GX94" s="1915">
        <f t="shared" ca="1" si="132"/>
        <v>46112</v>
      </c>
      <c r="GY94" s="1915">
        <f t="shared" ca="1" si="132"/>
        <v>46113</v>
      </c>
      <c r="GZ94" s="1915">
        <f t="shared" ca="1" si="132"/>
        <v>46114</v>
      </c>
      <c r="HA94" s="1915">
        <f t="shared" ca="1" si="132"/>
        <v>46115</v>
      </c>
      <c r="HB94" s="1915">
        <f t="shared" ca="1" si="132"/>
        <v>46116</v>
      </c>
      <c r="HC94" s="1915">
        <f t="shared" ca="1" si="132"/>
        <v>46117</v>
      </c>
      <c r="HD94" s="1915">
        <f t="shared" ca="1" si="132"/>
        <v>46118</v>
      </c>
      <c r="HE94" s="1915">
        <f t="shared" ca="1" si="132"/>
        <v>46119</v>
      </c>
      <c r="HF94" s="1915">
        <f t="shared" ca="1" si="132"/>
        <v>46120</v>
      </c>
      <c r="HG94" s="1915">
        <f t="shared" ca="1" si="132"/>
        <v>46121</v>
      </c>
      <c r="HH94" s="1915">
        <f t="shared" ca="1" si="132"/>
        <v>46122</v>
      </c>
      <c r="HI94" s="1915">
        <f t="shared" ca="1" si="132"/>
        <v>46123</v>
      </c>
      <c r="HJ94" s="1915">
        <f t="shared" ca="1" si="132"/>
        <v>46124</v>
      </c>
      <c r="HK94" s="1915">
        <f t="shared" ca="1" si="132"/>
        <v>46125</v>
      </c>
      <c r="HL94" s="1915">
        <f t="shared" ca="1" si="132"/>
        <v>46126</v>
      </c>
      <c r="HM94" s="1915">
        <f t="shared" ca="1" si="132"/>
        <v>46127</v>
      </c>
      <c r="HN94" s="1915">
        <f t="shared" ca="1" si="132"/>
        <v>46128</v>
      </c>
      <c r="HO94" s="1915">
        <f t="shared" ca="1" si="132"/>
        <v>46129</v>
      </c>
      <c r="HP94" s="1915">
        <f t="shared" ca="1" si="132"/>
        <v>46130</v>
      </c>
      <c r="HQ94" s="1915">
        <f t="shared" ca="1" si="132"/>
        <v>46131</v>
      </c>
      <c r="HR94" s="1915">
        <f t="shared" ca="1" si="132"/>
        <v>46132</v>
      </c>
      <c r="HS94" s="1915">
        <f t="shared" ca="1" si="132"/>
        <v>46133</v>
      </c>
      <c r="HT94" s="1915">
        <f t="shared" ca="1" si="132"/>
        <v>46134</v>
      </c>
      <c r="HU94" s="1915">
        <f t="shared" ca="1" si="132"/>
        <v>46135</v>
      </c>
      <c r="HV94" s="1915">
        <f t="shared" ca="1" si="132"/>
        <v>46136</v>
      </c>
      <c r="HW94" s="1915">
        <f t="shared" ca="1" si="132"/>
        <v>46137</v>
      </c>
      <c r="HX94" s="1915">
        <f t="shared" ca="1" si="132"/>
        <v>46138</v>
      </c>
      <c r="HY94" s="1915">
        <f t="shared" ca="1" si="132"/>
        <v>46139</v>
      </c>
      <c r="HZ94" s="1915">
        <f t="shared" ca="1" si="132"/>
        <v>46140</v>
      </c>
      <c r="IA94" s="1915">
        <f t="shared" ca="1" si="132"/>
        <v>46141</v>
      </c>
      <c r="IB94" s="1915">
        <f t="shared" ca="1" si="132"/>
        <v>46142</v>
      </c>
      <c r="IC94" s="1915">
        <f t="shared" ca="1" si="132"/>
        <v>46143</v>
      </c>
      <c r="ID94" s="1915">
        <f t="shared" ca="1" si="132"/>
        <v>46144</v>
      </c>
      <c r="IE94" s="1915">
        <f t="shared" ca="1" si="132"/>
        <v>46145</v>
      </c>
      <c r="IF94" s="1915">
        <f t="shared" ca="1" si="132"/>
        <v>46146</v>
      </c>
      <c r="IG94" s="1915">
        <f t="shared" ca="1" si="132"/>
        <v>46147</v>
      </c>
      <c r="IH94" s="1915">
        <f t="shared" ca="1" si="132"/>
        <v>46148</v>
      </c>
      <c r="II94" s="1915">
        <f t="shared" ca="1" si="132"/>
        <v>46149</v>
      </c>
      <c r="IJ94" s="1915">
        <f t="shared" ca="1" si="132"/>
        <v>46150</v>
      </c>
      <c r="IK94" s="1915">
        <f t="shared" ca="1" si="132"/>
        <v>46151</v>
      </c>
    </row>
    <row r="95" spans="1:245" hidden="1" x14ac:dyDescent="0.35">
      <c r="A95" s="205"/>
      <c r="B95" s="32"/>
      <c r="C95" s="32"/>
      <c r="D95" s="32"/>
      <c r="E95" s="32"/>
      <c r="F95" s="32"/>
      <c r="G95" s="32"/>
      <c r="H95" s="1915"/>
      <c r="I95" s="1915"/>
      <c r="J95" s="1915"/>
      <c r="K95" s="1915"/>
      <c r="L95" s="1915"/>
      <c r="M95" s="1915"/>
      <c r="N95" s="1915"/>
      <c r="O95" s="1915"/>
      <c r="P95" s="1915"/>
      <c r="Q95" s="1915"/>
      <c r="R95" s="1915"/>
      <c r="S95" s="1915"/>
      <c r="T95" s="1915"/>
      <c r="U95" s="1915"/>
      <c r="V95" s="1915"/>
      <c r="W95" s="1915"/>
      <c r="X95" s="1915"/>
      <c r="Y95" s="1915"/>
      <c r="Z95" s="1915"/>
      <c r="AA95" s="1915"/>
      <c r="AB95" s="1915"/>
      <c r="AC95" s="1915"/>
      <c r="AD95" s="1915"/>
      <c r="AE95" s="1915"/>
      <c r="AF95" s="1915"/>
      <c r="AG95" s="1915"/>
      <c r="AH95" s="1915"/>
      <c r="AI95" s="1915"/>
      <c r="AJ95" s="1915"/>
      <c r="AK95" s="1915"/>
      <c r="AL95" s="1915"/>
      <c r="AM95" s="1915"/>
      <c r="AN95" s="1915"/>
      <c r="AO95" s="1915"/>
      <c r="AP95" s="1915"/>
      <c r="AQ95" s="1915"/>
      <c r="AR95" s="1915"/>
      <c r="AS95" s="1915"/>
      <c r="AT95" s="1915"/>
      <c r="AU95" s="1915"/>
      <c r="AV95" s="1915"/>
      <c r="AW95" s="1915"/>
      <c r="AX95" s="1915"/>
      <c r="AY95" s="1915"/>
      <c r="AZ95" s="1915"/>
      <c r="BA95" s="1915"/>
      <c r="BB95" s="1915"/>
      <c r="BC95" s="1915"/>
      <c r="BD95" s="1915"/>
      <c r="BE95" s="1915"/>
      <c r="BF95" s="1915"/>
      <c r="BG95" s="1915"/>
      <c r="BH95" s="1915"/>
      <c r="BI95" s="1915"/>
      <c r="BJ95" s="1915"/>
      <c r="BK95" s="1915"/>
      <c r="BL95" s="1915"/>
      <c r="BM95" s="1915"/>
      <c r="BN95" s="1915"/>
      <c r="BO95" s="1915"/>
      <c r="BP95" s="1915"/>
      <c r="BQ95" s="1915"/>
      <c r="BR95" s="1915"/>
      <c r="BS95" s="1915"/>
      <c r="BT95" s="1915"/>
      <c r="BU95" s="1915"/>
      <c r="BV95" s="1915"/>
      <c r="BW95" s="1915"/>
      <c r="BX95" s="1915"/>
      <c r="BY95" s="1915"/>
      <c r="BZ95" s="1915"/>
      <c r="CA95" s="1915"/>
      <c r="CB95" s="1915"/>
      <c r="CC95" s="1915"/>
      <c r="CD95" s="1915"/>
      <c r="CE95" s="1915"/>
      <c r="CF95" s="1915"/>
      <c r="CG95" s="1915"/>
      <c r="CH95" s="1915"/>
      <c r="CI95" s="1915"/>
      <c r="CJ95" s="1915"/>
      <c r="CK95" s="1915"/>
      <c r="CL95" s="1915"/>
      <c r="CM95" s="1915"/>
      <c r="CN95" s="1915"/>
      <c r="CO95" s="1915"/>
      <c r="CP95" s="1915"/>
      <c r="CQ95" s="1915"/>
      <c r="CR95" s="1915"/>
      <c r="CS95" s="1915"/>
      <c r="CT95" s="1915"/>
      <c r="CU95" s="1915"/>
      <c r="CV95" s="1915"/>
      <c r="CW95" s="1915"/>
      <c r="CX95" s="1915"/>
      <c r="CY95" s="1915"/>
      <c r="CZ95" s="1915"/>
      <c r="DA95" s="1915"/>
      <c r="DB95" s="1915"/>
      <c r="DC95" s="1915"/>
      <c r="DD95" s="1915"/>
      <c r="DE95" s="1915"/>
      <c r="DF95" s="1915"/>
      <c r="DG95" s="1915"/>
      <c r="DH95" s="1915"/>
      <c r="DI95" s="1915"/>
      <c r="DJ95" s="1915"/>
      <c r="DK95" s="1915"/>
      <c r="DL95" s="1915"/>
      <c r="DM95" s="1915"/>
      <c r="DN95" s="1915"/>
      <c r="DO95" s="1915"/>
      <c r="DP95" s="1915"/>
      <c r="DQ95" s="1915"/>
      <c r="DR95" s="1915"/>
      <c r="DS95" s="1915"/>
      <c r="DT95" s="1915"/>
      <c r="DU95" s="1915"/>
      <c r="DV95" s="1957"/>
      <c r="DW95" s="1915"/>
      <c r="DX95" s="1915"/>
      <c r="DY95" s="1915"/>
      <c r="DZ95" s="1915"/>
      <c r="EA95" s="1915"/>
      <c r="EB95" s="1915"/>
      <c r="EC95" s="1957"/>
      <c r="ED95" s="1915"/>
      <c r="EE95" s="1915"/>
      <c r="EF95" s="1915"/>
      <c r="EG95" s="1915"/>
      <c r="EH95" s="1915"/>
      <c r="EI95" s="1915"/>
      <c r="EJ95" s="1957"/>
      <c r="EK95" s="1915"/>
      <c r="EL95" s="1915"/>
      <c r="EM95" s="1915"/>
      <c r="EN95" s="1915"/>
      <c r="EO95" s="1915"/>
      <c r="EP95" s="1915"/>
      <c r="EQ95" s="1957"/>
      <c r="ER95" s="1915"/>
      <c r="ES95" s="1915"/>
      <c r="ET95" s="1915"/>
      <c r="EU95" s="1915"/>
      <c r="EV95" s="1915"/>
      <c r="EW95" s="1915"/>
      <c r="EX95" s="1915"/>
      <c r="EY95" s="1915"/>
      <c r="EZ95" s="1915"/>
      <c r="FA95" s="1915"/>
      <c r="FB95" s="1915"/>
      <c r="FC95" s="1915"/>
      <c r="FD95" s="1915"/>
      <c r="FE95" s="1915"/>
      <c r="FF95" s="1915"/>
      <c r="FG95" s="1915"/>
      <c r="FH95" s="1915"/>
      <c r="FI95" s="1915"/>
      <c r="FJ95" s="1915"/>
      <c r="FK95" s="1915"/>
      <c r="FL95" s="1915"/>
      <c r="FM95" s="1915"/>
      <c r="FN95" s="1915"/>
      <c r="FO95" s="1915"/>
      <c r="FP95" s="1915"/>
      <c r="FQ95" s="1915"/>
      <c r="FR95" s="1915"/>
      <c r="FS95" s="1915"/>
      <c r="FT95" s="1915"/>
      <c r="FU95" s="1915"/>
      <c r="FV95" s="1915"/>
      <c r="FW95" s="1915"/>
      <c r="FX95" s="1915"/>
      <c r="FY95" s="1915"/>
      <c r="FZ95" s="1915"/>
      <c r="GA95" s="1915"/>
      <c r="GB95" s="1915"/>
      <c r="GC95" s="1915"/>
      <c r="GD95" s="1915"/>
      <c r="GE95" s="1915"/>
      <c r="GF95" s="1915"/>
      <c r="GG95" s="1915"/>
      <c r="GH95" s="1915"/>
      <c r="GI95" s="1915"/>
      <c r="GJ95" s="1915"/>
      <c r="GK95" s="1915"/>
      <c r="GL95" s="1915"/>
      <c r="GM95" s="1915"/>
      <c r="GN95" s="1915"/>
      <c r="GO95" s="1915"/>
      <c r="GP95" s="1915"/>
      <c r="GQ95" s="1915"/>
      <c r="GR95" s="1915"/>
      <c r="GS95" s="1915"/>
      <c r="GT95" s="1915"/>
      <c r="GU95" s="1915"/>
      <c r="GV95" s="1915"/>
      <c r="GW95" s="1915"/>
      <c r="GX95" s="1915"/>
      <c r="GY95" s="1915"/>
      <c r="GZ95" s="1915"/>
      <c r="HA95" s="1915"/>
      <c r="HB95" s="1915"/>
      <c r="HC95" s="1915"/>
      <c r="HD95" s="1915"/>
      <c r="HE95" s="1915"/>
      <c r="HF95" s="1915"/>
      <c r="HG95" s="1915"/>
      <c r="HH95" s="1915"/>
      <c r="HI95" s="1915"/>
      <c r="HJ95" s="1915"/>
      <c r="HK95" s="1915"/>
      <c r="HL95" s="1915"/>
      <c r="HM95" s="1915"/>
      <c r="HN95" s="1915"/>
      <c r="HO95" s="1915"/>
      <c r="HP95" s="1915"/>
      <c r="HQ95" s="1915"/>
      <c r="HR95" s="1915"/>
      <c r="HS95" s="1915"/>
      <c r="HT95" s="1915"/>
      <c r="HU95" s="1915"/>
      <c r="HV95" s="1915"/>
      <c r="HW95" s="1915"/>
      <c r="HX95" s="1915"/>
      <c r="HY95" s="1915"/>
      <c r="HZ95" s="1915"/>
      <c r="IA95" s="1915"/>
      <c r="IB95" s="1915"/>
      <c r="IC95" s="1915"/>
      <c r="ID95" s="1915"/>
      <c r="IE95" s="1915"/>
      <c r="IF95" s="1915"/>
      <c r="IG95" s="1915"/>
      <c r="IH95" s="1915"/>
      <c r="II95" s="1915"/>
      <c r="IJ95" s="1915"/>
      <c r="IK95" s="1915"/>
    </row>
    <row r="96" spans="1:245" hidden="1" x14ac:dyDescent="0.35">
      <c r="A96" s="205"/>
      <c r="B96" s="32"/>
      <c r="C96" s="32"/>
      <c r="D96" s="32"/>
      <c r="E96" s="32"/>
      <c r="F96" s="32"/>
      <c r="G96" s="32"/>
      <c r="H96" s="1916"/>
      <c r="I96" s="1916"/>
      <c r="J96" s="1916"/>
      <c r="K96" s="1916"/>
      <c r="L96" s="1916"/>
      <c r="M96" s="1916"/>
      <c r="N96" s="1916"/>
      <c r="O96" s="1916"/>
      <c r="P96" s="1916"/>
      <c r="Q96" s="1916"/>
      <c r="R96" s="1916"/>
      <c r="S96" s="1916"/>
      <c r="T96" s="1916"/>
      <c r="U96" s="1916"/>
      <c r="V96" s="1916"/>
      <c r="W96" s="1916"/>
      <c r="X96" s="1916"/>
      <c r="Y96" s="1916"/>
      <c r="Z96" s="1916"/>
      <c r="AA96" s="1916"/>
      <c r="AB96" s="1916"/>
      <c r="AC96" s="1916"/>
      <c r="AD96" s="1916"/>
      <c r="AE96" s="1916"/>
      <c r="AF96" s="1916"/>
      <c r="AG96" s="1916"/>
      <c r="AH96" s="1916"/>
      <c r="AI96" s="1916"/>
      <c r="AJ96" s="1916"/>
      <c r="AK96" s="1916"/>
      <c r="AL96" s="1916"/>
      <c r="AM96" s="1916"/>
      <c r="AN96" s="1916"/>
      <c r="AO96" s="1916"/>
      <c r="AP96" s="1916"/>
      <c r="AQ96" s="1916"/>
      <c r="AR96" s="1916"/>
      <c r="AS96" s="1916"/>
      <c r="AT96" s="1916"/>
      <c r="AU96" s="1916"/>
      <c r="AV96" s="1916"/>
      <c r="AW96" s="1916"/>
      <c r="AX96" s="1916"/>
      <c r="AY96" s="1916"/>
      <c r="AZ96" s="1916"/>
      <c r="BA96" s="1916"/>
      <c r="BB96" s="1916"/>
      <c r="BC96" s="1916"/>
      <c r="BD96" s="1916"/>
      <c r="BE96" s="1916"/>
      <c r="BF96" s="1916"/>
      <c r="BG96" s="1916"/>
      <c r="BH96" s="1916"/>
      <c r="BI96" s="1916"/>
      <c r="BJ96" s="1916"/>
      <c r="BK96" s="1916"/>
      <c r="BL96" s="1916"/>
      <c r="BM96" s="1916"/>
      <c r="BN96" s="1916"/>
      <c r="BO96" s="1916"/>
      <c r="BP96" s="1916"/>
      <c r="BQ96" s="1916"/>
      <c r="BR96" s="1916"/>
      <c r="BS96" s="1916"/>
      <c r="BT96" s="1916"/>
      <c r="BU96" s="1916"/>
      <c r="BV96" s="1916"/>
      <c r="BW96" s="1916"/>
      <c r="BX96" s="1916"/>
      <c r="BY96" s="1916"/>
      <c r="BZ96" s="1916"/>
      <c r="CA96" s="1916"/>
      <c r="CB96" s="1916"/>
      <c r="CC96" s="1916"/>
      <c r="CD96" s="1916"/>
      <c r="CE96" s="1916"/>
      <c r="CF96" s="1916"/>
      <c r="CG96" s="1916"/>
      <c r="CH96" s="1916"/>
      <c r="CI96" s="1916"/>
      <c r="CJ96" s="1916"/>
      <c r="CK96" s="1916"/>
      <c r="CL96" s="1916"/>
      <c r="CM96" s="1916"/>
      <c r="CN96" s="1916"/>
      <c r="CO96" s="1916"/>
      <c r="CP96" s="1916"/>
      <c r="CQ96" s="1916"/>
      <c r="CR96" s="1916"/>
      <c r="CS96" s="1916"/>
      <c r="CT96" s="1916"/>
      <c r="CU96" s="1916"/>
      <c r="CV96" s="1916"/>
      <c r="CW96" s="1916"/>
      <c r="CX96" s="1916"/>
      <c r="CY96" s="1916"/>
      <c r="CZ96" s="1916"/>
      <c r="DA96" s="1916"/>
      <c r="DB96" s="1916"/>
      <c r="DC96" s="1916"/>
      <c r="DD96" s="1916"/>
      <c r="DE96" s="1916"/>
      <c r="DF96" s="1916"/>
      <c r="DG96" s="1916"/>
      <c r="DH96" s="1916"/>
      <c r="DI96" s="1916"/>
      <c r="DJ96" s="1916"/>
      <c r="DK96" s="1916"/>
      <c r="DL96" s="1916"/>
      <c r="DM96" s="1916"/>
      <c r="DN96" s="1916"/>
      <c r="DO96" s="1916"/>
      <c r="DP96" s="1916"/>
      <c r="DQ96" s="1916"/>
      <c r="DR96" s="1916"/>
      <c r="DS96" s="1916"/>
      <c r="DT96" s="1916"/>
      <c r="DU96" s="1916"/>
      <c r="DV96" s="1958"/>
      <c r="DW96" s="1916"/>
      <c r="DX96" s="1916"/>
      <c r="DY96" s="1916"/>
      <c r="DZ96" s="1916"/>
      <c r="EA96" s="1916"/>
      <c r="EB96" s="1916"/>
      <c r="EC96" s="1958"/>
      <c r="ED96" s="1916"/>
      <c r="EE96" s="1916"/>
      <c r="EF96" s="1916"/>
      <c r="EG96" s="1916"/>
      <c r="EH96" s="1916"/>
      <c r="EI96" s="1916"/>
      <c r="EJ96" s="1958"/>
      <c r="EK96" s="1916"/>
      <c r="EL96" s="1916"/>
      <c r="EM96" s="1916"/>
      <c r="EN96" s="1916"/>
      <c r="EO96" s="1916"/>
      <c r="EP96" s="1916"/>
      <c r="EQ96" s="1958"/>
      <c r="ER96" s="1916"/>
      <c r="ES96" s="1916"/>
      <c r="ET96" s="1916"/>
      <c r="EU96" s="1916"/>
      <c r="EV96" s="1916"/>
      <c r="EW96" s="1916"/>
      <c r="EX96" s="1916"/>
      <c r="EY96" s="1916"/>
      <c r="EZ96" s="1916"/>
      <c r="FA96" s="1916"/>
      <c r="FB96" s="1916"/>
      <c r="FC96" s="1916"/>
      <c r="FD96" s="1916"/>
      <c r="FE96" s="1916"/>
      <c r="FF96" s="1916"/>
      <c r="FG96" s="1916"/>
      <c r="FH96" s="1916"/>
      <c r="FI96" s="1916"/>
      <c r="FJ96" s="1916"/>
      <c r="FK96" s="1916"/>
      <c r="FL96" s="1916"/>
      <c r="FM96" s="1916"/>
      <c r="FN96" s="1916"/>
      <c r="FO96" s="1916"/>
      <c r="FP96" s="1916"/>
      <c r="FQ96" s="1916"/>
      <c r="FR96" s="1916"/>
      <c r="FS96" s="1916"/>
      <c r="FT96" s="1916"/>
      <c r="FU96" s="1916"/>
      <c r="FV96" s="1916"/>
      <c r="FW96" s="1916"/>
      <c r="FX96" s="1916"/>
      <c r="FY96" s="1916"/>
      <c r="FZ96" s="1916"/>
      <c r="GA96" s="1916"/>
      <c r="GB96" s="1916"/>
      <c r="GC96" s="1916"/>
      <c r="GD96" s="1916"/>
      <c r="GE96" s="1916"/>
      <c r="GF96" s="1916"/>
      <c r="GG96" s="1916"/>
      <c r="GH96" s="1916"/>
      <c r="GI96" s="1916"/>
      <c r="GJ96" s="1916"/>
      <c r="GK96" s="1916"/>
      <c r="GL96" s="1916"/>
      <c r="GM96" s="1916"/>
      <c r="GN96" s="1916"/>
      <c r="GO96" s="1916"/>
      <c r="GP96" s="1916"/>
      <c r="GQ96" s="1916"/>
      <c r="GR96" s="1916"/>
      <c r="GS96" s="1916"/>
      <c r="GT96" s="1916"/>
      <c r="GU96" s="1916"/>
      <c r="GV96" s="1916"/>
      <c r="GW96" s="1916"/>
      <c r="GX96" s="1916"/>
      <c r="GY96" s="1916"/>
      <c r="GZ96" s="1916"/>
      <c r="HA96" s="1916"/>
      <c r="HB96" s="1916"/>
      <c r="HC96" s="1916"/>
      <c r="HD96" s="1916"/>
      <c r="HE96" s="1916"/>
      <c r="HF96" s="1916"/>
      <c r="HG96" s="1916"/>
      <c r="HH96" s="1916"/>
      <c r="HI96" s="1916"/>
      <c r="HJ96" s="1916"/>
      <c r="HK96" s="1916"/>
      <c r="HL96" s="1916"/>
      <c r="HM96" s="1916"/>
      <c r="HN96" s="1916"/>
      <c r="HO96" s="1916"/>
      <c r="HP96" s="1916"/>
      <c r="HQ96" s="1916"/>
      <c r="HR96" s="1916"/>
      <c r="HS96" s="1916"/>
      <c r="HT96" s="1916"/>
      <c r="HU96" s="1916"/>
      <c r="HV96" s="1916"/>
      <c r="HW96" s="1916"/>
      <c r="HX96" s="1916"/>
      <c r="HY96" s="1916"/>
      <c r="HZ96" s="1916"/>
      <c r="IA96" s="1916"/>
      <c r="IB96" s="1916"/>
      <c r="IC96" s="1916"/>
      <c r="ID96" s="1916"/>
      <c r="IE96" s="1916"/>
      <c r="IF96" s="1916"/>
      <c r="IG96" s="1916"/>
      <c r="IH96" s="1916"/>
      <c r="II96" s="1916"/>
      <c r="IJ96" s="1916"/>
      <c r="IK96" s="1916"/>
    </row>
    <row r="97" spans="1:245" s="195" customFormat="1" ht="19.5" hidden="1" customHeight="1" x14ac:dyDescent="0.35">
      <c r="B97" s="345" t="s">
        <v>35</v>
      </c>
      <c r="C97" s="1975">
        <f ca="1">IF(F124&lt;&gt;0,F124,IF(F174&lt;&gt;0,F174,IF(F125&lt;&gt;0,F125,IF(F126&lt;&gt;0,F126,IF(F126&lt;&gt;0,F127,IF(F128&lt;&gt;0,F128,0))))))</f>
        <v>0</v>
      </c>
      <c r="D97" s="1975"/>
      <c r="E97" s="1975"/>
      <c r="F97" s="1975"/>
      <c r="G97" s="1976"/>
      <c r="H97" s="1926" t="str">
        <f>"sem.
"&amp;N92/7</f>
        <v>sem.
0,285714285714286</v>
      </c>
      <c r="I97" s="1927"/>
      <c r="J97" s="1927"/>
      <c r="K97" s="1927"/>
      <c r="L97" s="1927"/>
      <c r="M97" s="1927"/>
      <c r="N97" s="1928"/>
      <c r="O97" s="1926" t="str">
        <f>"sem.
"&amp;U92/7</f>
        <v>sem.
1,28571428571429</v>
      </c>
      <c r="P97" s="1927"/>
      <c r="Q97" s="1927"/>
      <c r="R97" s="1927"/>
      <c r="S97" s="1927"/>
      <c r="T97" s="1927"/>
      <c r="U97" s="1928"/>
      <c r="V97" s="1926" t="str">
        <f>"sem.
"&amp;AB92/7</f>
        <v>sem.
2,28571428571429</v>
      </c>
      <c r="W97" s="1927"/>
      <c r="X97" s="1927"/>
      <c r="Y97" s="1927"/>
      <c r="Z97" s="1927"/>
      <c r="AA97" s="1927"/>
      <c r="AB97" s="1928"/>
      <c r="AC97" s="1926" t="str">
        <f>"sem.
"&amp;AI92/7</f>
        <v>sem.
3,28571428571429</v>
      </c>
      <c r="AD97" s="1927"/>
      <c r="AE97" s="1927"/>
      <c r="AF97" s="1927"/>
      <c r="AG97" s="1927"/>
      <c r="AH97" s="1927"/>
      <c r="AI97" s="1928"/>
      <c r="AJ97" s="1926" t="str">
        <f>"sem.
"&amp;AP92/7</f>
        <v>sem.
4,28571428571429</v>
      </c>
      <c r="AK97" s="1927"/>
      <c r="AL97" s="1927"/>
      <c r="AM97" s="1927"/>
      <c r="AN97" s="1927"/>
      <c r="AO97" s="1927"/>
      <c r="AP97" s="1928"/>
      <c r="AQ97" s="1926" t="str">
        <f>"sem.
"&amp;AW92/7</f>
        <v>sem.
5,28571428571429</v>
      </c>
      <c r="AR97" s="1927"/>
      <c r="AS97" s="1927"/>
      <c r="AT97" s="1927"/>
      <c r="AU97" s="1927"/>
      <c r="AV97" s="1927"/>
      <c r="AW97" s="1928"/>
      <c r="AX97" s="1926" t="str">
        <f>"sem.
"&amp;BD92/7</f>
        <v>sem.
6,28571428571429</v>
      </c>
      <c r="AY97" s="1927"/>
      <c r="AZ97" s="1927"/>
      <c r="BA97" s="1927"/>
      <c r="BB97" s="1927"/>
      <c r="BC97" s="1927"/>
      <c r="BD97" s="1928"/>
      <c r="BE97" s="1926" t="str">
        <f>"sem.
"&amp;BK92/7</f>
        <v>sem.
7,28571428571429</v>
      </c>
      <c r="BF97" s="1927"/>
      <c r="BG97" s="1927"/>
      <c r="BH97" s="1927"/>
      <c r="BI97" s="1927"/>
      <c r="BJ97" s="1927"/>
      <c r="BK97" s="1928"/>
      <c r="BL97" s="1926" t="str">
        <f>"sem.
"&amp;BR92/7</f>
        <v>sem.
8,28571428571429</v>
      </c>
      <c r="BM97" s="1927"/>
      <c r="BN97" s="1927"/>
      <c r="BO97" s="1927"/>
      <c r="BP97" s="1927"/>
      <c r="BQ97" s="1927"/>
      <c r="BR97" s="1928"/>
      <c r="BS97" s="1926" t="str">
        <f>"sem.
"&amp;BY92/7</f>
        <v>sem.
9,28571428571429</v>
      </c>
      <c r="BT97" s="1927"/>
      <c r="BU97" s="1927"/>
      <c r="BV97" s="1927"/>
      <c r="BW97" s="1927"/>
      <c r="BX97" s="1927"/>
      <c r="BY97" s="1928"/>
      <c r="BZ97" s="1926" t="str">
        <f>"sem.
"&amp;CF92/7</f>
        <v>sem.
10,2857142857143</v>
      </c>
      <c r="CA97" s="1927"/>
      <c r="CB97" s="1927"/>
      <c r="CC97" s="1927"/>
      <c r="CD97" s="1927"/>
      <c r="CE97" s="1927"/>
      <c r="CF97" s="1928"/>
      <c r="CG97" s="1926" t="str">
        <f>"sem.
"&amp;CM92/7</f>
        <v>sem.
11,2857142857143</v>
      </c>
      <c r="CH97" s="1927"/>
      <c r="CI97" s="1927"/>
      <c r="CJ97" s="1927"/>
      <c r="CK97" s="1927"/>
      <c r="CL97" s="1927"/>
      <c r="CM97" s="1928"/>
      <c r="CN97" s="1926" t="str">
        <f>"sem.
"&amp;CT92/7</f>
        <v>sem.
12,2857142857143</v>
      </c>
      <c r="CO97" s="1927"/>
      <c r="CP97" s="1927"/>
      <c r="CQ97" s="1927"/>
      <c r="CR97" s="1927"/>
      <c r="CS97" s="1927"/>
      <c r="CT97" s="1928"/>
      <c r="CU97" s="1926" t="str">
        <f>"sem.
"&amp;DA92/7</f>
        <v>sem.
13,2857142857143</v>
      </c>
      <c r="CV97" s="1927"/>
      <c r="CW97" s="1927"/>
      <c r="CX97" s="1927"/>
      <c r="CY97" s="1927"/>
      <c r="CZ97" s="1927"/>
      <c r="DA97" s="1928"/>
      <c r="DB97" s="1926" t="str">
        <f>"sem.
"&amp;DH92/7</f>
        <v>sem.
14,2857142857143</v>
      </c>
      <c r="DC97" s="1927"/>
      <c r="DD97" s="1927"/>
      <c r="DE97" s="1927"/>
      <c r="DF97" s="1927"/>
      <c r="DG97" s="1927"/>
      <c r="DH97" s="1928"/>
      <c r="DI97" s="1926" t="str">
        <f>"sem.
"&amp;DO92/7</f>
        <v>sem.
15,2857142857143</v>
      </c>
      <c r="DJ97" s="1927"/>
      <c r="DK97" s="1927"/>
      <c r="DL97" s="1927"/>
      <c r="DM97" s="1927"/>
      <c r="DN97" s="1927"/>
      <c r="DO97" s="1928"/>
      <c r="DP97" s="1926" t="str">
        <f>"sem.
"&amp;DV92/7</f>
        <v>sem.
16,2857142857143</v>
      </c>
      <c r="DQ97" s="1927"/>
      <c r="DR97" s="1927"/>
      <c r="DS97" s="1927"/>
      <c r="DT97" s="1927"/>
      <c r="DU97" s="1927"/>
      <c r="DV97" s="1928"/>
      <c r="DW97" s="1926" t="str">
        <f>"sem.
"&amp;EC92/7</f>
        <v>sem.
17,2857142857143</v>
      </c>
      <c r="DX97" s="1927"/>
      <c r="DY97" s="1927"/>
      <c r="DZ97" s="1927"/>
      <c r="EA97" s="1927"/>
      <c r="EB97" s="1927"/>
      <c r="EC97" s="1928"/>
      <c r="ED97" s="1926" t="str">
        <f>"sem.
"&amp;EJ92/7</f>
        <v>sem.
18,2857142857143</v>
      </c>
      <c r="EE97" s="1927"/>
      <c r="EF97" s="1927"/>
      <c r="EG97" s="1927"/>
      <c r="EH97" s="1927"/>
      <c r="EI97" s="1927"/>
      <c r="EJ97" s="1928"/>
      <c r="EK97" s="1926" t="str">
        <f>"sem.
"&amp;EQ92/7</f>
        <v>sem.
19,2857142857143</v>
      </c>
      <c r="EL97" s="1927"/>
      <c r="EM97" s="1927"/>
      <c r="EN97" s="1927"/>
      <c r="EO97" s="1927"/>
      <c r="EP97" s="1927"/>
      <c r="EQ97" s="1928"/>
      <c r="ER97" s="1926" t="str">
        <f>"sem.
"&amp;EX92/7</f>
        <v>sem.
20,2857142857143</v>
      </c>
      <c r="ES97" s="1927"/>
      <c r="ET97" s="1927"/>
      <c r="EU97" s="1927"/>
      <c r="EV97" s="1927"/>
      <c r="EW97" s="1927"/>
      <c r="EX97" s="1928"/>
      <c r="EY97" s="1926" t="str">
        <f>"sem.
"&amp;FE92/7</f>
        <v>sem.
21,2857142857143</v>
      </c>
      <c r="EZ97" s="1927"/>
      <c r="FA97" s="1927"/>
      <c r="FB97" s="1927"/>
      <c r="FC97" s="1927"/>
      <c r="FD97" s="1927"/>
      <c r="FE97" s="1928"/>
      <c r="FF97" s="1926" t="str">
        <f>"sem.
"&amp;FL92/7</f>
        <v>sem.
22,2857142857143</v>
      </c>
      <c r="FG97" s="1927"/>
      <c r="FH97" s="1927"/>
      <c r="FI97" s="1927"/>
      <c r="FJ97" s="1927"/>
      <c r="FK97" s="1927"/>
      <c r="FL97" s="1928"/>
      <c r="FM97" s="1926" t="str">
        <f>"sem.
"&amp;FS92/7</f>
        <v>sem.
23,2857142857143</v>
      </c>
      <c r="FN97" s="1927"/>
      <c r="FO97" s="1927"/>
      <c r="FP97" s="1927"/>
      <c r="FQ97" s="1927"/>
      <c r="FR97" s="1927"/>
      <c r="FS97" s="1928"/>
      <c r="FT97" s="1926" t="str">
        <f>"sem.
"&amp;FZ92/7</f>
        <v>sem.
24,2857142857143</v>
      </c>
      <c r="FU97" s="1927"/>
      <c r="FV97" s="1927"/>
      <c r="FW97" s="1927"/>
      <c r="FX97" s="1927"/>
      <c r="FY97" s="1927"/>
      <c r="FZ97" s="1928"/>
      <c r="GA97" s="1926" t="str">
        <f>"sem.
"&amp;GG92/7</f>
        <v>sem.
25,2857142857143</v>
      </c>
      <c r="GB97" s="1927"/>
      <c r="GC97" s="1927"/>
      <c r="GD97" s="1927"/>
      <c r="GE97" s="1927"/>
      <c r="GF97" s="1927"/>
      <c r="GG97" s="1928"/>
      <c r="GH97" s="1926" t="str">
        <f>"sem.
"&amp;GN92/7</f>
        <v>sem.
26,2857142857143</v>
      </c>
      <c r="GI97" s="1927"/>
      <c r="GJ97" s="1927"/>
      <c r="GK97" s="1927"/>
      <c r="GL97" s="1927"/>
      <c r="GM97" s="1927"/>
      <c r="GN97" s="1928"/>
      <c r="GO97" s="1926" t="str">
        <f>"sem.
"&amp;GU92/7</f>
        <v>sem.
27,2857142857143</v>
      </c>
      <c r="GP97" s="1927"/>
      <c r="GQ97" s="1927"/>
      <c r="GR97" s="1927"/>
      <c r="GS97" s="1927"/>
      <c r="GT97" s="1927"/>
      <c r="GU97" s="1928"/>
      <c r="GV97" s="1926" t="str">
        <f>"sem.
"&amp;HB92/7</f>
        <v>sem.
28,2857142857143</v>
      </c>
      <c r="GW97" s="1927"/>
      <c r="GX97" s="1927"/>
      <c r="GY97" s="1927"/>
      <c r="GZ97" s="1927"/>
      <c r="HA97" s="1927"/>
      <c r="HB97" s="1928"/>
      <c r="HC97" s="1926" t="str">
        <f>"sem.
"&amp;HI92/7</f>
        <v>sem.
29,2857142857143</v>
      </c>
      <c r="HD97" s="1927"/>
      <c r="HE97" s="1927"/>
      <c r="HF97" s="1927"/>
      <c r="HG97" s="1927"/>
      <c r="HH97" s="1927"/>
      <c r="HI97" s="1928"/>
      <c r="HJ97" s="1926" t="str">
        <f>"sem.
"&amp;HP92/7</f>
        <v>sem.
30,2857142857143</v>
      </c>
      <c r="HK97" s="1927"/>
      <c r="HL97" s="1927"/>
      <c r="HM97" s="1927"/>
      <c r="HN97" s="1927"/>
      <c r="HO97" s="1927"/>
      <c r="HP97" s="1928"/>
      <c r="HQ97" s="1926" t="str">
        <f>"sem.
"&amp;HW92/7</f>
        <v>sem.
31,2857142857143</v>
      </c>
      <c r="HR97" s="1927"/>
      <c r="HS97" s="1927"/>
      <c r="HT97" s="1927"/>
      <c r="HU97" s="1927"/>
      <c r="HV97" s="1927"/>
      <c r="HW97" s="1928"/>
      <c r="HX97" s="1926" t="str">
        <f>"sem.
"&amp;ID92/7</f>
        <v>sem.
32,2857142857143</v>
      </c>
      <c r="HY97" s="1927"/>
      <c r="HZ97" s="1927"/>
      <c r="IA97" s="1927"/>
      <c r="IB97" s="1927"/>
      <c r="IC97" s="1927"/>
      <c r="ID97" s="1928"/>
      <c r="IE97" s="1926" t="str">
        <f>"sem.
"&amp;IK92/7</f>
        <v>sem.
33,2857142857143</v>
      </c>
      <c r="IF97" s="1927"/>
      <c r="IG97" s="1927"/>
      <c r="IH97" s="1927"/>
      <c r="II97" s="1927"/>
      <c r="IJ97" s="1927"/>
      <c r="IK97" s="1928"/>
    </row>
    <row r="98" spans="1:245" s="195" customFormat="1" ht="9" hidden="1" customHeight="1" x14ac:dyDescent="0.35">
      <c r="A98" s="195">
        <f>IF(B98=0,0,"XXX")</f>
        <v>0</v>
      </c>
      <c r="B98" s="346"/>
      <c r="C98" s="1977" t="s">
        <v>1567</v>
      </c>
      <c r="D98" s="1988" t="s">
        <v>1568</v>
      </c>
      <c r="E98" s="1989"/>
      <c r="F98" s="1982" t="s">
        <v>1569</v>
      </c>
      <c r="G98" s="1983"/>
      <c r="H98" s="1929">
        <f ca="1">H94</f>
        <v>45914</v>
      </c>
      <c r="I98" s="1930"/>
      <c r="J98" s="1930"/>
      <c r="K98" s="1933" t="s">
        <v>896</v>
      </c>
      <c r="L98" s="1930">
        <f ca="1">LARGE(H94:N96,1)</f>
        <v>45920</v>
      </c>
      <c r="M98" s="1930"/>
      <c r="N98" s="1936"/>
      <c r="O98" s="1929">
        <f ca="1">O94</f>
        <v>45921</v>
      </c>
      <c r="P98" s="1930"/>
      <c r="Q98" s="1930"/>
      <c r="R98" s="1933" t="s">
        <v>896</v>
      </c>
      <c r="S98" s="1930">
        <f ca="1">LARGE(O94:U96,1)</f>
        <v>45927</v>
      </c>
      <c r="T98" s="1930"/>
      <c r="U98" s="1936"/>
      <c r="V98" s="1929">
        <f ca="1">V94</f>
        <v>45928</v>
      </c>
      <c r="W98" s="1930"/>
      <c r="X98" s="1930"/>
      <c r="Y98" s="1933" t="s">
        <v>896</v>
      </c>
      <c r="Z98" s="1930">
        <f ca="1">LARGE(V94:AB96,1)</f>
        <v>45934</v>
      </c>
      <c r="AA98" s="1930"/>
      <c r="AB98" s="1936"/>
      <c r="AC98" s="1929">
        <f ca="1">AC94</f>
        <v>45935</v>
      </c>
      <c r="AD98" s="1930"/>
      <c r="AE98" s="1930"/>
      <c r="AF98" s="1933" t="s">
        <v>896</v>
      </c>
      <c r="AG98" s="1930">
        <f ca="1">LARGE(AC94:AI96,1)</f>
        <v>45941</v>
      </c>
      <c r="AH98" s="1930"/>
      <c r="AI98" s="1936"/>
      <c r="AJ98" s="1929">
        <f ca="1">AJ94</f>
        <v>45942</v>
      </c>
      <c r="AK98" s="1930"/>
      <c r="AL98" s="1930"/>
      <c r="AM98" s="1933" t="s">
        <v>896</v>
      </c>
      <c r="AN98" s="1930">
        <f ca="1">LARGE(AJ94:AP96,1)</f>
        <v>45948</v>
      </c>
      <c r="AO98" s="1930"/>
      <c r="AP98" s="1936"/>
      <c r="AQ98" s="1929">
        <f ca="1">AQ94</f>
        <v>45949</v>
      </c>
      <c r="AR98" s="1930"/>
      <c r="AS98" s="1930"/>
      <c r="AT98" s="1933" t="s">
        <v>896</v>
      </c>
      <c r="AU98" s="1930">
        <f ca="1">LARGE(AQ94:AW96,1)</f>
        <v>45955</v>
      </c>
      <c r="AV98" s="1930"/>
      <c r="AW98" s="1936"/>
      <c r="AX98" s="1929">
        <f ca="1">AX94</f>
        <v>45956</v>
      </c>
      <c r="AY98" s="1930"/>
      <c r="AZ98" s="1930"/>
      <c r="BA98" s="1933" t="s">
        <v>896</v>
      </c>
      <c r="BB98" s="1930">
        <f ca="1">LARGE(AX94:BD96,1)</f>
        <v>45962</v>
      </c>
      <c r="BC98" s="1930"/>
      <c r="BD98" s="1936"/>
      <c r="BE98" s="1929">
        <f ca="1">BE94</f>
        <v>45963</v>
      </c>
      <c r="BF98" s="1930"/>
      <c r="BG98" s="1930"/>
      <c r="BH98" s="1933" t="s">
        <v>896</v>
      </c>
      <c r="BI98" s="1930">
        <f ca="1">LARGE(BE94:BK96,1)</f>
        <v>45969</v>
      </c>
      <c r="BJ98" s="1930"/>
      <c r="BK98" s="1936"/>
      <c r="BL98" s="1929">
        <f ca="1">BL94</f>
        <v>45970</v>
      </c>
      <c r="BM98" s="1930"/>
      <c r="BN98" s="1930"/>
      <c r="BO98" s="1933" t="s">
        <v>896</v>
      </c>
      <c r="BP98" s="1930">
        <f ca="1">LARGE(BL94:BR96,1)</f>
        <v>45976</v>
      </c>
      <c r="BQ98" s="1930"/>
      <c r="BR98" s="1936"/>
      <c r="BS98" s="1929">
        <f ca="1">BS94</f>
        <v>45977</v>
      </c>
      <c r="BT98" s="1930"/>
      <c r="BU98" s="1930"/>
      <c r="BV98" s="1933" t="s">
        <v>896</v>
      </c>
      <c r="BW98" s="1930">
        <f ca="1">LARGE(BS94:BY96,1)</f>
        <v>45983</v>
      </c>
      <c r="BX98" s="1930"/>
      <c r="BY98" s="1936"/>
      <c r="BZ98" s="1929">
        <f ca="1">BZ94</f>
        <v>45984</v>
      </c>
      <c r="CA98" s="1930"/>
      <c r="CB98" s="1930"/>
      <c r="CC98" s="1933" t="s">
        <v>896</v>
      </c>
      <c r="CD98" s="1930">
        <f ca="1">LARGE(BZ94:CF96,1)</f>
        <v>45990</v>
      </c>
      <c r="CE98" s="1930"/>
      <c r="CF98" s="1936"/>
      <c r="CG98" s="1929">
        <f ca="1">CG94</f>
        <v>45991</v>
      </c>
      <c r="CH98" s="1930"/>
      <c r="CI98" s="1930"/>
      <c r="CJ98" s="1933" t="s">
        <v>896</v>
      </c>
      <c r="CK98" s="1930">
        <f ca="1">LARGE(CG94:CM96,1)</f>
        <v>45997</v>
      </c>
      <c r="CL98" s="1930"/>
      <c r="CM98" s="1936"/>
      <c r="CN98" s="1929">
        <f ca="1">CN94</f>
        <v>45998</v>
      </c>
      <c r="CO98" s="1930"/>
      <c r="CP98" s="1930"/>
      <c r="CQ98" s="1933" t="s">
        <v>896</v>
      </c>
      <c r="CR98" s="1930">
        <f ca="1">LARGE(CN94:CT96,1)</f>
        <v>46004</v>
      </c>
      <c r="CS98" s="1930"/>
      <c r="CT98" s="1936"/>
      <c r="CU98" s="1929">
        <f ca="1">CU94</f>
        <v>46005</v>
      </c>
      <c r="CV98" s="1930"/>
      <c r="CW98" s="1930"/>
      <c r="CX98" s="1933" t="s">
        <v>896</v>
      </c>
      <c r="CY98" s="1930">
        <f ca="1">LARGE(CU94:DA96,1)</f>
        <v>46011</v>
      </c>
      <c r="CZ98" s="1930"/>
      <c r="DA98" s="1936"/>
      <c r="DB98" s="1929">
        <f ca="1">DB94</f>
        <v>46012</v>
      </c>
      <c r="DC98" s="1930"/>
      <c r="DD98" s="1930"/>
      <c r="DE98" s="1933" t="s">
        <v>896</v>
      </c>
      <c r="DF98" s="1930">
        <f ca="1">LARGE(DB94:DH96,1)</f>
        <v>46018</v>
      </c>
      <c r="DG98" s="1930"/>
      <c r="DH98" s="1936"/>
      <c r="DI98" s="1929">
        <f ca="1">DI94</f>
        <v>46019</v>
      </c>
      <c r="DJ98" s="1930"/>
      <c r="DK98" s="1930"/>
      <c r="DL98" s="1933" t="s">
        <v>896</v>
      </c>
      <c r="DM98" s="1930">
        <f ca="1">LARGE(DI94:DO96,1)</f>
        <v>46025</v>
      </c>
      <c r="DN98" s="1930"/>
      <c r="DO98" s="1936"/>
      <c r="DP98" s="1929">
        <f ca="1">DP94</f>
        <v>46026</v>
      </c>
      <c r="DQ98" s="1930"/>
      <c r="DR98" s="1930"/>
      <c r="DS98" s="1933" t="s">
        <v>896</v>
      </c>
      <c r="DT98" s="1930">
        <f ca="1">LARGE(DP94:DV96,1)</f>
        <v>46032</v>
      </c>
      <c r="DU98" s="1930"/>
      <c r="DV98" s="1936"/>
      <c r="DW98" s="1929">
        <f ca="1">DW94</f>
        <v>46033</v>
      </c>
      <c r="DX98" s="1930"/>
      <c r="DY98" s="1930"/>
      <c r="DZ98" s="1933" t="s">
        <v>896</v>
      </c>
      <c r="EA98" s="1930">
        <f ca="1">LARGE(DW94:EC96,1)</f>
        <v>46039</v>
      </c>
      <c r="EB98" s="1930"/>
      <c r="EC98" s="1936"/>
      <c r="ED98" s="1929">
        <f ca="1">ED94</f>
        <v>46040</v>
      </c>
      <c r="EE98" s="1930"/>
      <c r="EF98" s="1930"/>
      <c r="EG98" s="1933" t="s">
        <v>896</v>
      </c>
      <c r="EH98" s="1930">
        <f ca="1">LARGE(ED94:EJ96,1)</f>
        <v>46046</v>
      </c>
      <c r="EI98" s="1930"/>
      <c r="EJ98" s="1936"/>
      <c r="EK98" s="1929">
        <f ca="1">EK94</f>
        <v>46047</v>
      </c>
      <c r="EL98" s="1930"/>
      <c r="EM98" s="1930"/>
      <c r="EN98" s="1933" t="s">
        <v>896</v>
      </c>
      <c r="EO98" s="1930">
        <f ca="1">LARGE(EK94:EQ96,1)</f>
        <v>46053</v>
      </c>
      <c r="EP98" s="1930"/>
      <c r="EQ98" s="1936"/>
      <c r="ER98" s="1929">
        <f ca="1">ER94</f>
        <v>46054</v>
      </c>
      <c r="ES98" s="1930"/>
      <c r="ET98" s="1930"/>
      <c r="EU98" s="1933" t="s">
        <v>896</v>
      </c>
      <c r="EV98" s="1930">
        <f ca="1">LARGE(ER94:EX96,1)</f>
        <v>46060</v>
      </c>
      <c r="EW98" s="1930"/>
      <c r="EX98" s="1936"/>
      <c r="EY98" s="1929">
        <f ca="1">EY94</f>
        <v>46061</v>
      </c>
      <c r="EZ98" s="1930"/>
      <c r="FA98" s="1930"/>
      <c r="FB98" s="1933" t="s">
        <v>896</v>
      </c>
      <c r="FC98" s="1930">
        <f ca="1">LARGE(EY94:FE96,1)</f>
        <v>46067</v>
      </c>
      <c r="FD98" s="1930"/>
      <c r="FE98" s="1936"/>
      <c r="FF98" s="1929">
        <f ca="1">FF94</f>
        <v>46068</v>
      </c>
      <c r="FG98" s="1930"/>
      <c r="FH98" s="1930"/>
      <c r="FI98" s="1933" t="s">
        <v>896</v>
      </c>
      <c r="FJ98" s="1930">
        <f ca="1">LARGE(FF94:FL96,1)</f>
        <v>46074</v>
      </c>
      <c r="FK98" s="1930"/>
      <c r="FL98" s="1936"/>
      <c r="FM98" s="1929">
        <f ca="1">FM94</f>
        <v>46075</v>
      </c>
      <c r="FN98" s="1930"/>
      <c r="FO98" s="1930"/>
      <c r="FP98" s="1933" t="s">
        <v>896</v>
      </c>
      <c r="FQ98" s="1930">
        <f ca="1">LARGE(FM94:FS96,1)</f>
        <v>46081</v>
      </c>
      <c r="FR98" s="1930"/>
      <c r="FS98" s="1936"/>
      <c r="FT98" s="1929">
        <f ca="1">FT94</f>
        <v>46082</v>
      </c>
      <c r="FU98" s="1930"/>
      <c r="FV98" s="1930"/>
      <c r="FW98" s="1933" t="s">
        <v>896</v>
      </c>
      <c r="FX98" s="1930">
        <f ca="1">LARGE(FT94:FZ96,1)</f>
        <v>46088</v>
      </c>
      <c r="FY98" s="1930"/>
      <c r="FZ98" s="1936"/>
      <c r="GA98" s="1929">
        <f ca="1">GA94</f>
        <v>46089</v>
      </c>
      <c r="GB98" s="1930"/>
      <c r="GC98" s="1930"/>
      <c r="GD98" s="1933" t="s">
        <v>896</v>
      </c>
      <c r="GE98" s="1930">
        <f ca="1">LARGE(GA94:GG96,1)</f>
        <v>46095</v>
      </c>
      <c r="GF98" s="1930"/>
      <c r="GG98" s="1936"/>
      <c r="GH98" s="1929">
        <f ca="1">GH94</f>
        <v>46096</v>
      </c>
      <c r="GI98" s="1930"/>
      <c r="GJ98" s="1930"/>
      <c r="GK98" s="1933" t="s">
        <v>896</v>
      </c>
      <c r="GL98" s="1930">
        <f ca="1">LARGE(GH94:GN96,1)</f>
        <v>46102</v>
      </c>
      <c r="GM98" s="1930"/>
      <c r="GN98" s="1936"/>
      <c r="GO98" s="1929">
        <f ca="1">GO94</f>
        <v>46103</v>
      </c>
      <c r="GP98" s="1930"/>
      <c r="GQ98" s="1930"/>
      <c r="GR98" s="1933" t="s">
        <v>896</v>
      </c>
      <c r="GS98" s="1930">
        <f ca="1">LARGE(GO94:GU96,1)</f>
        <v>46109</v>
      </c>
      <c r="GT98" s="1930"/>
      <c r="GU98" s="1936"/>
      <c r="GV98" s="1929">
        <f ca="1">GV94</f>
        <v>46110</v>
      </c>
      <c r="GW98" s="1930"/>
      <c r="GX98" s="1930"/>
      <c r="GY98" s="1933" t="s">
        <v>896</v>
      </c>
      <c r="GZ98" s="1930">
        <f ca="1">LARGE(GV94:HB96,1)</f>
        <v>46116</v>
      </c>
      <c r="HA98" s="1930"/>
      <c r="HB98" s="1936"/>
      <c r="HC98" s="1929">
        <f ca="1">HC94</f>
        <v>46117</v>
      </c>
      <c r="HD98" s="1930"/>
      <c r="HE98" s="1930"/>
      <c r="HF98" s="1933" t="s">
        <v>896</v>
      </c>
      <c r="HG98" s="1930">
        <f ca="1">LARGE(HC94:HI96,1)</f>
        <v>46123</v>
      </c>
      <c r="HH98" s="1930"/>
      <c r="HI98" s="1936"/>
      <c r="HJ98" s="1929">
        <f ca="1">HJ94</f>
        <v>46124</v>
      </c>
      <c r="HK98" s="1930"/>
      <c r="HL98" s="1930"/>
      <c r="HM98" s="1933" t="s">
        <v>896</v>
      </c>
      <c r="HN98" s="1930">
        <f ca="1">LARGE(HJ94:HP96,1)</f>
        <v>46130</v>
      </c>
      <c r="HO98" s="1930"/>
      <c r="HP98" s="1936"/>
      <c r="HQ98" s="1929">
        <f ca="1">HQ94</f>
        <v>46131</v>
      </c>
      <c r="HR98" s="1930"/>
      <c r="HS98" s="1930"/>
      <c r="HT98" s="1933" t="s">
        <v>896</v>
      </c>
      <c r="HU98" s="1930">
        <f ca="1">LARGE(HQ94:HW96,1)</f>
        <v>46137</v>
      </c>
      <c r="HV98" s="1930"/>
      <c r="HW98" s="1936"/>
      <c r="HX98" s="1929">
        <f ca="1">HX94</f>
        <v>46138</v>
      </c>
      <c r="HY98" s="1930"/>
      <c r="HZ98" s="1930"/>
      <c r="IA98" s="1933" t="s">
        <v>896</v>
      </c>
      <c r="IB98" s="1930">
        <f ca="1">LARGE(HX94:ID96,1)</f>
        <v>46144</v>
      </c>
      <c r="IC98" s="1930"/>
      <c r="ID98" s="1936"/>
      <c r="IE98" s="1929">
        <f ca="1">IE94</f>
        <v>46145</v>
      </c>
      <c r="IF98" s="1930"/>
      <c r="IG98" s="1930"/>
      <c r="IH98" s="1933" t="s">
        <v>896</v>
      </c>
      <c r="II98" s="1930">
        <f ca="1">LARGE(IE94:IK96,1)</f>
        <v>46151</v>
      </c>
      <c r="IJ98" s="1930"/>
      <c r="IK98" s="1936"/>
    </row>
    <row r="99" spans="1:245" s="195" customFormat="1" ht="9" hidden="1" customHeight="1" x14ac:dyDescent="0.35">
      <c r="A99" s="195">
        <f>IF(B98=0,0,"XXX")</f>
        <v>0</v>
      </c>
      <c r="B99" s="2004" t="s">
        <v>737</v>
      </c>
      <c r="C99" s="1978"/>
      <c r="D99" s="1990"/>
      <c r="E99" s="1991"/>
      <c r="F99" s="1984"/>
      <c r="G99" s="1985"/>
      <c r="H99" s="1929"/>
      <c r="I99" s="1930"/>
      <c r="J99" s="1930"/>
      <c r="K99" s="1934"/>
      <c r="L99" s="1930"/>
      <c r="M99" s="1930"/>
      <c r="N99" s="1936"/>
      <c r="O99" s="1929"/>
      <c r="P99" s="1930"/>
      <c r="Q99" s="1930"/>
      <c r="R99" s="1934"/>
      <c r="S99" s="1930"/>
      <c r="T99" s="1930"/>
      <c r="U99" s="1936"/>
      <c r="V99" s="1929"/>
      <c r="W99" s="1930"/>
      <c r="X99" s="1930"/>
      <c r="Y99" s="1934"/>
      <c r="Z99" s="1930"/>
      <c r="AA99" s="1930"/>
      <c r="AB99" s="1936"/>
      <c r="AC99" s="1929"/>
      <c r="AD99" s="1930"/>
      <c r="AE99" s="1930"/>
      <c r="AF99" s="1934"/>
      <c r="AG99" s="1930"/>
      <c r="AH99" s="1930"/>
      <c r="AI99" s="1936"/>
      <c r="AJ99" s="1929"/>
      <c r="AK99" s="1930"/>
      <c r="AL99" s="1930"/>
      <c r="AM99" s="1934"/>
      <c r="AN99" s="1930"/>
      <c r="AO99" s="1930"/>
      <c r="AP99" s="1936"/>
      <c r="AQ99" s="1929"/>
      <c r="AR99" s="1930"/>
      <c r="AS99" s="1930"/>
      <c r="AT99" s="1934"/>
      <c r="AU99" s="1930"/>
      <c r="AV99" s="1930"/>
      <c r="AW99" s="1936"/>
      <c r="AX99" s="1929"/>
      <c r="AY99" s="1930"/>
      <c r="AZ99" s="1930"/>
      <c r="BA99" s="1934"/>
      <c r="BB99" s="1930"/>
      <c r="BC99" s="1930"/>
      <c r="BD99" s="1936"/>
      <c r="BE99" s="1929"/>
      <c r="BF99" s="1930"/>
      <c r="BG99" s="1930"/>
      <c r="BH99" s="1934"/>
      <c r="BI99" s="1930"/>
      <c r="BJ99" s="1930"/>
      <c r="BK99" s="1936"/>
      <c r="BL99" s="1929"/>
      <c r="BM99" s="1930"/>
      <c r="BN99" s="1930"/>
      <c r="BO99" s="1934"/>
      <c r="BP99" s="1930"/>
      <c r="BQ99" s="1930"/>
      <c r="BR99" s="1936"/>
      <c r="BS99" s="1929"/>
      <c r="BT99" s="1930"/>
      <c r="BU99" s="1930"/>
      <c r="BV99" s="1934"/>
      <c r="BW99" s="1930"/>
      <c r="BX99" s="1930"/>
      <c r="BY99" s="1936"/>
      <c r="BZ99" s="1929"/>
      <c r="CA99" s="1930"/>
      <c r="CB99" s="1930"/>
      <c r="CC99" s="1934"/>
      <c r="CD99" s="1930"/>
      <c r="CE99" s="1930"/>
      <c r="CF99" s="1936"/>
      <c r="CG99" s="1929"/>
      <c r="CH99" s="1930"/>
      <c r="CI99" s="1930"/>
      <c r="CJ99" s="1934"/>
      <c r="CK99" s="1930"/>
      <c r="CL99" s="1930"/>
      <c r="CM99" s="1936"/>
      <c r="CN99" s="1929"/>
      <c r="CO99" s="1930"/>
      <c r="CP99" s="1930"/>
      <c r="CQ99" s="1934"/>
      <c r="CR99" s="1930"/>
      <c r="CS99" s="1930"/>
      <c r="CT99" s="1936"/>
      <c r="CU99" s="1929"/>
      <c r="CV99" s="1930"/>
      <c r="CW99" s="1930"/>
      <c r="CX99" s="1934"/>
      <c r="CY99" s="1930"/>
      <c r="CZ99" s="1930"/>
      <c r="DA99" s="1936"/>
      <c r="DB99" s="1929"/>
      <c r="DC99" s="1930"/>
      <c r="DD99" s="1930"/>
      <c r="DE99" s="1934"/>
      <c r="DF99" s="1930"/>
      <c r="DG99" s="1930"/>
      <c r="DH99" s="1936"/>
      <c r="DI99" s="1929"/>
      <c r="DJ99" s="1930"/>
      <c r="DK99" s="1930"/>
      <c r="DL99" s="1934"/>
      <c r="DM99" s="1930"/>
      <c r="DN99" s="1930"/>
      <c r="DO99" s="1936"/>
      <c r="DP99" s="1929"/>
      <c r="DQ99" s="1930"/>
      <c r="DR99" s="1930"/>
      <c r="DS99" s="1934"/>
      <c r="DT99" s="1930"/>
      <c r="DU99" s="1930"/>
      <c r="DV99" s="1936"/>
      <c r="DW99" s="1929"/>
      <c r="DX99" s="1930"/>
      <c r="DY99" s="1930"/>
      <c r="DZ99" s="1934"/>
      <c r="EA99" s="1930"/>
      <c r="EB99" s="1930"/>
      <c r="EC99" s="1936"/>
      <c r="ED99" s="1929"/>
      <c r="EE99" s="1930"/>
      <c r="EF99" s="1930"/>
      <c r="EG99" s="1934"/>
      <c r="EH99" s="1930"/>
      <c r="EI99" s="1930"/>
      <c r="EJ99" s="1936"/>
      <c r="EK99" s="1929"/>
      <c r="EL99" s="1930"/>
      <c r="EM99" s="1930"/>
      <c r="EN99" s="1934"/>
      <c r="EO99" s="1930"/>
      <c r="EP99" s="1930"/>
      <c r="EQ99" s="1936"/>
      <c r="ER99" s="1929"/>
      <c r="ES99" s="1930"/>
      <c r="ET99" s="1930"/>
      <c r="EU99" s="1934"/>
      <c r="EV99" s="1930"/>
      <c r="EW99" s="1930"/>
      <c r="EX99" s="1936"/>
      <c r="EY99" s="1929"/>
      <c r="EZ99" s="1930"/>
      <c r="FA99" s="1930"/>
      <c r="FB99" s="1934"/>
      <c r="FC99" s="1930"/>
      <c r="FD99" s="1930"/>
      <c r="FE99" s="1936"/>
      <c r="FF99" s="1929"/>
      <c r="FG99" s="1930"/>
      <c r="FH99" s="1930"/>
      <c r="FI99" s="1934"/>
      <c r="FJ99" s="1930"/>
      <c r="FK99" s="1930"/>
      <c r="FL99" s="1936"/>
      <c r="FM99" s="1929"/>
      <c r="FN99" s="1930"/>
      <c r="FO99" s="1930"/>
      <c r="FP99" s="1934"/>
      <c r="FQ99" s="1930"/>
      <c r="FR99" s="1930"/>
      <c r="FS99" s="1936"/>
      <c r="FT99" s="1929"/>
      <c r="FU99" s="1930"/>
      <c r="FV99" s="1930"/>
      <c r="FW99" s="1934"/>
      <c r="FX99" s="1930"/>
      <c r="FY99" s="1930"/>
      <c r="FZ99" s="1936"/>
      <c r="GA99" s="1929"/>
      <c r="GB99" s="1930"/>
      <c r="GC99" s="1930"/>
      <c r="GD99" s="1934"/>
      <c r="GE99" s="1930"/>
      <c r="GF99" s="1930"/>
      <c r="GG99" s="1936"/>
      <c r="GH99" s="1929"/>
      <c r="GI99" s="1930"/>
      <c r="GJ99" s="1930"/>
      <c r="GK99" s="1934"/>
      <c r="GL99" s="1930"/>
      <c r="GM99" s="1930"/>
      <c r="GN99" s="1936"/>
      <c r="GO99" s="1929"/>
      <c r="GP99" s="1930"/>
      <c r="GQ99" s="1930"/>
      <c r="GR99" s="1934"/>
      <c r="GS99" s="1930"/>
      <c r="GT99" s="1930"/>
      <c r="GU99" s="1936"/>
      <c r="GV99" s="1929"/>
      <c r="GW99" s="1930"/>
      <c r="GX99" s="1930"/>
      <c r="GY99" s="1934"/>
      <c r="GZ99" s="1930"/>
      <c r="HA99" s="1930"/>
      <c r="HB99" s="1936"/>
      <c r="HC99" s="1929"/>
      <c r="HD99" s="1930"/>
      <c r="HE99" s="1930"/>
      <c r="HF99" s="1934"/>
      <c r="HG99" s="1930"/>
      <c r="HH99" s="1930"/>
      <c r="HI99" s="1936"/>
      <c r="HJ99" s="1929"/>
      <c r="HK99" s="1930"/>
      <c r="HL99" s="1930"/>
      <c r="HM99" s="1934"/>
      <c r="HN99" s="1930"/>
      <c r="HO99" s="1930"/>
      <c r="HP99" s="1936"/>
      <c r="HQ99" s="1929"/>
      <c r="HR99" s="1930"/>
      <c r="HS99" s="1930"/>
      <c r="HT99" s="1934"/>
      <c r="HU99" s="1930"/>
      <c r="HV99" s="1930"/>
      <c r="HW99" s="1936"/>
      <c r="HX99" s="1929"/>
      <c r="HY99" s="1930"/>
      <c r="HZ99" s="1930"/>
      <c r="IA99" s="1934"/>
      <c r="IB99" s="1930"/>
      <c r="IC99" s="1930"/>
      <c r="ID99" s="1936"/>
      <c r="IE99" s="1929"/>
      <c r="IF99" s="1930"/>
      <c r="IG99" s="1930"/>
      <c r="IH99" s="1934"/>
      <c r="II99" s="1930"/>
      <c r="IJ99" s="1930"/>
      <c r="IK99" s="1936"/>
    </row>
    <row r="100" spans="1:245" s="195" customFormat="1" ht="9" hidden="1" customHeight="1" x14ac:dyDescent="0.35">
      <c r="A100" s="195">
        <f>IF(B98=0,0,"XXX")</f>
        <v>0</v>
      </c>
      <c r="B100" s="2004"/>
      <c r="C100" s="1978"/>
      <c r="D100" s="1990"/>
      <c r="E100" s="1991"/>
      <c r="F100" s="1984"/>
      <c r="G100" s="1985"/>
      <c r="H100" s="1929"/>
      <c r="I100" s="1930"/>
      <c r="J100" s="1930"/>
      <c r="K100" s="1934"/>
      <c r="L100" s="1930"/>
      <c r="M100" s="1930"/>
      <c r="N100" s="1936"/>
      <c r="O100" s="1929"/>
      <c r="P100" s="1930"/>
      <c r="Q100" s="1930"/>
      <c r="R100" s="1934"/>
      <c r="S100" s="1930"/>
      <c r="T100" s="1930"/>
      <c r="U100" s="1936"/>
      <c r="V100" s="1929"/>
      <c r="W100" s="1930"/>
      <c r="X100" s="1930"/>
      <c r="Y100" s="1934"/>
      <c r="Z100" s="1930"/>
      <c r="AA100" s="1930"/>
      <c r="AB100" s="1936"/>
      <c r="AC100" s="1929"/>
      <c r="AD100" s="1930"/>
      <c r="AE100" s="1930"/>
      <c r="AF100" s="1934"/>
      <c r="AG100" s="1930"/>
      <c r="AH100" s="1930"/>
      <c r="AI100" s="1936"/>
      <c r="AJ100" s="1929"/>
      <c r="AK100" s="1930"/>
      <c r="AL100" s="1930"/>
      <c r="AM100" s="1934"/>
      <c r="AN100" s="1930"/>
      <c r="AO100" s="1930"/>
      <c r="AP100" s="1936"/>
      <c r="AQ100" s="1929"/>
      <c r="AR100" s="1930"/>
      <c r="AS100" s="1930"/>
      <c r="AT100" s="1934"/>
      <c r="AU100" s="1930"/>
      <c r="AV100" s="1930"/>
      <c r="AW100" s="1936"/>
      <c r="AX100" s="1929"/>
      <c r="AY100" s="1930"/>
      <c r="AZ100" s="1930"/>
      <c r="BA100" s="1934"/>
      <c r="BB100" s="1930"/>
      <c r="BC100" s="1930"/>
      <c r="BD100" s="1936"/>
      <c r="BE100" s="1929"/>
      <c r="BF100" s="1930"/>
      <c r="BG100" s="1930"/>
      <c r="BH100" s="1934"/>
      <c r="BI100" s="1930"/>
      <c r="BJ100" s="1930"/>
      <c r="BK100" s="1936"/>
      <c r="BL100" s="1929"/>
      <c r="BM100" s="1930"/>
      <c r="BN100" s="1930"/>
      <c r="BO100" s="1934"/>
      <c r="BP100" s="1930"/>
      <c r="BQ100" s="1930"/>
      <c r="BR100" s="1936"/>
      <c r="BS100" s="1929"/>
      <c r="BT100" s="1930"/>
      <c r="BU100" s="1930"/>
      <c r="BV100" s="1934"/>
      <c r="BW100" s="1930"/>
      <c r="BX100" s="1930"/>
      <c r="BY100" s="1936"/>
      <c r="BZ100" s="1929"/>
      <c r="CA100" s="1930"/>
      <c r="CB100" s="1930"/>
      <c r="CC100" s="1934"/>
      <c r="CD100" s="1930"/>
      <c r="CE100" s="1930"/>
      <c r="CF100" s="1936"/>
      <c r="CG100" s="1929"/>
      <c r="CH100" s="1930"/>
      <c r="CI100" s="1930"/>
      <c r="CJ100" s="1934"/>
      <c r="CK100" s="1930"/>
      <c r="CL100" s="1930"/>
      <c r="CM100" s="1936"/>
      <c r="CN100" s="1929"/>
      <c r="CO100" s="1930"/>
      <c r="CP100" s="1930"/>
      <c r="CQ100" s="1934"/>
      <c r="CR100" s="1930"/>
      <c r="CS100" s="1930"/>
      <c r="CT100" s="1936"/>
      <c r="CU100" s="1929"/>
      <c r="CV100" s="1930"/>
      <c r="CW100" s="1930"/>
      <c r="CX100" s="1934"/>
      <c r="CY100" s="1930"/>
      <c r="CZ100" s="1930"/>
      <c r="DA100" s="1936"/>
      <c r="DB100" s="1929"/>
      <c r="DC100" s="1930"/>
      <c r="DD100" s="1930"/>
      <c r="DE100" s="1934"/>
      <c r="DF100" s="1930"/>
      <c r="DG100" s="1930"/>
      <c r="DH100" s="1936"/>
      <c r="DI100" s="1929"/>
      <c r="DJ100" s="1930"/>
      <c r="DK100" s="1930"/>
      <c r="DL100" s="1934"/>
      <c r="DM100" s="1930"/>
      <c r="DN100" s="1930"/>
      <c r="DO100" s="1936"/>
      <c r="DP100" s="1929"/>
      <c r="DQ100" s="1930"/>
      <c r="DR100" s="1930"/>
      <c r="DS100" s="1934"/>
      <c r="DT100" s="1930"/>
      <c r="DU100" s="1930"/>
      <c r="DV100" s="1936"/>
      <c r="DW100" s="1929"/>
      <c r="DX100" s="1930"/>
      <c r="DY100" s="1930"/>
      <c r="DZ100" s="1934"/>
      <c r="EA100" s="1930"/>
      <c r="EB100" s="1930"/>
      <c r="EC100" s="1936"/>
      <c r="ED100" s="1929"/>
      <c r="EE100" s="1930"/>
      <c r="EF100" s="1930"/>
      <c r="EG100" s="1934"/>
      <c r="EH100" s="1930"/>
      <c r="EI100" s="1930"/>
      <c r="EJ100" s="1936"/>
      <c r="EK100" s="1929"/>
      <c r="EL100" s="1930"/>
      <c r="EM100" s="1930"/>
      <c r="EN100" s="1934"/>
      <c r="EO100" s="1930"/>
      <c r="EP100" s="1930"/>
      <c r="EQ100" s="1936"/>
      <c r="ER100" s="1929"/>
      <c r="ES100" s="1930"/>
      <c r="ET100" s="1930"/>
      <c r="EU100" s="1934"/>
      <c r="EV100" s="1930"/>
      <c r="EW100" s="1930"/>
      <c r="EX100" s="1936"/>
      <c r="EY100" s="1929"/>
      <c r="EZ100" s="1930"/>
      <c r="FA100" s="1930"/>
      <c r="FB100" s="1934"/>
      <c r="FC100" s="1930"/>
      <c r="FD100" s="1930"/>
      <c r="FE100" s="1936"/>
      <c r="FF100" s="1929"/>
      <c r="FG100" s="1930"/>
      <c r="FH100" s="1930"/>
      <c r="FI100" s="1934"/>
      <c r="FJ100" s="1930"/>
      <c r="FK100" s="1930"/>
      <c r="FL100" s="1936"/>
      <c r="FM100" s="1929"/>
      <c r="FN100" s="1930"/>
      <c r="FO100" s="1930"/>
      <c r="FP100" s="1934"/>
      <c r="FQ100" s="1930"/>
      <c r="FR100" s="1930"/>
      <c r="FS100" s="1936"/>
      <c r="FT100" s="1929"/>
      <c r="FU100" s="1930"/>
      <c r="FV100" s="1930"/>
      <c r="FW100" s="1934"/>
      <c r="FX100" s="1930"/>
      <c r="FY100" s="1930"/>
      <c r="FZ100" s="1936"/>
      <c r="GA100" s="1929"/>
      <c r="GB100" s="1930"/>
      <c r="GC100" s="1930"/>
      <c r="GD100" s="1934"/>
      <c r="GE100" s="1930"/>
      <c r="GF100" s="1930"/>
      <c r="GG100" s="1936"/>
      <c r="GH100" s="1929"/>
      <c r="GI100" s="1930"/>
      <c r="GJ100" s="1930"/>
      <c r="GK100" s="1934"/>
      <c r="GL100" s="1930"/>
      <c r="GM100" s="1930"/>
      <c r="GN100" s="1936"/>
      <c r="GO100" s="1929"/>
      <c r="GP100" s="1930"/>
      <c r="GQ100" s="1930"/>
      <c r="GR100" s="1934"/>
      <c r="GS100" s="1930"/>
      <c r="GT100" s="1930"/>
      <c r="GU100" s="1936"/>
      <c r="GV100" s="1929"/>
      <c r="GW100" s="1930"/>
      <c r="GX100" s="1930"/>
      <c r="GY100" s="1934"/>
      <c r="GZ100" s="1930"/>
      <c r="HA100" s="1930"/>
      <c r="HB100" s="1936"/>
      <c r="HC100" s="1929"/>
      <c r="HD100" s="1930"/>
      <c r="HE100" s="1930"/>
      <c r="HF100" s="1934"/>
      <c r="HG100" s="1930"/>
      <c r="HH100" s="1930"/>
      <c r="HI100" s="1936"/>
      <c r="HJ100" s="1929"/>
      <c r="HK100" s="1930"/>
      <c r="HL100" s="1930"/>
      <c r="HM100" s="1934"/>
      <c r="HN100" s="1930"/>
      <c r="HO100" s="1930"/>
      <c r="HP100" s="1936"/>
      <c r="HQ100" s="1929"/>
      <c r="HR100" s="1930"/>
      <c r="HS100" s="1930"/>
      <c r="HT100" s="1934"/>
      <c r="HU100" s="1930"/>
      <c r="HV100" s="1930"/>
      <c r="HW100" s="1936"/>
      <c r="HX100" s="1929"/>
      <c r="HY100" s="1930"/>
      <c r="HZ100" s="1930"/>
      <c r="IA100" s="1934"/>
      <c r="IB100" s="1930"/>
      <c r="IC100" s="1930"/>
      <c r="ID100" s="1936"/>
      <c r="IE100" s="1929"/>
      <c r="IF100" s="1930"/>
      <c r="IG100" s="1930"/>
      <c r="IH100" s="1934"/>
      <c r="II100" s="1930"/>
      <c r="IJ100" s="1930"/>
      <c r="IK100" s="1936"/>
    </row>
    <row r="101" spans="1:245" s="195" customFormat="1" ht="9" hidden="1" customHeight="1" x14ac:dyDescent="0.35">
      <c r="A101" s="195">
        <f>IF(B98=0,0,"XXX")</f>
        <v>0</v>
      </c>
      <c r="B101" s="2004"/>
      <c r="C101" s="1979"/>
      <c r="D101" s="1992"/>
      <c r="E101" s="1993"/>
      <c r="F101" s="1986"/>
      <c r="G101" s="1987"/>
      <c r="H101" s="1931"/>
      <c r="I101" s="1932"/>
      <c r="J101" s="1932"/>
      <c r="K101" s="1935"/>
      <c r="L101" s="1932"/>
      <c r="M101" s="1932"/>
      <c r="N101" s="1937"/>
      <c r="O101" s="1931"/>
      <c r="P101" s="1932"/>
      <c r="Q101" s="1932"/>
      <c r="R101" s="1935"/>
      <c r="S101" s="1932"/>
      <c r="T101" s="1932"/>
      <c r="U101" s="1937"/>
      <c r="V101" s="1931"/>
      <c r="W101" s="1932"/>
      <c r="X101" s="1932"/>
      <c r="Y101" s="1935"/>
      <c r="Z101" s="1932"/>
      <c r="AA101" s="1932"/>
      <c r="AB101" s="1937"/>
      <c r="AC101" s="1931"/>
      <c r="AD101" s="1932"/>
      <c r="AE101" s="1932"/>
      <c r="AF101" s="1935"/>
      <c r="AG101" s="1932"/>
      <c r="AH101" s="1932"/>
      <c r="AI101" s="1937"/>
      <c r="AJ101" s="1931"/>
      <c r="AK101" s="1932"/>
      <c r="AL101" s="1932"/>
      <c r="AM101" s="1935"/>
      <c r="AN101" s="1932"/>
      <c r="AO101" s="1932"/>
      <c r="AP101" s="1937"/>
      <c r="AQ101" s="1931"/>
      <c r="AR101" s="1932"/>
      <c r="AS101" s="1932"/>
      <c r="AT101" s="1935"/>
      <c r="AU101" s="1932"/>
      <c r="AV101" s="1932"/>
      <c r="AW101" s="1937"/>
      <c r="AX101" s="1931"/>
      <c r="AY101" s="1932"/>
      <c r="AZ101" s="1932"/>
      <c r="BA101" s="1935"/>
      <c r="BB101" s="1932"/>
      <c r="BC101" s="1932"/>
      <c r="BD101" s="1937"/>
      <c r="BE101" s="1931"/>
      <c r="BF101" s="1932"/>
      <c r="BG101" s="1932"/>
      <c r="BH101" s="1935"/>
      <c r="BI101" s="1932"/>
      <c r="BJ101" s="1932"/>
      <c r="BK101" s="1937"/>
      <c r="BL101" s="1931"/>
      <c r="BM101" s="1932"/>
      <c r="BN101" s="1932"/>
      <c r="BO101" s="1935"/>
      <c r="BP101" s="1932"/>
      <c r="BQ101" s="1932"/>
      <c r="BR101" s="1937"/>
      <c r="BS101" s="1931"/>
      <c r="BT101" s="1932"/>
      <c r="BU101" s="1932"/>
      <c r="BV101" s="1935"/>
      <c r="BW101" s="1932"/>
      <c r="BX101" s="1932"/>
      <c r="BY101" s="1937"/>
      <c r="BZ101" s="1931"/>
      <c r="CA101" s="1932"/>
      <c r="CB101" s="1932"/>
      <c r="CC101" s="1935"/>
      <c r="CD101" s="1932"/>
      <c r="CE101" s="1932"/>
      <c r="CF101" s="1937"/>
      <c r="CG101" s="1931"/>
      <c r="CH101" s="1932"/>
      <c r="CI101" s="1932"/>
      <c r="CJ101" s="1935"/>
      <c r="CK101" s="1932"/>
      <c r="CL101" s="1932"/>
      <c r="CM101" s="1937"/>
      <c r="CN101" s="1931"/>
      <c r="CO101" s="1932"/>
      <c r="CP101" s="1932"/>
      <c r="CQ101" s="1935"/>
      <c r="CR101" s="1932"/>
      <c r="CS101" s="1932"/>
      <c r="CT101" s="1937"/>
      <c r="CU101" s="1931"/>
      <c r="CV101" s="1932"/>
      <c r="CW101" s="1932"/>
      <c r="CX101" s="1935"/>
      <c r="CY101" s="1932"/>
      <c r="CZ101" s="1932"/>
      <c r="DA101" s="1937"/>
      <c r="DB101" s="1931"/>
      <c r="DC101" s="1932"/>
      <c r="DD101" s="1932"/>
      <c r="DE101" s="1935"/>
      <c r="DF101" s="1932"/>
      <c r="DG101" s="1932"/>
      <c r="DH101" s="1937"/>
      <c r="DI101" s="1931"/>
      <c r="DJ101" s="1932"/>
      <c r="DK101" s="1932"/>
      <c r="DL101" s="1935"/>
      <c r="DM101" s="1932"/>
      <c r="DN101" s="1932"/>
      <c r="DO101" s="1937"/>
      <c r="DP101" s="1931"/>
      <c r="DQ101" s="1932"/>
      <c r="DR101" s="1932"/>
      <c r="DS101" s="1935"/>
      <c r="DT101" s="1932"/>
      <c r="DU101" s="1932"/>
      <c r="DV101" s="1937"/>
      <c r="DW101" s="1931"/>
      <c r="DX101" s="1932"/>
      <c r="DY101" s="1932"/>
      <c r="DZ101" s="1935"/>
      <c r="EA101" s="1932"/>
      <c r="EB101" s="1932"/>
      <c r="EC101" s="1937"/>
      <c r="ED101" s="1931"/>
      <c r="EE101" s="1932"/>
      <c r="EF101" s="1932"/>
      <c r="EG101" s="1935"/>
      <c r="EH101" s="1932"/>
      <c r="EI101" s="1932"/>
      <c r="EJ101" s="1937"/>
      <c r="EK101" s="1931"/>
      <c r="EL101" s="1932"/>
      <c r="EM101" s="1932"/>
      <c r="EN101" s="1935"/>
      <c r="EO101" s="1932"/>
      <c r="EP101" s="1932"/>
      <c r="EQ101" s="1937"/>
      <c r="ER101" s="1931"/>
      <c r="ES101" s="1932"/>
      <c r="ET101" s="1932"/>
      <c r="EU101" s="1935"/>
      <c r="EV101" s="1932"/>
      <c r="EW101" s="1932"/>
      <c r="EX101" s="1937"/>
      <c r="EY101" s="1931"/>
      <c r="EZ101" s="1932"/>
      <c r="FA101" s="1932"/>
      <c r="FB101" s="1935"/>
      <c r="FC101" s="1932"/>
      <c r="FD101" s="1932"/>
      <c r="FE101" s="1937"/>
      <c r="FF101" s="1931"/>
      <c r="FG101" s="1932"/>
      <c r="FH101" s="1932"/>
      <c r="FI101" s="1935"/>
      <c r="FJ101" s="1932"/>
      <c r="FK101" s="1932"/>
      <c r="FL101" s="1937"/>
      <c r="FM101" s="1931"/>
      <c r="FN101" s="1932"/>
      <c r="FO101" s="1932"/>
      <c r="FP101" s="1935"/>
      <c r="FQ101" s="1932"/>
      <c r="FR101" s="1932"/>
      <c r="FS101" s="1937"/>
      <c r="FT101" s="1931"/>
      <c r="FU101" s="1932"/>
      <c r="FV101" s="1932"/>
      <c r="FW101" s="1935"/>
      <c r="FX101" s="1932"/>
      <c r="FY101" s="1932"/>
      <c r="FZ101" s="1937"/>
      <c r="GA101" s="1931"/>
      <c r="GB101" s="1932"/>
      <c r="GC101" s="1932"/>
      <c r="GD101" s="1935"/>
      <c r="GE101" s="1932"/>
      <c r="GF101" s="1932"/>
      <c r="GG101" s="1937"/>
      <c r="GH101" s="1931"/>
      <c r="GI101" s="1932"/>
      <c r="GJ101" s="1932"/>
      <c r="GK101" s="1935"/>
      <c r="GL101" s="1932"/>
      <c r="GM101" s="1932"/>
      <c r="GN101" s="1937"/>
      <c r="GO101" s="1931"/>
      <c r="GP101" s="1932"/>
      <c r="GQ101" s="1932"/>
      <c r="GR101" s="1935"/>
      <c r="GS101" s="1932"/>
      <c r="GT101" s="1932"/>
      <c r="GU101" s="1937"/>
      <c r="GV101" s="1931"/>
      <c r="GW101" s="1932"/>
      <c r="GX101" s="1932"/>
      <c r="GY101" s="1935"/>
      <c r="GZ101" s="1932"/>
      <c r="HA101" s="1932"/>
      <c r="HB101" s="1937"/>
      <c r="HC101" s="1931"/>
      <c r="HD101" s="1932"/>
      <c r="HE101" s="1932"/>
      <c r="HF101" s="1935"/>
      <c r="HG101" s="1932"/>
      <c r="HH101" s="1932"/>
      <c r="HI101" s="1937"/>
      <c r="HJ101" s="1931"/>
      <c r="HK101" s="1932"/>
      <c r="HL101" s="1932"/>
      <c r="HM101" s="1935"/>
      <c r="HN101" s="1932"/>
      <c r="HO101" s="1932"/>
      <c r="HP101" s="1937"/>
      <c r="HQ101" s="1931"/>
      <c r="HR101" s="1932"/>
      <c r="HS101" s="1932"/>
      <c r="HT101" s="1935"/>
      <c r="HU101" s="1932"/>
      <c r="HV101" s="1932"/>
      <c r="HW101" s="1937"/>
      <c r="HX101" s="1931"/>
      <c r="HY101" s="1932"/>
      <c r="HZ101" s="1932"/>
      <c r="IA101" s="1935"/>
      <c r="IB101" s="1932"/>
      <c r="IC101" s="1932"/>
      <c r="ID101" s="1937"/>
      <c r="IE101" s="1931"/>
      <c r="IF101" s="1932"/>
      <c r="IG101" s="1932"/>
      <c r="IH101" s="1935"/>
      <c r="II101" s="1932"/>
      <c r="IJ101" s="1932"/>
      <c r="IK101" s="1937"/>
    </row>
    <row r="102" spans="1:245" s="195" customFormat="1" ht="9" hidden="1" customHeight="1" x14ac:dyDescent="0.35">
      <c r="A102" s="195">
        <f>IF(B102=0,0,"XXX")</f>
        <v>0</v>
      </c>
      <c r="B102" s="1967"/>
      <c r="C102" s="1969"/>
      <c r="D102" s="358"/>
      <c r="E102" s="359"/>
      <c r="F102" s="1971"/>
      <c r="G102" s="1973"/>
      <c r="H102" s="1924"/>
      <c r="I102" s="1920"/>
      <c r="J102" s="1920"/>
      <c r="K102" s="1920"/>
      <c r="L102" s="1920"/>
      <c r="M102" s="1920"/>
      <c r="N102" s="1922"/>
      <c r="O102" s="1924"/>
      <c r="P102" s="1920"/>
      <c r="Q102" s="1920"/>
      <c r="R102" s="1920"/>
      <c r="S102" s="1920"/>
      <c r="T102" s="1920"/>
      <c r="U102" s="1922"/>
      <c r="V102" s="1924"/>
      <c r="W102" s="1920"/>
      <c r="X102" s="1920"/>
      <c r="Y102" s="1920"/>
      <c r="Z102" s="1920"/>
      <c r="AA102" s="1920"/>
      <c r="AB102" s="1922"/>
      <c r="AC102" s="1924"/>
      <c r="AD102" s="1920"/>
      <c r="AE102" s="1920"/>
      <c r="AF102" s="1920"/>
      <c r="AG102" s="1920"/>
      <c r="AH102" s="1920"/>
      <c r="AI102" s="1922"/>
      <c r="AJ102" s="1924"/>
      <c r="AK102" s="1920"/>
      <c r="AL102" s="1920"/>
      <c r="AM102" s="1920"/>
      <c r="AN102" s="1920"/>
      <c r="AO102" s="1920"/>
      <c r="AP102" s="1922"/>
      <c r="AQ102" s="1924"/>
      <c r="AR102" s="1920"/>
      <c r="AS102" s="1920"/>
      <c r="AT102" s="1920"/>
      <c r="AU102" s="1920"/>
      <c r="AV102" s="1920"/>
      <c r="AW102" s="1922"/>
      <c r="AX102" s="1924"/>
      <c r="AY102" s="1920"/>
      <c r="AZ102" s="1920"/>
      <c r="BA102" s="1920"/>
      <c r="BB102" s="1920"/>
      <c r="BC102" s="1920"/>
      <c r="BD102" s="1922"/>
      <c r="BE102" s="1924"/>
      <c r="BF102" s="1920"/>
      <c r="BG102" s="1920"/>
      <c r="BH102" s="1920"/>
      <c r="BI102" s="1920"/>
      <c r="BJ102" s="1920"/>
      <c r="BK102" s="1922"/>
      <c r="BL102" s="1924"/>
      <c r="BM102" s="1920"/>
      <c r="BN102" s="1920"/>
      <c r="BO102" s="1920"/>
      <c r="BP102" s="1920"/>
      <c r="BQ102" s="1920"/>
      <c r="BR102" s="1922"/>
      <c r="BS102" s="1924"/>
      <c r="BT102" s="1920"/>
      <c r="BU102" s="1920"/>
      <c r="BV102" s="1920"/>
      <c r="BW102" s="1920"/>
      <c r="BX102" s="1920"/>
      <c r="BY102" s="1922"/>
      <c r="BZ102" s="1924"/>
      <c r="CA102" s="1920"/>
      <c r="CB102" s="1920"/>
      <c r="CC102" s="1920"/>
      <c r="CD102" s="1920"/>
      <c r="CE102" s="1920"/>
      <c r="CF102" s="1922"/>
      <c r="CG102" s="1924"/>
      <c r="CH102" s="1920"/>
      <c r="CI102" s="1920"/>
      <c r="CJ102" s="1920"/>
      <c r="CK102" s="1920"/>
      <c r="CL102" s="1920"/>
      <c r="CM102" s="1922"/>
      <c r="CN102" s="1924"/>
      <c r="CO102" s="1920"/>
      <c r="CP102" s="1920"/>
      <c r="CQ102" s="1920"/>
      <c r="CR102" s="1920"/>
      <c r="CS102" s="1920"/>
      <c r="CT102" s="1922"/>
      <c r="CU102" s="1924"/>
      <c r="CV102" s="1920"/>
      <c r="CW102" s="1920"/>
      <c r="CX102" s="1920"/>
      <c r="CY102" s="1920"/>
      <c r="CZ102" s="1920"/>
      <c r="DA102" s="1922"/>
      <c r="DB102" s="1924"/>
      <c r="DC102" s="1920"/>
      <c r="DD102" s="1920"/>
      <c r="DE102" s="1920"/>
      <c r="DF102" s="1920"/>
      <c r="DG102" s="1920"/>
      <c r="DH102" s="1922"/>
      <c r="DI102" s="1924"/>
      <c r="DJ102" s="1920"/>
      <c r="DK102" s="1920"/>
      <c r="DL102" s="1920"/>
      <c r="DM102" s="1920"/>
      <c r="DN102" s="1920"/>
      <c r="DO102" s="1922"/>
      <c r="DP102" s="1924"/>
      <c r="DQ102" s="1920"/>
      <c r="DR102" s="1920"/>
      <c r="DS102" s="1920"/>
      <c r="DT102" s="1920"/>
      <c r="DU102" s="1920"/>
      <c r="DV102" s="1922"/>
      <c r="DW102" s="1924"/>
      <c r="DX102" s="1920"/>
      <c r="DY102" s="1920"/>
      <c r="DZ102" s="1920"/>
      <c r="EA102" s="1920"/>
      <c r="EB102" s="1920"/>
      <c r="EC102" s="1922"/>
      <c r="ED102" s="1924"/>
      <c r="EE102" s="1920"/>
      <c r="EF102" s="1920"/>
      <c r="EG102" s="1920"/>
      <c r="EH102" s="1920"/>
      <c r="EI102" s="1920"/>
      <c r="EJ102" s="1922"/>
      <c r="EK102" s="1924"/>
      <c r="EL102" s="1920"/>
      <c r="EM102" s="1920"/>
      <c r="EN102" s="1920"/>
      <c r="EO102" s="1920"/>
      <c r="EP102" s="1920"/>
      <c r="EQ102" s="1922"/>
      <c r="ER102" s="1924"/>
      <c r="ES102" s="1920"/>
      <c r="ET102" s="1920"/>
      <c r="EU102" s="1920"/>
      <c r="EV102" s="1920"/>
      <c r="EW102" s="1920"/>
      <c r="EX102" s="1922"/>
      <c r="EY102" s="1924"/>
      <c r="EZ102" s="1920"/>
      <c r="FA102" s="1920"/>
      <c r="FB102" s="1920"/>
      <c r="FC102" s="1920"/>
      <c r="FD102" s="1920"/>
      <c r="FE102" s="1922"/>
      <c r="FF102" s="1924"/>
      <c r="FG102" s="1920"/>
      <c r="FH102" s="1920"/>
      <c r="FI102" s="1920"/>
      <c r="FJ102" s="1920"/>
      <c r="FK102" s="1920"/>
      <c r="FL102" s="1922"/>
      <c r="FM102" s="1924"/>
      <c r="FN102" s="1920"/>
      <c r="FO102" s="1920"/>
      <c r="FP102" s="1920"/>
      <c r="FQ102" s="1920"/>
      <c r="FR102" s="1920"/>
      <c r="FS102" s="1922"/>
      <c r="FT102" s="1924"/>
      <c r="FU102" s="1920"/>
      <c r="FV102" s="1920"/>
      <c r="FW102" s="1920"/>
      <c r="FX102" s="1920"/>
      <c r="FY102" s="1920"/>
      <c r="FZ102" s="1922"/>
      <c r="GA102" s="1924"/>
      <c r="GB102" s="1920"/>
      <c r="GC102" s="1920"/>
      <c r="GD102" s="1920"/>
      <c r="GE102" s="1920"/>
      <c r="GF102" s="1920"/>
      <c r="GG102" s="1922"/>
      <c r="GH102" s="1924"/>
      <c r="GI102" s="1920"/>
      <c r="GJ102" s="1920"/>
      <c r="GK102" s="1920"/>
      <c r="GL102" s="1920"/>
      <c r="GM102" s="1920"/>
      <c r="GN102" s="1922"/>
      <c r="GO102" s="1924"/>
      <c r="GP102" s="1920"/>
      <c r="GQ102" s="1920"/>
      <c r="GR102" s="1920"/>
      <c r="GS102" s="1920"/>
      <c r="GT102" s="1920"/>
      <c r="GU102" s="1922"/>
      <c r="GV102" s="1924"/>
      <c r="GW102" s="1920"/>
      <c r="GX102" s="1920"/>
      <c r="GY102" s="1920"/>
      <c r="GZ102" s="1920"/>
      <c r="HA102" s="1920"/>
      <c r="HB102" s="1922"/>
      <c r="HC102" s="1924"/>
      <c r="HD102" s="1920"/>
      <c r="HE102" s="1920"/>
      <c r="HF102" s="1920"/>
      <c r="HG102" s="1920"/>
      <c r="HH102" s="1920"/>
      <c r="HI102" s="1922"/>
      <c r="HJ102" s="1924"/>
      <c r="HK102" s="1920"/>
      <c r="HL102" s="1920"/>
      <c r="HM102" s="1920"/>
      <c r="HN102" s="1920"/>
      <c r="HO102" s="1920"/>
      <c r="HP102" s="1922"/>
      <c r="HQ102" s="1924"/>
      <c r="HR102" s="1920"/>
      <c r="HS102" s="1920"/>
      <c r="HT102" s="1920"/>
      <c r="HU102" s="1920"/>
      <c r="HV102" s="1920"/>
      <c r="HW102" s="1922"/>
      <c r="HX102" s="1924"/>
      <c r="HY102" s="1920"/>
      <c r="HZ102" s="1920"/>
      <c r="IA102" s="1920"/>
      <c r="IB102" s="1920"/>
      <c r="IC102" s="1920"/>
      <c r="ID102" s="1922"/>
      <c r="IE102" s="1924"/>
      <c r="IF102" s="1920"/>
      <c r="IG102" s="1920"/>
      <c r="IH102" s="1920"/>
      <c r="II102" s="1920"/>
      <c r="IJ102" s="1920"/>
      <c r="IK102" s="1922"/>
    </row>
    <row r="103" spans="1:245" s="195" customFormat="1" ht="9" hidden="1" customHeight="1" x14ac:dyDescent="0.35">
      <c r="A103" s="195">
        <f>IF(B102=0,0,"XXX")</f>
        <v>0</v>
      </c>
      <c r="B103" s="1968"/>
      <c r="C103" s="1970"/>
      <c r="D103" s="360"/>
      <c r="E103" s="361"/>
      <c r="F103" s="1972"/>
      <c r="G103" s="1974"/>
      <c r="H103" s="1925"/>
      <c r="I103" s="1921"/>
      <c r="J103" s="1921"/>
      <c r="K103" s="1921"/>
      <c r="L103" s="1921"/>
      <c r="M103" s="1921"/>
      <c r="N103" s="1923"/>
      <c r="O103" s="1925"/>
      <c r="P103" s="1921"/>
      <c r="Q103" s="1921"/>
      <c r="R103" s="1921"/>
      <c r="S103" s="1921"/>
      <c r="T103" s="1921"/>
      <c r="U103" s="1923"/>
      <c r="V103" s="1925"/>
      <c r="W103" s="1921"/>
      <c r="X103" s="1921"/>
      <c r="Y103" s="1921"/>
      <c r="Z103" s="1921"/>
      <c r="AA103" s="1921"/>
      <c r="AB103" s="1923"/>
      <c r="AC103" s="1925"/>
      <c r="AD103" s="1921"/>
      <c r="AE103" s="1921"/>
      <c r="AF103" s="1921"/>
      <c r="AG103" s="1921"/>
      <c r="AH103" s="1921"/>
      <c r="AI103" s="1923"/>
      <c r="AJ103" s="1925"/>
      <c r="AK103" s="1921"/>
      <c r="AL103" s="1921"/>
      <c r="AM103" s="1921"/>
      <c r="AN103" s="1921"/>
      <c r="AO103" s="1921"/>
      <c r="AP103" s="1923"/>
      <c r="AQ103" s="1925"/>
      <c r="AR103" s="1921"/>
      <c r="AS103" s="1921"/>
      <c r="AT103" s="1921"/>
      <c r="AU103" s="1921"/>
      <c r="AV103" s="1921"/>
      <c r="AW103" s="1923"/>
      <c r="AX103" s="1925"/>
      <c r="AY103" s="1921"/>
      <c r="AZ103" s="1921"/>
      <c r="BA103" s="1921"/>
      <c r="BB103" s="1921"/>
      <c r="BC103" s="1921"/>
      <c r="BD103" s="1923"/>
      <c r="BE103" s="1925"/>
      <c r="BF103" s="1921"/>
      <c r="BG103" s="1921"/>
      <c r="BH103" s="1921"/>
      <c r="BI103" s="1921"/>
      <c r="BJ103" s="1921"/>
      <c r="BK103" s="1923"/>
      <c r="BL103" s="1925"/>
      <c r="BM103" s="1921"/>
      <c r="BN103" s="1921"/>
      <c r="BO103" s="1921"/>
      <c r="BP103" s="1921"/>
      <c r="BQ103" s="1921"/>
      <c r="BR103" s="1923"/>
      <c r="BS103" s="1925"/>
      <c r="BT103" s="1921"/>
      <c r="BU103" s="1921"/>
      <c r="BV103" s="1921"/>
      <c r="BW103" s="1921"/>
      <c r="BX103" s="1921"/>
      <c r="BY103" s="1923"/>
      <c r="BZ103" s="1925"/>
      <c r="CA103" s="1921"/>
      <c r="CB103" s="1921"/>
      <c r="CC103" s="1921"/>
      <c r="CD103" s="1921"/>
      <c r="CE103" s="1921"/>
      <c r="CF103" s="1923"/>
      <c r="CG103" s="1925"/>
      <c r="CH103" s="1921"/>
      <c r="CI103" s="1921"/>
      <c r="CJ103" s="1921"/>
      <c r="CK103" s="1921"/>
      <c r="CL103" s="1921"/>
      <c r="CM103" s="1923"/>
      <c r="CN103" s="1925"/>
      <c r="CO103" s="1921"/>
      <c r="CP103" s="1921"/>
      <c r="CQ103" s="1921"/>
      <c r="CR103" s="1921"/>
      <c r="CS103" s="1921"/>
      <c r="CT103" s="1923"/>
      <c r="CU103" s="1925"/>
      <c r="CV103" s="1921"/>
      <c r="CW103" s="1921"/>
      <c r="CX103" s="1921"/>
      <c r="CY103" s="1921"/>
      <c r="CZ103" s="1921"/>
      <c r="DA103" s="1923"/>
      <c r="DB103" s="1925"/>
      <c r="DC103" s="1921"/>
      <c r="DD103" s="1921"/>
      <c r="DE103" s="1921"/>
      <c r="DF103" s="1921"/>
      <c r="DG103" s="1921"/>
      <c r="DH103" s="1923"/>
      <c r="DI103" s="1925"/>
      <c r="DJ103" s="1921"/>
      <c r="DK103" s="1921"/>
      <c r="DL103" s="1921"/>
      <c r="DM103" s="1921"/>
      <c r="DN103" s="1921"/>
      <c r="DO103" s="1923"/>
      <c r="DP103" s="1925"/>
      <c r="DQ103" s="1921"/>
      <c r="DR103" s="1921"/>
      <c r="DS103" s="1921"/>
      <c r="DT103" s="1921"/>
      <c r="DU103" s="1921"/>
      <c r="DV103" s="1923"/>
      <c r="DW103" s="1925"/>
      <c r="DX103" s="1921"/>
      <c r="DY103" s="1921"/>
      <c r="DZ103" s="1921"/>
      <c r="EA103" s="1921"/>
      <c r="EB103" s="1921"/>
      <c r="EC103" s="1923"/>
      <c r="ED103" s="1925"/>
      <c r="EE103" s="1921"/>
      <c r="EF103" s="1921"/>
      <c r="EG103" s="1921"/>
      <c r="EH103" s="1921"/>
      <c r="EI103" s="1921"/>
      <c r="EJ103" s="1923"/>
      <c r="EK103" s="1925"/>
      <c r="EL103" s="1921"/>
      <c r="EM103" s="1921"/>
      <c r="EN103" s="1921"/>
      <c r="EO103" s="1921"/>
      <c r="EP103" s="1921"/>
      <c r="EQ103" s="1923"/>
      <c r="ER103" s="1925"/>
      <c r="ES103" s="1921"/>
      <c r="ET103" s="1921"/>
      <c r="EU103" s="1921"/>
      <c r="EV103" s="1921"/>
      <c r="EW103" s="1921"/>
      <c r="EX103" s="1923"/>
      <c r="EY103" s="1925"/>
      <c r="EZ103" s="1921"/>
      <c r="FA103" s="1921"/>
      <c r="FB103" s="1921"/>
      <c r="FC103" s="1921"/>
      <c r="FD103" s="1921"/>
      <c r="FE103" s="1923"/>
      <c r="FF103" s="1925"/>
      <c r="FG103" s="1921"/>
      <c r="FH103" s="1921"/>
      <c r="FI103" s="1921"/>
      <c r="FJ103" s="1921"/>
      <c r="FK103" s="1921"/>
      <c r="FL103" s="1923"/>
      <c r="FM103" s="1925"/>
      <c r="FN103" s="1921"/>
      <c r="FO103" s="1921"/>
      <c r="FP103" s="1921"/>
      <c r="FQ103" s="1921"/>
      <c r="FR103" s="1921"/>
      <c r="FS103" s="1923"/>
      <c r="FT103" s="1925"/>
      <c r="FU103" s="1921"/>
      <c r="FV103" s="1921"/>
      <c r="FW103" s="1921"/>
      <c r="FX103" s="1921"/>
      <c r="FY103" s="1921"/>
      <c r="FZ103" s="1923"/>
      <c r="GA103" s="1925"/>
      <c r="GB103" s="1921"/>
      <c r="GC103" s="1921"/>
      <c r="GD103" s="1921"/>
      <c r="GE103" s="1921"/>
      <c r="GF103" s="1921"/>
      <c r="GG103" s="1923"/>
      <c r="GH103" s="1925"/>
      <c r="GI103" s="1921"/>
      <c r="GJ103" s="1921"/>
      <c r="GK103" s="1921"/>
      <c r="GL103" s="1921"/>
      <c r="GM103" s="1921"/>
      <c r="GN103" s="1923"/>
      <c r="GO103" s="1925"/>
      <c r="GP103" s="1921"/>
      <c r="GQ103" s="1921"/>
      <c r="GR103" s="1921"/>
      <c r="GS103" s="1921"/>
      <c r="GT103" s="1921"/>
      <c r="GU103" s="1923"/>
      <c r="GV103" s="1925"/>
      <c r="GW103" s="1921"/>
      <c r="GX103" s="1921"/>
      <c r="GY103" s="1921"/>
      <c r="GZ103" s="1921"/>
      <c r="HA103" s="1921"/>
      <c r="HB103" s="1923"/>
      <c r="HC103" s="1925"/>
      <c r="HD103" s="1921"/>
      <c r="HE103" s="1921"/>
      <c r="HF103" s="1921"/>
      <c r="HG103" s="1921"/>
      <c r="HH103" s="1921"/>
      <c r="HI103" s="1923"/>
      <c r="HJ103" s="1925"/>
      <c r="HK103" s="1921"/>
      <c r="HL103" s="1921"/>
      <c r="HM103" s="1921"/>
      <c r="HN103" s="1921"/>
      <c r="HO103" s="1921"/>
      <c r="HP103" s="1923"/>
      <c r="HQ103" s="1925"/>
      <c r="HR103" s="1921"/>
      <c r="HS103" s="1921"/>
      <c r="HT103" s="1921"/>
      <c r="HU103" s="1921"/>
      <c r="HV103" s="1921"/>
      <c r="HW103" s="1923"/>
      <c r="HX103" s="1925"/>
      <c r="HY103" s="1921"/>
      <c r="HZ103" s="1921"/>
      <c r="IA103" s="1921"/>
      <c r="IB103" s="1921"/>
      <c r="IC103" s="1921"/>
      <c r="ID103" s="1923"/>
      <c r="IE103" s="1925"/>
      <c r="IF103" s="1921"/>
      <c r="IG103" s="1921"/>
      <c r="IH103" s="1921"/>
      <c r="II103" s="1921"/>
      <c r="IJ103" s="1921"/>
      <c r="IK103" s="1923"/>
    </row>
    <row r="104" spans="1:245" s="195" customFormat="1" hidden="1" x14ac:dyDescent="0.35">
      <c r="A104" s="195">
        <f>IF(B104=0,0,"XXX")</f>
        <v>0</v>
      </c>
    </row>
    <row r="105" spans="1:245" ht="7.5" customHeight="1" x14ac:dyDescent="0.35">
      <c r="A105" s="195" t="str">
        <f>IF(B105=0,0,"XXX")</f>
        <v>XXX</v>
      </c>
      <c r="B105" s="1967" t="str">
        <f>IF(D128&lt;D127,0,"1.2")</f>
        <v>1.2</v>
      </c>
      <c r="C105" s="1969" t="str">
        <f>IF(ENTRADAS!$F$22=0,0,"EXECUÇÃO DO TANQUE "&amp;D127)</f>
        <v>EXECUÇÃO DO TANQUE 2</v>
      </c>
      <c r="D105" s="358" t="str">
        <f>IF(ENTRADAS!$F$22=0,0,"início:")</f>
        <v>início:</v>
      </c>
      <c r="E105" s="359">
        <f ca="1">IF(D128&lt;D127,0,D133)</f>
        <v>45944.25</v>
      </c>
      <c r="F105" s="1971">
        <f ca="1">IF(D128&lt;D127,0,COUNTIF(H105:IK106,1000))</f>
        <v>52</v>
      </c>
      <c r="G105" s="1973" t="str">
        <f>IF(ENTRADAS!$F$22=0,0,"dias")</f>
        <v>dias</v>
      </c>
      <c r="H105" s="1953">
        <f ca="1">IF(OR(H117+H119+H121&gt;=10,H172=1000),1000,0)</f>
        <v>0</v>
      </c>
      <c r="I105" s="1955">
        <f ca="1">IF(OR(I117+I119+I121&gt;=10,I172=1000),1000,0)</f>
        <v>0</v>
      </c>
      <c r="J105" s="1955">
        <f t="shared" ref="J105:BU105" ca="1" si="133">IF(OR(J117+J119+J121&gt;=10,J172=1000),1000,0)</f>
        <v>0</v>
      </c>
      <c r="K105" s="1955">
        <f t="shared" ca="1" si="133"/>
        <v>0</v>
      </c>
      <c r="L105" s="1955">
        <f t="shared" ca="1" si="133"/>
        <v>0</v>
      </c>
      <c r="M105" s="1955">
        <f t="shared" ca="1" si="133"/>
        <v>0</v>
      </c>
      <c r="N105" s="1951">
        <f t="shared" ca="1" si="133"/>
        <v>0</v>
      </c>
      <c r="O105" s="1953">
        <f t="shared" ca="1" si="133"/>
        <v>0</v>
      </c>
      <c r="P105" s="1955">
        <f t="shared" ca="1" si="133"/>
        <v>0</v>
      </c>
      <c r="Q105" s="1955">
        <f t="shared" ca="1" si="133"/>
        <v>0</v>
      </c>
      <c r="R105" s="1955">
        <f t="shared" ca="1" si="133"/>
        <v>0</v>
      </c>
      <c r="S105" s="1955">
        <f t="shared" ca="1" si="133"/>
        <v>0</v>
      </c>
      <c r="T105" s="1955">
        <f t="shared" ca="1" si="133"/>
        <v>0</v>
      </c>
      <c r="U105" s="1951">
        <f t="shared" ca="1" si="133"/>
        <v>0</v>
      </c>
      <c r="V105" s="1953">
        <f t="shared" ca="1" si="133"/>
        <v>0</v>
      </c>
      <c r="W105" s="1955">
        <f t="shared" ca="1" si="133"/>
        <v>0</v>
      </c>
      <c r="X105" s="1955">
        <f t="shared" ca="1" si="133"/>
        <v>0</v>
      </c>
      <c r="Y105" s="1955">
        <f t="shared" ca="1" si="133"/>
        <v>0</v>
      </c>
      <c r="Z105" s="1955">
        <f t="shared" ca="1" si="133"/>
        <v>0</v>
      </c>
      <c r="AA105" s="1955">
        <f t="shared" ca="1" si="133"/>
        <v>0</v>
      </c>
      <c r="AB105" s="1951">
        <f t="shared" ca="1" si="133"/>
        <v>0</v>
      </c>
      <c r="AC105" s="1953">
        <f t="shared" ca="1" si="133"/>
        <v>0</v>
      </c>
      <c r="AD105" s="1955">
        <f t="shared" ca="1" si="133"/>
        <v>0</v>
      </c>
      <c r="AE105" s="1955">
        <f t="shared" ca="1" si="133"/>
        <v>0</v>
      </c>
      <c r="AF105" s="1955">
        <f t="shared" ca="1" si="133"/>
        <v>0</v>
      </c>
      <c r="AG105" s="1955">
        <f t="shared" ca="1" si="133"/>
        <v>0</v>
      </c>
      <c r="AH105" s="1955">
        <f t="shared" ca="1" si="133"/>
        <v>0</v>
      </c>
      <c r="AI105" s="1951">
        <f t="shared" ca="1" si="133"/>
        <v>0</v>
      </c>
      <c r="AJ105" s="1953">
        <f t="shared" ca="1" si="133"/>
        <v>0</v>
      </c>
      <c r="AK105" s="1955">
        <f t="shared" ca="1" si="133"/>
        <v>0</v>
      </c>
      <c r="AL105" s="1955">
        <f t="shared" ca="1" si="133"/>
        <v>0</v>
      </c>
      <c r="AM105" s="1955">
        <f t="shared" ca="1" si="133"/>
        <v>1000</v>
      </c>
      <c r="AN105" s="1955">
        <f t="shared" ca="1" si="133"/>
        <v>1000</v>
      </c>
      <c r="AO105" s="1955">
        <f t="shared" ca="1" si="133"/>
        <v>1000</v>
      </c>
      <c r="AP105" s="1951">
        <f t="shared" ca="1" si="133"/>
        <v>1000</v>
      </c>
      <c r="AQ105" s="1953">
        <f t="shared" ca="1" si="133"/>
        <v>1000</v>
      </c>
      <c r="AR105" s="1955">
        <f t="shared" ca="1" si="133"/>
        <v>1000</v>
      </c>
      <c r="AS105" s="1955">
        <f t="shared" ca="1" si="133"/>
        <v>1000</v>
      </c>
      <c r="AT105" s="1955">
        <f t="shared" ca="1" si="133"/>
        <v>1000</v>
      </c>
      <c r="AU105" s="1955">
        <f t="shared" ca="1" si="133"/>
        <v>1000</v>
      </c>
      <c r="AV105" s="1955">
        <f t="shared" ca="1" si="133"/>
        <v>1000</v>
      </c>
      <c r="AW105" s="1951">
        <f t="shared" ca="1" si="133"/>
        <v>1000</v>
      </c>
      <c r="AX105" s="1953">
        <f t="shared" ca="1" si="133"/>
        <v>1000</v>
      </c>
      <c r="AY105" s="1955">
        <f t="shared" ca="1" si="133"/>
        <v>1000</v>
      </c>
      <c r="AZ105" s="1955">
        <f t="shared" ca="1" si="133"/>
        <v>1000</v>
      </c>
      <c r="BA105" s="1955">
        <f t="shared" ca="1" si="133"/>
        <v>1000</v>
      </c>
      <c r="BB105" s="1955">
        <f t="shared" ca="1" si="133"/>
        <v>1000</v>
      </c>
      <c r="BC105" s="1955">
        <f t="shared" ca="1" si="133"/>
        <v>1000</v>
      </c>
      <c r="BD105" s="1951">
        <f t="shared" ca="1" si="133"/>
        <v>1000</v>
      </c>
      <c r="BE105" s="1953">
        <f t="shared" ca="1" si="133"/>
        <v>1000</v>
      </c>
      <c r="BF105" s="1955">
        <f t="shared" ca="1" si="133"/>
        <v>1000</v>
      </c>
      <c r="BG105" s="1955">
        <f t="shared" ca="1" si="133"/>
        <v>1000</v>
      </c>
      <c r="BH105" s="1955">
        <f t="shared" ca="1" si="133"/>
        <v>1000</v>
      </c>
      <c r="BI105" s="1955">
        <f t="shared" ca="1" si="133"/>
        <v>1000</v>
      </c>
      <c r="BJ105" s="1955">
        <f t="shared" ca="1" si="133"/>
        <v>1000</v>
      </c>
      <c r="BK105" s="1951">
        <f t="shared" ca="1" si="133"/>
        <v>1000</v>
      </c>
      <c r="BL105" s="1953">
        <f t="shared" ca="1" si="133"/>
        <v>1000</v>
      </c>
      <c r="BM105" s="1955">
        <f t="shared" ca="1" si="133"/>
        <v>1000</v>
      </c>
      <c r="BN105" s="1955">
        <f t="shared" ca="1" si="133"/>
        <v>1000</v>
      </c>
      <c r="BO105" s="1955">
        <f t="shared" ca="1" si="133"/>
        <v>1000</v>
      </c>
      <c r="BP105" s="1955">
        <f t="shared" ca="1" si="133"/>
        <v>1000</v>
      </c>
      <c r="BQ105" s="1955">
        <f t="shared" ca="1" si="133"/>
        <v>1000</v>
      </c>
      <c r="BR105" s="1951">
        <f t="shared" ca="1" si="133"/>
        <v>1000</v>
      </c>
      <c r="BS105" s="1953">
        <f ca="1">IF(OR(BS117+BS119+BS121&gt;=10,BS172=1000),1000,0)</f>
        <v>1000</v>
      </c>
      <c r="BT105" s="1955">
        <f t="shared" ca="1" si="133"/>
        <v>1000</v>
      </c>
      <c r="BU105" s="1955">
        <f t="shared" ca="1" si="133"/>
        <v>1000</v>
      </c>
      <c r="BV105" s="1955">
        <f t="shared" ref="BV105:EG105" ca="1" si="134">IF(OR(BV117+BV119+BV121&gt;=10,BV172=1000),1000,0)</f>
        <v>1000</v>
      </c>
      <c r="BW105" s="1955">
        <f t="shared" ca="1" si="134"/>
        <v>1000</v>
      </c>
      <c r="BX105" s="1955">
        <f t="shared" ca="1" si="134"/>
        <v>1000</v>
      </c>
      <c r="BY105" s="1951">
        <f t="shared" ca="1" si="134"/>
        <v>1000</v>
      </c>
      <c r="BZ105" s="1953">
        <f t="shared" ca="1" si="134"/>
        <v>1000</v>
      </c>
      <c r="CA105" s="1955">
        <f t="shared" ca="1" si="134"/>
        <v>1000</v>
      </c>
      <c r="CB105" s="1955">
        <f t="shared" ca="1" si="134"/>
        <v>1000</v>
      </c>
      <c r="CC105" s="1955">
        <f t="shared" ca="1" si="134"/>
        <v>1000</v>
      </c>
      <c r="CD105" s="1955">
        <f t="shared" ca="1" si="134"/>
        <v>1000</v>
      </c>
      <c r="CE105" s="1955">
        <f t="shared" ca="1" si="134"/>
        <v>1000</v>
      </c>
      <c r="CF105" s="1951">
        <f t="shared" ca="1" si="134"/>
        <v>1000</v>
      </c>
      <c r="CG105" s="1953">
        <f t="shared" ca="1" si="134"/>
        <v>1000</v>
      </c>
      <c r="CH105" s="1955">
        <f t="shared" ca="1" si="134"/>
        <v>1000</v>
      </c>
      <c r="CI105" s="1955">
        <f t="shared" ca="1" si="134"/>
        <v>1000</v>
      </c>
      <c r="CJ105" s="1955">
        <f t="shared" ca="1" si="134"/>
        <v>1000</v>
      </c>
      <c r="CK105" s="1955">
        <f t="shared" ca="1" si="134"/>
        <v>1000</v>
      </c>
      <c r="CL105" s="1955">
        <f t="shared" ca="1" si="134"/>
        <v>1000</v>
      </c>
      <c r="CM105" s="1951">
        <f t="shared" ca="1" si="134"/>
        <v>0</v>
      </c>
      <c r="CN105" s="1953">
        <f t="shared" ca="1" si="134"/>
        <v>0</v>
      </c>
      <c r="CO105" s="1955">
        <f t="shared" ca="1" si="134"/>
        <v>0</v>
      </c>
      <c r="CP105" s="1955">
        <f t="shared" ca="1" si="134"/>
        <v>0</v>
      </c>
      <c r="CQ105" s="1955">
        <f t="shared" ca="1" si="134"/>
        <v>0</v>
      </c>
      <c r="CR105" s="1955">
        <f t="shared" ca="1" si="134"/>
        <v>0</v>
      </c>
      <c r="CS105" s="1955">
        <f t="shared" ca="1" si="134"/>
        <v>0</v>
      </c>
      <c r="CT105" s="1951">
        <f t="shared" ca="1" si="134"/>
        <v>0</v>
      </c>
      <c r="CU105" s="1953">
        <f t="shared" ca="1" si="134"/>
        <v>0</v>
      </c>
      <c r="CV105" s="1955">
        <f t="shared" ca="1" si="134"/>
        <v>0</v>
      </c>
      <c r="CW105" s="1955">
        <f t="shared" ca="1" si="134"/>
        <v>0</v>
      </c>
      <c r="CX105" s="1955">
        <f t="shared" ca="1" si="134"/>
        <v>0</v>
      </c>
      <c r="CY105" s="1955">
        <f t="shared" ca="1" si="134"/>
        <v>0</v>
      </c>
      <c r="CZ105" s="1955">
        <f t="shared" ca="1" si="134"/>
        <v>0</v>
      </c>
      <c r="DA105" s="1951">
        <f t="shared" ca="1" si="134"/>
        <v>0</v>
      </c>
      <c r="DB105" s="1953">
        <f t="shared" ca="1" si="134"/>
        <v>0</v>
      </c>
      <c r="DC105" s="1955">
        <f t="shared" ca="1" si="134"/>
        <v>0</v>
      </c>
      <c r="DD105" s="1955">
        <f t="shared" ca="1" si="134"/>
        <v>0</v>
      </c>
      <c r="DE105" s="1955">
        <f t="shared" ca="1" si="134"/>
        <v>0</v>
      </c>
      <c r="DF105" s="1955">
        <f t="shared" ca="1" si="134"/>
        <v>0</v>
      </c>
      <c r="DG105" s="1955">
        <f t="shared" ca="1" si="134"/>
        <v>0</v>
      </c>
      <c r="DH105" s="1951">
        <f t="shared" ca="1" si="134"/>
        <v>0</v>
      </c>
      <c r="DI105" s="1953">
        <f t="shared" ca="1" si="134"/>
        <v>0</v>
      </c>
      <c r="DJ105" s="1955">
        <f t="shared" ca="1" si="134"/>
        <v>0</v>
      </c>
      <c r="DK105" s="1955">
        <f t="shared" ca="1" si="134"/>
        <v>0</v>
      </c>
      <c r="DL105" s="1955">
        <f t="shared" ca="1" si="134"/>
        <v>0</v>
      </c>
      <c r="DM105" s="1955">
        <f t="shared" ca="1" si="134"/>
        <v>0</v>
      </c>
      <c r="DN105" s="1955">
        <f t="shared" ca="1" si="134"/>
        <v>0</v>
      </c>
      <c r="DO105" s="1951">
        <f t="shared" ca="1" si="134"/>
        <v>0</v>
      </c>
      <c r="DP105" s="1953">
        <f t="shared" ca="1" si="134"/>
        <v>0</v>
      </c>
      <c r="DQ105" s="1955">
        <f t="shared" ca="1" si="134"/>
        <v>0</v>
      </c>
      <c r="DR105" s="1955">
        <f t="shared" ca="1" si="134"/>
        <v>0</v>
      </c>
      <c r="DS105" s="1955">
        <f t="shared" ca="1" si="134"/>
        <v>0</v>
      </c>
      <c r="DT105" s="1955">
        <f t="shared" ca="1" si="134"/>
        <v>0</v>
      </c>
      <c r="DU105" s="1955">
        <f t="shared" ca="1" si="134"/>
        <v>0</v>
      </c>
      <c r="DV105" s="1951">
        <f t="shared" ca="1" si="134"/>
        <v>0</v>
      </c>
      <c r="DW105" s="1953">
        <f t="shared" ca="1" si="134"/>
        <v>0</v>
      </c>
      <c r="DX105" s="1955">
        <f t="shared" ca="1" si="134"/>
        <v>0</v>
      </c>
      <c r="DY105" s="1955">
        <f t="shared" ca="1" si="134"/>
        <v>0</v>
      </c>
      <c r="DZ105" s="1955">
        <f t="shared" ca="1" si="134"/>
        <v>0</v>
      </c>
      <c r="EA105" s="1955">
        <f t="shared" ca="1" si="134"/>
        <v>0</v>
      </c>
      <c r="EB105" s="1955">
        <f t="shared" ca="1" si="134"/>
        <v>0</v>
      </c>
      <c r="EC105" s="1951">
        <f t="shared" ca="1" si="134"/>
        <v>0</v>
      </c>
      <c r="ED105" s="1953">
        <f t="shared" ca="1" si="134"/>
        <v>0</v>
      </c>
      <c r="EE105" s="1955">
        <f t="shared" ca="1" si="134"/>
        <v>0</v>
      </c>
      <c r="EF105" s="1955">
        <f t="shared" ca="1" si="134"/>
        <v>0</v>
      </c>
      <c r="EG105" s="1955">
        <f t="shared" ca="1" si="134"/>
        <v>0</v>
      </c>
      <c r="EH105" s="1955">
        <f t="shared" ref="EH105:GS105" ca="1" si="135">IF(OR(EH117+EH119+EH121&gt;=10,EH172=1000),1000,0)</f>
        <v>0</v>
      </c>
      <c r="EI105" s="1955">
        <f t="shared" ca="1" si="135"/>
        <v>0</v>
      </c>
      <c r="EJ105" s="1951">
        <f t="shared" ca="1" si="135"/>
        <v>0</v>
      </c>
      <c r="EK105" s="1953">
        <f t="shared" ca="1" si="135"/>
        <v>0</v>
      </c>
      <c r="EL105" s="1955">
        <f t="shared" ca="1" si="135"/>
        <v>0</v>
      </c>
      <c r="EM105" s="1955">
        <f t="shared" ca="1" si="135"/>
        <v>0</v>
      </c>
      <c r="EN105" s="1955">
        <f t="shared" ca="1" si="135"/>
        <v>0</v>
      </c>
      <c r="EO105" s="1955">
        <f t="shared" ca="1" si="135"/>
        <v>0</v>
      </c>
      <c r="EP105" s="1955">
        <f t="shared" ca="1" si="135"/>
        <v>0</v>
      </c>
      <c r="EQ105" s="1951">
        <f t="shared" ca="1" si="135"/>
        <v>0</v>
      </c>
      <c r="ER105" s="1953">
        <f t="shared" ca="1" si="135"/>
        <v>0</v>
      </c>
      <c r="ES105" s="1955">
        <f t="shared" ca="1" si="135"/>
        <v>0</v>
      </c>
      <c r="ET105" s="1955">
        <f t="shared" ca="1" si="135"/>
        <v>0</v>
      </c>
      <c r="EU105" s="1955">
        <f t="shared" ca="1" si="135"/>
        <v>0</v>
      </c>
      <c r="EV105" s="1955">
        <f t="shared" ca="1" si="135"/>
        <v>0</v>
      </c>
      <c r="EW105" s="1955">
        <f t="shared" ca="1" si="135"/>
        <v>0</v>
      </c>
      <c r="EX105" s="1951">
        <f t="shared" ca="1" si="135"/>
        <v>0</v>
      </c>
      <c r="EY105" s="1953">
        <f t="shared" ca="1" si="135"/>
        <v>0</v>
      </c>
      <c r="EZ105" s="1955">
        <f t="shared" ca="1" si="135"/>
        <v>0</v>
      </c>
      <c r="FA105" s="1955">
        <f t="shared" ca="1" si="135"/>
        <v>0</v>
      </c>
      <c r="FB105" s="1955">
        <f t="shared" ca="1" si="135"/>
        <v>0</v>
      </c>
      <c r="FC105" s="1955">
        <f t="shared" ca="1" si="135"/>
        <v>0</v>
      </c>
      <c r="FD105" s="1955">
        <f t="shared" ca="1" si="135"/>
        <v>0</v>
      </c>
      <c r="FE105" s="1951">
        <f t="shared" ca="1" si="135"/>
        <v>0</v>
      </c>
      <c r="FF105" s="1953">
        <f t="shared" ca="1" si="135"/>
        <v>0</v>
      </c>
      <c r="FG105" s="1955">
        <f t="shared" ca="1" si="135"/>
        <v>0</v>
      </c>
      <c r="FH105" s="1955">
        <f t="shared" ca="1" si="135"/>
        <v>0</v>
      </c>
      <c r="FI105" s="1955">
        <f t="shared" ca="1" si="135"/>
        <v>0</v>
      </c>
      <c r="FJ105" s="1955">
        <f t="shared" ca="1" si="135"/>
        <v>0</v>
      </c>
      <c r="FK105" s="1955">
        <f t="shared" ca="1" si="135"/>
        <v>0</v>
      </c>
      <c r="FL105" s="1951">
        <f t="shared" ca="1" si="135"/>
        <v>0</v>
      </c>
      <c r="FM105" s="1953">
        <f t="shared" ca="1" si="135"/>
        <v>0</v>
      </c>
      <c r="FN105" s="1955">
        <f t="shared" ca="1" si="135"/>
        <v>0</v>
      </c>
      <c r="FO105" s="1955">
        <f t="shared" ca="1" si="135"/>
        <v>0</v>
      </c>
      <c r="FP105" s="1955">
        <f t="shared" ca="1" si="135"/>
        <v>0</v>
      </c>
      <c r="FQ105" s="1955">
        <f t="shared" ca="1" si="135"/>
        <v>0</v>
      </c>
      <c r="FR105" s="1955">
        <f t="shared" ca="1" si="135"/>
        <v>0</v>
      </c>
      <c r="FS105" s="1951">
        <f t="shared" ca="1" si="135"/>
        <v>0</v>
      </c>
      <c r="FT105" s="1953">
        <f t="shared" ca="1" si="135"/>
        <v>0</v>
      </c>
      <c r="FU105" s="1955">
        <f t="shared" ca="1" si="135"/>
        <v>0</v>
      </c>
      <c r="FV105" s="1955">
        <f t="shared" ca="1" si="135"/>
        <v>0</v>
      </c>
      <c r="FW105" s="1955">
        <f t="shared" ca="1" si="135"/>
        <v>0</v>
      </c>
      <c r="FX105" s="1955">
        <f t="shared" ca="1" si="135"/>
        <v>0</v>
      </c>
      <c r="FY105" s="1955">
        <f t="shared" ca="1" si="135"/>
        <v>0</v>
      </c>
      <c r="FZ105" s="1951">
        <f t="shared" ca="1" si="135"/>
        <v>0</v>
      </c>
      <c r="GA105" s="1953">
        <f t="shared" ca="1" si="135"/>
        <v>0</v>
      </c>
      <c r="GB105" s="1955">
        <f t="shared" ca="1" si="135"/>
        <v>0</v>
      </c>
      <c r="GC105" s="1955">
        <f t="shared" ca="1" si="135"/>
        <v>0</v>
      </c>
      <c r="GD105" s="1955">
        <f t="shared" ca="1" si="135"/>
        <v>0</v>
      </c>
      <c r="GE105" s="1955">
        <f t="shared" ca="1" si="135"/>
        <v>0</v>
      </c>
      <c r="GF105" s="1955">
        <f t="shared" ca="1" si="135"/>
        <v>0</v>
      </c>
      <c r="GG105" s="1951">
        <f t="shared" ca="1" si="135"/>
        <v>0</v>
      </c>
      <c r="GH105" s="1953">
        <f t="shared" ca="1" si="135"/>
        <v>0</v>
      </c>
      <c r="GI105" s="1955">
        <f t="shared" ca="1" si="135"/>
        <v>0</v>
      </c>
      <c r="GJ105" s="1955">
        <f t="shared" ca="1" si="135"/>
        <v>0</v>
      </c>
      <c r="GK105" s="1955">
        <f t="shared" ca="1" si="135"/>
        <v>0</v>
      </c>
      <c r="GL105" s="1955">
        <f t="shared" ca="1" si="135"/>
        <v>0</v>
      </c>
      <c r="GM105" s="1955">
        <f t="shared" ca="1" si="135"/>
        <v>0</v>
      </c>
      <c r="GN105" s="1951">
        <f t="shared" ca="1" si="135"/>
        <v>0</v>
      </c>
      <c r="GO105" s="1953">
        <f t="shared" ca="1" si="135"/>
        <v>0</v>
      </c>
      <c r="GP105" s="1955">
        <f t="shared" ca="1" si="135"/>
        <v>0</v>
      </c>
      <c r="GQ105" s="1955">
        <f t="shared" ca="1" si="135"/>
        <v>0</v>
      </c>
      <c r="GR105" s="1955">
        <f t="shared" ca="1" si="135"/>
        <v>0</v>
      </c>
      <c r="GS105" s="1955">
        <f t="shared" ca="1" si="135"/>
        <v>0</v>
      </c>
      <c r="GT105" s="1955">
        <f t="shared" ref="GT105:IK105" ca="1" si="136">IF(OR(GT117+GT119+GT121&gt;=10,GT172=1000),1000,0)</f>
        <v>0</v>
      </c>
      <c r="GU105" s="1951">
        <f t="shared" ca="1" si="136"/>
        <v>0</v>
      </c>
      <c r="GV105" s="1953">
        <f t="shared" ca="1" si="136"/>
        <v>0</v>
      </c>
      <c r="GW105" s="1955">
        <f t="shared" ca="1" si="136"/>
        <v>0</v>
      </c>
      <c r="GX105" s="1955">
        <f t="shared" ca="1" si="136"/>
        <v>0</v>
      </c>
      <c r="GY105" s="1955">
        <f t="shared" ca="1" si="136"/>
        <v>0</v>
      </c>
      <c r="GZ105" s="1955">
        <f t="shared" ca="1" si="136"/>
        <v>0</v>
      </c>
      <c r="HA105" s="1955">
        <f t="shared" ca="1" si="136"/>
        <v>0</v>
      </c>
      <c r="HB105" s="1951">
        <f t="shared" ca="1" si="136"/>
        <v>0</v>
      </c>
      <c r="HC105" s="1953">
        <f t="shared" ca="1" si="136"/>
        <v>0</v>
      </c>
      <c r="HD105" s="1955">
        <f t="shared" ca="1" si="136"/>
        <v>0</v>
      </c>
      <c r="HE105" s="1955">
        <f t="shared" ca="1" si="136"/>
        <v>0</v>
      </c>
      <c r="HF105" s="1955">
        <f t="shared" ca="1" si="136"/>
        <v>0</v>
      </c>
      <c r="HG105" s="1955">
        <f t="shared" ca="1" si="136"/>
        <v>0</v>
      </c>
      <c r="HH105" s="1955">
        <f t="shared" ca="1" si="136"/>
        <v>0</v>
      </c>
      <c r="HI105" s="1951">
        <f t="shared" ca="1" si="136"/>
        <v>0</v>
      </c>
      <c r="HJ105" s="1953">
        <f t="shared" ca="1" si="136"/>
        <v>0</v>
      </c>
      <c r="HK105" s="1955">
        <f t="shared" ca="1" si="136"/>
        <v>0</v>
      </c>
      <c r="HL105" s="1955">
        <f t="shared" ca="1" si="136"/>
        <v>0</v>
      </c>
      <c r="HM105" s="1955">
        <f t="shared" ca="1" si="136"/>
        <v>0</v>
      </c>
      <c r="HN105" s="1955">
        <f t="shared" ca="1" si="136"/>
        <v>0</v>
      </c>
      <c r="HO105" s="1955">
        <f t="shared" ca="1" si="136"/>
        <v>0</v>
      </c>
      <c r="HP105" s="1951">
        <f t="shared" ca="1" si="136"/>
        <v>0</v>
      </c>
      <c r="HQ105" s="1953">
        <f t="shared" ca="1" si="136"/>
        <v>0</v>
      </c>
      <c r="HR105" s="1955">
        <f t="shared" ca="1" si="136"/>
        <v>0</v>
      </c>
      <c r="HS105" s="1955">
        <f t="shared" ca="1" si="136"/>
        <v>0</v>
      </c>
      <c r="HT105" s="1955">
        <f t="shared" ca="1" si="136"/>
        <v>0</v>
      </c>
      <c r="HU105" s="1955">
        <f t="shared" ca="1" si="136"/>
        <v>0</v>
      </c>
      <c r="HV105" s="1955">
        <f t="shared" ca="1" si="136"/>
        <v>0</v>
      </c>
      <c r="HW105" s="1951">
        <f t="shared" ca="1" si="136"/>
        <v>0</v>
      </c>
      <c r="HX105" s="1953">
        <f t="shared" ca="1" si="136"/>
        <v>0</v>
      </c>
      <c r="HY105" s="1955">
        <f t="shared" ca="1" si="136"/>
        <v>0</v>
      </c>
      <c r="HZ105" s="1955">
        <f t="shared" ca="1" si="136"/>
        <v>0</v>
      </c>
      <c r="IA105" s="1955">
        <f t="shared" ca="1" si="136"/>
        <v>0</v>
      </c>
      <c r="IB105" s="1955">
        <f t="shared" ca="1" si="136"/>
        <v>0</v>
      </c>
      <c r="IC105" s="1955">
        <f t="shared" ca="1" si="136"/>
        <v>0</v>
      </c>
      <c r="ID105" s="1951">
        <f t="shared" ca="1" si="136"/>
        <v>0</v>
      </c>
      <c r="IE105" s="1953">
        <f t="shared" ca="1" si="136"/>
        <v>0</v>
      </c>
      <c r="IF105" s="1955">
        <f t="shared" ca="1" si="136"/>
        <v>0</v>
      </c>
      <c r="IG105" s="1955">
        <f t="shared" ca="1" si="136"/>
        <v>0</v>
      </c>
      <c r="IH105" s="1955">
        <f t="shared" ca="1" si="136"/>
        <v>0</v>
      </c>
      <c r="II105" s="1955">
        <f t="shared" ca="1" si="136"/>
        <v>0</v>
      </c>
      <c r="IJ105" s="1955">
        <f t="shared" ca="1" si="136"/>
        <v>0</v>
      </c>
      <c r="IK105" s="1951">
        <f t="shared" ca="1" si="136"/>
        <v>0</v>
      </c>
    </row>
    <row r="106" spans="1:245" ht="8.1" customHeight="1" x14ac:dyDescent="0.35">
      <c r="A106" s="195" t="str">
        <f>IF(B105=0,0,"XXX")</f>
        <v>XXX</v>
      </c>
      <c r="B106" s="1968"/>
      <c r="C106" s="1970"/>
      <c r="D106" s="360" t="str">
        <f>IF(ENTRADAS!$F$22=0,0,"término:")</f>
        <v>término:</v>
      </c>
      <c r="E106" s="361">
        <f ca="1">IF(D128&lt;D127,0,IF(ENTRADAS!$D$912&lt;&gt;0,E116,E114))</f>
        <v>45995.237500000003</v>
      </c>
      <c r="F106" s="1972"/>
      <c r="G106" s="1974"/>
      <c r="H106" s="1954"/>
      <c r="I106" s="1956"/>
      <c r="J106" s="1956"/>
      <c r="K106" s="1956"/>
      <c r="L106" s="1956"/>
      <c r="M106" s="1956"/>
      <c r="N106" s="1952"/>
      <c r="O106" s="1954"/>
      <c r="P106" s="1956"/>
      <c r="Q106" s="1956"/>
      <c r="R106" s="1956"/>
      <c r="S106" s="1956"/>
      <c r="T106" s="1956"/>
      <c r="U106" s="1952"/>
      <c r="V106" s="1954"/>
      <c r="W106" s="1956"/>
      <c r="X106" s="1956"/>
      <c r="Y106" s="1956"/>
      <c r="Z106" s="1956"/>
      <c r="AA106" s="1956"/>
      <c r="AB106" s="1952"/>
      <c r="AC106" s="1954"/>
      <c r="AD106" s="1956"/>
      <c r="AE106" s="1956"/>
      <c r="AF106" s="1956"/>
      <c r="AG106" s="1956"/>
      <c r="AH106" s="1956"/>
      <c r="AI106" s="1952"/>
      <c r="AJ106" s="1954"/>
      <c r="AK106" s="1956"/>
      <c r="AL106" s="1956"/>
      <c r="AM106" s="1956"/>
      <c r="AN106" s="1956"/>
      <c r="AO106" s="1956"/>
      <c r="AP106" s="1952"/>
      <c r="AQ106" s="1954"/>
      <c r="AR106" s="1956"/>
      <c r="AS106" s="1956"/>
      <c r="AT106" s="1956"/>
      <c r="AU106" s="1956"/>
      <c r="AV106" s="1956"/>
      <c r="AW106" s="1952"/>
      <c r="AX106" s="1954"/>
      <c r="AY106" s="1956"/>
      <c r="AZ106" s="1956"/>
      <c r="BA106" s="1956"/>
      <c r="BB106" s="1956"/>
      <c r="BC106" s="1956"/>
      <c r="BD106" s="1952"/>
      <c r="BE106" s="1954"/>
      <c r="BF106" s="1956"/>
      <c r="BG106" s="1956"/>
      <c r="BH106" s="1956"/>
      <c r="BI106" s="1956"/>
      <c r="BJ106" s="1956"/>
      <c r="BK106" s="1952"/>
      <c r="BL106" s="1954"/>
      <c r="BM106" s="1956"/>
      <c r="BN106" s="1956"/>
      <c r="BO106" s="1956"/>
      <c r="BP106" s="1956"/>
      <c r="BQ106" s="1956"/>
      <c r="BR106" s="1952"/>
      <c r="BS106" s="1954"/>
      <c r="BT106" s="1956"/>
      <c r="BU106" s="1956"/>
      <c r="BV106" s="1956"/>
      <c r="BW106" s="1956"/>
      <c r="BX106" s="1956"/>
      <c r="BY106" s="1952"/>
      <c r="BZ106" s="1954"/>
      <c r="CA106" s="1956"/>
      <c r="CB106" s="1956"/>
      <c r="CC106" s="1956"/>
      <c r="CD106" s="1956"/>
      <c r="CE106" s="1956"/>
      <c r="CF106" s="1952"/>
      <c r="CG106" s="1954"/>
      <c r="CH106" s="1956"/>
      <c r="CI106" s="1956"/>
      <c r="CJ106" s="1956"/>
      <c r="CK106" s="1956"/>
      <c r="CL106" s="1956"/>
      <c r="CM106" s="1952"/>
      <c r="CN106" s="1954"/>
      <c r="CO106" s="1956"/>
      <c r="CP106" s="1956"/>
      <c r="CQ106" s="1956"/>
      <c r="CR106" s="1956"/>
      <c r="CS106" s="1956"/>
      <c r="CT106" s="1952"/>
      <c r="CU106" s="1954"/>
      <c r="CV106" s="1956"/>
      <c r="CW106" s="1956"/>
      <c r="CX106" s="1956"/>
      <c r="CY106" s="1956"/>
      <c r="CZ106" s="1956"/>
      <c r="DA106" s="1952"/>
      <c r="DB106" s="1954"/>
      <c r="DC106" s="1956"/>
      <c r="DD106" s="1956"/>
      <c r="DE106" s="1956"/>
      <c r="DF106" s="1956"/>
      <c r="DG106" s="1956"/>
      <c r="DH106" s="1952"/>
      <c r="DI106" s="1954"/>
      <c r="DJ106" s="1956"/>
      <c r="DK106" s="1956"/>
      <c r="DL106" s="1956"/>
      <c r="DM106" s="1956"/>
      <c r="DN106" s="1956"/>
      <c r="DO106" s="1952"/>
      <c r="DP106" s="1954"/>
      <c r="DQ106" s="1956"/>
      <c r="DR106" s="1956"/>
      <c r="DS106" s="1956"/>
      <c r="DT106" s="1956"/>
      <c r="DU106" s="1956"/>
      <c r="DV106" s="1952"/>
      <c r="DW106" s="1954"/>
      <c r="DX106" s="1956"/>
      <c r="DY106" s="1956"/>
      <c r="DZ106" s="1956"/>
      <c r="EA106" s="1956"/>
      <c r="EB106" s="1956"/>
      <c r="EC106" s="1952"/>
      <c r="ED106" s="1954"/>
      <c r="EE106" s="1956"/>
      <c r="EF106" s="1956"/>
      <c r="EG106" s="1956"/>
      <c r="EH106" s="1956"/>
      <c r="EI106" s="1956"/>
      <c r="EJ106" s="1952"/>
      <c r="EK106" s="1954"/>
      <c r="EL106" s="1956"/>
      <c r="EM106" s="1956"/>
      <c r="EN106" s="1956"/>
      <c r="EO106" s="1956"/>
      <c r="EP106" s="1956"/>
      <c r="EQ106" s="1952"/>
      <c r="ER106" s="1954"/>
      <c r="ES106" s="1956"/>
      <c r="ET106" s="1956"/>
      <c r="EU106" s="1956"/>
      <c r="EV106" s="1956"/>
      <c r="EW106" s="1956"/>
      <c r="EX106" s="1952"/>
      <c r="EY106" s="1954"/>
      <c r="EZ106" s="1956"/>
      <c r="FA106" s="1956"/>
      <c r="FB106" s="1956"/>
      <c r="FC106" s="1956"/>
      <c r="FD106" s="1956"/>
      <c r="FE106" s="1952"/>
      <c r="FF106" s="1954"/>
      <c r="FG106" s="1956"/>
      <c r="FH106" s="1956"/>
      <c r="FI106" s="1956"/>
      <c r="FJ106" s="1956"/>
      <c r="FK106" s="1956"/>
      <c r="FL106" s="1952"/>
      <c r="FM106" s="1954"/>
      <c r="FN106" s="1956"/>
      <c r="FO106" s="1956"/>
      <c r="FP106" s="1956"/>
      <c r="FQ106" s="1956"/>
      <c r="FR106" s="1956"/>
      <c r="FS106" s="1952"/>
      <c r="FT106" s="1954"/>
      <c r="FU106" s="1956"/>
      <c r="FV106" s="1956"/>
      <c r="FW106" s="1956"/>
      <c r="FX106" s="1956"/>
      <c r="FY106" s="1956"/>
      <c r="FZ106" s="1952"/>
      <c r="GA106" s="1954"/>
      <c r="GB106" s="1956"/>
      <c r="GC106" s="1956"/>
      <c r="GD106" s="1956"/>
      <c r="GE106" s="1956"/>
      <c r="GF106" s="1956"/>
      <c r="GG106" s="1952"/>
      <c r="GH106" s="1954"/>
      <c r="GI106" s="1956"/>
      <c r="GJ106" s="1956"/>
      <c r="GK106" s="1956"/>
      <c r="GL106" s="1956"/>
      <c r="GM106" s="1956"/>
      <c r="GN106" s="1952"/>
      <c r="GO106" s="1954"/>
      <c r="GP106" s="1956"/>
      <c r="GQ106" s="1956"/>
      <c r="GR106" s="1956"/>
      <c r="GS106" s="1956"/>
      <c r="GT106" s="1956"/>
      <c r="GU106" s="1952"/>
      <c r="GV106" s="1954"/>
      <c r="GW106" s="1956"/>
      <c r="GX106" s="1956"/>
      <c r="GY106" s="1956"/>
      <c r="GZ106" s="1956"/>
      <c r="HA106" s="1956"/>
      <c r="HB106" s="1952"/>
      <c r="HC106" s="1954"/>
      <c r="HD106" s="1956"/>
      <c r="HE106" s="1956"/>
      <c r="HF106" s="1956"/>
      <c r="HG106" s="1956"/>
      <c r="HH106" s="1956"/>
      <c r="HI106" s="1952"/>
      <c r="HJ106" s="1954"/>
      <c r="HK106" s="1956"/>
      <c r="HL106" s="1956"/>
      <c r="HM106" s="1956"/>
      <c r="HN106" s="1956"/>
      <c r="HO106" s="1956"/>
      <c r="HP106" s="1952"/>
      <c r="HQ106" s="1954"/>
      <c r="HR106" s="1956"/>
      <c r="HS106" s="1956"/>
      <c r="HT106" s="1956"/>
      <c r="HU106" s="1956"/>
      <c r="HV106" s="1956"/>
      <c r="HW106" s="1952"/>
      <c r="HX106" s="1954"/>
      <c r="HY106" s="1956"/>
      <c r="HZ106" s="1956"/>
      <c r="IA106" s="1956"/>
      <c r="IB106" s="1956"/>
      <c r="IC106" s="1956"/>
      <c r="ID106" s="1952"/>
      <c r="IE106" s="1954"/>
      <c r="IF106" s="1956"/>
      <c r="IG106" s="1956"/>
      <c r="IH106" s="1956"/>
      <c r="II106" s="1956"/>
      <c r="IJ106" s="1956"/>
      <c r="IK106" s="1952"/>
    </row>
    <row r="107" spans="1:245" ht="8.1" customHeight="1" x14ac:dyDescent="0.35">
      <c r="A107" s="195" t="str">
        <f>IF(B107=0,0,"XXX")</f>
        <v>XXX</v>
      </c>
      <c r="B107" s="1959" t="str">
        <f>IF(D128&lt;D127,0,"1.2.1")</f>
        <v>1.2.1</v>
      </c>
      <c r="C107" s="1965" t="str">
        <f>IF(ENTRADAS!$F$22=0,0,"CONFECÇÃO DE PAREDES")</f>
        <v>CONFECÇÃO DE PAREDES</v>
      </c>
      <c r="D107" s="358" t="str">
        <f>IF(ENTRADAS!$F$22=0,0,"início:")</f>
        <v>início:</v>
      </c>
      <c r="E107" s="359">
        <f ca="1">IF(D128&lt;D127,0,D133)</f>
        <v>45944.25</v>
      </c>
      <c r="F107" s="1961">
        <f ca="1">IF(D128&lt;D127,0,D132)</f>
        <v>25.25</v>
      </c>
      <c r="G107" s="1963" t="str">
        <f>IF(ENTRADAS!$F$22=0,0,"dias")</f>
        <v>dias</v>
      </c>
      <c r="H107" s="1947">
        <f t="shared" ref="H107:U107" ca="1" si="137">H132</f>
        <v>0</v>
      </c>
      <c r="I107" s="1947">
        <f t="shared" ca="1" si="137"/>
        <v>0</v>
      </c>
      <c r="J107" s="1947">
        <f t="shared" ca="1" si="137"/>
        <v>0</v>
      </c>
      <c r="K107" s="1947">
        <f t="shared" ca="1" si="137"/>
        <v>0</v>
      </c>
      <c r="L107" s="1947">
        <f t="shared" ca="1" si="137"/>
        <v>0</v>
      </c>
      <c r="M107" s="1947">
        <f t="shared" ca="1" si="137"/>
        <v>0</v>
      </c>
      <c r="N107" s="1949">
        <f t="shared" ca="1" si="137"/>
        <v>0</v>
      </c>
      <c r="O107" s="1947">
        <f t="shared" ca="1" si="137"/>
        <v>0</v>
      </c>
      <c r="P107" s="1947">
        <f t="shared" ca="1" si="137"/>
        <v>0</v>
      </c>
      <c r="Q107" s="1947">
        <f t="shared" ca="1" si="137"/>
        <v>0</v>
      </c>
      <c r="R107" s="1947">
        <f t="shared" ca="1" si="137"/>
        <v>0</v>
      </c>
      <c r="S107" s="1947">
        <f t="shared" ca="1" si="137"/>
        <v>0</v>
      </c>
      <c r="T107" s="1947">
        <f t="shared" ca="1" si="137"/>
        <v>0</v>
      </c>
      <c r="U107" s="1949">
        <f t="shared" ca="1" si="137"/>
        <v>0</v>
      </c>
      <c r="V107" s="1947">
        <f ca="1">V132</f>
        <v>0</v>
      </c>
      <c r="W107" s="1947">
        <f t="shared" ref="W107:AB107" ca="1" si="138">W132</f>
        <v>0</v>
      </c>
      <c r="X107" s="1947">
        <f t="shared" ca="1" si="138"/>
        <v>0</v>
      </c>
      <c r="Y107" s="1947">
        <f t="shared" ca="1" si="138"/>
        <v>0</v>
      </c>
      <c r="Z107" s="1947">
        <f t="shared" ca="1" si="138"/>
        <v>0</v>
      </c>
      <c r="AA107" s="1947">
        <f t="shared" ca="1" si="138"/>
        <v>0</v>
      </c>
      <c r="AB107" s="1949">
        <f t="shared" ca="1" si="138"/>
        <v>0</v>
      </c>
      <c r="AC107" s="1947">
        <f ca="1">AC132</f>
        <v>0</v>
      </c>
      <c r="AD107" s="1947">
        <f t="shared" ref="AD107:AI107" ca="1" si="139">AD132</f>
        <v>0</v>
      </c>
      <c r="AE107" s="1947">
        <f t="shared" ca="1" si="139"/>
        <v>0</v>
      </c>
      <c r="AF107" s="1947">
        <f t="shared" ca="1" si="139"/>
        <v>0</v>
      </c>
      <c r="AG107" s="1947">
        <f t="shared" ca="1" si="139"/>
        <v>0</v>
      </c>
      <c r="AH107" s="1947">
        <f t="shared" ca="1" si="139"/>
        <v>0</v>
      </c>
      <c r="AI107" s="1949">
        <f t="shared" ca="1" si="139"/>
        <v>0</v>
      </c>
      <c r="AJ107" s="1947">
        <f ca="1">AJ132</f>
        <v>0</v>
      </c>
      <c r="AK107" s="1947">
        <f t="shared" ref="AK107:AP107" ca="1" si="140">AK132</f>
        <v>0</v>
      </c>
      <c r="AL107" s="1947">
        <f t="shared" ca="1" si="140"/>
        <v>0</v>
      </c>
      <c r="AM107" s="1947">
        <f t="shared" ca="1" si="140"/>
        <v>10</v>
      </c>
      <c r="AN107" s="1947">
        <f t="shared" ca="1" si="140"/>
        <v>10</v>
      </c>
      <c r="AO107" s="1947">
        <f t="shared" ca="1" si="140"/>
        <v>10</v>
      </c>
      <c r="AP107" s="1949">
        <f t="shared" ca="1" si="140"/>
        <v>10</v>
      </c>
      <c r="AQ107" s="1947">
        <f ca="1">AQ132</f>
        <v>10</v>
      </c>
      <c r="AR107" s="1947">
        <f t="shared" ref="AR107:AW107" ca="1" si="141">AR132</f>
        <v>10</v>
      </c>
      <c r="AS107" s="1947">
        <f t="shared" ca="1" si="141"/>
        <v>10</v>
      </c>
      <c r="AT107" s="1947">
        <f t="shared" ca="1" si="141"/>
        <v>10</v>
      </c>
      <c r="AU107" s="1947">
        <f t="shared" ca="1" si="141"/>
        <v>10</v>
      </c>
      <c r="AV107" s="1947">
        <f t="shared" ca="1" si="141"/>
        <v>10</v>
      </c>
      <c r="AW107" s="1949">
        <f t="shared" ca="1" si="141"/>
        <v>10</v>
      </c>
      <c r="AX107" s="1947">
        <f ca="1">AX132</f>
        <v>10</v>
      </c>
      <c r="AY107" s="1947">
        <f t="shared" ref="AY107:BD107" ca="1" si="142">AY132</f>
        <v>10</v>
      </c>
      <c r="AZ107" s="1947">
        <f t="shared" ca="1" si="142"/>
        <v>10</v>
      </c>
      <c r="BA107" s="1947">
        <f t="shared" ca="1" si="142"/>
        <v>10</v>
      </c>
      <c r="BB107" s="1947">
        <f t="shared" ca="1" si="142"/>
        <v>10</v>
      </c>
      <c r="BC107" s="1947">
        <f t="shared" ca="1" si="142"/>
        <v>10</v>
      </c>
      <c r="BD107" s="1949">
        <f t="shared" ca="1" si="142"/>
        <v>10</v>
      </c>
      <c r="BE107" s="1947">
        <f ca="1">BE132</f>
        <v>10</v>
      </c>
      <c r="BF107" s="1947">
        <f t="shared" ref="BF107:BK107" ca="1" si="143">BF132</f>
        <v>10</v>
      </c>
      <c r="BG107" s="1947">
        <f t="shared" ca="1" si="143"/>
        <v>10</v>
      </c>
      <c r="BH107" s="1947">
        <f t="shared" ca="1" si="143"/>
        <v>10</v>
      </c>
      <c r="BI107" s="1947">
        <f t="shared" ca="1" si="143"/>
        <v>10</v>
      </c>
      <c r="BJ107" s="1947">
        <f t="shared" ca="1" si="143"/>
        <v>10</v>
      </c>
      <c r="BK107" s="1949">
        <f t="shared" ca="1" si="143"/>
        <v>10</v>
      </c>
      <c r="BL107" s="1947">
        <f ca="1">BL132</f>
        <v>0</v>
      </c>
      <c r="BM107" s="1947">
        <f t="shared" ref="BM107:BR107" ca="1" si="144">BM132</f>
        <v>0</v>
      </c>
      <c r="BN107" s="1947">
        <f t="shared" ca="1" si="144"/>
        <v>0</v>
      </c>
      <c r="BO107" s="1947">
        <f t="shared" ca="1" si="144"/>
        <v>0</v>
      </c>
      <c r="BP107" s="1947">
        <f t="shared" ca="1" si="144"/>
        <v>0</v>
      </c>
      <c r="BQ107" s="1947">
        <f t="shared" ca="1" si="144"/>
        <v>0</v>
      </c>
      <c r="BR107" s="1949">
        <f t="shared" ca="1" si="144"/>
        <v>0</v>
      </c>
      <c r="BS107" s="1947">
        <f ca="1">BS132</f>
        <v>0</v>
      </c>
      <c r="BT107" s="1947">
        <f t="shared" ref="BT107:EE107" ca="1" si="145">BT132</f>
        <v>0</v>
      </c>
      <c r="BU107" s="1947">
        <f t="shared" ca="1" si="145"/>
        <v>0</v>
      </c>
      <c r="BV107" s="1947">
        <f t="shared" ca="1" si="145"/>
        <v>0</v>
      </c>
      <c r="BW107" s="1947">
        <f t="shared" ca="1" si="145"/>
        <v>0</v>
      </c>
      <c r="BX107" s="1947">
        <f t="shared" ca="1" si="145"/>
        <v>0</v>
      </c>
      <c r="BY107" s="1949">
        <f t="shared" ca="1" si="145"/>
        <v>0</v>
      </c>
      <c r="BZ107" s="1947">
        <f t="shared" ca="1" si="145"/>
        <v>0</v>
      </c>
      <c r="CA107" s="1947">
        <f t="shared" ca="1" si="145"/>
        <v>0</v>
      </c>
      <c r="CB107" s="1947">
        <f t="shared" ca="1" si="145"/>
        <v>0</v>
      </c>
      <c r="CC107" s="1947">
        <f t="shared" ca="1" si="145"/>
        <v>0</v>
      </c>
      <c r="CD107" s="1947">
        <f t="shared" ca="1" si="145"/>
        <v>0</v>
      </c>
      <c r="CE107" s="1947">
        <f t="shared" ca="1" si="145"/>
        <v>0</v>
      </c>
      <c r="CF107" s="1949">
        <f t="shared" ca="1" si="145"/>
        <v>0</v>
      </c>
      <c r="CG107" s="1947">
        <f t="shared" ca="1" si="145"/>
        <v>0</v>
      </c>
      <c r="CH107" s="1947">
        <f t="shared" ca="1" si="145"/>
        <v>0</v>
      </c>
      <c r="CI107" s="1947">
        <f t="shared" ca="1" si="145"/>
        <v>0</v>
      </c>
      <c r="CJ107" s="1947">
        <f t="shared" ca="1" si="145"/>
        <v>0</v>
      </c>
      <c r="CK107" s="1947">
        <f t="shared" ca="1" si="145"/>
        <v>0</v>
      </c>
      <c r="CL107" s="1947">
        <f t="shared" ca="1" si="145"/>
        <v>0</v>
      </c>
      <c r="CM107" s="1949">
        <f t="shared" ca="1" si="145"/>
        <v>0</v>
      </c>
      <c r="CN107" s="1947">
        <f t="shared" ca="1" si="145"/>
        <v>0</v>
      </c>
      <c r="CO107" s="1947">
        <f t="shared" ca="1" si="145"/>
        <v>0</v>
      </c>
      <c r="CP107" s="1947">
        <f t="shared" ca="1" si="145"/>
        <v>0</v>
      </c>
      <c r="CQ107" s="1947">
        <f t="shared" ca="1" si="145"/>
        <v>0</v>
      </c>
      <c r="CR107" s="1947">
        <f t="shared" ca="1" si="145"/>
        <v>0</v>
      </c>
      <c r="CS107" s="1947">
        <f t="shared" ca="1" si="145"/>
        <v>0</v>
      </c>
      <c r="CT107" s="1949">
        <f t="shared" ca="1" si="145"/>
        <v>0</v>
      </c>
      <c r="CU107" s="1947">
        <f t="shared" ca="1" si="145"/>
        <v>0</v>
      </c>
      <c r="CV107" s="1947">
        <f t="shared" ca="1" si="145"/>
        <v>0</v>
      </c>
      <c r="CW107" s="1947">
        <f t="shared" ca="1" si="145"/>
        <v>0</v>
      </c>
      <c r="CX107" s="1947">
        <f t="shared" ca="1" si="145"/>
        <v>0</v>
      </c>
      <c r="CY107" s="1947">
        <f t="shared" ca="1" si="145"/>
        <v>0</v>
      </c>
      <c r="CZ107" s="1947">
        <f t="shared" ca="1" si="145"/>
        <v>0</v>
      </c>
      <c r="DA107" s="1949">
        <f t="shared" ca="1" si="145"/>
        <v>0</v>
      </c>
      <c r="DB107" s="1947">
        <f t="shared" ca="1" si="145"/>
        <v>0</v>
      </c>
      <c r="DC107" s="1947">
        <f t="shared" ca="1" si="145"/>
        <v>0</v>
      </c>
      <c r="DD107" s="1947">
        <f t="shared" ca="1" si="145"/>
        <v>0</v>
      </c>
      <c r="DE107" s="1947">
        <f t="shared" ca="1" si="145"/>
        <v>0</v>
      </c>
      <c r="DF107" s="1947">
        <f t="shared" ca="1" si="145"/>
        <v>0</v>
      </c>
      <c r="DG107" s="1947">
        <f t="shared" ca="1" si="145"/>
        <v>0</v>
      </c>
      <c r="DH107" s="1949">
        <f t="shared" ca="1" si="145"/>
        <v>0</v>
      </c>
      <c r="DI107" s="1947">
        <f t="shared" ca="1" si="145"/>
        <v>0</v>
      </c>
      <c r="DJ107" s="1947">
        <f t="shared" ca="1" si="145"/>
        <v>0</v>
      </c>
      <c r="DK107" s="1947">
        <f t="shared" ca="1" si="145"/>
        <v>0</v>
      </c>
      <c r="DL107" s="1947">
        <f t="shared" ca="1" si="145"/>
        <v>0</v>
      </c>
      <c r="DM107" s="1947">
        <f t="shared" ca="1" si="145"/>
        <v>0</v>
      </c>
      <c r="DN107" s="1947">
        <f t="shared" ca="1" si="145"/>
        <v>0</v>
      </c>
      <c r="DO107" s="1949">
        <f t="shared" ca="1" si="145"/>
        <v>0</v>
      </c>
      <c r="DP107" s="1947">
        <f t="shared" ca="1" si="145"/>
        <v>0</v>
      </c>
      <c r="DQ107" s="1947">
        <f t="shared" ca="1" si="145"/>
        <v>0</v>
      </c>
      <c r="DR107" s="1947">
        <f t="shared" ca="1" si="145"/>
        <v>0</v>
      </c>
      <c r="DS107" s="1947">
        <f t="shared" ca="1" si="145"/>
        <v>0</v>
      </c>
      <c r="DT107" s="1947">
        <f t="shared" ca="1" si="145"/>
        <v>0</v>
      </c>
      <c r="DU107" s="1947">
        <f t="shared" ca="1" si="145"/>
        <v>0</v>
      </c>
      <c r="DV107" s="1949">
        <f t="shared" ca="1" si="145"/>
        <v>0</v>
      </c>
      <c r="DW107" s="1947">
        <f t="shared" ca="1" si="145"/>
        <v>0</v>
      </c>
      <c r="DX107" s="1947">
        <f t="shared" ca="1" si="145"/>
        <v>0</v>
      </c>
      <c r="DY107" s="1947">
        <f t="shared" ca="1" si="145"/>
        <v>0</v>
      </c>
      <c r="DZ107" s="1947">
        <f t="shared" ca="1" si="145"/>
        <v>0</v>
      </c>
      <c r="EA107" s="1947">
        <f t="shared" ca="1" si="145"/>
        <v>0</v>
      </c>
      <c r="EB107" s="1947">
        <f t="shared" ca="1" si="145"/>
        <v>0</v>
      </c>
      <c r="EC107" s="1949">
        <f t="shared" ca="1" si="145"/>
        <v>0</v>
      </c>
      <c r="ED107" s="1947">
        <f t="shared" ca="1" si="145"/>
        <v>0</v>
      </c>
      <c r="EE107" s="1947">
        <f t="shared" ca="1" si="145"/>
        <v>0</v>
      </c>
      <c r="EF107" s="1947">
        <f t="shared" ref="EF107:GQ107" ca="1" si="146">EF132</f>
        <v>0</v>
      </c>
      <c r="EG107" s="1947">
        <f t="shared" ca="1" si="146"/>
        <v>0</v>
      </c>
      <c r="EH107" s="1947">
        <f t="shared" ca="1" si="146"/>
        <v>0</v>
      </c>
      <c r="EI107" s="1947">
        <f t="shared" ca="1" si="146"/>
        <v>0</v>
      </c>
      <c r="EJ107" s="1949">
        <f t="shared" ca="1" si="146"/>
        <v>0</v>
      </c>
      <c r="EK107" s="1947">
        <f t="shared" ca="1" si="146"/>
        <v>0</v>
      </c>
      <c r="EL107" s="1947">
        <f t="shared" ca="1" si="146"/>
        <v>0</v>
      </c>
      <c r="EM107" s="1947">
        <f t="shared" ca="1" si="146"/>
        <v>0</v>
      </c>
      <c r="EN107" s="1947">
        <f t="shared" ca="1" si="146"/>
        <v>0</v>
      </c>
      <c r="EO107" s="1947">
        <f t="shared" ca="1" si="146"/>
        <v>0</v>
      </c>
      <c r="EP107" s="1947">
        <f t="shared" ca="1" si="146"/>
        <v>0</v>
      </c>
      <c r="EQ107" s="1949">
        <f t="shared" ca="1" si="146"/>
        <v>0</v>
      </c>
      <c r="ER107" s="1947">
        <f t="shared" ca="1" si="146"/>
        <v>0</v>
      </c>
      <c r="ES107" s="1947">
        <f t="shared" ca="1" si="146"/>
        <v>0</v>
      </c>
      <c r="ET107" s="1947">
        <f t="shared" ca="1" si="146"/>
        <v>0</v>
      </c>
      <c r="EU107" s="1947">
        <f t="shared" ca="1" si="146"/>
        <v>0</v>
      </c>
      <c r="EV107" s="1947">
        <f t="shared" ca="1" si="146"/>
        <v>0</v>
      </c>
      <c r="EW107" s="1947">
        <f t="shared" ca="1" si="146"/>
        <v>0</v>
      </c>
      <c r="EX107" s="1949">
        <f t="shared" ca="1" si="146"/>
        <v>0</v>
      </c>
      <c r="EY107" s="1947">
        <f t="shared" ca="1" si="146"/>
        <v>0</v>
      </c>
      <c r="EZ107" s="1947">
        <f t="shared" ca="1" si="146"/>
        <v>0</v>
      </c>
      <c r="FA107" s="1947">
        <f t="shared" ca="1" si="146"/>
        <v>0</v>
      </c>
      <c r="FB107" s="1947">
        <f t="shared" ca="1" si="146"/>
        <v>0</v>
      </c>
      <c r="FC107" s="1947">
        <f t="shared" ca="1" si="146"/>
        <v>0</v>
      </c>
      <c r="FD107" s="1947">
        <f t="shared" ca="1" si="146"/>
        <v>0</v>
      </c>
      <c r="FE107" s="1949">
        <f t="shared" ca="1" si="146"/>
        <v>0</v>
      </c>
      <c r="FF107" s="1947">
        <f t="shared" ca="1" si="146"/>
        <v>0</v>
      </c>
      <c r="FG107" s="1947">
        <f t="shared" ca="1" si="146"/>
        <v>0</v>
      </c>
      <c r="FH107" s="1947">
        <f t="shared" ca="1" si="146"/>
        <v>0</v>
      </c>
      <c r="FI107" s="1947">
        <f t="shared" ca="1" si="146"/>
        <v>0</v>
      </c>
      <c r="FJ107" s="1947">
        <f t="shared" ca="1" si="146"/>
        <v>0</v>
      </c>
      <c r="FK107" s="1947">
        <f t="shared" ca="1" si="146"/>
        <v>0</v>
      </c>
      <c r="FL107" s="1949">
        <f t="shared" ca="1" si="146"/>
        <v>0</v>
      </c>
      <c r="FM107" s="1947">
        <f t="shared" ca="1" si="146"/>
        <v>0</v>
      </c>
      <c r="FN107" s="1947">
        <f t="shared" ca="1" si="146"/>
        <v>0</v>
      </c>
      <c r="FO107" s="1947">
        <f t="shared" ca="1" si="146"/>
        <v>0</v>
      </c>
      <c r="FP107" s="1947">
        <f t="shared" ca="1" si="146"/>
        <v>0</v>
      </c>
      <c r="FQ107" s="1947">
        <f t="shared" ca="1" si="146"/>
        <v>0</v>
      </c>
      <c r="FR107" s="1947">
        <f t="shared" ca="1" si="146"/>
        <v>0</v>
      </c>
      <c r="FS107" s="1949">
        <f t="shared" ca="1" si="146"/>
        <v>0</v>
      </c>
      <c r="FT107" s="1947">
        <f t="shared" ca="1" si="146"/>
        <v>0</v>
      </c>
      <c r="FU107" s="1947">
        <f t="shared" ca="1" si="146"/>
        <v>0</v>
      </c>
      <c r="FV107" s="1947">
        <f t="shared" ca="1" si="146"/>
        <v>0</v>
      </c>
      <c r="FW107" s="1947">
        <f t="shared" ca="1" si="146"/>
        <v>0</v>
      </c>
      <c r="FX107" s="1947">
        <f t="shared" ca="1" si="146"/>
        <v>0</v>
      </c>
      <c r="FY107" s="1947">
        <f t="shared" ca="1" si="146"/>
        <v>0</v>
      </c>
      <c r="FZ107" s="1949">
        <f t="shared" ca="1" si="146"/>
        <v>0</v>
      </c>
      <c r="GA107" s="1947">
        <f t="shared" ca="1" si="146"/>
        <v>0</v>
      </c>
      <c r="GB107" s="1947">
        <f t="shared" ca="1" si="146"/>
        <v>0</v>
      </c>
      <c r="GC107" s="1947">
        <f t="shared" ca="1" si="146"/>
        <v>0</v>
      </c>
      <c r="GD107" s="1947">
        <f t="shared" ca="1" si="146"/>
        <v>0</v>
      </c>
      <c r="GE107" s="1947">
        <f t="shared" ca="1" si="146"/>
        <v>0</v>
      </c>
      <c r="GF107" s="1947">
        <f t="shared" ca="1" si="146"/>
        <v>0</v>
      </c>
      <c r="GG107" s="1949">
        <f t="shared" ca="1" si="146"/>
        <v>0</v>
      </c>
      <c r="GH107" s="1947">
        <f t="shared" ca="1" si="146"/>
        <v>0</v>
      </c>
      <c r="GI107" s="1947">
        <f t="shared" ca="1" si="146"/>
        <v>0</v>
      </c>
      <c r="GJ107" s="1947">
        <f t="shared" ca="1" si="146"/>
        <v>0</v>
      </c>
      <c r="GK107" s="1947">
        <f t="shared" ca="1" si="146"/>
        <v>0</v>
      </c>
      <c r="GL107" s="1947">
        <f t="shared" ca="1" si="146"/>
        <v>0</v>
      </c>
      <c r="GM107" s="1947">
        <f t="shared" ca="1" si="146"/>
        <v>0</v>
      </c>
      <c r="GN107" s="1949">
        <f t="shared" ca="1" si="146"/>
        <v>0</v>
      </c>
      <c r="GO107" s="1947">
        <f t="shared" ca="1" si="146"/>
        <v>0</v>
      </c>
      <c r="GP107" s="1947">
        <f t="shared" ca="1" si="146"/>
        <v>0</v>
      </c>
      <c r="GQ107" s="1947">
        <f t="shared" ca="1" si="146"/>
        <v>0</v>
      </c>
      <c r="GR107" s="1947">
        <f t="shared" ref="GR107:IK107" ca="1" si="147">GR132</f>
        <v>0</v>
      </c>
      <c r="GS107" s="1947">
        <f t="shared" ca="1" si="147"/>
        <v>0</v>
      </c>
      <c r="GT107" s="1947">
        <f t="shared" ca="1" si="147"/>
        <v>0</v>
      </c>
      <c r="GU107" s="1949">
        <f t="shared" ca="1" si="147"/>
        <v>0</v>
      </c>
      <c r="GV107" s="1947">
        <f t="shared" ca="1" si="147"/>
        <v>0</v>
      </c>
      <c r="GW107" s="1947">
        <f t="shared" ca="1" si="147"/>
        <v>0</v>
      </c>
      <c r="GX107" s="1947">
        <f t="shared" ca="1" si="147"/>
        <v>0</v>
      </c>
      <c r="GY107" s="1947">
        <f t="shared" ca="1" si="147"/>
        <v>0</v>
      </c>
      <c r="GZ107" s="1947">
        <f t="shared" ca="1" si="147"/>
        <v>0</v>
      </c>
      <c r="HA107" s="1947">
        <f t="shared" ca="1" si="147"/>
        <v>0</v>
      </c>
      <c r="HB107" s="1949">
        <f t="shared" ca="1" si="147"/>
        <v>0</v>
      </c>
      <c r="HC107" s="1947">
        <f t="shared" ca="1" si="147"/>
        <v>0</v>
      </c>
      <c r="HD107" s="1947">
        <f t="shared" ca="1" si="147"/>
        <v>0</v>
      </c>
      <c r="HE107" s="1947">
        <f t="shared" ca="1" si="147"/>
        <v>0</v>
      </c>
      <c r="HF107" s="1947">
        <f t="shared" ca="1" si="147"/>
        <v>0</v>
      </c>
      <c r="HG107" s="1947">
        <f t="shared" ca="1" si="147"/>
        <v>0</v>
      </c>
      <c r="HH107" s="1947">
        <f t="shared" ca="1" si="147"/>
        <v>0</v>
      </c>
      <c r="HI107" s="1949">
        <f t="shared" ca="1" si="147"/>
        <v>0</v>
      </c>
      <c r="HJ107" s="1947">
        <f t="shared" ca="1" si="147"/>
        <v>0</v>
      </c>
      <c r="HK107" s="1947">
        <f t="shared" ca="1" si="147"/>
        <v>0</v>
      </c>
      <c r="HL107" s="1947">
        <f t="shared" ca="1" si="147"/>
        <v>0</v>
      </c>
      <c r="HM107" s="1947">
        <f t="shared" ca="1" si="147"/>
        <v>0</v>
      </c>
      <c r="HN107" s="1947">
        <f t="shared" ca="1" si="147"/>
        <v>0</v>
      </c>
      <c r="HO107" s="1947">
        <f t="shared" ca="1" si="147"/>
        <v>0</v>
      </c>
      <c r="HP107" s="1949">
        <f t="shared" ca="1" si="147"/>
        <v>0</v>
      </c>
      <c r="HQ107" s="1947">
        <f t="shared" ca="1" si="147"/>
        <v>0</v>
      </c>
      <c r="HR107" s="1947">
        <f t="shared" ca="1" si="147"/>
        <v>0</v>
      </c>
      <c r="HS107" s="1947">
        <f t="shared" ca="1" si="147"/>
        <v>0</v>
      </c>
      <c r="HT107" s="1947">
        <f t="shared" ca="1" si="147"/>
        <v>0</v>
      </c>
      <c r="HU107" s="1947">
        <f t="shared" ca="1" si="147"/>
        <v>0</v>
      </c>
      <c r="HV107" s="1947">
        <f t="shared" ca="1" si="147"/>
        <v>0</v>
      </c>
      <c r="HW107" s="1949">
        <f t="shared" ca="1" si="147"/>
        <v>0</v>
      </c>
      <c r="HX107" s="1947">
        <f t="shared" ca="1" si="147"/>
        <v>0</v>
      </c>
      <c r="HY107" s="1947">
        <f t="shared" ca="1" si="147"/>
        <v>0</v>
      </c>
      <c r="HZ107" s="1947">
        <f t="shared" ca="1" si="147"/>
        <v>0</v>
      </c>
      <c r="IA107" s="1947">
        <f t="shared" ca="1" si="147"/>
        <v>0</v>
      </c>
      <c r="IB107" s="1947">
        <f t="shared" ca="1" si="147"/>
        <v>0</v>
      </c>
      <c r="IC107" s="1947">
        <f t="shared" ca="1" si="147"/>
        <v>0</v>
      </c>
      <c r="ID107" s="1949">
        <f t="shared" ca="1" si="147"/>
        <v>0</v>
      </c>
      <c r="IE107" s="1947">
        <f t="shared" ca="1" si="147"/>
        <v>0</v>
      </c>
      <c r="IF107" s="1947">
        <f t="shared" ca="1" si="147"/>
        <v>0</v>
      </c>
      <c r="IG107" s="1947">
        <f t="shared" ca="1" si="147"/>
        <v>0</v>
      </c>
      <c r="IH107" s="1947">
        <f t="shared" ca="1" si="147"/>
        <v>0</v>
      </c>
      <c r="II107" s="1947">
        <f t="shared" ca="1" si="147"/>
        <v>0</v>
      </c>
      <c r="IJ107" s="1947">
        <f t="shared" ca="1" si="147"/>
        <v>0</v>
      </c>
      <c r="IK107" s="1949">
        <f t="shared" ca="1" si="147"/>
        <v>0</v>
      </c>
    </row>
    <row r="108" spans="1:245" ht="8.1" customHeight="1" x14ac:dyDescent="0.35">
      <c r="A108" s="195" t="str">
        <f>IF(B107=0,0,"XXX")</f>
        <v>XXX</v>
      </c>
      <c r="B108" s="1960"/>
      <c r="C108" s="1966"/>
      <c r="D108" s="360" t="str">
        <f>IF(ENTRADAS!$F$22=0,0,"término:")</f>
        <v>término:</v>
      </c>
      <c r="E108" s="361">
        <f ca="1">IF(D128&lt;D127,0,D134)</f>
        <v>45968.5</v>
      </c>
      <c r="F108" s="1962"/>
      <c r="G108" s="1964"/>
      <c r="H108" s="1948"/>
      <c r="I108" s="1948"/>
      <c r="J108" s="1948"/>
      <c r="K108" s="1948"/>
      <c r="L108" s="1948"/>
      <c r="M108" s="1948"/>
      <c r="N108" s="1950"/>
      <c r="O108" s="1948"/>
      <c r="P108" s="1948"/>
      <c r="Q108" s="1948"/>
      <c r="R108" s="1948"/>
      <c r="S108" s="1948"/>
      <c r="T108" s="1948"/>
      <c r="U108" s="1950"/>
      <c r="V108" s="1948"/>
      <c r="W108" s="1948"/>
      <c r="X108" s="1948"/>
      <c r="Y108" s="1948"/>
      <c r="Z108" s="1948"/>
      <c r="AA108" s="1948"/>
      <c r="AB108" s="1950"/>
      <c r="AC108" s="1948"/>
      <c r="AD108" s="1948"/>
      <c r="AE108" s="1948"/>
      <c r="AF108" s="1948"/>
      <c r="AG108" s="1948"/>
      <c r="AH108" s="1948"/>
      <c r="AI108" s="1950"/>
      <c r="AJ108" s="1948"/>
      <c r="AK108" s="1948"/>
      <c r="AL108" s="1948"/>
      <c r="AM108" s="1948"/>
      <c r="AN108" s="1948"/>
      <c r="AO108" s="1948"/>
      <c r="AP108" s="1950"/>
      <c r="AQ108" s="1948"/>
      <c r="AR108" s="1948"/>
      <c r="AS108" s="1948"/>
      <c r="AT108" s="1948"/>
      <c r="AU108" s="1948"/>
      <c r="AV108" s="1948"/>
      <c r="AW108" s="1950"/>
      <c r="AX108" s="1948"/>
      <c r="AY108" s="1948"/>
      <c r="AZ108" s="1948"/>
      <c r="BA108" s="1948"/>
      <c r="BB108" s="1948"/>
      <c r="BC108" s="1948"/>
      <c r="BD108" s="1950"/>
      <c r="BE108" s="1948"/>
      <c r="BF108" s="1948"/>
      <c r="BG108" s="1948"/>
      <c r="BH108" s="1948"/>
      <c r="BI108" s="1948"/>
      <c r="BJ108" s="1948"/>
      <c r="BK108" s="1950"/>
      <c r="BL108" s="1948"/>
      <c r="BM108" s="1948"/>
      <c r="BN108" s="1948"/>
      <c r="BO108" s="1948"/>
      <c r="BP108" s="1948"/>
      <c r="BQ108" s="1948"/>
      <c r="BR108" s="1950"/>
      <c r="BS108" s="1948"/>
      <c r="BT108" s="1948"/>
      <c r="BU108" s="1948"/>
      <c r="BV108" s="1948"/>
      <c r="BW108" s="1948"/>
      <c r="BX108" s="1948"/>
      <c r="BY108" s="1950"/>
      <c r="BZ108" s="1948"/>
      <c r="CA108" s="1948"/>
      <c r="CB108" s="1948"/>
      <c r="CC108" s="1948"/>
      <c r="CD108" s="1948"/>
      <c r="CE108" s="1948"/>
      <c r="CF108" s="1950"/>
      <c r="CG108" s="1948"/>
      <c r="CH108" s="1948"/>
      <c r="CI108" s="1948"/>
      <c r="CJ108" s="1948"/>
      <c r="CK108" s="1948"/>
      <c r="CL108" s="1948"/>
      <c r="CM108" s="1950"/>
      <c r="CN108" s="1948"/>
      <c r="CO108" s="1948"/>
      <c r="CP108" s="1948"/>
      <c r="CQ108" s="1948"/>
      <c r="CR108" s="1948"/>
      <c r="CS108" s="1948"/>
      <c r="CT108" s="1950"/>
      <c r="CU108" s="1948"/>
      <c r="CV108" s="1948"/>
      <c r="CW108" s="1948"/>
      <c r="CX108" s="1948"/>
      <c r="CY108" s="1948"/>
      <c r="CZ108" s="1948"/>
      <c r="DA108" s="1950"/>
      <c r="DB108" s="1948"/>
      <c r="DC108" s="1948"/>
      <c r="DD108" s="1948"/>
      <c r="DE108" s="1948"/>
      <c r="DF108" s="1948"/>
      <c r="DG108" s="1948"/>
      <c r="DH108" s="1950"/>
      <c r="DI108" s="1948"/>
      <c r="DJ108" s="1948"/>
      <c r="DK108" s="1948"/>
      <c r="DL108" s="1948"/>
      <c r="DM108" s="1948"/>
      <c r="DN108" s="1948"/>
      <c r="DO108" s="1950"/>
      <c r="DP108" s="1948"/>
      <c r="DQ108" s="1948"/>
      <c r="DR108" s="1948"/>
      <c r="DS108" s="1948"/>
      <c r="DT108" s="1948"/>
      <c r="DU108" s="1948"/>
      <c r="DV108" s="1950"/>
      <c r="DW108" s="1948"/>
      <c r="DX108" s="1948"/>
      <c r="DY108" s="1948"/>
      <c r="DZ108" s="1948"/>
      <c r="EA108" s="1948"/>
      <c r="EB108" s="1948"/>
      <c r="EC108" s="1950"/>
      <c r="ED108" s="1948"/>
      <c r="EE108" s="1948"/>
      <c r="EF108" s="1948"/>
      <c r="EG108" s="1948"/>
      <c r="EH108" s="1948"/>
      <c r="EI108" s="1948"/>
      <c r="EJ108" s="1950"/>
      <c r="EK108" s="1948"/>
      <c r="EL108" s="1948"/>
      <c r="EM108" s="1948"/>
      <c r="EN108" s="1948"/>
      <c r="EO108" s="1948"/>
      <c r="EP108" s="1948"/>
      <c r="EQ108" s="1950"/>
      <c r="ER108" s="1948"/>
      <c r="ES108" s="1948"/>
      <c r="ET108" s="1948"/>
      <c r="EU108" s="1948"/>
      <c r="EV108" s="1948"/>
      <c r="EW108" s="1948"/>
      <c r="EX108" s="1950"/>
      <c r="EY108" s="1948"/>
      <c r="EZ108" s="1948"/>
      <c r="FA108" s="1948"/>
      <c r="FB108" s="1948"/>
      <c r="FC108" s="1948"/>
      <c r="FD108" s="1948"/>
      <c r="FE108" s="1950"/>
      <c r="FF108" s="1948"/>
      <c r="FG108" s="1948"/>
      <c r="FH108" s="1948"/>
      <c r="FI108" s="1948"/>
      <c r="FJ108" s="1948"/>
      <c r="FK108" s="1948"/>
      <c r="FL108" s="1950"/>
      <c r="FM108" s="1948"/>
      <c r="FN108" s="1948"/>
      <c r="FO108" s="1948"/>
      <c r="FP108" s="1948"/>
      <c r="FQ108" s="1948"/>
      <c r="FR108" s="1948"/>
      <c r="FS108" s="1950"/>
      <c r="FT108" s="1948"/>
      <c r="FU108" s="1948"/>
      <c r="FV108" s="1948"/>
      <c r="FW108" s="1948"/>
      <c r="FX108" s="1948"/>
      <c r="FY108" s="1948"/>
      <c r="FZ108" s="1950"/>
      <c r="GA108" s="1948"/>
      <c r="GB108" s="1948"/>
      <c r="GC108" s="1948"/>
      <c r="GD108" s="1948"/>
      <c r="GE108" s="1948"/>
      <c r="GF108" s="1948"/>
      <c r="GG108" s="1950"/>
      <c r="GH108" s="1948"/>
      <c r="GI108" s="1948"/>
      <c r="GJ108" s="1948"/>
      <c r="GK108" s="1948"/>
      <c r="GL108" s="1948"/>
      <c r="GM108" s="1948"/>
      <c r="GN108" s="1950"/>
      <c r="GO108" s="1948"/>
      <c r="GP108" s="1948"/>
      <c r="GQ108" s="1948"/>
      <c r="GR108" s="1948"/>
      <c r="GS108" s="1948"/>
      <c r="GT108" s="1948"/>
      <c r="GU108" s="1950"/>
      <c r="GV108" s="1948"/>
      <c r="GW108" s="1948"/>
      <c r="GX108" s="1948"/>
      <c r="GY108" s="1948"/>
      <c r="GZ108" s="1948"/>
      <c r="HA108" s="1948"/>
      <c r="HB108" s="1950"/>
      <c r="HC108" s="1948"/>
      <c r="HD108" s="1948"/>
      <c r="HE108" s="1948"/>
      <c r="HF108" s="1948"/>
      <c r="HG108" s="1948"/>
      <c r="HH108" s="1948"/>
      <c r="HI108" s="1950"/>
      <c r="HJ108" s="1948"/>
      <c r="HK108" s="1948"/>
      <c r="HL108" s="1948"/>
      <c r="HM108" s="1948"/>
      <c r="HN108" s="1948"/>
      <c r="HO108" s="1948"/>
      <c r="HP108" s="1950"/>
      <c r="HQ108" s="1948"/>
      <c r="HR108" s="1948"/>
      <c r="HS108" s="1948"/>
      <c r="HT108" s="1948"/>
      <c r="HU108" s="1948"/>
      <c r="HV108" s="1948"/>
      <c r="HW108" s="1950"/>
      <c r="HX108" s="1948"/>
      <c r="HY108" s="1948"/>
      <c r="HZ108" s="1948"/>
      <c r="IA108" s="1948"/>
      <c r="IB108" s="1948"/>
      <c r="IC108" s="1948"/>
      <c r="ID108" s="1950"/>
      <c r="IE108" s="1948"/>
      <c r="IF108" s="1948"/>
      <c r="IG108" s="1948"/>
      <c r="IH108" s="1948"/>
      <c r="II108" s="1948"/>
      <c r="IJ108" s="1948"/>
      <c r="IK108" s="1950"/>
    </row>
    <row r="109" spans="1:245" ht="8.1" hidden="1" customHeight="1" x14ac:dyDescent="0.35">
      <c r="A109" s="195">
        <f>IF(B109=0,0,"XXX")</f>
        <v>0</v>
      </c>
      <c r="B109" s="1959">
        <f>IF(F109=0,0,IF(ENTRADAS!$E$1038=0,0,IF(D128&lt;D127,0,"1.1.2")))</f>
        <v>0</v>
      </c>
      <c r="C109" s="453">
        <f>IF(F109=0,0,"CONFECÇÃO DE COBERTURA")</f>
        <v>0</v>
      </c>
      <c r="D109" s="358">
        <f>IF(F109=0,0,"início:")</f>
        <v>0</v>
      </c>
      <c r="E109" s="359">
        <f>IF(D128&lt;D127,0,IF(D138&lt;&gt;0,D138,D139))</f>
        <v>0</v>
      </c>
      <c r="F109" s="1961">
        <f>IF(IF(D128&lt;D127,0,D136)&lt;0,0,IF(D128&lt;D127,0,D136))</f>
        <v>0</v>
      </c>
      <c r="G109" s="1963">
        <f>IF(F109=0,0,"dias")</f>
        <v>0</v>
      </c>
      <c r="H109" s="1945">
        <f>H136</f>
        <v>0</v>
      </c>
      <c r="I109" s="1941">
        <f t="shared" ref="I109:BT109" si="148">I136</f>
        <v>0</v>
      </c>
      <c r="J109" s="1941">
        <f t="shared" si="148"/>
        <v>0</v>
      </c>
      <c r="K109" s="1941">
        <f t="shared" si="148"/>
        <v>0</v>
      </c>
      <c r="L109" s="1941">
        <f t="shared" si="148"/>
        <v>0</v>
      </c>
      <c r="M109" s="1941">
        <f t="shared" si="148"/>
        <v>0</v>
      </c>
      <c r="N109" s="1941">
        <f t="shared" si="148"/>
        <v>0</v>
      </c>
      <c r="O109" s="1945">
        <f t="shared" si="148"/>
        <v>0</v>
      </c>
      <c r="P109" s="1941">
        <f t="shared" si="148"/>
        <v>0</v>
      </c>
      <c r="Q109" s="1941">
        <f t="shared" si="148"/>
        <v>0</v>
      </c>
      <c r="R109" s="1941">
        <f t="shared" si="148"/>
        <v>0</v>
      </c>
      <c r="S109" s="1941">
        <f t="shared" si="148"/>
        <v>0</v>
      </c>
      <c r="T109" s="1941">
        <f t="shared" si="148"/>
        <v>0</v>
      </c>
      <c r="U109" s="1941">
        <f t="shared" si="148"/>
        <v>0</v>
      </c>
      <c r="V109" s="1945">
        <f t="shared" si="148"/>
        <v>0</v>
      </c>
      <c r="W109" s="1941">
        <f t="shared" si="148"/>
        <v>0</v>
      </c>
      <c r="X109" s="1941">
        <f t="shared" si="148"/>
        <v>0</v>
      </c>
      <c r="Y109" s="1941">
        <f t="shared" si="148"/>
        <v>0</v>
      </c>
      <c r="Z109" s="1941">
        <f t="shared" si="148"/>
        <v>0</v>
      </c>
      <c r="AA109" s="1941">
        <f t="shared" si="148"/>
        <v>0</v>
      </c>
      <c r="AB109" s="1941">
        <f t="shared" si="148"/>
        <v>0</v>
      </c>
      <c r="AC109" s="1945">
        <f t="shared" si="148"/>
        <v>0</v>
      </c>
      <c r="AD109" s="1941">
        <f t="shared" si="148"/>
        <v>0</v>
      </c>
      <c r="AE109" s="1941">
        <f t="shared" si="148"/>
        <v>0</v>
      </c>
      <c r="AF109" s="1941">
        <f t="shared" si="148"/>
        <v>0</v>
      </c>
      <c r="AG109" s="1941">
        <f t="shared" si="148"/>
        <v>0</v>
      </c>
      <c r="AH109" s="1941">
        <f t="shared" si="148"/>
        <v>0</v>
      </c>
      <c r="AI109" s="1941">
        <f t="shared" si="148"/>
        <v>0</v>
      </c>
      <c r="AJ109" s="1945">
        <f t="shared" si="148"/>
        <v>0</v>
      </c>
      <c r="AK109" s="1941">
        <f t="shared" si="148"/>
        <v>0</v>
      </c>
      <c r="AL109" s="1941">
        <f t="shared" si="148"/>
        <v>0</v>
      </c>
      <c r="AM109" s="1941">
        <f t="shared" si="148"/>
        <v>0</v>
      </c>
      <c r="AN109" s="1941">
        <f t="shared" si="148"/>
        <v>0</v>
      </c>
      <c r="AO109" s="1941">
        <f t="shared" si="148"/>
        <v>0</v>
      </c>
      <c r="AP109" s="1941">
        <f t="shared" si="148"/>
        <v>0</v>
      </c>
      <c r="AQ109" s="1945">
        <f t="shared" si="148"/>
        <v>0</v>
      </c>
      <c r="AR109" s="1941">
        <f t="shared" si="148"/>
        <v>0</v>
      </c>
      <c r="AS109" s="1941">
        <f t="shared" si="148"/>
        <v>0</v>
      </c>
      <c r="AT109" s="1941">
        <f t="shared" si="148"/>
        <v>0</v>
      </c>
      <c r="AU109" s="1941">
        <f t="shared" si="148"/>
        <v>0</v>
      </c>
      <c r="AV109" s="1941">
        <f t="shared" si="148"/>
        <v>0</v>
      </c>
      <c r="AW109" s="1941">
        <f t="shared" si="148"/>
        <v>0</v>
      </c>
      <c r="AX109" s="1945">
        <f t="shared" si="148"/>
        <v>0</v>
      </c>
      <c r="AY109" s="1941">
        <f t="shared" si="148"/>
        <v>0</v>
      </c>
      <c r="AZ109" s="1941">
        <f t="shared" si="148"/>
        <v>0</v>
      </c>
      <c r="BA109" s="1941">
        <f t="shared" si="148"/>
        <v>0</v>
      </c>
      <c r="BB109" s="1941">
        <f t="shared" si="148"/>
        <v>0</v>
      </c>
      <c r="BC109" s="1941">
        <f t="shared" si="148"/>
        <v>0</v>
      </c>
      <c r="BD109" s="1941">
        <f t="shared" si="148"/>
        <v>0</v>
      </c>
      <c r="BE109" s="1945">
        <f t="shared" si="148"/>
        <v>0</v>
      </c>
      <c r="BF109" s="1941">
        <f t="shared" si="148"/>
        <v>0</v>
      </c>
      <c r="BG109" s="1941">
        <f t="shared" si="148"/>
        <v>0</v>
      </c>
      <c r="BH109" s="1941">
        <f t="shared" si="148"/>
        <v>0</v>
      </c>
      <c r="BI109" s="1941">
        <f t="shared" si="148"/>
        <v>0</v>
      </c>
      <c r="BJ109" s="1941">
        <f t="shared" si="148"/>
        <v>0</v>
      </c>
      <c r="BK109" s="1941">
        <f t="shared" si="148"/>
        <v>0</v>
      </c>
      <c r="BL109" s="1945">
        <f t="shared" si="148"/>
        <v>0</v>
      </c>
      <c r="BM109" s="1941">
        <f t="shared" si="148"/>
        <v>0</v>
      </c>
      <c r="BN109" s="1941">
        <f t="shared" si="148"/>
        <v>0</v>
      </c>
      <c r="BO109" s="1941">
        <f t="shared" si="148"/>
        <v>0</v>
      </c>
      <c r="BP109" s="1941">
        <f t="shared" si="148"/>
        <v>0</v>
      </c>
      <c r="BQ109" s="1941">
        <f t="shared" si="148"/>
        <v>0</v>
      </c>
      <c r="BR109" s="1941">
        <f t="shared" si="148"/>
        <v>0</v>
      </c>
      <c r="BS109" s="1945">
        <f t="shared" si="148"/>
        <v>0</v>
      </c>
      <c r="BT109" s="1941">
        <f t="shared" si="148"/>
        <v>0</v>
      </c>
      <c r="BU109" s="1941">
        <f t="shared" ref="BU109:EF109" si="149">BU136</f>
        <v>0</v>
      </c>
      <c r="BV109" s="1941">
        <f t="shared" si="149"/>
        <v>0</v>
      </c>
      <c r="BW109" s="1941">
        <f t="shared" si="149"/>
        <v>0</v>
      </c>
      <c r="BX109" s="1941">
        <f t="shared" si="149"/>
        <v>0</v>
      </c>
      <c r="BY109" s="1941">
        <f t="shared" si="149"/>
        <v>0</v>
      </c>
      <c r="BZ109" s="1945">
        <f t="shared" si="149"/>
        <v>0</v>
      </c>
      <c r="CA109" s="1941">
        <f t="shared" si="149"/>
        <v>0</v>
      </c>
      <c r="CB109" s="1941">
        <f t="shared" si="149"/>
        <v>0</v>
      </c>
      <c r="CC109" s="1941">
        <f t="shared" si="149"/>
        <v>0</v>
      </c>
      <c r="CD109" s="1941">
        <f t="shared" si="149"/>
        <v>0</v>
      </c>
      <c r="CE109" s="1941">
        <f t="shared" si="149"/>
        <v>0</v>
      </c>
      <c r="CF109" s="1941">
        <f t="shared" si="149"/>
        <v>0</v>
      </c>
      <c r="CG109" s="1945">
        <f t="shared" si="149"/>
        <v>0</v>
      </c>
      <c r="CH109" s="1941">
        <f t="shared" si="149"/>
        <v>0</v>
      </c>
      <c r="CI109" s="1941">
        <f t="shared" si="149"/>
        <v>0</v>
      </c>
      <c r="CJ109" s="1941">
        <f t="shared" si="149"/>
        <v>0</v>
      </c>
      <c r="CK109" s="1941">
        <f t="shared" si="149"/>
        <v>0</v>
      </c>
      <c r="CL109" s="1941">
        <f t="shared" si="149"/>
        <v>0</v>
      </c>
      <c r="CM109" s="1941">
        <f t="shared" si="149"/>
        <v>0</v>
      </c>
      <c r="CN109" s="1945">
        <f t="shared" si="149"/>
        <v>0</v>
      </c>
      <c r="CO109" s="1941">
        <f t="shared" si="149"/>
        <v>0</v>
      </c>
      <c r="CP109" s="1941">
        <f t="shared" si="149"/>
        <v>0</v>
      </c>
      <c r="CQ109" s="1941">
        <f t="shared" si="149"/>
        <v>0</v>
      </c>
      <c r="CR109" s="1941">
        <f t="shared" si="149"/>
        <v>0</v>
      </c>
      <c r="CS109" s="1941">
        <f t="shared" si="149"/>
        <v>0</v>
      </c>
      <c r="CT109" s="1941">
        <f t="shared" si="149"/>
        <v>0</v>
      </c>
      <c r="CU109" s="1945">
        <f t="shared" si="149"/>
        <v>0</v>
      </c>
      <c r="CV109" s="1941">
        <f t="shared" si="149"/>
        <v>0</v>
      </c>
      <c r="CW109" s="1941">
        <f>CW136</f>
        <v>0</v>
      </c>
      <c r="CX109" s="1941">
        <f t="shared" si="149"/>
        <v>0</v>
      </c>
      <c r="CY109" s="1941">
        <f t="shared" si="149"/>
        <v>0</v>
      </c>
      <c r="CZ109" s="1941">
        <f t="shared" si="149"/>
        <v>0</v>
      </c>
      <c r="DA109" s="1941">
        <f t="shared" si="149"/>
        <v>0</v>
      </c>
      <c r="DB109" s="1945">
        <f t="shared" si="149"/>
        <v>0</v>
      </c>
      <c r="DC109" s="1941">
        <f t="shared" si="149"/>
        <v>0</v>
      </c>
      <c r="DD109" s="1941">
        <f t="shared" si="149"/>
        <v>0</v>
      </c>
      <c r="DE109" s="1941">
        <f t="shared" si="149"/>
        <v>0</v>
      </c>
      <c r="DF109" s="1941">
        <f t="shared" si="149"/>
        <v>0</v>
      </c>
      <c r="DG109" s="1941">
        <f t="shared" si="149"/>
        <v>0</v>
      </c>
      <c r="DH109" s="1941">
        <f t="shared" si="149"/>
        <v>0</v>
      </c>
      <c r="DI109" s="1945">
        <f t="shared" si="149"/>
        <v>0</v>
      </c>
      <c r="DJ109" s="1941">
        <f t="shared" si="149"/>
        <v>0</v>
      </c>
      <c r="DK109" s="1941">
        <f t="shared" si="149"/>
        <v>0</v>
      </c>
      <c r="DL109" s="1941">
        <f t="shared" si="149"/>
        <v>0</v>
      </c>
      <c r="DM109" s="1941">
        <f t="shared" si="149"/>
        <v>0</v>
      </c>
      <c r="DN109" s="1941">
        <f t="shared" si="149"/>
        <v>0</v>
      </c>
      <c r="DO109" s="1941">
        <f t="shared" si="149"/>
        <v>0</v>
      </c>
      <c r="DP109" s="1945">
        <f t="shared" si="149"/>
        <v>0</v>
      </c>
      <c r="DQ109" s="1941">
        <f t="shared" si="149"/>
        <v>0</v>
      </c>
      <c r="DR109" s="1941">
        <f t="shared" si="149"/>
        <v>0</v>
      </c>
      <c r="DS109" s="1941">
        <f t="shared" si="149"/>
        <v>0</v>
      </c>
      <c r="DT109" s="1941">
        <f t="shared" si="149"/>
        <v>0</v>
      </c>
      <c r="DU109" s="1941">
        <f t="shared" si="149"/>
        <v>0</v>
      </c>
      <c r="DV109" s="1941">
        <f t="shared" si="149"/>
        <v>0</v>
      </c>
      <c r="DW109" s="1945">
        <f t="shared" si="149"/>
        <v>0</v>
      </c>
      <c r="DX109" s="1941">
        <f t="shared" si="149"/>
        <v>0</v>
      </c>
      <c r="DY109" s="1941">
        <f t="shared" si="149"/>
        <v>0</v>
      </c>
      <c r="DZ109" s="1941">
        <f t="shared" si="149"/>
        <v>0</v>
      </c>
      <c r="EA109" s="1941">
        <f t="shared" si="149"/>
        <v>0</v>
      </c>
      <c r="EB109" s="1941">
        <f t="shared" si="149"/>
        <v>0</v>
      </c>
      <c r="EC109" s="1941">
        <f t="shared" si="149"/>
        <v>0</v>
      </c>
      <c r="ED109" s="1945">
        <f t="shared" si="149"/>
        <v>0</v>
      </c>
      <c r="EE109" s="1941">
        <f t="shared" si="149"/>
        <v>0</v>
      </c>
      <c r="EF109" s="1941">
        <f t="shared" si="149"/>
        <v>0</v>
      </c>
      <c r="EG109" s="1941">
        <f t="shared" ref="EG109:GR109" si="150">EG136</f>
        <v>0</v>
      </c>
      <c r="EH109" s="1941">
        <f t="shared" si="150"/>
        <v>0</v>
      </c>
      <c r="EI109" s="1941">
        <f t="shared" si="150"/>
        <v>0</v>
      </c>
      <c r="EJ109" s="1941">
        <f t="shared" si="150"/>
        <v>0</v>
      </c>
      <c r="EK109" s="1945">
        <f t="shared" si="150"/>
        <v>0</v>
      </c>
      <c r="EL109" s="1941">
        <f t="shared" si="150"/>
        <v>0</v>
      </c>
      <c r="EM109" s="1941">
        <f t="shared" si="150"/>
        <v>0</v>
      </c>
      <c r="EN109" s="1941">
        <f t="shared" si="150"/>
        <v>0</v>
      </c>
      <c r="EO109" s="1941">
        <f t="shared" si="150"/>
        <v>0</v>
      </c>
      <c r="EP109" s="1941">
        <f t="shared" si="150"/>
        <v>0</v>
      </c>
      <c r="EQ109" s="1941">
        <f t="shared" si="150"/>
        <v>0</v>
      </c>
      <c r="ER109" s="1945">
        <f t="shared" si="150"/>
        <v>0</v>
      </c>
      <c r="ES109" s="1941">
        <f t="shared" si="150"/>
        <v>0</v>
      </c>
      <c r="ET109" s="1941">
        <f t="shared" si="150"/>
        <v>0</v>
      </c>
      <c r="EU109" s="1941">
        <f t="shared" si="150"/>
        <v>0</v>
      </c>
      <c r="EV109" s="1941">
        <f t="shared" si="150"/>
        <v>0</v>
      </c>
      <c r="EW109" s="1941">
        <f t="shared" si="150"/>
        <v>0</v>
      </c>
      <c r="EX109" s="1941">
        <f t="shared" si="150"/>
        <v>0</v>
      </c>
      <c r="EY109" s="1945">
        <f t="shared" si="150"/>
        <v>0</v>
      </c>
      <c r="EZ109" s="1941">
        <f t="shared" si="150"/>
        <v>0</v>
      </c>
      <c r="FA109" s="1941">
        <f t="shared" si="150"/>
        <v>0</v>
      </c>
      <c r="FB109" s="1941">
        <f t="shared" si="150"/>
        <v>0</v>
      </c>
      <c r="FC109" s="1941">
        <f t="shared" si="150"/>
        <v>0</v>
      </c>
      <c r="FD109" s="1941">
        <f t="shared" si="150"/>
        <v>0</v>
      </c>
      <c r="FE109" s="1941">
        <f t="shared" si="150"/>
        <v>0</v>
      </c>
      <c r="FF109" s="1945">
        <f t="shared" si="150"/>
        <v>0</v>
      </c>
      <c r="FG109" s="1941">
        <f t="shared" si="150"/>
        <v>0</v>
      </c>
      <c r="FH109" s="1941">
        <f t="shared" si="150"/>
        <v>0</v>
      </c>
      <c r="FI109" s="1941">
        <f t="shared" si="150"/>
        <v>0</v>
      </c>
      <c r="FJ109" s="1941">
        <f t="shared" si="150"/>
        <v>0</v>
      </c>
      <c r="FK109" s="1941">
        <f t="shared" si="150"/>
        <v>0</v>
      </c>
      <c r="FL109" s="1941">
        <f t="shared" si="150"/>
        <v>0</v>
      </c>
      <c r="FM109" s="1945">
        <f t="shared" si="150"/>
        <v>0</v>
      </c>
      <c r="FN109" s="1941">
        <f t="shared" si="150"/>
        <v>0</v>
      </c>
      <c r="FO109" s="1941">
        <f t="shared" si="150"/>
        <v>0</v>
      </c>
      <c r="FP109" s="1941">
        <f t="shared" si="150"/>
        <v>0</v>
      </c>
      <c r="FQ109" s="1941">
        <f t="shared" si="150"/>
        <v>0</v>
      </c>
      <c r="FR109" s="1941">
        <f t="shared" si="150"/>
        <v>0</v>
      </c>
      <c r="FS109" s="1941">
        <f t="shared" si="150"/>
        <v>0</v>
      </c>
      <c r="FT109" s="1945">
        <f t="shared" si="150"/>
        <v>0</v>
      </c>
      <c r="FU109" s="1941">
        <f t="shared" si="150"/>
        <v>0</v>
      </c>
      <c r="FV109" s="1941">
        <f t="shared" si="150"/>
        <v>0</v>
      </c>
      <c r="FW109" s="1941">
        <f t="shared" si="150"/>
        <v>0</v>
      </c>
      <c r="FX109" s="1941">
        <f t="shared" si="150"/>
        <v>0</v>
      </c>
      <c r="FY109" s="1941">
        <f t="shared" si="150"/>
        <v>0</v>
      </c>
      <c r="FZ109" s="1941">
        <f t="shared" si="150"/>
        <v>0</v>
      </c>
      <c r="GA109" s="1945">
        <f t="shared" si="150"/>
        <v>0</v>
      </c>
      <c r="GB109" s="1941">
        <f t="shared" si="150"/>
        <v>0</v>
      </c>
      <c r="GC109" s="1941">
        <f t="shared" si="150"/>
        <v>0</v>
      </c>
      <c r="GD109" s="1941">
        <f t="shared" si="150"/>
        <v>0</v>
      </c>
      <c r="GE109" s="1941">
        <f t="shared" si="150"/>
        <v>0</v>
      </c>
      <c r="GF109" s="1941">
        <f t="shared" si="150"/>
        <v>0</v>
      </c>
      <c r="GG109" s="1941">
        <f t="shared" si="150"/>
        <v>0</v>
      </c>
      <c r="GH109" s="1945">
        <f t="shared" si="150"/>
        <v>0</v>
      </c>
      <c r="GI109" s="1941">
        <f t="shared" si="150"/>
        <v>0</v>
      </c>
      <c r="GJ109" s="1941">
        <f t="shared" si="150"/>
        <v>0</v>
      </c>
      <c r="GK109" s="1941">
        <f t="shared" si="150"/>
        <v>0</v>
      </c>
      <c r="GL109" s="1941">
        <f t="shared" si="150"/>
        <v>0</v>
      </c>
      <c r="GM109" s="1941">
        <f t="shared" si="150"/>
        <v>0</v>
      </c>
      <c r="GN109" s="1941">
        <f t="shared" si="150"/>
        <v>0</v>
      </c>
      <c r="GO109" s="1945">
        <f t="shared" si="150"/>
        <v>0</v>
      </c>
      <c r="GP109" s="1941">
        <f t="shared" si="150"/>
        <v>0</v>
      </c>
      <c r="GQ109" s="1941">
        <f t="shared" si="150"/>
        <v>0</v>
      </c>
      <c r="GR109" s="1941">
        <f t="shared" si="150"/>
        <v>0</v>
      </c>
      <c r="GS109" s="1941">
        <f t="shared" ref="GS109:IK109" si="151">GS136</f>
        <v>0</v>
      </c>
      <c r="GT109" s="1941">
        <f t="shared" si="151"/>
        <v>0</v>
      </c>
      <c r="GU109" s="1941">
        <f t="shared" si="151"/>
        <v>0</v>
      </c>
      <c r="GV109" s="1945">
        <f t="shared" si="151"/>
        <v>0</v>
      </c>
      <c r="GW109" s="1941">
        <f t="shared" si="151"/>
        <v>0</v>
      </c>
      <c r="GX109" s="1941">
        <f t="shared" si="151"/>
        <v>0</v>
      </c>
      <c r="GY109" s="1941">
        <f t="shared" si="151"/>
        <v>0</v>
      </c>
      <c r="GZ109" s="1941">
        <f t="shared" si="151"/>
        <v>0</v>
      </c>
      <c r="HA109" s="1941">
        <f t="shared" si="151"/>
        <v>0</v>
      </c>
      <c r="HB109" s="1941">
        <f t="shared" si="151"/>
        <v>0</v>
      </c>
      <c r="HC109" s="1945">
        <f t="shared" si="151"/>
        <v>0</v>
      </c>
      <c r="HD109" s="1941">
        <f t="shared" si="151"/>
        <v>0</v>
      </c>
      <c r="HE109" s="1941">
        <f t="shared" si="151"/>
        <v>0</v>
      </c>
      <c r="HF109" s="1941">
        <f t="shared" si="151"/>
        <v>0</v>
      </c>
      <c r="HG109" s="1941">
        <f t="shared" si="151"/>
        <v>0</v>
      </c>
      <c r="HH109" s="1941">
        <f t="shared" si="151"/>
        <v>0</v>
      </c>
      <c r="HI109" s="1941">
        <f t="shared" si="151"/>
        <v>0</v>
      </c>
      <c r="HJ109" s="1945">
        <f t="shared" si="151"/>
        <v>0</v>
      </c>
      <c r="HK109" s="1941">
        <f t="shared" si="151"/>
        <v>0</v>
      </c>
      <c r="HL109" s="1941">
        <f t="shared" si="151"/>
        <v>0</v>
      </c>
      <c r="HM109" s="1941">
        <f t="shared" si="151"/>
        <v>0</v>
      </c>
      <c r="HN109" s="1941">
        <f t="shared" si="151"/>
        <v>0</v>
      </c>
      <c r="HO109" s="1941">
        <f t="shared" si="151"/>
        <v>0</v>
      </c>
      <c r="HP109" s="1941">
        <f t="shared" si="151"/>
        <v>0</v>
      </c>
      <c r="HQ109" s="1945">
        <f t="shared" si="151"/>
        <v>0</v>
      </c>
      <c r="HR109" s="1941">
        <f t="shared" si="151"/>
        <v>0</v>
      </c>
      <c r="HS109" s="1941">
        <f t="shared" si="151"/>
        <v>0</v>
      </c>
      <c r="HT109" s="1941">
        <f t="shared" si="151"/>
        <v>0</v>
      </c>
      <c r="HU109" s="1941">
        <f t="shared" si="151"/>
        <v>0</v>
      </c>
      <c r="HV109" s="1941">
        <f t="shared" si="151"/>
        <v>0</v>
      </c>
      <c r="HW109" s="1941">
        <f t="shared" si="151"/>
        <v>0</v>
      </c>
      <c r="HX109" s="1945">
        <f t="shared" si="151"/>
        <v>0</v>
      </c>
      <c r="HY109" s="1941">
        <f t="shared" si="151"/>
        <v>0</v>
      </c>
      <c r="HZ109" s="1941">
        <f t="shared" si="151"/>
        <v>0</v>
      </c>
      <c r="IA109" s="1941">
        <f t="shared" si="151"/>
        <v>0</v>
      </c>
      <c r="IB109" s="1941">
        <f t="shared" si="151"/>
        <v>0</v>
      </c>
      <c r="IC109" s="1941">
        <f t="shared" si="151"/>
        <v>0</v>
      </c>
      <c r="ID109" s="1941">
        <f t="shared" si="151"/>
        <v>0</v>
      </c>
      <c r="IE109" s="1945">
        <f t="shared" si="151"/>
        <v>0</v>
      </c>
      <c r="IF109" s="1941">
        <f t="shared" si="151"/>
        <v>0</v>
      </c>
      <c r="IG109" s="1941">
        <f t="shared" si="151"/>
        <v>0</v>
      </c>
      <c r="IH109" s="1941">
        <f t="shared" si="151"/>
        <v>0</v>
      </c>
      <c r="II109" s="1941">
        <f t="shared" si="151"/>
        <v>0</v>
      </c>
      <c r="IJ109" s="1941">
        <f t="shared" si="151"/>
        <v>0</v>
      </c>
      <c r="IK109" s="1943">
        <f t="shared" si="151"/>
        <v>0</v>
      </c>
    </row>
    <row r="110" spans="1:245" ht="8.1" hidden="1" customHeight="1" x14ac:dyDescent="0.35">
      <c r="A110" s="195">
        <f>IF(B109=0,0,"XXX")</f>
        <v>0</v>
      </c>
      <c r="B110" s="1960"/>
      <c r="C110" s="452">
        <f>IF(F109=0,0,"COMPARTILHADA COM PAREDES")</f>
        <v>0</v>
      </c>
      <c r="D110" s="360">
        <f>IF(F109=0,0,"término:")</f>
        <v>0</v>
      </c>
      <c r="E110" s="361">
        <f>IF(D136=0,0,IF(D128&lt;D127,0,D140))</f>
        <v>0</v>
      </c>
      <c r="F110" s="1962"/>
      <c r="G110" s="1964"/>
      <c r="H110" s="1946"/>
      <c r="I110" s="1942"/>
      <c r="J110" s="1942"/>
      <c r="K110" s="1942"/>
      <c r="L110" s="1942"/>
      <c r="M110" s="1942"/>
      <c r="N110" s="1942"/>
      <c r="O110" s="1946"/>
      <c r="P110" s="1942"/>
      <c r="Q110" s="1942"/>
      <c r="R110" s="1942"/>
      <c r="S110" s="1942"/>
      <c r="T110" s="1942"/>
      <c r="U110" s="1942"/>
      <c r="V110" s="1946"/>
      <c r="W110" s="1942"/>
      <c r="X110" s="1942"/>
      <c r="Y110" s="1942"/>
      <c r="Z110" s="1942"/>
      <c r="AA110" s="1942"/>
      <c r="AB110" s="1942"/>
      <c r="AC110" s="1946"/>
      <c r="AD110" s="1942"/>
      <c r="AE110" s="1942"/>
      <c r="AF110" s="1942"/>
      <c r="AG110" s="1942"/>
      <c r="AH110" s="1942"/>
      <c r="AI110" s="1942"/>
      <c r="AJ110" s="1946"/>
      <c r="AK110" s="1942"/>
      <c r="AL110" s="1942"/>
      <c r="AM110" s="1942"/>
      <c r="AN110" s="1942"/>
      <c r="AO110" s="1942"/>
      <c r="AP110" s="1942"/>
      <c r="AQ110" s="1946"/>
      <c r="AR110" s="1942"/>
      <c r="AS110" s="1942"/>
      <c r="AT110" s="1942"/>
      <c r="AU110" s="1942"/>
      <c r="AV110" s="1942"/>
      <c r="AW110" s="1942"/>
      <c r="AX110" s="1946"/>
      <c r="AY110" s="1942"/>
      <c r="AZ110" s="1942"/>
      <c r="BA110" s="1942"/>
      <c r="BB110" s="1942"/>
      <c r="BC110" s="1942"/>
      <c r="BD110" s="1942"/>
      <c r="BE110" s="1946"/>
      <c r="BF110" s="1942"/>
      <c r="BG110" s="1942"/>
      <c r="BH110" s="1942"/>
      <c r="BI110" s="1942"/>
      <c r="BJ110" s="1942"/>
      <c r="BK110" s="1942"/>
      <c r="BL110" s="1946"/>
      <c r="BM110" s="1942"/>
      <c r="BN110" s="1942"/>
      <c r="BO110" s="1942"/>
      <c r="BP110" s="1942"/>
      <c r="BQ110" s="1942"/>
      <c r="BR110" s="1942"/>
      <c r="BS110" s="1946"/>
      <c r="BT110" s="1942"/>
      <c r="BU110" s="1942"/>
      <c r="BV110" s="1942"/>
      <c r="BW110" s="1942"/>
      <c r="BX110" s="1942"/>
      <c r="BY110" s="1942"/>
      <c r="BZ110" s="1946"/>
      <c r="CA110" s="1942"/>
      <c r="CB110" s="1942"/>
      <c r="CC110" s="1942"/>
      <c r="CD110" s="1942"/>
      <c r="CE110" s="1942"/>
      <c r="CF110" s="1942"/>
      <c r="CG110" s="1946"/>
      <c r="CH110" s="1942"/>
      <c r="CI110" s="1942"/>
      <c r="CJ110" s="1942"/>
      <c r="CK110" s="1942"/>
      <c r="CL110" s="1942"/>
      <c r="CM110" s="1942"/>
      <c r="CN110" s="1946"/>
      <c r="CO110" s="1942"/>
      <c r="CP110" s="1942"/>
      <c r="CQ110" s="1942"/>
      <c r="CR110" s="1942"/>
      <c r="CS110" s="1942"/>
      <c r="CT110" s="1942"/>
      <c r="CU110" s="1946"/>
      <c r="CV110" s="1942"/>
      <c r="CW110" s="1942"/>
      <c r="CX110" s="1942"/>
      <c r="CY110" s="1942"/>
      <c r="CZ110" s="1942"/>
      <c r="DA110" s="1942"/>
      <c r="DB110" s="1946"/>
      <c r="DC110" s="1942"/>
      <c r="DD110" s="1942"/>
      <c r="DE110" s="1942"/>
      <c r="DF110" s="1942"/>
      <c r="DG110" s="1942"/>
      <c r="DH110" s="1942"/>
      <c r="DI110" s="1946"/>
      <c r="DJ110" s="1942"/>
      <c r="DK110" s="1942"/>
      <c r="DL110" s="1942"/>
      <c r="DM110" s="1942"/>
      <c r="DN110" s="1942"/>
      <c r="DO110" s="1942"/>
      <c r="DP110" s="1946"/>
      <c r="DQ110" s="1942"/>
      <c r="DR110" s="1942"/>
      <c r="DS110" s="1942"/>
      <c r="DT110" s="1942"/>
      <c r="DU110" s="1942"/>
      <c r="DV110" s="1942"/>
      <c r="DW110" s="1946"/>
      <c r="DX110" s="1942"/>
      <c r="DY110" s="1942"/>
      <c r="DZ110" s="1942"/>
      <c r="EA110" s="1942"/>
      <c r="EB110" s="1942"/>
      <c r="EC110" s="1942"/>
      <c r="ED110" s="1946"/>
      <c r="EE110" s="1942"/>
      <c r="EF110" s="1942"/>
      <c r="EG110" s="1942"/>
      <c r="EH110" s="1942"/>
      <c r="EI110" s="1942"/>
      <c r="EJ110" s="1942"/>
      <c r="EK110" s="1946"/>
      <c r="EL110" s="1942"/>
      <c r="EM110" s="1942"/>
      <c r="EN110" s="1942"/>
      <c r="EO110" s="1942"/>
      <c r="EP110" s="1942"/>
      <c r="EQ110" s="1942"/>
      <c r="ER110" s="1946"/>
      <c r="ES110" s="1942"/>
      <c r="ET110" s="1942"/>
      <c r="EU110" s="1942"/>
      <c r="EV110" s="1942"/>
      <c r="EW110" s="1942"/>
      <c r="EX110" s="1942"/>
      <c r="EY110" s="1946"/>
      <c r="EZ110" s="1942"/>
      <c r="FA110" s="1942"/>
      <c r="FB110" s="1942"/>
      <c r="FC110" s="1942"/>
      <c r="FD110" s="1942"/>
      <c r="FE110" s="1942"/>
      <c r="FF110" s="1946"/>
      <c r="FG110" s="1942"/>
      <c r="FH110" s="1942"/>
      <c r="FI110" s="1942"/>
      <c r="FJ110" s="1942"/>
      <c r="FK110" s="1942"/>
      <c r="FL110" s="1942"/>
      <c r="FM110" s="1946"/>
      <c r="FN110" s="1942"/>
      <c r="FO110" s="1942"/>
      <c r="FP110" s="1942"/>
      <c r="FQ110" s="1942"/>
      <c r="FR110" s="1942"/>
      <c r="FS110" s="1942"/>
      <c r="FT110" s="1946"/>
      <c r="FU110" s="1942"/>
      <c r="FV110" s="1942"/>
      <c r="FW110" s="1942"/>
      <c r="FX110" s="1942"/>
      <c r="FY110" s="1942"/>
      <c r="FZ110" s="1942"/>
      <c r="GA110" s="1946"/>
      <c r="GB110" s="1942"/>
      <c r="GC110" s="1942"/>
      <c r="GD110" s="1942"/>
      <c r="GE110" s="1942"/>
      <c r="GF110" s="1942"/>
      <c r="GG110" s="1942"/>
      <c r="GH110" s="1946"/>
      <c r="GI110" s="1942"/>
      <c r="GJ110" s="1942"/>
      <c r="GK110" s="1942"/>
      <c r="GL110" s="1942"/>
      <c r="GM110" s="1942"/>
      <c r="GN110" s="1942"/>
      <c r="GO110" s="1946"/>
      <c r="GP110" s="1942"/>
      <c r="GQ110" s="1942"/>
      <c r="GR110" s="1942"/>
      <c r="GS110" s="1942"/>
      <c r="GT110" s="1942"/>
      <c r="GU110" s="1942"/>
      <c r="GV110" s="1946"/>
      <c r="GW110" s="1942"/>
      <c r="GX110" s="1942"/>
      <c r="GY110" s="1942"/>
      <c r="GZ110" s="1942"/>
      <c r="HA110" s="1942"/>
      <c r="HB110" s="1942"/>
      <c r="HC110" s="1946"/>
      <c r="HD110" s="1942"/>
      <c r="HE110" s="1942"/>
      <c r="HF110" s="1942"/>
      <c r="HG110" s="1942"/>
      <c r="HH110" s="1942"/>
      <c r="HI110" s="1942"/>
      <c r="HJ110" s="1946"/>
      <c r="HK110" s="1942"/>
      <c r="HL110" s="1942"/>
      <c r="HM110" s="1942"/>
      <c r="HN110" s="1942"/>
      <c r="HO110" s="1942"/>
      <c r="HP110" s="1942"/>
      <c r="HQ110" s="1946"/>
      <c r="HR110" s="1942"/>
      <c r="HS110" s="1942"/>
      <c r="HT110" s="1942"/>
      <c r="HU110" s="1942"/>
      <c r="HV110" s="1942"/>
      <c r="HW110" s="1942"/>
      <c r="HX110" s="1946"/>
      <c r="HY110" s="1942"/>
      <c r="HZ110" s="1942"/>
      <c r="IA110" s="1942"/>
      <c r="IB110" s="1942"/>
      <c r="IC110" s="1942"/>
      <c r="ID110" s="1942"/>
      <c r="IE110" s="1946"/>
      <c r="IF110" s="1942"/>
      <c r="IG110" s="1942"/>
      <c r="IH110" s="1942"/>
      <c r="II110" s="1942"/>
      <c r="IJ110" s="1942"/>
      <c r="IK110" s="1944"/>
    </row>
    <row r="111" spans="1:245" ht="8.1" hidden="1" customHeight="1" x14ac:dyDescent="0.35">
      <c r="A111" s="195">
        <f>IF(B111=0,0,"XXX")</f>
        <v>0</v>
      </c>
      <c r="B111" s="1959">
        <f>IF(AND(F109&gt;=0,F111=0),0,IF(AND(F109=0,F111&gt;0),"1.2.2",IF(F109+F111=0,0,"1.2.3")))</f>
        <v>0</v>
      </c>
      <c r="C111" s="453">
        <f>IF(F111=0,0,"CONFECÇÃO DE COBERTURA NÃO")</f>
        <v>0</v>
      </c>
      <c r="D111" s="358">
        <f>IF(F111=0,0,"início:")</f>
        <v>0</v>
      </c>
      <c r="E111" s="359">
        <f>IF(F111=0,0,IF(D128&lt;D127,0,D150+D146))</f>
        <v>0</v>
      </c>
      <c r="F111" s="1961">
        <f>IF(D128&lt;D127,0,IF(D145&gt;0,D145,D148))</f>
        <v>0</v>
      </c>
      <c r="G111" s="1963">
        <f>IF(F111=0,0,"dias")</f>
        <v>0</v>
      </c>
      <c r="H111" s="1945">
        <f>IF(OR(H148=10,H145=10),10,0)</f>
        <v>0</v>
      </c>
      <c r="I111" s="1941">
        <f t="shared" ref="I111:BT111" si="152">IF(OR(I148=10,I145=10),10,0)</f>
        <v>0</v>
      </c>
      <c r="J111" s="1941">
        <f t="shared" si="152"/>
        <v>0</v>
      </c>
      <c r="K111" s="1941">
        <f t="shared" si="152"/>
        <v>0</v>
      </c>
      <c r="L111" s="1941">
        <f t="shared" si="152"/>
        <v>0</v>
      </c>
      <c r="M111" s="1941">
        <f t="shared" si="152"/>
        <v>0</v>
      </c>
      <c r="N111" s="1943">
        <f t="shared" si="152"/>
        <v>0</v>
      </c>
      <c r="O111" s="1945">
        <f t="shared" si="152"/>
        <v>0</v>
      </c>
      <c r="P111" s="1941">
        <f t="shared" si="152"/>
        <v>0</v>
      </c>
      <c r="Q111" s="1941">
        <f t="shared" si="152"/>
        <v>0</v>
      </c>
      <c r="R111" s="1941">
        <f t="shared" si="152"/>
        <v>0</v>
      </c>
      <c r="S111" s="1941">
        <f t="shared" si="152"/>
        <v>0</v>
      </c>
      <c r="T111" s="1941">
        <f t="shared" si="152"/>
        <v>0</v>
      </c>
      <c r="U111" s="1943">
        <f t="shared" si="152"/>
        <v>0</v>
      </c>
      <c r="V111" s="1945">
        <f t="shared" si="152"/>
        <v>0</v>
      </c>
      <c r="W111" s="1941">
        <f t="shared" si="152"/>
        <v>0</v>
      </c>
      <c r="X111" s="1941">
        <f t="shared" si="152"/>
        <v>0</v>
      </c>
      <c r="Y111" s="1941">
        <f t="shared" si="152"/>
        <v>0</v>
      </c>
      <c r="Z111" s="1941">
        <f t="shared" si="152"/>
        <v>0</v>
      </c>
      <c r="AA111" s="1941">
        <f t="shared" si="152"/>
        <v>0</v>
      </c>
      <c r="AB111" s="1943">
        <f t="shared" si="152"/>
        <v>0</v>
      </c>
      <c r="AC111" s="1945">
        <f t="shared" si="152"/>
        <v>0</v>
      </c>
      <c r="AD111" s="1941">
        <f t="shared" si="152"/>
        <v>0</v>
      </c>
      <c r="AE111" s="1941">
        <f t="shared" si="152"/>
        <v>0</v>
      </c>
      <c r="AF111" s="1941">
        <f t="shared" si="152"/>
        <v>0</v>
      </c>
      <c r="AG111" s="1941">
        <f t="shared" si="152"/>
        <v>0</v>
      </c>
      <c r="AH111" s="1941">
        <f t="shared" si="152"/>
        <v>0</v>
      </c>
      <c r="AI111" s="1943">
        <f t="shared" si="152"/>
        <v>0</v>
      </c>
      <c r="AJ111" s="1945">
        <f t="shared" si="152"/>
        <v>0</v>
      </c>
      <c r="AK111" s="1941">
        <f t="shared" si="152"/>
        <v>0</v>
      </c>
      <c r="AL111" s="1941">
        <f t="shared" si="152"/>
        <v>0</v>
      </c>
      <c r="AM111" s="1941">
        <f t="shared" si="152"/>
        <v>0</v>
      </c>
      <c r="AN111" s="1941">
        <f t="shared" si="152"/>
        <v>0</v>
      </c>
      <c r="AO111" s="1941">
        <f t="shared" si="152"/>
        <v>0</v>
      </c>
      <c r="AP111" s="1943">
        <f t="shared" si="152"/>
        <v>0</v>
      </c>
      <c r="AQ111" s="1945">
        <f t="shared" si="152"/>
        <v>0</v>
      </c>
      <c r="AR111" s="1941">
        <f t="shared" si="152"/>
        <v>0</v>
      </c>
      <c r="AS111" s="1941">
        <f t="shared" si="152"/>
        <v>0</v>
      </c>
      <c r="AT111" s="1941">
        <f t="shared" si="152"/>
        <v>0</v>
      </c>
      <c r="AU111" s="1941">
        <f t="shared" si="152"/>
        <v>0</v>
      </c>
      <c r="AV111" s="1941">
        <f t="shared" si="152"/>
        <v>0</v>
      </c>
      <c r="AW111" s="1943">
        <f t="shared" si="152"/>
        <v>0</v>
      </c>
      <c r="AX111" s="1945">
        <f t="shared" si="152"/>
        <v>0</v>
      </c>
      <c r="AY111" s="1941">
        <f t="shared" si="152"/>
        <v>0</v>
      </c>
      <c r="AZ111" s="1941">
        <f t="shared" si="152"/>
        <v>0</v>
      </c>
      <c r="BA111" s="1941">
        <f t="shared" si="152"/>
        <v>0</v>
      </c>
      <c r="BB111" s="1941">
        <f t="shared" si="152"/>
        <v>0</v>
      </c>
      <c r="BC111" s="1941">
        <f t="shared" si="152"/>
        <v>0</v>
      </c>
      <c r="BD111" s="1943">
        <f t="shared" si="152"/>
        <v>0</v>
      </c>
      <c r="BE111" s="1945">
        <f t="shared" si="152"/>
        <v>0</v>
      </c>
      <c r="BF111" s="1941">
        <f t="shared" si="152"/>
        <v>0</v>
      </c>
      <c r="BG111" s="1941">
        <f t="shared" si="152"/>
        <v>0</v>
      </c>
      <c r="BH111" s="1941">
        <f t="shared" si="152"/>
        <v>0</v>
      </c>
      <c r="BI111" s="1941">
        <f t="shared" si="152"/>
        <v>0</v>
      </c>
      <c r="BJ111" s="1941">
        <f t="shared" si="152"/>
        <v>0</v>
      </c>
      <c r="BK111" s="1943">
        <f t="shared" si="152"/>
        <v>0</v>
      </c>
      <c r="BL111" s="1945">
        <f t="shared" si="152"/>
        <v>0</v>
      </c>
      <c r="BM111" s="1941">
        <f t="shared" si="152"/>
        <v>0</v>
      </c>
      <c r="BN111" s="1941">
        <f t="shared" si="152"/>
        <v>0</v>
      </c>
      <c r="BO111" s="1941">
        <f t="shared" si="152"/>
        <v>0</v>
      </c>
      <c r="BP111" s="1941">
        <f t="shared" si="152"/>
        <v>0</v>
      </c>
      <c r="BQ111" s="1941">
        <f t="shared" si="152"/>
        <v>0</v>
      </c>
      <c r="BR111" s="1943">
        <f t="shared" si="152"/>
        <v>0</v>
      </c>
      <c r="BS111" s="1945">
        <f t="shared" si="152"/>
        <v>0</v>
      </c>
      <c r="BT111" s="1941">
        <f t="shared" si="152"/>
        <v>0</v>
      </c>
      <c r="BU111" s="1941">
        <f t="shared" ref="BU111:EF111" si="153">IF(OR(BU148=10,BU145=10),10,0)</f>
        <v>0</v>
      </c>
      <c r="BV111" s="1941">
        <f t="shared" si="153"/>
        <v>0</v>
      </c>
      <c r="BW111" s="1941">
        <f t="shared" si="153"/>
        <v>0</v>
      </c>
      <c r="BX111" s="1941">
        <f t="shared" si="153"/>
        <v>0</v>
      </c>
      <c r="BY111" s="1943">
        <f t="shared" si="153"/>
        <v>0</v>
      </c>
      <c r="BZ111" s="1945">
        <f t="shared" si="153"/>
        <v>0</v>
      </c>
      <c r="CA111" s="1941">
        <f t="shared" si="153"/>
        <v>0</v>
      </c>
      <c r="CB111" s="1941">
        <f t="shared" si="153"/>
        <v>0</v>
      </c>
      <c r="CC111" s="1941">
        <f t="shared" si="153"/>
        <v>0</v>
      </c>
      <c r="CD111" s="1941">
        <f t="shared" si="153"/>
        <v>0</v>
      </c>
      <c r="CE111" s="1941">
        <f t="shared" si="153"/>
        <v>0</v>
      </c>
      <c r="CF111" s="1943">
        <f t="shared" si="153"/>
        <v>0</v>
      </c>
      <c r="CG111" s="1945">
        <f t="shared" si="153"/>
        <v>0</v>
      </c>
      <c r="CH111" s="1941">
        <f t="shared" si="153"/>
        <v>0</v>
      </c>
      <c r="CI111" s="1941">
        <f t="shared" si="153"/>
        <v>0</v>
      </c>
      <c r="CJ111" s="1941">
        <f t="shared" si="153"/>
        <v>0</v>
      </c>
      <c r="CK111" s="1941">
        <f t="shared" si="153"/>
        <v>0</v>
      </c>
      <c r="CL111" s="1941">
        <f t="shared" si="153"/>
        <v>0</v>
      </c>
      <c r="CM111" s="1943">
        <f t="shared" si="153"/>
        <v>0</v>
      </c>
      <c r="CN111" s="1945">
        <f t="shared" si="153"/>
        <v>0</v>
      </c>
      <c r="CO111" s="1941">
        <f t="shared" si="153"/>
        <v>0</v>
      </c>
      <c r="CP111" s="1941">
        <f t="shared" si="153"/>
        <v>0</v>
      </c>
      <c r="CQ111" s="1941">
        <f t="shared" si="153"/>
        <v>0</v>
      </c>
      <c r="CR111" s="1941">
        <f t="shared" si="153"/>
        <v>0</v>
      </c>
      <c r="CS111" s="1941">
        <f t="shared" si="153"/>
        <v>0</v>
      </c>
      <c r="CT111" s="1943">
        <f t="shared" si="153"/>
        <v>0</v>
      </c>
      <c r="CU111" s="1945">
        <f t="shared" si="153"/>
        <v>0</v>
      </c>
      <c r="CV111" s="1941">
        <f t="shared" si="153"/>
        <v>0</v>
      </c>
      <c r="CW111" s="1941">
        <f t="shared" si="153"/>
        <v>0</v>
      </c>
      <c r="CX111" s="1941">
        <f t="shared" si="153"/>
        <v>0</v>
      </c>
      <c r="CY111" s="1941">
        <f t="shared" si="153"/>
        <v>0</v>
      </c>
      <c r="CZ111" s="1941">
        <f t="shared" si="153"/>
        <v>0</v>
      </c>
      <c r="DA111" s="1943">
        <f t="shared" si="153"/>
        <v>0</v>
      </c>
      <c r="DB111" s="1945">
        <f t="shared" si="153"/>
        <v>0</v>
      </c>
      <c r="DC111" s="1941">
        <f t="shared" si="153"/>
        <v>0</v>
      </c>
      <c r="DD111" s="1941">
        <f t="shared" si="153"/>
        <v>0</v>
      </c>
      <c r="DE111" s="1941">
        <f t="shared" si="153"/>
        <v>0</v>
      </c>
      <c r="DF111" s="1941">
        <f t="shared" si="153"/>
        <v>0</v>
      </c>
      <c r="DG111" s="1941">
        <f t="shared" si="153"/>
        <v>0</v>
      </c>
      <c r="DH111" s="1943">
        <f t="shared" si="153"/>
        <v>0</v>
      </c>
      <c r="DI111" s="1945">
        <f t="shared" si="153"/>
        <v>0</v>
      </c>
      <c r="DJ111" s="1941">
        <f t="shared" si="153"/>
        <v>0</v>
      </c>
      <c r="DK111" s="1941">
        <f t="shared" si="153"/>
        <v>0</v>
      </c>
      <c r="DL111" s="1941">
        <f t="shared" si="153"/>
        <v>0</v>
      </c>
      <c r="DM111" s="1941">
        <f t="shared" si="153"/>
        <v>0</v>
      </c>
      <c r="DN111" s="1941">
        <f t="shared" si="153"/>
        <v>0</v>
      </c>
      <c r="DO111" s="1943">
        <f t="shared" si="153"/>
        <v>0</v>
      </c>
      <c r="DP111" s="1945">
        <f t="shared" si="153"/>
        <v>0</v>
      </c>
      <c r="DQ111" s="1941">
        <f t="shared" si="153"/>
        <v>0</v>
      </c>
      <c r="DR111" s="1941">
        <f t="shared" si="153"/>
        <v>0</v>
      </c>
      <c r="DS111" s="1941">
        <f t="shared" si="153"/>
        <v>0</v>
      </c>
      <c r="DT111" s="1941">
        <f t="shared" si="153"/>
        <v>0</v>
      </c>
      <c r="DU111" s="1941">
        <f t="shared" si="153"/>
        <v>0</v>
      </c>
      <c r="DV111" s="1943">
        <f t="shared" si="153"/>
        <v>0</v>
      </c>
      <c r="DW111" s="1945">
        <f t="shared" si="153"/>
        <v>0</v>
      </c>
      <c r="DX111" s="1941">
        <f t="shared" si="153"/>
        <v>0</v>
      </c>
      <c r="DY111" s="1941">
        <f t="shared" si="153"/>
        <v>0</v>
      </c>
      <c r="DZ111" s="1941">
        <f t="shared" si="153"/>
        <v>0</v>
      </c>
      <c r="EA111" s="1941">
        <f t="shared" si="153"/>
        <v>0</v>
      </c>
      <c r="EB111" s="1941">
        <f t="shared" si="153"/>
        <v>0</v>
      </c>
      <c r="EC111" s="1943">
        <f t="shared" si="153"/>
        <v>0</v>
      </c>
      <c r="ED111" s="1945">
        <f t="shared" si="153"/>
        <v>0</v>
      </c>
      <c r="EE111" s="1941">
        <f t="shared" si="153"/>
        <v>0</v>
      </c>
      <c r="EF111" s="1941">
        <f t="shared" si="153"/>
        <v>0</v>
      </c>
      <c r="EG111" s="1941">
        <f t="shared" ref="EG111:GR111" si="154">IF(OR(EG148=10,EG145=10),10,0)</f>
        <v>0</v>
      </c>
      <c r="EH111" s="1941">
        <f t="shared" si="154"/>
        <v>0</v>
      </c>
      <c r="EI111" s="1941">
        <f t="shared" si="154"/>
        <v>0</v>
      </c>
      <c r="EJ111" s="1943">
        <f t="shared" si="154"/>
        <v>0</v>
      </c>
      <c r="EK111" s="1945">
        <f t="shared" si="154"/>
        <v>0</v>
      </c>
      <c r="EL111" s="1941">
        <f t="shared" si="154"/>
        <v>0</v>
      </c>
      <c r="EM111" s="1941">
        <f t="shared" si="154"/>
        <v>0</v>
      </c>
      <c r="EN111" s="1941">
        <f t="shared" si="154"/>
        <v>0</v>
      </c>
      <c r="EO111" s="1941">
        <f t="shared" si="154"/>
        <v>0</v>
      </c>
      <c r="EP111" s="1941">
        <f t="shared" si="154"/>
        <v>0</v>
      </c>
      <c r="EQ111" s="1943">
        <f t="shared" si="154"/>
        <v>0</v>
      </c>
      <c r="ER111" s="1945">
        <f t="shared" si="154"/>
        <v>0</v>
      </c>
      <c r="ES111" s="1941">
        <f t="shared" si="154"/>
        <v>0</v>
      </c>
      <c r="ET111" s="1941">
        <f t="shared" si="154"/>
        <v>0</v>
      </c>
      <c r="EU111" s="1941">
        <f t="shared" si="154"/>
        <v>0</v>
      </c>
      <c r="EV111" s="1941">
        <f t="shared" si="154"/>
        <v>0</v>
      </c>
      <c r="EW111" s="1941">
        <f t="shared" si="154"/>
        <v>0</v>
      </c>
      <c r="EX111" s="1943">
        <f t="shared" si="154"/>
        <v>0</v>
      </c>
      <c r="EY111" s="1945">
        <f t="shared" si="154"/>
        <v>0</v>
      </c>
      <c r="EZ111" s="1941">
        <f t="shared" si="154"/>
        <v>0</v>
      </c>
      <c r="FA111" s="1941">
        <f t="shared" si="154"/>
        <v>0</v>
      </c>
      <c r="FB111" s="1941">
        <f t="shared" si="154"/>
        <v>0</v>
      </c>
      <c r="FC111" s="1941">
        <f t="shared" si="154"/>
        <v>0</v>
      </c>
      <c r="FD111" s="1941">
        <f t="shared" si="154"/>
        <v>0</v>
      </c>
      <c r="FE111" s="1943">
        <f t="shared" si="154"/>
        <v>0</v>
      </c>
      <c r="FF111" s="1945">
        <f t="shared" si="154"/>
        <v>0</v>
      </c>
      <c r="FG111" s="1941">
        <f t="shared" si="154"/>
        <v>0</v>
      </c>
      <c r="FH111" s="1941">
        <f t="shared" si="154"/>
        <v>0</v>
      </c>
      <c r="FI111" s="1941">
        <f t="shared" si="154"/>
        <v>0</v>
      </c>
      <c r="FJ111" s="1941">
        <f t="shared" si="154"/>
        <v>0</v>
      </c>
      <c r="FK111" s="1941">
        <f t="shared" si="154"/>
        <v>0</v>
      </c>
      <c r="FL111" s="1943">
        <f t="shared" si="154"/>
        <v>0</v>
      </c>
      <c r="FM111" s="1945">
        <f t="shared" si="154"/>
        <v>0</v>
      </c>
      <c r="FN111" s="1941">
        <f t="shared" si="154"/>
        <v>0</v>
      </c>
      <c r="FO111" s="1941">
        <f t="shared" si="154"/>
        <v>0</v>
      </c>
      <c r="FP111" s="1941">
        <f t="shared" si="154"/>
        <v>0</v>
      </c>
      <c r="FQ111" s="1941">
        <f t="shared" si="154"/>
        <v>0</v>
      </c>
      <c r="FR111" s="1941">
        <f t="shared" si="154"/>
        <v>0</v>
      </c>
      <c r="FS111" s="1943">
        <f t="shared" si="154"/>
        <v>0</v>
      </c>
      <c r="FT111" s="1945">
        <f t="shared" si="154"/>
        <v>0</v>
      </c>
      <c r="FU111" s="1941">
        <f t="shared" si="154"/>
        <v>0</v>
      </c>
      <c r="FV111" s="1941">
        <f t="shared" si="154"/>
        <v>0</v>
      </c>
      <c r="FW111" s="1941">
        <f t="shared" si="154"/>
        <v>0</v>
      </c>
      <c r="FX111" s="1941">
        <f t="shared" si="154"/>
        <v>0</v>
      </c>
      <c r="FY111" s="1941">
        <f t="shared" si="154"/>
        <v>0</v>
      </c>
      <c r="FZ111" s="1943">
        <f t="shared" si="154"/>
        <v>0</v>
      </c>
      <c r="GA111" s="1945">
        <f t="shared" si="154"/>
        <v>0</v>
      </c>
      <c r="GB111" s="1941">
        <f t="shared" si="154"/>
        <v>0</v>
      </c>
      <c r="GC111" s="1941">
        <f t="shared" si="154"/>
        <v>0</v>
      </c>
      <c r="GD111" s="1941">
        <f t="shared" si="154"/>
        <v>0</v>
      </c>
      <c r="GE111" s="1941">
        <f t="shared" si="154"/>
        <v>0</v>
      </c>
      <c r="GF111" s="1941">
        <f t="shared" si="154"/>
        <v>0</v>
      </c>
      <c r="GG111" s="1943">
        <f t="shared" si="154"/>
        <v>0</v>
      </c>
      <c r="GH111" s="1945">
        <f t="shared" si="154"/>
        <v>0</v>
      </c>
      <c r="GI111" s="1941">
        <f t="shared" si="154"/>
        <v>0</v>
      </c>
      <c r="GJ111" s="1941">
        <f t="shared" si="154"/>
        <v>0</v>
      </c>
      <c r="GK111" s="1941">
        <f t="shared" si="154"/>
        <v>0</v>
      </c>
      <c r="GL111" s="1941">
        <f t="shared" si="154"/>
        <v>0</v>
      </c>
      <c r="GM111" s="1941">
        <f t="shared" si="154"/>
        <v>0</v>
      </c>
      <c r="GN111" s="1943">
        <f t="shared" si="154"/>
        <v>0</v>
      </c>
      <c r="GO111" s="1945">
        <f t="shared" si="154"/>
        <v>0</v>
      </c>
      <c r="GP111" s="1941">
        <f t="shared" si="154"/>
        <v>0</v>
      </c>
      <c r="GQ111" s="1941">
        <f t="shared" si="154"/>
        <v>0</v>
      </c>
      <c r="GR111" s="1941">
        <f t="shared" si="154"/>
        <v>0</v>
      </c>
      <c r="GS111" s="1941">
        <f t="shared" ref="GS111:IK111" si="155">IF(OR(GS148=10,GS145=10),10,0)</f>
        <v>0</v>
      </c>
      <c r="GT111" s="1941">
        <f t="shared" si="155"/>
        <v>0</v>
      </c>
      <c r="GU111" s="1943">
        <f t="shared" si="155"/>
        <v>0</v>
      </c>
      <c r="GV111" s="1945">
        <f t="shared" si="155"/>
        <v>0</v>
      </c>
      <c r="GW111" s="1941">
        <f t="shared" si="155"/>
        <v>0</v>
      </c>
      <c r="GX111" s="1941">
        <f t="shared" si="155"/>
        <v>0</v>
      </c>
      <c r="GY111" s="1941">
        <f t="shared" si="155"/>
        <v>0</v>
      </c>
      <c r="GZ111" s="1941">
        <f t="shared" si="155"/>
        <v>0</v>
      </c>
      <c r="HA111" s="1941">
        <f t="shared" si="155"/>
        <v>0</v>
      </c>
      <c r="HB111" s="1943">
        <f t="shared" si="155"/>
        <v>0</v>
      </c>
      <c r="HC111" s="1945">
        <f t="shared" si="155"/>
        <v>0</v>
      </c>
      <c r="HD111" s="1941">
        <f t="shared" si="155"/>
        <v>0</v>
      </c>
      <c r="HE111" s="1941">
        <f t="shared" si="155"/>
        <v>0</v>
      </c>
      <c r="HF111" s="1941">
        <f t="shared" si="155"/>
        <v>0</v>
      </c>
      <c r="HG111" s="1941">
        <f t="shared" si="155"/>
        <v>0</v>
      </c>
      <c r="HH111" s="1941">
        <f t="shared" si="155"/>
        <v>0</v>
      </c>
      <c r="HI111" s="1943">
        <f t="shared" si="155"/>
        <v>0</v>
      </c>
      <c r="HJ111" s="1945">
        <f t="shared" si="155"/>
        <v>0</v>
      </c>
      <c r="HK111" s="1941">
        <f t="shared" si="155"/>
        <v>0</v>
      </c>
      <c r="HL111" s="1941">
        <f t="shared" si="155"/>
        <v>0</v>
      </c>
      <c r="HM111" s="1941">
        <f t="shared" si="155"/>
        <v>0</v>
      </c>
      <c r="HN111" s="1941">
        <f t="shared" si="155"/>
        <v>0</v>
      </c>
      <c r="HO111" s="1941">
        <f t="shared" si="155"/>
        <v>0</v>
      </c>
      <c r="HP111" s="1943">
        <f t="shared" si="155"/>
        <v>0</v>
      </c>
      <c r="HQ111" s="1945">
        <f t="shared" si="155"/>
        <v>0</v>
      </c>
      <c r="HR111" s="1941">
        <f t="shared" si="155"/>
        <v>0</v>
      </c>
      <c r="HS111" s="1941">
        <f t="shared" si="155"/>
        <v>0</v>
      </c>
      <c r="HT111" s="1941">
        <f t="shared" si="155"/>
        <v>0</v>
      </c>
      <c r="HU111" s="1941">
        <f t="shared" si="155"/>
        <v>0</v>
      </c>
      <c r="HV111" s="1941">
        <f t="shared" si="155"/>
        <v>0</v>
      </c>
      <c r="HW111" s="1943">
        <f t="shared" si="155"/>
        <v>0</v>
      </c>
      <c r="HX111" s="1945">
        <f t="shared" si="155"/>
        <v>0</v>
      </c>
      <c r="HY111" s="1941">
        <f t="shared" si="155"/>
        <v>0</v>
      </c>
      <c r="HZ111" s="1941">
        <f t="shared" si="155"/>
        <v>0</v>
      </c>
      <c r="IA111" s="1941">
        <f t="shared" si="155"/>
        <v>0</v>
      </c>
      <c r="IB111" s="1941">
        <f t="shared" si="155"/>
        <v>0</v>
      </c>
      <c r="IC111" s="1941">
        <f t="shared" si="155"/>
        <v>0</v>
      </c>
      <c r="ID111" s="1943">
        <f t="shared" si="155"/>
        <v>0</v>
      </c>
      <c r="IE111" s="1945">
        <f t="shared" si="155"/>
        <v>0</v>
      </c>
      <c r="IF111" s="1941">
        <f t="shared" si="155"/>
        <v>0</v>
      </c>
      <c r="IG111" s="1941">
        <f t="shared" si="155"/>
        <v>0</v>
      </c>
      <c r="IH111" s="1941">
        <f t="shared" si="155"/>
        <v>0</v>
      </c>
      <c r="II111" s="1941">
        <f t="shared" si="155"/>
        <v>0</v>
      </c>
      <c r="IJ111" s="1941">
        <f t="shared" si="155"/>
        <v>0</v>
      </c>
      <c r="IK111" s="1943">
        <f t="shared" si="155"/>
        <v>0</v>
      </c>
    </row>
    <row r="112" spans="1:245" ht="8.1" hidden="1" customHeight="1" x14ac:dyDescent="0.35">
      <c r="A112" s="195">
        <f>IF(B111=0,0,"XXX")</f>
        <v>0</v>
      </c>
      <c r="B112" s="1960"/>
      <c r="C112" s="452">
        <f>IF(F111=0,0,"COMPARTILHADA COM PAREDES")</f>
        <v>0</v>
      </c>
      <c r="D112" s="360">
        <f>IF(F111=0,0,"término:")</f>
        <v>0</v>
      </c>
      <c r="E112" s="361">
        <f>IF(F111=0,0,IF(D128&lt;D127,0,D151+D147))</f>
        <v>0</v>
      </c>
      <c r="F112" s="1962"/>
      <c r="G112" s="1964"/>
      <c r="H112" s="1946"/>
      <c r="I112" s="1942"/>
      <c r="J112" s="1942"/>
      <c r="K112" s="1942"/>
      <c r="L112" s="1942"/>
      <c r="M112" s="1942"/>
      <c r="N112" s="1944"/>
      <c r="O112" s="1946"/>
      <c r="P112" s="1942"/>
      <c r="Q112" s="1942"/>
      <c r="R112" s="1942"/>
      <c r="S112" s="1942"/>
      <c r="T112" s="1942"/>
      <c r="U112" s="1944"/>
      <c r="V112" s="1946"/>
      <c r="W112" s="1942"/>
      <c r="X112" s="1942"/>
      <c r="Y112" s="1942"/>
      <c r="Z112" s="1942"/>
      <c r="AA112" s="1942"/>
      <c r="AB112" s="1944"/>
      <c r="AC112" s="1946"/>
      <c r="AD112" s="1942"/>
      <c r="AE112" s="1942"/>
      <c r="AF112" s="1942"/>
      <c r="AG112" s="1942"/>
      <c r="AH112" s="1942"/>
      <c r="AI112" s="1944"/>
      <c r="AJ112" s="1946"/>
      <c r="AK112" s="1942"/>
      <c r="AL112" s="1942"/>
      <c r="AM112" s="1942"/>
      <c r="AN112" s="1942"/>
      <c r="AO112" s="1942"/>
      <c r="AP112" s="1944"/>
      <c r="AQ112" s="1946"/>
      <c r="AR112" s="1942"/>
      <c r="AS112" s="1942"/>
      <c r="AT112" s="1942"/>
      <c r="AU112" s="1942"/>
      <c r="AV112" s="1942"/>
      <c r="AW112" s="1944"/>
      <c r="AX112" s="1946"/>
      <c r="AY112" s="1942"/>
      <c r="AZ112" s="1942"/>
      <c r="BA112" s="1942"/>
      <c r="BB112" s="1942"/>
      <c r="BC112" s="1942"/>
      <c r="BD112" s="1944"/>
      <c r="BE112" s="1946"/>
      <c r="BF112" s="1942"/>
      <c r="BG112" s="1942"/>
      <c r="BH112" s="1942"/>
      <c r="BI112" s="1942"/>
      <c r="BJ112" s="1942"/>
      <c r="BK112" s="1944"/>
      <c r="BL112" s="1946"/>
      <c r="BM112" s="1942"/>
      <c r="BN112" s="1942"/>
      <c r="BO112" s="1942"/>
      <c r="BP112" s="1942"/>
      <c r="BQ112" s="1942"/>
      <c r="BR112" s="1944"/>
      <c r="BS112" s="1946"/>
      <c r="BT112" s="1942"/>
      <c r="BU112" s="1942"/>
      <c r="BV112" s="1942"/>
      <c r="BW112" s="1942"/>
      <c r="BX112" s="1942"/>
      <c r="BY112" s="1944"/>
      <c r="BZ112" s="1946"/>
      <c r="CA112" s="1942"/>
      <c r="CB112" s="1942"/>
      <c r="CC112" s="1942"/>
      <c r="CD112" s="1942"/>
      <c r="CE112" s="1942"/>
      <c r="CF112" s="1944"/>
      <c r="CG112" s="1946"/>
      <c r="CH112" s="1942"/>
      <c r="CI112" s="1942"/>
      <c r="CJ112" s="1942"/>
      <c r="CK112" s="1942"/>
      <c r="CL112" s="1942"/>
      <c r="CM112" s="1944"/>
      <c r="CN112" s="1946"/>
      <c r="CO112" s="1942"/>
      <c r="CP112" s="1942"/>
      <c r="CQ112" s="1942"/>
      <c r="CR112" s="1942"/>
      <c r="CS112" s="1942"/>
      <c r="CT112" s="1944"/>
      <c r="CU112" s="1946"/>
      <c r="CV112" s="1942"/>
      <c r="CW112" s="1942"/>
      <c r="CX112" s="1942"/>
      <c r="CY112" s="1942"/>
      <c r="CZ112" s="1942"/>
      <c r="DA112" s="1944"/>
      <c r="DB112" s="1946"/>
      <c r="DC112" s="1942"/>
      <c r="DD112" s="1942"/>
      <c r="DE112" s="1942"/>
      <c r="DF112" s="1942"/>
      <c r="DG112" s="1942"/>
      <c r="DH112" s="1944"/>
      <c r="DI112" s="1946"/>
      <c r="DJ112" s="1942"/>
      <c r="DK112" s="1942"/>
      <c r="DL112" s="1942"/>
      <c r="DM112" s="1942"/>
      <c r="DN112" s="1942"/>
      <c r="DO112" s="1944"/>
      <c r="DP112" s="1946"/>
      <c r="DQ112" s="1942"/>
      <c r="DR112" s="1942"/>
      <c r="DS112" s="1942"/>
      <c r="DT112" s="1942"/>
      <c r="DU112" s="1942"/>
      <c r="DV112" s="1944"/>
      <c r="DW112" s="1946"/>
      <c r="DX112" s="1942"/>
      <c r="DY112" s="1942"/>
      <c r="DZ112" s="1942"/>
      <c r="EA112" s="1942"/>
      <c r="EB112" s="1942"/>
      <c r="EC112" s="1944"/>
      <c r="ED112" s="1946"/>
      <c r="EE112" s="1942"/>
      <c r="EF112" s="1942"/>
      <c r="EG112" s="1942"/>
      <c r="EH112" s="1942"/>
      <c r="EI112" s="1942"/>
      <c r="EJ112" s="1944"/>
      <c r="EK112" s="1946"/>
      <c r="EL112" s="1942"/>
      <c r="EM112" s="1942"/>
      <c r="EN112" s="1942"/>
      <c r="EO112" s="1942"/>
      <c r="EP112" s="1942"/>
      <c r="EQ112" s="1944"/>
      <c r="ER112" s="1946"/>
      <c r="ES112" s="1942"/>
      <c r="ET112" s="1942"/>
      <c r="EU112" s="1942"/>
      <c r="EV112" s="1942"/>
      <c r="EW112" s="1942"/>
      <c r="EX112" s="1944"/>
      <c r="EY112" s="1946"/>
      <c r="EZ112" s="1942"/>
      <c r="FA112" s="1942"/>
      <c r="FB112" s="1942"/>
      <c r="FC112" s="1942"/>
      <c r="FD112" s="1942"/>
      <c r="FE112" s="1944"/>
      <c r="FF112" s="1946"/>
      <c r="FG112" s="1942"/>
      <c r="FH112" s="1942"/>
      <c r="FI112" s="1942"/>
      <c r="FJ112" s="1942"/>
      <c r="FK112" s="1942"/>
      <c r="FL112" s="1944"/>
      <c r="FM112" s="1946"/>
      <c r="FN112" s="1942"/>
      <c r="FO112" s="1942"/>
      <c r="FP112" s="1942"/>
      <c r="FQ112" s="1942"/>
      <c r="FR112" s="1942"/>
      <c r="FS112" s="1944"/>
      <c r="FT112" s="1946"/>
      <c r="FU112" s="1942"/>
      <c r="FV112" s="1942"/>
      <c r="FW112" s="1942"/>
      <c r="FX112" s="1942"/>
      <c r="FY112" s="1942"/>
      <c r="FZ112" s="1944"/>
      <c r="GA112" s="1946"/>
      <c r="GB112" s="1942"/>
      <c r="GC112" s="1942"/>
      <c r="GD112" s="1942"/>
      <c r="GE112" s="1942"/>
      <c r="GF112" s="1942"/>
      <c r="GG112" s="1944"/>
      <c r="GH112" s="1946"/>
      <c r="GI112" s="1942"/>
      <c r="GJ112" s="1942"/>
      <c r="GK112" s="1942"/>
      <c r="GL112" s="1942"/>
      <c r="GM112" s="1942"/>
      <c r="GN112" s="1944"/>
      <c r="GO112" s="1946"/>
      <c r="GP112" s="1942"/>
      <c r="GQ112" s="1942"/>
      <c r="GR112" s="1942"/>
      <c r="GS112" s="1942"/>
      <c r="GT112" s="1942"/>
      <c r="GU112" s="1944"/>
      <c r="GV112" s="1946"/>
      <c r="GW112" s="1942"/>
      <c r="GX112" s="1942"/>
      <c r="GY112" s="1942"/>
      <c r="GZ112" s="1942"/>
      <c r="HA112" s="1942"/>
      <c r="HB112" s="1944"/>
      <c r="HC112" s="1946"/>
      <c r="HD112" s="1942"/>
      <c r="HE112" s="1942"/>
      <c r="HF112" s="1942"/>
      <c r="HG112" s="1942"/>
      <c r="HH112" s="1942"/>
      <c r="HI112" s="1944"/>
      <c r="HJ112" s="1946"/>
      <c r="HK112" s="1942"/>
      <c r="HL112" s="1942"/>
      <c r="HM112" s="1942"/>
      <c r="HN112" s="1942"/>
      <c r="HO112" s="1942"/>
      <c r="HP112" s="1944"/>
      <c r="HQ112" s="1946"/>
      <c r="HR112" s="1942"/>
      <c r="HS112" s="1942"/>
      <c r="HT112" s="1942"/>
      <c r="HU112" s="1942"/>
      <c r="HV112" s="1942"/>
      <c r="HW112" s="1944"/>
      <c r="HX112" s="1946"/>
      <c r="HY112" s="1942"/>
      <c r="HZ112" s="1942"/>
      <c r="IA112" s="1942"/>
      <c r="IB112" s="1942"/>
      <c r="IC112" s="1942"/>
      <c r="ID112" s="1944"/>
      <c r="IE112" s="1946"/>
      <c r="IF112" s="1942"/>
      <c r="IG112" s="1942"/>
      <c r="IH112" s="1942"/>
      <c r="II112" s="1942"/>
      <c r="IJ112" s="1942"/>
      <c r="IK112" s="1944"/>
    </row>
    <row r="113" spans="1:245" ht="8.1" customHeight="1" x14ac:dyDescent="0.35">
      <c r="A113" s="195" t="str">
        <f>IF(B113=0,0,"XXX")</f>
        <v>XXX</v>
      </c>
      <c r="B113" s="1959" t="str">
        <f>IF(D128&lt;D127,0,IF(AND(B109=0,B111=0),"1.2.2",IF(AND(B109&gt;0,B111=0),"1.2.3",IF(B111="1.2.2","1.2.3",IF(B111="1.2.3","1.2.4","1.2.2")))))</f>
        <v>1.2.2</v>
      </c>
      <c r="C113" s="1965" t="str">
        <f>IF(ENTRADAS!$F$22=0,0,"MONTAGEM DAS PAREDES")</f>
        <v>MONTAGEM DAS PAREDES</v>
      </c>
      <c r="D113" s="358" t="str">
        <f>IF(ENTRADAS!$F$22=0,0,"início:")</f>
        <v>início:</v>
      </c>
      <c r="E113" s="359">
        <f ca="1">IF(D128&lt;D127,0,D161)</f>
        <v>45967.237500000003</v>
      </c>
      <c r="F113" s="454">
        <f ca="1">IF(D128&lt;D127,0,D156)</f>
        <v>29</v>
      </c>
      <c r="G113" s="455" t="str">
        <f>IF(ENTRADAS!$F$22=0,0,"dias")</f>
        <v>dias</v>
      </c>
      <c r="H113" s="1939">
        <f ca="1">H156</f>
        <v>0</v>
      </c>
      <c r="I113" s="1940">
        <f t="shared" ref="I113:BT113" ca="1" si="156">I156</f>
        <v>0</v>
      </c>
      <c r="J113" s="1940">
        <f t="shared" ca="1" si="156"/>
        <v>0</v>
      </c>
      <c r="K113" s="1940">
        <f t="shared" ca="1" si="156"/>
        <v>0</v>
      </c>
      <c r="L113" s="1940">
        <f t="shared" ca="1" si="156"/>
        <v>0</v>
      </c>
      <c r="M113" s="1940">
        <f t="shared" ca="1" si="156"/>
        <v>0</v>
      </c>
      <c r="N113" s="1940">
        <f t="shared" ca="1" si="156"/>
        <v>0</v>
      </c>
      <c r="O113" s="1939">
        <f t="shared" ca="1" si="156"/>
        <v>0</v>
      </c>
      <c r="P113" s="1940">
        <f t="shared" ca="1" si="156"/>
        <v>0</v>
      </c>
      <c r="Q113" s="1940">
        <f t="shared" ca="1" si="156"/>
        <v>0</v>
      </c>
      <c r="R113" s="1940">
        <f t="shared" ca="1" si="156"/>
        <v>0</v>
      </c>
      <c r="S113" s="1940">
        <f t="shared" ca="1" si="156"/>
        <v>0</v>
      </c>
      <c r="T113" s="1940">
        <f t="shared" ca="1" si="156"/>
        <v>0</v>
      </c>
      <c r="U113" s="1940">
        <f t="shared" ca="1" si="156"/>
        <v>0</v>
      </c>
      <c r="V113" s="1939">
        <f t="shared" ca="1" si="156"/>
        <v>0</v>
      </c>
      <c r="W113" s="1940">
        <f t="shared" ca="1" si="156"/>
        <v>0</v>
      </c>
      <c r="X113" s="1940">
        <f t="shared" ca="1" si="156"/>
        <v>0</v>
      </c>
      <c r="Y113" s="1940">
        <f t="shared" ca="1" si="156"/>
        <v>0</v>
      </c>
      <c r="Z113" s="1940">
        <f t="shared" ca="1" si="156"/>
        <v>0</v>
      </c>
      <c r="AA113" s="1940">
        <f t="shared" ca="1" si="156"/>
        <v>0</v>
      </c>
      <c r="AB113" s="1940">
        <f t="shared" ca="1" si="156"/>
        <v>0</v>
      </c>
      <c r="AC113" s="1939">
        <f t="shared" ca="1" si="156"/>
        <v>0</v>
      </c>
      <c r="AD113" s="1940">
        <f t="shared" ca="1" si="156"/>
        <v>0</v>
      </c>
      <c r="AE113" s="1940">
        <f t="shared" ca="1" si="156"/>
        <v>0</v>
      </c>
      <c r="AF113" s="1940">
        <f t="shared" ca="1" si="156"/>
        <v>0</v>
      </c>
      <c r="AG113" s="1940">
        <f t="shared" ca="1" si="156"/>
        <v>0</v>
      </c>
      <c r="AH113" s="1940">
        <f t="shared" ca="1" si="156"/>
        <v>0</v>
      </c>
      <c r="AI113" s="1940">
        <f t="shared" ca="1" si="156"/>
        <v>0</v>
      </c>
      <c r="AJ113" s="1939">
        <f t="shared" ca="1" si="156"/>
        <v>0</v>
      </c>
      <c r="AK113" s="1940">
        <f t="shared" ca="1" si="156"/>
        <v>0</v>
      </c>
      <c r="AL113" s="1940">
        <f t="shared" ca="1" si="156"/>
        <v>0</v>
      </c>
      <c r="AM113" s="1940">
        <f t="shared" ca="1" si="156"/>
        <v>0</v>
      </c>
      <c r="AN113" s="1940">
        <f t="shared" ca="1" si="156"/>
        <v>0</v>
      </c>
      <c r="AO113" s="1940">
        <f t="shared" ca="1" si="156"/>
        <v>0</v>
      </c>
      <c r="AP113" s="1940">
        <f t="shared" ca="1" si="156"/>
        <v>0</v>
      </c>
      <c r="AQ113" s="1939">
        <f t="shared" ca="1" si="156"/>
        <v>0</v>
      </c>
      <c r="AR113" s="1940">
        <f t="shared" ca="1" si="156"/>
        <v>0</v>
      </c>
      <c r="AS113" s="1940">
        <f t="shared" ca="1" si="156"/>
        <v>0</v>
      </c>
      <c r="AT113" s="1940">
        <f t="shared" ca="1" si="156"/>
        <v>0</v>
      </c>
      <c r="AU113" s="1940">
        <f t="shared" ca="1" si="156"/>
        <v>0</v>
      </c>
      <c r="AV113" s="1940">
        <f t="shared" ca="1" si="156"/>
        <v>0</v>
      </c>
      <c r="AW113" s="1940">
        <f t="shared" ca="1" si="156"/>
        <v>0</v>
      </c>
      <c r="AX113" s="1939">
        <f t="shared" ca="1" si="156"/>
        <v>0</v>
      </c>
      <c r="AY113" s="1940">
        <f t="shared" ca="1" si="156"/>
        <v>0</v>
      </c>
      <c r="AZ113" s="1940">
        <f t="shared" ca="1" si="156"/>
        <v>0</v>
      </c>
      <c r="BA113" s="1940">
        <f ca="1">BA156</f>
        <v>0</v>
      </c>
      <c r="BB113" s="1940">
        <f t="shared" ca="1" si="156"/>
        <v>0</v>
      </c>
      <c r="BC113" s="1940">
        <f t="shared" ca="1" si="156"/>
        <v>0</v>
      </c>
      <c r="BD113" s="1940">
        <f t="shared" ca="1" si="156"/>
        <v>0</v>
      </c>
      <c r="BE113" s="1939">
        <f t="shared" ca="1" si="156"/>
        <v>0</v>
      </c>
      <c r="BF113" s="1940">
        <f t="shared" ca="1" si="156"/>
        <v>0</v>
      </c>
      <c r="BG113" s="1940">
        <f t="shared" ca="1" si="156"/>
        <v>0</v>
      </c>
      <c r="BH113" s="1940">
        <f t="shared" ca="1" si="156"/>
        <v>0</v>
      </c>
      <c r="BI113" s="1940">
        <f t="shared" ca="1" si="156"/>
        <v>0</v>
      </c>
      <c r="BJ113" s="1940">
        <f t="shared" ca="1" si="156"/>
        <v>10</v>
      </c>
      <c r="BK113" s="1940">
        <f t="shared" ca="1" si="156"/>
        <v>10</v>
      </c>
      <c r="BL113" s="1939">
        <f t="shared" ca="1" si="156"/>
        <v>10</v>
      </c>
      <c r="BM113" s="1940">
        <f t="shared" ca="1" si="156"/>
        <v>10</v>
      </c>
      <c r="BN113" s="1940">
        <f t="shared" ca="1" si="156"/>
        <v>10</v>
      </c>
      <c r="BO113" s="1940">
        <f t="shared" ca="1" si="156"/>
        <v>10</v>
      </c>
      <c r="BP113" s="1940">
        <f t="shared" ca="1" si="156"/>
        <v>10</v>
      </c>
      <c r="BQ113" s="1940">
        <f t="shared" ca="1" si="156"/>
        <v>10</v>
      </c>
      <c r="BR113" s="1940">
        <f t="shared" ca="1" si="156"/>
        <v>10</v>
      </c>
      <c r="BS113" s="1939">
        <f t="shared" ca="1" si="156"/>
        <v>10</v>
      </c>
      <c r="BT113" s="1940">
        <f t="shared" ca="1" si="156"/>
        <v>10</v>
      </c>
      <c r="BU113" s="1940">
        <f t="shared" ref="BU113:EF113" ca="1" si="157">BU156</f>
        <v>10</v>
      </c>
      <c r="BV113" s="1940">
        <f t="shared" ca="1" si="157"/>
        <v>10</v>
      </c>
      <c r="BW113" s="1940">
        <f t="shared" ca="1" si="157"/>
        <v>10</v>
      </c>
      <c r="BX113" s="1940">
        <f t="shared" ca="1" si="157"/>
        <v>10</v>
      </c>
      <c r="BY113" s="1940">
        <f t="shared" ca="1" si="157"/>
        <v>10</v>
      </c>
      <c r="BZ113" s="1939">
        <f t="shared" ca="1" si="157"/>
        <v>10</v>
      </c>
      <c r="CA113" s="1940">
        <f t="shared" ca="1" si="157"/>
        <v>10</v>
      </c>
      <c r="CB113" s="1940">
        <f t="shared" ca="1" si="157"/>
        <v>10</v>
      </c>
      <c r="CC113" s="1940">
        <f t="shared" ca="1" si="157"/>
        <v>10</v>
      </c>
      <c r="CD113" s="1940">
        <f t="shared" ca="1" si="157"/>
        <v>10</v>
      </c>
      <c r="CE113" s="1940">
        <f t="shared" ca="1" si="157"/>
        <v>10</v>
      </c>
      <c r="CF113" s="1940">
        <f t="shared" ca="1" si="157"/>
        <v>10</v>
      </c>
      <c r="CG113" s="1939">
        <f t="shared" ca="1" si="157"/>
        <v>10</v>
      </c>
      <c r="CH113" s="1940">
        <f t="shared" ca="1" si="157"/>
        <v>10</v>
      </c>
      <c r="CI113" s="1940">
        <f t="shared" ca="1" si="157"/>
        <v>10</v>
      </c>
      <c r="CJ113" s="1940">
        <f t="shared" ca="1" si="157"/>
        <v>10</v>
      </c>
      <c r="CK113" s="1940">
        <f t="shared" ca="1" si="157"/>
        <v>10</v>
      </c>
      <c r="CL113" s="1940">
        <f t="shared" ca="1" si="157"/>
        <v>10</v>
      </c>
      <c r="CM113" s="1940">
        <f t="shared" ca="1" si="157"/>
        <v>0</v>
      </c>
      <c r="CN113" s="1939">
        <f t="shared" ca="1" si="157"/>
        <v>0</v>
      </c>
      <c r="CO113" s="1940">
        <f t="shared" ca="1" si="157"/>
        <v>0</v>
      </c>
      <c r="CP113" s="1940">
        <f ca="1">CP156</f>
        <v>0</v>
      </c>
      <c r="CQ113" s="1940">
        <f t="shared" ca="1" si="157"/>
        <v>0</v>
      </c>
      <c r="CR113" s="1940">
        <f t="shared" ca="1" si="157"/>
        <v>0</v>
      </c>
      <c r="CS113" s="1940">
        <f t="shared" ca="1" si="157"/>
        <v>0</v>
      </c>
      <c r="CT113" s="1940">
        <f t="shared" ca="1" si="157"/>
        <v>0</v>
      </c>
      <c r="CU113" s="1939">
        <f t="shared" ca="1" si="157"/>
        <v>0</v>
      </c>
      <c r="CV113" s="1940">
        <f t="shared" ca="1" si="157"/>
        <v>0</v>
      </c>
      <c r="CW113" s="1940">
        <f t="shared" ca="1" si="157"/>
        <v>0</v>
      </c>
      <c r="CX113" s="1940">
        <f t="shared" ca="1" si="157"/>
        <v>0</v>
      </c>
      <c r="CY113" s="1940">
        <f t="shared" ca="1" si="157"/>
        <v>0</v>
      </c>
      <c r="CZ113" s="1940">
        <f t="shared" ca="1" si="157"/>
        <v>0</v>
      </c>
      <c r="DA113" s="1940">
        <f t="shared" ca="1" si="157"/>
        <v>0</v>
      </c>
      <c r="DB113" s="1939">
        <f t="shared" ca="1" si="157"/>
        <v>0</v>
      </c>
      <c r="DC113" s="1940">
        <f t="shared" ca="1" si="157"/>
        <v>0</v>
      </c>
      <c r="DD113" s="1940">
        <f t="shared" ca="1" si="157"/>
        <v>0</v>
      </c>
      <c r="DE113" s="1940">
        <f t="shared" ca="1" si="157"/>
        <v>0</v>
      </c>
      <c r="DF113" s="1940">
        <f t="shared" ca="1" si="157"/>
        <v>0</v>
      </c>
      <c r="DG113" s="1940">
        <f t="shared" ca="1" si="157"/>
        <v>0</v>
      </c>
      <c r="DH113" s="1940">
        <f t="shared" ca="1" si="157"/>
        <v>0</v>
      </c>
      <c r="DI113" s="1939">
        <f t="shared" ca="1" si="157"/>
        <v>0</v>
      </c>
      <c r="DJ113" s="1940">
        <f t="shared" ca="1" si="157"/>
        <v>0</v>
      </c>
      <c r="DK113" s="1940">
        <f t="shared" ca="1" si="157"/>
        <v>0</v>
      </c>
      <c r="DL113" s="1940">
        <f t="shared" ca="1" si="157"/>
        <v>0</v>
      </c>
      <c r="DM113" s="1940">
        <f t="shared" ca="1" si="157"/>
        <v>0</v>
      </c>
      <c r="DN113" s="1940">
        <f t="shared" ca="1" si="157"/>
        <v>0</v>
      </c>
      <c r="DO113" s="1940">
        <f t="shared" ca="1" si="157"/>
        <v>0</v>
      </c>
      <c r="DP113" s="1939">
        <f t="shared" ca="1" si="157"/>
        <v>0</v>
      </c>
      <c r="DQ113" s="1940">
        <f t="shared" ca="1" si="157"/>
        <v>0</v>
      </c>
      <c r="DR113" s="1940">
        <f t="shared" ca="1" si="157"/>
        <v>0</v>
      </c>
      <c r="DS113" s="1940">
        <f t="shared" ca="1" si="157"/>
        <v>0</v>
      </c>
      <c r="DT113" s="1940">
        <f t="shared" ca="1" si="157"/>
        <v>0</v>
      </c>
      <c r="DU113" s="1940">
        <f t="shared" ca="1" si="157"/>
        <v>0</v>
      </c>
      <c r="DV113" s="1940">
        <f t="shared" ca="1" si="157"/>
        <v>0</v>
      </c>
      <c r="DW113" s="1939">
        <f t="shared" ca="1" si="157"/>
        <v>0</v>
      </c>
      <c r="DX113" s="1940">
        <f t="shared" ca="1" si="157"/>
        <v>0</v>
      </c>
      <c r="DY113" s="1940">
        <f t="shared" ca="1" si="157"/>
        <v>0</v>
      </c>
      <c r="DZ113" s="1940">
        <f t="shared" ca="1" si="157"/>
        <v>0</v>
      </c>
      <c r="EA113" s="1940">
        <f t="shared" ca="1" si="157"/>
        <v>0</v>
      </c>
      <c r="EB113" s="1940">
        <f t="shared" ca="1" si="157"/>
        <v>0</v>
      </c>
      <c r="EC113" s="1940">
        <f t="shared" ca="1" si="157"/>
        <v>0</v>
      </c>
      <c r="ED113" s="1939">
        <f t="shared" ca="1" si="157"/>
        <v>0</v>
      </c>
      <c r="EE113" s="1940">
        <f t="shared" ca="1" si="157"/>
        <v>0</v>
      </c>
      <c r="EF113" s="1940">
        <f t="shared" ca="1" si="157"/>
        <v>0</v>
      </c>
      <c r="EG113" s="1940">
        <f t="shared" ref="EG113:GR113" ca="1" si="158">EG156</f>
        <v>0</v>
      </c>
      <c r="EH113" s="1940">
        <f t="shared" ca="1" si="158"/>
        <v>0</v>
      </c>
      <c r="EI113" s="1940">
        <f t="shared" ca="1" si="158"/>
        <v>0</v>
      </c>
      <c r="EJ113" s="1940">
        <f t="shared" ca="1" si="158"/>
        <v>0</v>
      </c>
      <c r="EK113" s="1939">
        <f t="shared" ca="1" si="158"/>
        <v>0</v>
      </c>
      <c r="EL113" s="1940">
        <f t="shared" ca="1" si="158"/>
        <v>0</v>
      </c>
      <c r="EM113" s="1940">
        <f t="shared" ca="1" si="158"/>
        <v>0</v>
      </c>
      <c r="EN113" s="1940">
        <f t="shared" ca="1" si="158"/>
        <v>0</v>
      </c>
      <c r="EO113" s="1940">
        <f t="shared" ca="1" si="158"/>
        <v>0</v>
      </c>
      <c r="EP113" s="1940">
        <f t="shared" ca="1" si="158"/>
        <v>0</v>
      </c>
      <c r="EQ113" s="1940">
        <f t="shared" ca="1" si="158"/>
        <v>0</v>
      </c>
      <c r="ER113" s="1939">
        <f t="shared" ca="1" si="158"/>
        <v>0</v>
      </c>
      <c r="ES113" s="1940">
        <f t="shared" ca="1" si="158"/>
        <v>0</v>
      </c>
      <c r="ET113" s="1940">
        <f t="shared" ca="1" si="158"/>
        <v>0</v>
      </c>
      <c r="EU113" s="1940">
        <f t="shared" ca="1" si="158"/>
        <v>0</v>
      </c>
      <c r="EV113" s="1940">
        <f t="shared" ca="1" si="158"/>
        <v>0</v>
      </c>
      <c r="EW113" s="1940">
        <f t="shared" ca="1" si="158"/>
        <v>0</v>
      </c>
      <c r="EX113" s="1940">
        <f t="shared" ca="1" si="158"/>
        <v>0</v>
      </c>
      <c r="EY113" s="1939">
        <f t="shared" ca="1" si="158"/>
        <v>0</v>
      </c>
      <c r="EZ113" s="1940">
        <f t="shared" ca="1" si="158"/>
        <v>0</v>
      </c>
      <c r="FA113" s="1940">
        <f t="shared" ca="1" si="158"/>
        <v>0</v>
      </c>
      <c r="FB113" s="1940">
        <f t="shared" ca="1" si="158"/>
        <v>0</v>
      </c>
      <c r="FC113" s="1940">
        <f t="shared" ca="1" si="158"/>
        <v>0</v>
      </c>
      <c r="FD113" s="1940">
        <f t="shared" ca="1" si="158"/>
        <v>0</v>
      </c>
      <c r="FE113" s="1940">
        <f t="shared" ca="1" si="158"/>
        <v>0</v>
      </c>
      <c r="FF113" s="1939">
        <f t="shared" ca="1" si="158"/>
        <v>0</v>
      </c>
      <c r="FG113" s="1940">
        <f t="shared" ca="1" si="158"/>
        <v>0</v>
      </c>
      <c r="FH113" s="1940">
        <f t="shared" ca="1" si="158"/>
        <v>0</v>
      </c>
      <c r="FI113" s="1940">
        <f t="shared" ca="1" si="158"/>
        <v>0</v>
      </c>
      <c r="FJ113" s="1940">
        <f t="shared" ca="1" si="158"/>
        <v>0</v>
      </c>
      <c r="FK113" s="1940">
        <f t="shared" ca="1" si="158"/>
        <v>0</v>
      </c>
      <c r="FL113" s="1940">
        <f t="shared" ca="1" si="158"/>
        <v>0</v>
      </c>
      <c r="FM113" s="1939">
        <f t="shared" ca="1" si="158"/>
        <v>0</v>
      </c>
      <c r="FN113" s="1940">
        <f t="shared" ca="1" si="158"/>
        <v>0</v>
      </c>
      <c r="FO113" s="1940">
        <f t="shared" ca="1" si="158"/>
        <v>0</v>
      </c>
      <c r="FP113" s="1940">
        <f t="shared" ca="1" si="158"/>
        <v>0</v>
      </c>
      <c r="FQ113" s="1940">
        <f t="shared" ca="1" si="158"/>
        <v>0</v>
      </c>
      <c r="FR113" s="1940">
        <f t="shared" ca="1" si="158"/>
        <v>0</v>
      </c>
      <c r="FS113" s="1940">
        <f t="shared" ca="1" si="158"/>
        <v>0</v>
      </c>
      <c r="FT113" s="1939">
        <f t="shared" ca="1" si="158"/>
        <v>0</v>
      </c>
      <c r="FU113" s="1940">
        <f t="shared" ca="1" si="158"/>
        <v>0</v>
      </c>
      <c r="FV113" s="1940">
        <f t="shared" ca="1" si="158"/>
        <v>0</v>
      </c>
      <c r="FW113" s="1940">
        <f t="shared" ca="1" si="158"/>
        <v>0</v>
      </c>
      <c r="FX113" s="1940">
        <f t="shared" ca="1" si="158"/>
        <v>0</v>
      </c>
      <c r="FY113" s="1940">
        <f t="shared" ca="1" si="158"/>
        <v>0</v>
      </c>
      <c r="FZ113" s="1940">
        <f t="shared" ca="1" si="158"/>
        <v>0</v>
      </c>
      <c r="GA113" s="1939">
        <f t="shared" ca="1" si="158"/>
        <v>0</v>
      </c>
      <c r="GB113" s="1940">
        <f t="shared" ca="1" si="158"/>
        <v>0</v>
      </c>
      <c r="GC113" s="1940">
        <f t="shared" ca="1" si="158"/>
        <v>0</v>
      </c>
      <c r="GD113" s="1940">
        <f t="shared" ca="1" si="158"/>
        <v>0</v>
      </c>
      <c r="GE113" s="1940">
        <f t="shared" ca="1" si="158"/>
        <v>0</v>
      </c>
      <c r="GF113" s="1940">
        <f t="shared" ca="1" si="158"/>
        <v>0</v>
      </c>
      <c r="GG113" s="1940">
        <f t="shared" ca="1" si="158"/>
        <v>0</v>
      </c>
      <c r="GH113" s="1939">
        <f t="shared" ca="1" si="158"/>
        <v>0</v>
      </c>
      <c r="GI113" s="1940">
        <f t="shared" ca="1" si="158"/>
        <v>0</v>
      </c>
      <c r="GJ113" s="1940">
        <f t="shared" ca="1" si="158"/>
        <v>0</v>
      </c>
      <c r="GK113" s="1940">
        <f t="shared" ca="1" si="158"/>
        <v>0</v>
      </c>
      <c r="GL113" s="1940">
        <f t="shared" ca="1" si="158"/>
        <v>0</v>
      </c>
      <c r="GM113" s="1940">
        <f t="shared" ca="1" si="158"/>
        <v>0</v>
      </c>
      <c r="GN113" s="1940">
        <f t="shared" ca="1" si="158"/>
        <v>0</v>
      </c>
      <c r="GO113" s="1939">
        <f t="shared" ca="1" si="158"/>
        <v>0</v>
      </c>
      <c r="GP113" s="1940">
        <f t="shared" ca="1" si="158"/>
        <v>0</v>
      </c>
      <c r="GQ113" s="1940">
        <f t="shared" ca="1" si="158"/>
        <v>0</v>
      </c>
      <c r="GR113" s="1940">
        <f t="shared" ca="1" si="158"/>
        <v>0</v>
      </c>
      <c r="GS113" s="1940">
        <f t="shared" ref="GS113:IK113" ca="1" si="159">GS156</f>
        <v>0</v>
      </c>
      <c r="GT113" s="1940">
        <f t="shared" ca="1" si="159"/>
        <v>0</v>
      </c>
      <c r="GU113" s="1940">
        <f t="shared" ca="1" si="159"/>
        <v>0</v>
      </c>
      <c r="GV113" s="1939">
        <f t="shared" ca="1" si="159"/>
        <v>0</v>
      </c>
      <c r="GW113" s="1940">
        <f t="shared" ca="1" si="159"/>
        <v>0</v>
      </c>
      <c r="GX113" s="1940">
        <f t="shared" ca="1" si="159"/>
        <v>0</v>
      </c>
      <c r="GY113" s="1940">
        <f t="shared" ca="1" si="159"/>
        <v>0</v>
      </c>
      <c r="GZ113" s="1940">
        <f t="shared" ca="1" si="159"/>
        <v>0</v>
      </c>
      <c r="HA113" s="1940">
        <f t="shared" ca="1" si="159"/>
        <v>0</v>
      </c>
      <c r="HB113" s="1940">
        <f t="shared" ca="1" si="159"/>
        <v>0</v>
      </c>
      <c r="HC113" s="1939">
        <f t="shared" ca="1" si="159"/>
        <v>0</v>
      </c>
      <c r="HD113" s="1940">
        <f t="shared" ca="1" si="159"/>
        <v>0</v>
      </c>
      <c r="HE113" s="1940">
        <f t="shared" ca="1" si="159"/>
        <v>0</v>
      </c>
      <c r="HF113" s="1940">
        <f t="shared" ca="1" si="159"/>
        <v>0</v>
      </c>
      <c r="HG113" s="1940">
        <f t="shared" ca="1" si="159"/>
        <v>0</v>
      </c>
      <c r="HH113" s="1940">
        <f t="shared" ca="1" si="159"/>
        <v>0</v>
      </c>
      <c r="HI113" s="1940">
        <f t="shared" ca="1" si="159"/>
        <v>0</v>
      </c>
      <c r="HJ113" s="1939">
        <f t="shared" ca="1" si="159"/>
        <v>0</v>
      </c>
      <c r="HK113" s="1940">
        <f t="shared" ca="1" si="159"/>
        <v>0</v>
      </c>
      <c r="HL113" s="1940">
        <f t="shared" ca="1" si="159"/>
        <v>0</v>
      </c>
      <c r="HM113" s="1940">
        <f t="shared" ca="1" si="159"/>
        <v>0</v>
      </c>
      <c r="HN113" s="1940">
        <f t="shared" ca="1" si="159"/>
        <v>0</v>
      </c>
      <c r="HO113" s="1940">
        <f t="shared" ca="1" si="159"/>
        <v>0</v>
      </c>
      <c r="HP113" s="1940">
        <f t="shared" ca="1" si="159"/>
        <v>0</v>
      </c>
      <c r="HQ113" s="1939">
        <f t="shared" ca="1" si="159"/>
        <v>0</v>
      </c>
      <c r="HR113" s="1940">
        <f t="shared" ca="1" si="159"/>
        <v>0</v>
      </c>
      <c r="HS113" s="1940">
        <f t="shared" ca="1" si="159"/>
        <v>0</v>
      </c>
      <c r="HT113" s="1940">
        <f t="shared" ca="1" si="159"/>
        <v>0</v>
      </c>
      <c r="HU113" s="1940">
        <f t="shared" ca="1" si="159"/>
        <v>0</v>
      </c>
      <c r="HV113" s="1940">
        <f t="shared" ca="1" si="159"/>
        <v>0</v>
      </c>
      <c r="HW113" s="1940">
        <f t="shared" ca="1" si="159"/>
        <v>0</v>
      </c>
      <c r="HX113" s="1939">
        <f t="shared" ca="1" si="159"/>
        <v>0</v>
      </c>
      <c r="HY113" s="1940">
        <f t="shared" ca="1" si="159"/>
        <v>0</v>
      </c>
      <c r="HZ113" s="1940">
        <f t="shared" ca="1" si="159"/>
        <v>0</v>
      </c>
      <c r="IA113" s="1940">
        <f t="shared" ca="1" si="159"/>
        <v>0</v>
      </c>
      <c r="IB113" s="1940">
        <f t="shared" ca="1" si="159"/>
        <v>0</v>
      </c>
      <c r="IC113" s="1940">
        <f t="shared" ca="1" si="159"/>
        <v>0</v>
      </c>
      <c r="ID113" s="1940">
        <f t="shared" ca="1" si="159"/>
        <v>0</v>
      </c>
      <c r="IE113" s="1939">
        <f t="shared" ca="1" si="159"/>
        <v>0</v>
      </c>
      <c r="IF113" s="1940">
        <f t="shared" ca="1" si="159"/>
        <v>0</v>
      </c>
      <c r="IG113" s="1940">
        <f t="shared" ca="1" si="159"/>
        <v>0</v>
      </c>
      <c r="IH113" s="1940">
        <f t="shared" ca="1" si="159"/>
        <v>0</v>
      </c>
      <c r="II113" s="1940">
        <f t="shared" ca="1" si="159"/>
        <v>0</v>
      </c>
      <c r="IJ113" s="1940">
        <f t="shared" ca="1" si="159"/>
        <v>0</v>
      </c>
      <c r="IK113" s="1938">
        <f t="shared" ca="1" si="159"/>
        <v>0</v>
      </c>
    </row>
    <row r="114" spans="1:245" ht="8.1" customHeight="1" x14ac:dyDescent="0.35">
      <c r="A114" s="195" t="str">
        <f>IF(B113=0,0,"XXX")</f>
        <v>XXX</v>
      </c>
      <c r="B114" s="1960"/>
      <c r="C114" s="1966"/>
      <c r="D114" s="360" t="str">
        <f>IF(ENTRADAS!$F$22=0,0,"término:")</f>
        <v>término:</v>
      </c>
      <c r="E114" s="361">
        <f ca="1">IF(D128&lt;D127,0,D162)</f>
        <v>45995.237500000003</v>
      </c>
      <c r="F114" s="1913"/>
      <c r="G114" s="1914"/>
      <c r="H114" s="1939"/>
      <c r="I114" s="1940"/>
      <c r="J114" s="1940"/>
      <c r="K114" s="1940"/>
      <c r="L114" s="1940"/>
      <c r="M114" s="1940"/>
      <c r="N114" s="1940"/>
      <c r="O114" s="1939"/>
      <c r="P114" s="1940"/>
      <c r="Q114" s="1940"/>
      <c r="R114" s="1940"/>
      <c r="S114" s="1940"/>
      <c r="T114" s="1940"/>
      <c r="U114" s="1940"/>
      <c r="V114" s="1939"/>
      <c r="W114" s="1940"/>
      <c r="X114" s="1940"/>
      <c r="Y114" s="1940"/>
      <c r="Z114" s="1940"/>
      <c r="AA114" s="1940"/>
      <c r="AB114" s="1940"/>
      <c r="AC114" s="1939"/>
      <c r="AD114" s="1940"/>
      <c r="AE114" s="1940"/>
      <c r="AF114" s="1940"/>
      <c r="AG114" s="1940"/>
      <c r="AH114" s="1940"/>
      <c r="AI114" s="1940"/>
      <c r="AJ114" s="1939"/>
      <c r="AK114" s="1940"/>
      <c r="AL114" s="1940"/>
      <c r="AM114" s="1940"/>
      <c r="AN114" s="1940"/>
      <c r="AO114" s="1940"/>
      <c r="AP114" s="1940"/>
      <c r="AQ114" s="1939"/>
      <c r="AR114" s="1940"/>
      <c r="AS114" s="1940"/>
      <c r="AT114" s="1940"/>
      <c r="AU114" s="1940"/>
      <c r="AV114" s="1940"/>
      <c r="AW114" s="1940"/>
      <c r="AX114" s="1939"/>
      <c r="AY114" s="1940"/>
      <c r="AZ114" s="1940"/>
      <c r="BA114" s="1940"/>
      <c r="BB114" s="1940"/>
      <c r="BC114" s="1940"/>
      <c r="BD114" s="1940"/>
      <c r="BE114" s="1939"/>
      <c r="BF114" s="1940"/>
      <c r="BG114" s="1940"/>
      <c r="BH114" s="1940"/>
      <c r="BI114" s="1940"/>
      <c r="BJ114" s="1940"/>
      <c r="BK114" s="1940"/>
      <c r="BL114" s="1939"/>
      <c r="BM114" s="1940"/>
      <c r="BN114" s="1940"/>
      <c r="BO114" s="1940"/>
      <c r="BP114" s="1940"/>
      <c r="BQ114" s="1940"/>
      <c r="BR114" s="1940"/>
      <c r="BS114" s="1939"/>
      <c r="BT114" s="1940"/>
      <c r="BU114" s="1940"/>
      <c r="BV114" s="1940"/>
      <c r="BW114" s="1940"/>
      <c r="BX114" s="1940"/>
      <c r="BY114" s="1940"/>
      <c r="BZ114" s="1939"/>
      <c r="CA114" s="1940"/>
      <c r="CB114" s="1940"/>
      <c r="CC114" s="1940"/>
      <c r="CD114" s="1940"/>
      <c r="CE114" s="1940"/>
      <c r="CF114" s="1940"/>
      <c r="CG114" s="1939"/>
      <c r="CH114" s="1940"/>
      <c r="CI114" s="1940"/>
      <c r="CJ114" s="1940"/>
      <c r="CK114" s="1940"/>
      <c r="CL114" s="1940"/>
      <c r="CM114" s="1940"/>
      <c r="CN114" s="1939"/>
      <c r="CO114" s="1940"/>
      <c r="CP114" s="1940"/>
      <c r="CQ114" s="1940"/>
      <c r="CR114" s="1940"/>
      <c r="CS114" s="1940"/>
      <c r="CT114" s="1940"/>
      <c r="CU114" s="1939"/>
      <c r="CV114" s="1940"/>
      <c r="CW114" s="1940"/>
      <c r="CX114" s="1940"/>
      <c r="CY114" s="1940"/>
      <c r="CZ114" s="1940"/>
      <c r="DA114" s="1940"/>
      <c r="DB114" s="1939"/>
      <c r="DC114" s="1940"/>
      <c r="DD114" s="1940"/>
      <c r="DE114" s="1940"/>
      <c r="DF114" s="1940"/>
      <c r="DG114" s="1940"/>
      <c r="DH114" s="1940"/>
      <c r="DI114" s="1939"/>
      <c r="DJ114" s="1940"/>
      <c r="DK114" s="1940"/>
      <c r="DL114" s="1940"/>
      <c r="DM114" s="1940"/>
      <c r="DN114" s="1940"/>
      <c r="DO114" s="1940"/>
      <c r="DP114" s="1939"/>
      <c r="DQ114" s="1940"/>
      <c r="DR114" s="1940"/>
      <c r="DS114" s="1940"/>
      <c r="DT114" s="1940"/>
      <c r="DU114" s="1940"/>
      <c r="DV114" s="1940"/>
      <c r="DW114" s="1939"/>
      <c r="DX114" s="1940"/>
      <c r="DY114" s="1940"/>
      <c r="DZ114" s="1940"/>
      <c r="EA114" s="1940"/>
      <c r="EB114" s="1940"/>
      <c r="EC114" s="1940"/>
      <c r="ED114" s="1939"/>
      <c r="EE114" s="1940"/>
      <c r="EF114" s="1940"/>
      <c r="EG114" s="1940"/>
      <c r="EH114" s="1940"/>
      <c r="EI114" s="1940"/>
      <c r="EJ114" s="1940"/>
      <c r="EK114" s="1939"/>
      <c r="EL114" s="1940"/>
      <c r="EM114" s="1940"/>
      <c r="EN114" s="1940"/>
      <c r="EO114" s="1940"/>
      <c r="EP114" s="1940"/>
      <c r="EQ114" s="1940"/>
      <c r="ER114" s="1939"/>
      <c r="ES114" s="1940"/>
      <c r="ET114" s="1940"/>
      <c r="EU114" s="1940"/>
      <c r="EV114" s="1940"/>
      <c r="EW114" s="1940"/>
      <c r="EX114" s="1940"/>
      <c r="EY114" s="1939"/>
      <c r="EZ114" s="1940"/>
      <c r="FA114" s="1940"/>
      <c r="FB114" s="1940"/>
      <c r="FC114" s="1940"/>
      <c r="FD114" s="1940"/>
      <c r="FE114" s="1940"/>
      <c r="FF114" s="1939"/>
      <c r="FG114" s="1940"/>
      <c r="FH114" s="1940"/>
      <c r="FI114" s="1940"/>
      <c r="FJ114" s="1940"/>
      <c r="FK114" s="1940"/>
      <c r="FL114" s="1940"/>
      <c r="FM114" s="1939"/>
      <c r="FN114" s="1940"/>
      <c r="FO114" s="1940"/>
      <c r="FP114" s="1940"/>
      <c r="FQ114" s="1940"/>
      <c r="FR114" s="1940"/>
      <c r="FS114" s="1940"/>
      <c r="FT114" s="1939"/>
      <c r="FU114" s="1940"/>
      <c r="FV114" s="1940"/>
      <c r="FW114" s="1940"/>
      <c r="FX114" s="1940"/>
      <c r="FY114" s="1940"/>
      <c r="FZ114" s="1940"/>
      <c r="GA114" s="1939"/>
      <c r="GB114" s="1940"/>
      <c r="GC114" s="1940"/>
      <c r="GD114" s="1940"/>
      <c r="GE114" s="1940"/>
      <c r="GF114" s="1940"/>
      <c r="GG114" s="1940"/>
      <c r="GH114" s="1939"/>
      <c r="GI114" s="1940"/>
      <c r="GJ114" s="1940"/>
      <c r="GK114" s="1940"/>
      <c r="GL114" s="1940"/>
      <c r="GM114" s="1940"/>
      <c r="GN114" s="1940"/>
      <c r="GO114" s="1939"/>
      <c r="GP114" s="1940"/>
      <c r="GQ114" s="1940"/>
      <c r="GR114" s="1940"/>
      <c r="GS114" s="1940"/>
      <c r="GT114" s="1940"/>
      <c r="GU114" s="1940"/>
      <c r="GV114" s="1939"/>
      <c r="GW114" s="1940"/>
      <c r="GX114" s="1940"/>
      <c r="GY114" s="1940"/>
      <c r="GZ114" s="1940"/>
      <c r="HA114" s="1940"/>
      <c r="HB114" s="1940"/>
      <c r="HC114" s="1939"/>
      <c r="HD114" s="1940"/>
      <c r="HE114" s="1940"/>
      <c r="HF114" s="1940"/>
      <c r="HG114" s="1940"/>
      <c r="HH114" s="1940"/>
      <c r="HI114" s="1940"/>
      <c r="HJ114" s="1939"/>
      <c r="HK114" s="1940"/>
      <c r="HL114" s="1940"/>
      <c r="HM114" s="1940"/>
      <c r="HN114" s="1940"/>
      <c r="HO114" s="1940"/>
      <c r="HP114" s="1940"/>
      <c r="HQ114" s="1939"/>
      <c r="HR114" s="1940"/>
      <c r="HS114" s="1940"/>
      <c r="HT114" s="1940"/>
      <c r="HU114" s="1940"/>
      <c r="HV114" s="1940"/>
      <c r="HW114" s="1940"/>
      <c r="HX114" s="1939"/>
      <c r="HY114" s="1940"/>
      <c r="HZ114" s="1940"/>
      <c r="IA114" s="1940"/>
      <c r="IB114" s="1940"/>
      <c r="IC114" s="1940"/>
      <c r="ID114" s="1940"/>
      <c r="IE114" s="1939"/>
      <c r="IF114" s="1940"/>
      <c r="IG114" s="1940"/>
      <c r="IH114" s="1940"/>
      <c r="II114" s="1940"/>
      <c r="IJ114" s="1940"/>
      <c r="IK114" s="1938"/>
    </row>
    <row r="115" spans="1:245" ht="8.1" hidden="1" customHeight="1" x14ac:dyDescent="0.35">
      <c r="A115" s="195">
        <f>IF(B115=0,0,"XXX")</f>
        <v>0</v>
      </c>
      <c r="B115" s="1959">
        <f>IF(ENTRADAS!$D$912=0,0,IF(B113="1.2.2","1.2.3",IF(B113="1.2.3","1.2.4",IF(B113="1.2.4","1.2.5",0))))</f>
        <v>0</v>
      </c>
      <c r="C115" s="1965">
        <f ca="1">IF(F115=0,0,"MONTAGEM DA COBERTURA")</f>
        <v>0</v>
      </c>
      <c r="D115" s="358">
        <f ca="1">IF(F115=0,0,"início:")</f>
        <v>0</v>
      </c>
      <c r="E115" s="359">
        <f ca="1">IF(D128&lt;D127,0,D172)</f>
        <v>45992.337500000001</v>
      </c>
      <c r="F115" s="454">
        <f ca="1">IF(D128&lt;D127,0,D167)</f>
        <v>0</v>
      </c>
      <c r="G115" s="455">
        <f ca="1">IF(F115=0,0,"dias")</f>
        <v>0</v>
      </c>
      <c r="H115" s="1907">
        <f ca="1">H167</f>
        <v>0</v>
      </c>
      <c r="I115" s="1908">
        <f t="shared" ref="I115:BT115" ca="1" si="160">I167</f>
        <v>0</v>
      </c>
      <c r="J115" s="1908">
        <f t="shared" ca="1" si="160"/>
        <v>0</v>
      </c>
      <c r="K115" s="1908">
        <f t="shared" ca="1" si="160"/>
        <v>0</v>
      </c>
      <c r="L115" s="1908">
        <f t="shared" ca="1" si="160"/>
        <v>0</v>
      </c>
      <c r="M115" s="1908">
        <f t="shared" ca="1" si="160"/>
        <v>0</v>
      </c>
      <c r="N115" s="1908">
        <f t="shared" ca="1" si="160"/>
        <v>0</v>
      </c>
      <c r="O115" s="1907">
        <f t="shared" ca="1" si="160"/>
        <v>0</v>
      </c>
      <c r="P115" s="1908">
        <f t="shared" ca="1" si="160"/>
        <v>0</v>
      </c>
      <c r="Q115" s="1908">
        <f t="shared" ca="1" si="160"/>
        <v>0</v>
      </c>
      <c r="R115" s="1908">
        <f t="shared" ca="1" si="160"/>
        <v>0</v>
      </c>
      <c r="S115" s="1908">
        <f t="shared" ca="1" si="160"/>
        <v>0</v>
      </c>
      <c r="T115" s="1908">
        <f t="shared" ca="1" si="160"/>
        <v>0</v>
      </c>
      <c r="U115" s="1908">
        <f t="shared" ca="1" si="160"/>
        <v>0</v>
      </c>
      <c r="V115" s="1907">
        <f t="shared" ca="1" si="160"/>
        <v>0</v>
      </c>
      <c r="W115" s="1908">
        <f t="shared" ca="1" si="160"/>
        <v>0</v>
      </c>
      <c r="X115" s="1908">
        <f t="shared" ca="1" si="160"/>
        <v>0</v>
      </c>
      <c r="Y115" s="1908">
        <f t="shared" ca="1" si="160"/>
        <v>0</v>
      </c>
      <c r="Z115" s="1908">
        <f t="shared" ca="1" si="160"/>
        <v>0</v>
      </c>
      <c r="AA115" s="1908">
        <f t="shared" ca="1" si="160"/>
        <v>0</v>
      </c>
      <c r="AB115" s="1908">
        <f t="shared" ca="1" si="160"/>
        <v>0</v>
      </c>
      <c r="AC115" s="1907">
        <f t="shared" ca="1" si="160"/>
        <v>0</v>
      </c>
      <c r="AD115" s="1908">
        <f t="shared" ca="1" si="160"/>
        <v>0</v>
      </c>
      <c r="AE115" s="1908">
        <f t="shared" ca="1" si="160"/>
        <v>0</v>
      </c>
      <c r="AF115" s="1908">
        <f t="shared" ca="1" si="160"/>
        <v>0</v>
      </c>
      <c r="AG115" s="1908">
        <f t="shared" ca="1" si="160"/>
        <v>0</v>
      </c>
      <c r="AH115" s="1908">
        <f t="shared" ca="1" si="160"/>
        <v>0</v>
      </c>
      <c r="AI115" s="1908">
        <f t="shared" ca="1" si="160"/>
        <v>0</v>
      </c>
      <c r="AJ115" s="1907">
        <f t="shared" ca="1" si="160"/>
        <v>0</v>
      </c>
      <c r="AK115" s="1908">
        <f t="shared" ca="1" si="160"/>
        <v>0</v>
      </c>
      <c r="AL115" s="1908">
        <f t="shared" ca="1" si="160"/>
        <v>0</v>
      </c>
      <c r="AM115" s="1908">
        <f t="shared" ca="1" si="160"/>
        <v>0</v>
      </c>
      <c r="AN115" s="1908">
        <f t="shared" ca="1" si="160"/>
        <v>0</v>
      </c>
      <c r="AO115" s="1908">
        <f t="shared" ca="1" si="160"/>
        <v>0</v>
      </c>
      <c r="AP115" s="1908">
        <f t="shared" ca="1" si="160"/>
        <v>0</v>
      </c>
      <c r="AQ115" s="1907">
        <f t="shared" ca="1" si="160"/>
        <v>0</v>
      </c>
      <c r="AR115" s="1908">
        <f t="shared" ca="1" si="160"/>
        <v>0</v>
      </c>
      <c r="AS115" s="1908">
        <f t="shared" ca="1" si="160"/>
        <v>0</v>
      </c>
      <c r="AT115" s="1908">
        <f t="shared" ca="1" si="160"/>
        <v>0</v>
      </c>
      <c r="AU115" s="1908">
        <f t="shared" ca="1" si="160"/>
        <v>0</v>
      </c>
      <c r="AV115" s="1908">
        <f t="shared" ca="1" si="160"/>
        <v>0</v>
      </c>
      <c r="AW115" s="1908">
        <f t="shared" ca="1" si="160"/>
        <v>0</v>
      </c>
      <c r="AX115" s="1907">
        <f t="shared" ca="1" si="160"/>
        <v>0</v>
      </c>
      <c r="AY115" s="1908">
        <f t="shared" ca="1" si="160"/>
        <v>0</v>
      </c>
      <c r="AZ115" s="1908">
        <f t="shared" ca="1" si="160"/>
        <v>0</v>
      </c>
      <c r="BA115" s="1908">
        <f t="shared" ca="1" si="160"/>
        <v>0</v>
      </c>
      <c r="BB115" s="1908">
        <f t="shared" ca="1" si="160"/>
        <v>0</v>
      </c>
      <c r="BC115" s="1908">
        <f t="shared" ca="1" si="160"/>
        <v>0</v>
      </c>
      <c r="BD115" s="1908">
        <f t="shared" ca="1" si="160"/>
        <v>0</v>
      </c>
      <c r="BE115" s="1907">
        <f t="shared" ca="1" si="160"/>
        <v>0</v>
      </c>
      <c r="BF115" s="1908">
        <f t="shared" ca="1" si="160"/>
        <v>0</v>
      </c>
      <c r="BG115" s="1908">
        <f t="shared" ca="1" si="160"/>
        <v>0</v>
      </c>
      <c r="BH115" s="1908">
        <f t="shared" ca="1" si="160"/>
        <v>0</v>
      </c>
      <c r="BI115" s="1908">
        <f t="shared" ca="1" si="160"/>
        <v>0</v>
      </c>
      <c r="BJ115" s="1908">
        <f t="shared" ca="1" si="160"/>
        <v>0</v>
      </c>
      <c r="BK115" s="1908">
        <f t="shared" ca="1" si="160"/>
        <v>0</v>
      </c>
      <c r="BL115" s="1907">
        <f t="shared" ca="1" si="160"/>
        <v>0</v>
      </c>
      <c r="BM115" s="1908">
        <f t="shared" ca="1" si="160"/>
        <v>0</v>
      </c>
      <c r="BN115" s="1908">
        <f t="shared" ca="1" si="160"/>
        <v>0</v>
      </c>
      <c r="BO115" s="1908">
        <f t="shared" ca="1" si="160"/>
        <v>0</v>
      </c>
      <c r="BP115" s="1908">
        <f t="shared" ca="1" si="160"/>
        <v>0</v>
      </c>
      <c r="BQ115" s="1908">
        <f t="shared" ca="1" si="160"/>
        <v>0</v>
      </c>
      <c r="BR115" s="1908">
        <f t="shared" ca="1" si="160"/>
        <v>0</v>
      </c>
      <c r="BS115" s="1907">
        <f t="shared" ca="1" si="160"/>
        <v>0</v>
      </c>
      <c r="BT115" s="1908">
        <f t="shared" ca="1" si="160"/>
        <v>0</v>
      </c>
      <c r="BU115" s="1908">
        <f t="shared" ref="BU115:EF115" ca="1" si="161">BU167</f>
        <v>0</v>
      </c>
      <c r="BV115" s="1908">
        <f t="shared" ca="1" si="161"/>
        <v>0</v>
      </c>
      <c r="BW115" s="1908">
        <f t="shared" ca="1" si="161"/>
        <v>0</v>
      </c>
      <c r="BX115" s="1908">
        <f t="shared" ca="1" si="161"/>
        <v>0</v>
      </c>
      <c r="BY115" s="1908">
        <f t="shared" ca="1" si="161"/>
        <v>0</v>
      </c>
      <c r="BZ115" s="1907">
        <f t="shared" ca="1" si="161"/>
        <v>0</v>
      </c>
      <c r="CA115" s="1908">
        <f t="shared" ca="1" si="161"/>
        <v>0</v>
      </c>
      <c r="CB115" s="1908">
        <f t="shared" ca="1" si="161"/>
        <v>0</v>
      </c>
      <c r="CC115" s="1908">
        <f t="shared" ca="1" si="161"/>
        <v>0</v>
      </c>
      <c r="CD115" s="1908">
        <f t="shared" ca="1" si="161"/>
        <v>0</v>
      </c>
      <c r="CE115" s="1908">
        <f t="shared" ca="1" si="161"/>
        <v>0</v>
      </c>
      <c r="CF115" s="1908">
        <f t="shared" ca="1" si="161"/>
        <v>0</v>
      </c>
      <c r="CG115" s="1907">
        <f t="shared" ca="1" si="161"/>
        <v>0</v>
      </c>
      <c r="CH115" s="1908">
        <f t="shared" ca="1" si="161"/>
        <v>0</v>
      </c>
      <c r="CI115" s="1908">
        <f t="shared" ca="1" si="161"/>
        <v>0</v>
      </c>
      <c r="CJ115" s="1908">
        <f t="shared" ca="1" si="161"/>
        <v>0</v>
      </c>
      <c r="CK115" s="1908">
        <f t="shared" ca="1" si="161"/>
        <v>0</v>
      </c>
      <c r="CL115" s="1908">
        <f t="shared" ca="1" si="161"/>
        <v>0</v>
      </c>
      <c r="CM115" s="1908">
        <f t="shared" ca="1" si="161"/>
        <v>0</v>
      </c>
      <c r="CN115" s="1907">
        <f t="shared" ca="1" si="161"/>
        <v>0</v>
      </c>
      <c r="CO115" s="1908">
        <f t="shared" ca="1" si="161"/>
        <v>0</v>
      </c>
      <c r="CP115" s="1908">
        <f t="shared" ca="1" si="161"/>
        <v>0</v>
      </c>
      <c r="CQ115" s="1908">
        <f t="shared" ca="1" si="161"/>
        <v>0</v>
      </c>
      <c r="CR115" s="1908">
        <f t="shared" ca="1" si="161"/>
        <v>0</v>
      </c>
      <c r="CS115" s="1908">
        <f t="shared" ca="1" si="161"/>
        <v>0</v>
      </c>
      <c r="CT115" s="1908">
        <f t="shared" ca="1" si="161"/>
        <v>0</v>
      </c>
      <c r="CU115" s="1907">
        <f t="shared" ca="1" si="161"/>
        <v>0</v>
      </c>
      <c r="CV115" s="1908">
        <f t="shared" ca="1" si="161"/>
        <v>0</v>
      </c>
      <c r="CW115" s="1908">
        <f t="shared" ca="1" si="161"/>
        <v>0</v>
      </c>
      <c r="CX115" s="1908">
        <f t="shared" ca="1" si="161"/>
        <v>0</v>
      </c>
      <c r="CY115" s="1908">
        <f t="shared" ca="1" si="161"/>
        <v>0</v>
      </c>
      <c r="CZ115" s="1908">
        <f t="shared" ca="1" si="161"/>
        <v>0</v>
      </c>
      <c r="DA115" s="1908">
        <f t="shared" ca="1" si="161"/>
        <v>0</v>
      </c>
      <c r="DB115" s="1907">
        <f t="shared" ca="1" si="161"/>
        <v>0</v>
      </c>
      <c r="DC115" s="1908">
        <f t="shared" ca="1" si="161"/>
        <v>0</v>
      </c>
      <c r="DD115" s="1908">
        <f t="shared" ca="1" si="161"/>
        <v>0</v>
      </c>
      <c r="DE115" s="1908">
        <f t="shared" ca="1" si="161"/>
        <v>0</v>
      </c>
      <c r="DF115" s="1908">
        <f t="shared" ca="1" si="161"/>
        <v>0</v>
      </c>
      <c r="DG115" s="1908">
        <f t="shared" ca="1" si="161"/>
        <v>0</v>
      </c>
      <c r="DH115" s="1908">
        <f t="shared" ca="1" si="161"/>
        <v>0</v>
      </c>
      <c r="DI115" s="1907">
        <f t="shared" ca="1" si="161"/>
        <v>0</v>
      </c>
      <c r="DJ115" s="1908">
        <f t="shared" ca="1" si="161"/>
        <v>0</v>
      </c>
      <c r="DK115" s="1908">
        <f t="shared" ca="1" si="161"/>
        <v>0</v>
      </c>
      <c r="DL115" s="1908">
        <f t="shared" ca="1" si="161"/>
        <v>0</v>
      </c>
      <c r="DM115" s="1908">
        <f t="shared" ca="1" si="161"/>
        <v>0</v>
      </c>
      <c r="DN115" s="1908">
        <f t="shared" ca="1" si="161"/>
        <v>0</v>
      </c>
      <c r="DO115" s="1908">
        <f t="shared" ca="1" si="161"/>
        <v>0</v>
      </c>
      <c r="DP115" s="1907">
        <f t="shared" ca="1" si="161"/>
        <v>0</v>
      </c>
      <c r="DQ115" s="1908">
        <f t="shared" ca="1" si="161"/>
        <v>0</v>
      </c>
      <c r="DR115" s="1908">
        <f t="shared" ca="1" si="161"/>
        <v>0</v>
      </c>
      <c r="DS115" s="1908">
        <f t="shared" ca="1" si="161"/>
        <v>0</v>
      </c>
      <c r="DT115" s="1908">
        <f t="shared" ca="1" si="161"/>
        <v>0</v>
      </c>
      <c r="DU115" s="1908">
        <f t="shared" ca="1" si="161"/>
        <v>0</v>
      </c>
      <c r="DV115" s="1908">
        <f t="shared" ca="1" si="161"/>
        <v>0</v>
      </c>
      <c r="DW115" s="1907">
        <f t="shared" ca="1" si="161"/>
        <v>0</v>
      </c>
      <c r="DX115" s="1908">
        <f t="shared" ca="1" si="161"/>
        <v>0</v>
      </c>
      <c r="DY115" s="1908">
        <f t="shared" ca="1" si="161"/>
        <v>0</v>
      </c>
      <c r="DZ115" s="1908">
        <f t="shared" ca="1" si="161"/>
        <v>0</v>
      </c>
      <c r="EA115" s="1908">
        <f t="shared" ca="1" si="161"/>
        <v>0</v>
      </c>
      <c r="EB115" s="1908">
        <f t="shared" ca="1" si="161"/>
        <v>0</v>
      </c>
      <c r="EC115" s="1908">
        <f t="shared" ca="1" si="161"/>
        <v>0</v>
      </c>
      <c r="ED115" s="1907">
        <f t="shared" ca="1" si="161"/>
        <v>0</v>
      </c>
      <c r="EE115" s="1908">
        <f t="shared" ca="1" si="161"/>
        <v>0</v>
      </c>
      <c r="EF115" s="1908">
        <f t="shared" ca="1" si="161"/>
        <v>0</v>
      </c>
      <c r="EG115" s="1908">
        <f t="shared" ref="EG115:GR115" ca="1" si="162">EG167</f>
        <v>0</v>
      </c>
      <c r="EH115" s="1908">
        <f t="shared" ca="1" si="162"/>
        <v>0</v>
      </c>
      <c r="EI115" s="1908">
        <f t="shared" ca="1" si="162"/>
        <v>0</v>
      </c>
      <c r="EJ115" s="1908">
        <f t="shared" ca="1" si="162"/>
        <v>0</v>
      </c>
      <c r="EK115" s="1907">
        <f t="shared" ca="1" si="162"/>
        <v>0</v>
      </c>
      <c r="EL115" s="1908">
        <f t="shared" ca="1" si="162"/>
        <v>0</v>
      </c>
      <c r="EM115" s="1908">
        <f t="shared" ca="1" si="162"/>
        <v>0</v>
      </c>
      <c r="EN115" s="1908">
        <f t="shared" ca="1" si="162"/>
        <v>0</v>
      </c>
      <c r="EO115" s="1908">
        <f t="shared" ca="1" si="162"/>
        <v>0</v>
      </c>
      <c r="EP115" s="1908">
        <f t="shared" ca="1" si="162"/>
        <v>0</v>
      </c>
      <c r="EQ115" s="1908">
        <f t="shared" ca="1" si="162"/>
        <v>0</v>
      </c>
      <c r="ER115" s="1907">
        <f t="shared" ca="1" si="162"/>
        <v>0</v>
      </c>
      <c r="ES115" s="1908">
        <f t="shared" ca="1" si="162"/>
        <v>0</v>
      </c>
      <c r="ET115" s="1908">
        <f t="shared" ca="1" si="162"/>
        <v>0</v>
      </c>
      <c r="EU115" s="1908">
        <f t="shared" ca="1" si="162"/>
        <v>0</v>
      </c>
      <c r="EV115" s="1908">
        <f t="shared" ca="1" si="162"/>
        <v>0</v>
      </c>
      <c r="EW115" s="1908">
        <f t="shared" ca="1" si="162"/>
        <v>0</v>
      </c>
      <c r="EX115" s="1908">
        <f t="shared" ca="1" si="162"/>
        <v>0</v>
      </c>
      <c r="EY115" s="1907">
        <f t="shared" ca="1" si="162"/>
        <v>0</v>
      </c>
      <c r="EZ115" s="1908">
        <f t="shared" ca="1" si="162"/>
        <v>0</v>
      </c>
      <c r="FA115" s="1908">
        <f t="shared" ca="1" si="162"/>
        <v>0</v>
      </c>
      <c r="FB115" s="1908">
        <f t="shared" ca="1" si="162"/>
        <v>0</v>
      </c>
      <c r="FC115" s="1908">
        <f t="shared" ca="1" si="162"/>
        <v>0</v>
      </c>
      <c r="FD115" s="1908">
        <f t="shared" ca="1" si="162"/>
        <v>0</v>
      </c>
      <c r="FE115" s="1908">
        <f t="shared" ca="1" si="162"/>
        <v>0</v>
      </c>
      <c r="FF115" s="1907">
        <f t="shared" ca="1" si="162"/>
        <v>0</v>
      </c>
      <c r="FG115" s="1908">
        <f t="shared" ca="1" si="162"/>
        <v>0</v>
      </c>
      <c r="FH115" s="1908">
        <f t="shared" ca="1" si="162"/>
        <v>0</v>
      </c>
      <c r="FI115" s="1908">
        <f t="shared" ca="1" si="162"/>
        <v>0</v>
      </c>
      <c r="FJ115" s="1908">
        <f t="shared" ca="1" si="162"/>
        <v>0</v>
      </c>
      <c r="FK115" s="1908">
        <f t="shared" ca="1" si="162"/>
        <v>0</v>
      </c>
      <c r="FL115" s="1908">
        <f t="shared" ca="1" si="162"/>
        <v>0</v>
      </c>
      <c r="FM115" s="1907">
        <f t="shared" ca="1" si="162"/>
        <v>0</v>
      </c>
      <c r="FN115" s="1908">
        <f t="shared" ca="1" si="162"/>
        <v>0</v>
      </c>
      <c r="FO115" s="1908">
        <f t="shared" ca="1" si="162"/>
        <v>0</v>
      </c>
      <c r="FP115" s="1908">
        <f t="shared" ca="1" si="162"/>
        <v>0</v>
      </c>
      <c r="FQ115" s="1908">
        <f t="shared" ca="1" si="162"/>
        <v>0</v>
      </c>
      <c r="FR115" s="1908">
        <f t="shared" ca="1" si="162"/>
        <v>0</v>
      </c>
      <c r="FS115" s="1908">
        <f t="shared" ca="1" si="162"/>
        <v>0</v>
      </c>
      <c r="FT115" s="1907">
        <f t="shared" ca="1" si="162"/>
        <v>0</v>
      </c>
      <c r="FU115" s="1908">
        <f t="shared" ca="1" si="162"/>
        <v>0</v>
      </c>
      <c r="FV115" s="1908">
        <f t="shared" ca="1" si="162"/>
        <v>0</v>
      </c>
      <c r="FW115" s="1908">
        <f t="shared" ca="1" si="162"/>
        <v>0</v>
      </c>
      <c r="FX115" s="1908">
        <f t="shared" ca="1" si="162"/>
        <v>0</v>
      </c>
      <c r="FY115" s="1908">
        <f t="shared" ca="1" si="162"/>
        <v>0</v>
      </c>
      <c r="FZ115" s="1908">
        <f t="shared" ca="1" si="162"/>
        <v>0</v>
      </c>
      <c r="GA115" s="1907">
        <f t="shared" ca="1" si="162"/>
        <v>0</v>
      </c>
      <c r="GB115" s="1908">
        <f t="shared" ca="1" si="162"/>
        <v>0</v>
      </c>
      <c r="GC115" s="1908">
        <f t="shared" ca="1" si="162"/>
        <v>0</v>
      </c>
      <c r="GD115" s="1908">
        <f t="shared" ca="1" si="162"/>
        <v>0</v>
      </c>
      <c r="GE115" s="1908">
        <f t="shared" ca="1" si="162"/>
        <v>0</v>
      </c>
      <c r="GF115" s="1908">
        <f t="shared" ca="1" si="162"/>
        <v>0</v>
      </c>
      <c r="GG115" s="1908">
        <f t="shared" ca="1" si="162"/>
        <v>0</v>
      </c>
      <c r="GH115" s="1907">
        <f t="shared" ca="1" si="162"/>
        <v>0</v>
      </c>
      <c r="GI115" s="1908">
        <f t="shared" ca="1" si="162"/>
        <v>0</v>
      </c>
      <c r="GJ115" s="1908">
        <f t="shared" ca="1" si="162"/>
        <v>0</v>
      </c>
      <c r="GK115" s="1908">
        <f t="shared" ca="1" si="162"/>
        <v>0</v>
      </c>
      <c r="GL115" s="1908">
        <f t="shared" ca="1" si="162"/>
        <v>0</v>
      </c>
      <c r="GM115" s="1908">
        <f t="shared" ca="1" si="162"/>
        <v>0</v>
      </c>
      <c r="GN115" s="1908">
        <f t="shared" ca="1" si="162"/>
        <v>0</v>
      </c>
      <c r="GO115" s="1907">
        <f t="shared" ca="1" si="162"/>
        <v>0</v>
      </c>
      <c r="GP115" s="1908">
        <f t="shared" ca="1" si="162"/>
        <v>0</v>
      </c>
      <c r="GQ115" s="1908">
        <f t="shared" ca="1" si="162"/>
        <v>0</v>
      </c>
      <c r="GR115" s="1908">
        <f t="shared" ca="1" si="162"/>
        <v>0</v>
      </c>
      <c r="GS115" s="1908">
        <f t="shared" ref="GS115:IK115" ca="1" si="163">GS167</f>
        <v>0</v>
      </c>
      <c r="GT115" s="1908">
        <f t="shared" ca="1" si="163"/>
        <v>0</v>
      </c>
      <c r="GU115" s="1908">
        <f t="shared" ca="1" si="163"/>
        <v>0</v>
      </c>
      <c r="GV115" s="1907">
        <f t="shared" ca="1" si="163"/>
        <v>0</v>
      </c>
      <c r="GW115" s="1908">
        <f t="shared" ca="1" si="163"/>
        <v>0</v>
      </c>
      <c r="GX115" s="1908">
        <f t="shared" ca="1" si="163"/>
        <v>0</v>
      </c>
      <c r="GY115" s="1908">
        <f t="shared" ca="1" si="163"/>
        <v>0</v>
      </c>
      <c r="GZ115" s="1908">
        <f t="shared" ca="1" si="163"/>
        <v>0</v>
      </c>
      <c r="HA115" s="1908">
        <f t="shared" ca="1" si="163"/>
        <v>0</v>
      </c>
      <c r="HB115" s="1908">
        <f t="shared" ca="1" si="163"/>
        <v>0</v>
      </c>
      <c r="HC115" s="1907">
        <f t="shared" ca="1" si="163"/>
        <v>0</v>
      </c>
      <c r="HD115" s="1908">
        <f t="shared" ca="1" si="163"/>
        <v>0</v>
      </c>
      <c r="HE115" s="1908">
        <f t="shared" ca="1" si="163"/>
        <v>0</v>
      </c>
      <c r="HF115" s="1908">
        <f t="shared" ca="1" si="163"/>
        <v>0</v>
      </c>
      <c r="HG115" s="1908">
        <f t="shared" ca="1" si="163"/>
        <v>0</v>
      </c>
      <c r="HH115" s="1908">
        <f t="shared" ca="1" si="163"/>
        <v>0</v>
      </c>
      <c r="HI115" s="1908">
        <f t="shared" ca="1" si="163"/>
        <v>0</v>
      </c>
      <c r="HJ115" s="1907">
        <f t="shared" ca="1" si="163"/>
        <v>0</v>
      </c>
      <c r="HK115" s="1908">
        <f t="shared" ca="1" si="163"/>
        <v>0</v>
      </c>
      <c r="HL115" s="1908">
        <f t="shared" ca="1" si="163"/>
        <v>0</v>
      </c>
      <c r="HM115" s="1908">
        <f t="shared" ca="1" si="163"/>
        <v>0</v>
      </c>
      <c r="HN115" s="1908">
        <f t="shared" ca="1" si="163"/>
        <v>0</v>
      </c>
      <c r="HO115" s="1908">
        <f t="shared" ca="1" si="163"/>
        <v>0</v>
      </c>
      <c r="HP115" s="1908">
        <f t="shared" ca="1" si="163"/>
        <v>0</v>
      </c>
      <c r="HQ115" s="1907">
        <f t="shared" ca="1" si="163"/>
        <v>0</v>
      </c>
      <c r="HR115" s="1908">
        <f t="shared" ca="1" si="163"/>
        <v>0</v>
      </c>
      <c r="HS115" s="1908">
        <f t="shared" ca="1" si="163"/>
        <v>0</v>
      </c>
      <c r="HT115" s="1908">
        <f t="shared" ca="1" si="163"/>
        <v>0</v>
      </c>
      <c r="HU115" s="1908">
        <f t="shared" ca="1" si="163"/>
        <v>0</v>
      </c>
      <c r="HV115" s="1908">
        <f t="shared" ca="1" si="163"/>
        <v>0</v>
      </c>
      <c r="HW115" s="1908">
        <f t="shared" ca="1" si="163"/>
        <v>0</v>
      </c>
      <c r="HX115" s="1907">
        <f t="shared" ca="1" si="163"/>
        <v>0</v>
      </c>
      <c r="HY115" s="1908">
        <f t="shared" ca="1" si="163"/>
        <v>0</v>
      </c>
      <c r="HZ115" s="1908">
        <f t="shared" ca="1" si="163"/>
        <v>0</v>
      </c>
      <c r="IA115" s="1908">
        <f t="shared" ca="1" si="163"/>
        <v>0</v>
      </c>
      <c r="IB115" s="1908">
        <f t="shared" ca="1" si="163"/>
        <v>0</v>
      </c>
      <c r="IC115" s="1908">
        <f t="shared" ca="1" si="163"/>
        <v>0</v>
      </c>
      <c r="ID115" s="1908">
        <f t="shared" ca="1" si="163"/>
        <v>0</v>
      </c>
      <c r="IE115" s="1907">
        <f t="shared" ca="1" si="163"/>
        <v>0</v>
      </c>
      <c r="IF115" s="1908">
        <f t="shared" ca="1" si="163"/>
        <v>0</v>
      </c>
      <c r="IG115" s="1908">
        <f t="shared" ca="1" si="163"/>
        <v>0</v>
      </c>
      <c r="IH115" s="1908">
        <f t="shared" ca="1" si="163"/>
        <v>0</v>
      </c>
      <c r="II115" s="1908">
        <f t="shared" ca="1" si="163"/>
        <v>0</v>
      </c>
      <c r="IJ115" s="1908">
        <f t="shared" ca="1" si="163"/>
        <v>0</v>
      </c>
      <c r="IK115" s="1909">
        <f t="shared" ca="1" si="163"/>
        <v>0</v>
      </c>
    </row>
    <row r="116" spans="1:245" ht="8.1" hidden="1" customHeight="1" x14ac:dyDescent="0.35">
      <c r="A116" s="195">
        <f>IF(B115=0,0,"XXX")</f>
        <v>0</v>
      </c>
      <c r="B116" s="1960"/>
      <c r="C116" s="1966"/>
      <c r="D116" s="360">
        <f ca="1">IF(F115=0,0,"término:")</f>
        <v>0</v>
      </c>
      <c r="E116" s="361">
        <f ca="1">IF(D128&lt;D127,0,D173)</f>
        <v>45991.337500000001</v>
      </c>
      <c r="F116" s="1913"/>
      <c r="G116" s="1914"/>
      <c r="H116" s="1907"/>
      <c r="I116" s="1908"/>
      <c r="J116" s="1908"/>
      <c r="K116" s="1908"/>
      <c r="L116" s="1908"/>
      <c r="M116" s="1908"/>
      <c r="N116" s="1908"/>
      <c r="O116" s="1907"/>
      <c r="P116" s="1908"/>
      <c r="Q116" s="1908"/>
      <c r="R116" s="1908"/>
      <c r="S116" s="1908"/>
      <c r="T116" s="1908"/>
      <c r="U116" s="1908"/>
      <c r="V116" s="1907"/>
      <c r="W116" s="1908"/>
      <c r="X116" s="1908"/>
      <c r="Y116" s="1908"/>
      <c r="Z116" s="1908"/>
      <c r="AA116" s="1908"/>
      <c r="AB116" s="1908"/>
      <c r="AC116" s="1907"/>
      <c r="AD116" s="1908"/>
      <c r="AE116" s="1908"/>
      <c r="AF116" s="1908"/>
      <c r="AG116" s="1908"/>
      <c r="AH116" s="1908"/>
      <c r="AI116" s="1908"/>
      <c r="AJ116" s="1907"/>
      <c r="AK116" s="1908"/>
      <c r="AL116" s="1908"/>
      <c r="AM116" s="1908"/>
      <c r="AN116" s="1908"/>
      <c r="AO116" s="1908"/>
      <c r="AP116" s="1908"/>
      <c r="AQ116" s="1907"/>
      <c r="AR116" s="1908"/>
      <c r="AS116" s="1908"/>
      <c r="AT116" s="1908"/>
      <c r="AU116" s="1908"/>
      <c r="AV116" s="1908"/>
      <c r="AW116" s="1908"/>
      <c r="AX116" s="1907"/>
      <c r="AY116" s="1908"/>
      <c r="AZ116" s="1908"/>
      <c r="BA116" s="1908"/>
      <c r="BB116" s="1908"/>
      <c r="BC116" s="1908"/>
      <c r="BD116" s="1908"/>
      <c r="BE116" s="1907"/>
      <c r="BF116" s="1908"/>
      <c r="BG116" s="1908"/>
      <c r="BH116" s="1908"/>
      <c r="BI116" s="1908"/>
      <c r="BJ116" s="1908"/>
      <c r="BK116" s="1908"/>
      <c r="BL116" s="1907"/>
      <c r="BM116" s="1908"/>
      <c r="BN116" s="1908"/>
      <c r="BO116" s="1908"/>
      <c r="BP116" s="1908"/>
      <c r="BQ116" s="1908"/>
      <c r="BR116" s="1908"/>
      <c r="BS116" s="1907"/>
      <c r="BT116" s="1908"/>
      <c r="BU116" s="1908"/>
      <c r="BV116" s="1908"/>
      <c r="BW116" s="1908"/>
      <c r="BX116" s="1908"/>
      <c r="BY116" s="1908"/>
      <c r="BZ116" s="1907"/>
      <c r="CA116" s="1908"/>
      <c r="CB116" s="1908"/>
      <c r="CC116" s="1908"/>
      <c r="CD116" s="1908"/>
      <c r="CE116" s="1908"/>
      <c r="CF116" s="1908"/>
      <c r="CG116" s="1907"/>
      <c r="CH116" s="1908"/>
      <c r="CI116" s="1908"/>
      <c r="CJ116" s="1908"/>
      <c r="CK116" s="1908"/>
      <c r="CL116" s="1908"/>
      <c r="CM116" s="1908"/>
      <c r="CN116" s="1907"/>
      <c r="CO116" s="1908"/>
      <c r="CP116" s="1908"/>
      <c r="CQ116" s="1908"/>
      <c r="CR116" s="1908"/>
      <c r="CS116" s="1908"/>
      <c r="CT116" s="1908"/>
      <c r="CU116" s="1907"/>
      <c r="CV116" s="1908"/>
      <c r="CW116" s="1908"/>
      <c r="CX116" s="1908"/>
      <c r="CY116" s="1908"/>
      <c r="CZ116" s="1908"/>
      <c r="DA116" s="1908"/>
      <c r="DB116" s="1907"/>
      <c r="DC116" s="1908"/>
      <c r="DD116" s="1908"/>
      <c r="DE116" s="1908"/>
      <c r="DF116" s="1908"/>
      <c r="DG116" s="1908"/>
      <c r="DH116" s="1908"/>
      <c r="DI116" s="1907"/>
      <c r="DJ116" s="1908"/>
      <c r="DK116" s="1908"/>
      <c r="DL116" s="1908"/>
      <c r="DM116" s="1908"/>
      <c r="DN116" s="1908"/>
      <c r="DO116" s="1908"/>
      <c r="DP116" s="1907"/>
      <c r="DQ116" s="1908"/>
      <c r="DR116" s="1908"/>
      <c r="DS116" s="1908"/>
      <c r="DT116" s="1908"/>
      <c r="DU116" s="1908"/>
      <c r="DV116" s="1908"/>
      <c r="DW116" s="1907"/>
      <c r="DX116" s="1908"/>
      <c r="DY116" s="1908"/>
      <c r="DZ116" s="1908"/>
      <c r="EA116" s="1908"/>
      <c r="EB116" s="1908"/>
      <c r="EC116" s="1908"/>
      <c r="ED116" s="1907"/>
      <c r="EE116" s="1908"/>
      <c r="EF116" s="1908"/>
      <c r="EG116" s="1908"/>
      <c r="EH116" s="1908"/>
      <c r="EI116" s="1908"/>
      <c r="EJ116" s="1908"/>
      <c r="EK116" s="1907"/>
      <c r="EL116" s="1908"/>
      <c r="EM116" s="1908"/>
      <c r="EN116" s="1908"/>
      <c r="EO116" s="1908"/>
      <c r="EP116" s="1908"/>
      <c r="EQ116" s="1908"/>
      <c r="ER116" s="1907"/>
      <c r="ES116" s="1908"/>
      <c r="ET116" s="1908"/>
      <c r="EU116" s="1908"/>
      <c r="EV116" s="1908"/>
      <c r="EW116" s="1908"/>
      <c r="EX116" s="1908"/>
      <c r="EY116" s="1907"/>
      <c r="EZ116" s="1908"/>
      <c r="FA116" s="1908"/>
      <c r="FB116" s="1908"/>
      <c r="FC116" s="1908"/>
      <c r="FD116" s="1908"/>
      <c r="FE116" s="1908"/>
      <c r="FF116" s="1907"/>
      <c r="FG116" s="1908"/>
      <c r="FH116" s="1908"/>
      <c r="FI116" s="1908"/>
      <c r="FJ116" s="1908"/>
      <c r="FK116" s="1908"/>
      <c r="FL116" s="1908"/>
      <c r="FM116" s="1907"/>
      <c r="FN116" s="1908"/>
      <c r="FO116" s="1908"/>
      <c r="FP116" s="1908"/>
      <c r="FQ116" s="1908"/>
      <c r="FR116" s="1908"/>
      <c r="FS116" s="1908"/>
      <c r="FT116" s="1907"/>
      <c r="FU116" s="1908"/>
      <c r="FV116" s="1908"/>
      <c r="FW116" s="1908"/>
      <c r="FX116" s="1908"/>
      <c r="FY116" s="1908"/>
      <c r="FZ116" s="1908"/>
      <c r="GA116" s="1907"/>
      <c r="GB116" s="1908"/>
      <c r="GC116" s="1908"/>
      <c r="GD116" s="1908"/>
      <c r="GE116" s="1908"/>
      <c r="GF116" s="1908"/>
      <c r="GG116" s="1908"/>
      <c r="GH116" s="1907"/>
      <c r="GI116" s="1908"/>
      <c r="GJ116" s="1908"/>
      <c r="GK116" s="1908"/>
      <c r="GL116" s="1908"/>
      <c r="GM116" s="1908"/>
      <c r="GN116" s="1908"/>
      <c r="GO116" s="1907"/>
      <c r="GP116" s="1908"/>
      <c r="GQ116" s="1908"/>
      <c r="GR116" s="1908"/>
      <c r="GS116" s="1908"/>
      <c r="GT116" s="1908"/>
      <c r="GU116" s="1908"/>
      <c r="GV116" s="1907"/>
      <c r="GW116" s="1908"/>
      <c r="GX116" s="1908"/>
      <c r="GY116" s="1908"/>
      <c r="GZ116" s="1908"/>
      <c r="HA116" s="1908"/>
      <c r="HB116" s="1908"/>
      <c r="HC116" s="1907"/>
      <c r="HD116" s="1908"/>
      <c r="HE116" s="1908"/>
      <c r="HF116" s="1908"/>
      <c r="HG116" s="1908"/>
      <c r="HH116" s="1908"/>
      <c r="HI116" s="1908"/>
      <c r="HJ116" s="1907"/>
      <c r="HK116" s="1908"/>
      <c r="HL116" s="1908"/>
      <c r="HM116" s="1908"/>
      <c r="HN116" s="1908"/>
      <c r="HO116" s="1908"/>
      <c r="HP116" s="1908"/>
      <c r="HQ116" s="1907"/>
      <c r="HR116" s="1908"/>
      <c r="HS116" s="1908"/>
      <c r="HT116" s="1908"/>
      <c r="HU116" s="1908"/>
      <c r="HV116" s="1908"/>
      <c r="HW116" s="1908"/>
      <c r="HX116" s="1907"/>
      <c r="HY116" s="1908"/>
      <c r="HZ116" s="1908"/>
      <c r="IA116" s="1908"/>
      <c r="IB116" s="1908"/>
      <c r="IC116" s="1908"/>
      <c r="ID116" s="1908"/>
      <c r="IE116" s="1907"/>
      <c r="IF116" s="1908"/>
      <c r="IG116" s="1908"/>
      <c r="IH116" s="1908"/>
      <c r="II116" s="1908"/>
      <c r="IJ116" s="1908"/>
      <c r="IK116" s="1909"/>
    </row>
    <row r="117" spans="1:245" ht="7.5" hidden="1" customHeight="1" x14ac:dyDescent="0.35">
      <c r="A117" s="195">
        <f>IF(B117=0,0,"XXX")</f>
        <v>0</v>
      </c>
      <c r="B117" s="1910">
        <f>IF(ENTRADAS!J1253=0,0,ENTRADAS!C1253)</f>
        <v>0</v>
      </c>
      <c r="C117" s="1911">
        <f>IF(ENTRADAS!J1253="x",ENTRADAS!D1253,0)</f>
        <v>0</v>
      </c>
      <c r="D117" s="358" t="str">
        <f>IF(ENTRADAS!$F$22=0,0,"início:")</f>
        <v>início:</v>
      </c>
      <c r="E117" s="359">
        <f>IF(C117=0,0,IF(F118&gt;0,F118+D129,E106+2))</f>
        <v>0</v>
      </c>
      <c r="F117" s="454">
        <f>IF(C117=0,0,ENTRADAS!$H$1253)</f>
        <v>0</v>
      </c>
      <c r="G117" s="455" t="str">
        <f>IF(ENTRADAS!$F$22=0,0,"dias")</f>
        <v>dias</v>
      </c>
      <c r="H117" s="1907">
        <f t="shared" ref="H117:AB117" ca="1" si="164">IF(AND(H92&gt;$E$117-$D$129,H92&lt;=$E$118-$D$129),10,0)</f>
        <v>0</v>
      </c>
      <c r="I117" s="1908">
        <f t="shared" ca="1" si="164"/>
        <v>0</v>
      </c>
      <c r="J117" s="1908">
        <f t="shared" ca="1" si="164"/>
        <v>0</v>
      </c>
      <c r="K117" s="1908">
        <f t="shared" ca="1" si="164"/>
        <v>0</v>
      </c>
      <c r="L117" s="1908">
        <f t="shared" ca="1" si="164"/>
        <v>0</v>
      </c>
      <c r="M117" s="1908">
        <f t="shared" ca="1" si="164"/>
        <v>0</v>
      </c>
      <c r="N117" s="1908">
        <f t="shared" ca="1" si="164"/>
        <v>0</v>
      </c>
      <c r="O117" s="1907">
        <f t="shared" ca="1" si="164"/>
        <v>0</v>
      </c>
      <c r="P117" s="1908">
        <f t="shared" ca="1" si="164"/>
        <v>0</v>
      </c>
      <c r="Q117" s="1908">
        <f t="shared" ca="1" si="164"/>
        <v>0</v>
      </c>
      <c r="R117" s="1908">
        <f t="shared" ca="1" si="164"/>
        <v>0</v>
      </c>
      <c r="S117" s="1908">
        <f t="shared" ca="1" si="164"/>
        <v>0</v>
      </c>
      <c r="T117" s="1908">
        <f t="shared" ca="1" si="164"/>
        <v>0</v>
      </c>
      <c r="U117" s="1908">
        <f t="shared" ca="1" si="164"/>
        <v>0</v>
      </c>
      <c r="V117" s="1907">
        <f t="shared" ca="1" si="164"/>
        <v>0</v>
      </c>
      <c r="W117" s="1908">
        <f t="shared" ca="1" si="164"/>
        <v>0</v>
      </c>
      <c r="X117" s="1908">
        <f t="shared" ca="1" si="164"/>
        <v>0</v>
      </c>
      <c r="Y117" s="1908">
        <f t="shared" ca="1" si="164"/>
        <v>0</v>
      </c>
      <c r="Z117" s="1908">
        <f t="shared" ca="1" si="164"/>
        <v>0</v>
      </c>
      <c r="AA117" s="1908">
        <f t="shared" ca="1" si="164"/>
        <v>0</v>
      </c>
      <c r="AB117" s="1908">
        <f t="shared" ca="1" si="164"/>
        <v>0</v>
      </c>
      <c r="AC117" s="1907">
        <f t="shared" ref="AC117:CN117" ca="1" si="165">IF(AND(AC92&gt;$E$117-$D$129,AC92&lt;=$E$118-$D$129),10,0)</f>
        <v>0</v>
      </c>
      <c r="AD117" s="1908">
        <f t="shared" ca="1" si="165"/>
        <v>0</v>
      </c>
      <c r="AE117" s="1908">
        <f t="shared" ca="1" si="165"/>
        <v>0</v>
      </c>
      <c r="AF117" s="1908">
        <f t="shared" ca="1" si="165"/>
        <v>0</v>
      </c>
      <c r="AG117" s="1908">
        <f t="shared" ca="1" si="165"/>
        <v>0</v>
      </c>
      <c r="AH117" s="1908">
        <f t="shared" ca="1" si="165"/>
        <v>0</v>
      </c>
      <c r="AI117" s="1908">
        <f t="shared" ca="1" si="165"/>
        <v>0</v>
      </c>
      <c r="AJ117" s="1907">
        <f t="shared" ca="1" si="165"/>
        <v>0</v>
      </c>
      <c r="AK117" s="1908">
        <f t="shared" ca="1" si="165"/>
        <v>0</v>
      </c>
      <c r="AL117" s="1908">
        <f t="shared" ca="1" si="165"/>
        <v>0</v>
      </c>
      <c r="AM117" s="1908">
        <f t="shared" ca="1" si="165"/>
        <v>0</v>
      </c>
      <c r="AN117" s="1908">
        <f t="shared" ca="1" si="165"/>
        <v>0</v>
      </c>
      <c r="AO117" s="1908">
        <f t="shared" ca="1" si="165"/>
        <v>0</v>
      </c>
      <c r="AP117" s="1908">
        <f t="shared" ca="1" si="165"/>
        <v>0</v>
      </c>
      <c r="AQ117" s="1907">
        <f t="shared" ca="1" si="165"/>
        <v>0</v>
      </c>
      <c r="AR117" s="1908">
        <f t="shared" ca="1" si="165"/>
        <v>0</v>
      </c>
      <c r="AS117" s="1908">
        <f t="shared" ca="1" si="165"/>
        <v>0</v>
      </c>
      <c r="AT117" s="1908">
        <f t="shared" ca="1" si="165"/>
        <v>0</v>
      </c>
      <c r="AU117" s="1908">
        <f t="shared" ca="1" si="165"/>
        <v>0</v>
      </c>
      <c r="AV117" s="1908">
        <f t="shared" ca="1" si="165"/>
        <v>0</v>
      </c>
      <c r="AW117" s="1908">
        <f t="shared" ca="1" si="165"/>
        <v>0</v>
      </c>
      <c r="AX117" s="1907">
        <f t="shared" ca="1" si="165"/>
        <v>0</v>
      </c>
      <c r="AY117" s="1908">
        <f t="shared" ca="1" si="165"/>
        <v>0</v>
      </c>
      <c r="AZ117" s="1908">
        <f t="shared" ca="1" si="165"/>
        <v>0</v>
      </c>
      <c r="BA117" s="1908">
        <f t="shared" ca="1" si="165"/>
        <v>0</v>
      </c>
      <c r="BB117" s="1908">
        <f t="shared" ca="1" si="165"/>
        <v>0</v>
      </c>
      <c r="BC117" s="1908">
        <f t="shared" ca="1" si="165"/>
        <v>0</v>
      </c>
      <c r="BD117" s="1908">
        <f t="shared" ca="1" si="165"/>
        <v>0</v>
      </c>
      <c r="BE117" s="1907">
        <f t="shared" ca="1" si="165"/>
        <v>0</v>
      </c>
      <c r="BF117" s="1908">
        <f t="shared" ca="1" si="165"/>
        <v>0</v>
      </c>
      <c r="BG117" s="1908">
        <f t="shared" ca="1" si="165"/>
        <v>0</v>
      </c>
      <c r="BH117" s="1908">
        <f t="shared" ca="1" si="165"/>
        <v>0</v>
      </c>
      <c r="BI117" s="1908">
        <f t="shared" ca="1" si="165"/>
        <v>0</v>
      </c>
      <c r="BJ117" s="1908">
        <f t="shared" ca="1" si="165"/>
        <v>0</v>
      </c>
      <c r="BK117" s="1908">
        <f t="shared" ca="1" si="165"/>
        <v>0</v>
      </c>
      <c r="BL117" s="1907">
        <f t="shared" ca="1" si="165"/>
        <v>0</v>
      </c>
      <c r="BM117" s="1908">
        <f t="shared" ca="1" si="165"/>
        <v>0</v>
      </c>
      <c r="BN117" s="1908">
        <f t="shared" ca="1" si="165"/>
        <v>0</v>
      </c>
      <c r="BO117" s="1908">
        <f t="shared" ca="1" si="165"/>
        <v>0</v>
      </c>
      <c r="BP117" s="1908">
        <f t="shared" ca="1" si="165"/>
        <v>0</v>
      </c>
      <c r="BQ117" s="1908">
        <f t="shared" ca="1" si="165"/>
        <v>0</v>
      </c>
      <c r="BR117" s="1908">
        <f t="shared" ca="1" si="165"/>
        <v>0</v>
      </c>
      <c r="BS117" s="1907">
        <f t="shared" ca="1" si="165"/>
        <v>0</v>
      </c>
      <c r="BT117" s="1908">
        <f t="shared" ca="1" si="165"/>
        <v>0</v>
      </c>
      <c r="BU117" s="1908">
        <f t="shared" ca="1" si="165"/>
        <v>0</v>
      </c>
      <c r="BV117" s="1908">
        <f t="shared" ca="1" si="165"/>
        <v>0</v>
      </c>
      <c r="BW117" s="1908">
        <f t="shared" ca="1" si="165"/>
        <v>0</v>
      </c>
      <c r="BX117" s="1908">
        <f t="shared" ca="1" si="165"/>
        <v>0</v>
      </c>
      <c r="BY117" s="1908">
        <f t="shared" ca="1" si="165"/>
        <v>0</v>
      </c>
      <c r="BZ117" s="1907">
        <f t="shared" ca="1" si="165"/>
        <v>0</v>
      </c>
      <c r="CA117" s="1908">
        <f t="shared" ca="1" si="165"/>
        <v>0</v>
      </c>
      <c r="CB117" s="1908">
        <f t="shared" ca="1" si="165"/>
        <v>0</v>
      </c>
      <c r="CC117" s="1908">
        <f t="shared" ca="1" si="165"/>
        <v>0</v>
      </c>
      <c r="CD117" s="1908">
        <f t="shared" ca="1" si="165"/>
        <v>0</v>
      </c>
      <c r="CE117" s="1908">
        <f t="shared" ca="1" si="165"/>
        <v>0</v>
      </c>
      <c r="CF117" s="1908">
        <f t="shared" ca="1" si="165"/>
        <v>0</v>
      </c>
      <c r="CG117" s="1907">
        <f t="shared" ca="1" si="165"/>
        <v>0</v>
      </c>
      <c r="CH117" s="1908">
        <f t="shared" ca="1" si="165"/>
        <v>0</v>
      </c>
      <c r="CI117" s="1908">
        <f t="shared" ca="1" si="165"/>
        <v>0</v>
      </c>
      <c r="CJ117" s="1908">
        <f t="shared" ca="1" si="165"/>
        <v>0</v>
      </c>
      <c r="CK117" s="1908">
        <f t="shared" ca="1" si="165"/>
        <v>0</v>
      </c>
      <c r="CL117" s="1908">
        <f t="shared" ca="1" si="165"/>
        <v>0</v>
      </c>
      <c r="CM117" s="1908">
        <f t="shared" ca="1" si="165"/>
        <v>0</v>
      </c>
      <c r="CN117" s="1907">
        <f t="shared" ca="1" si="165"/>
        <v>0</v>
      </c>
      <c r="CO117" s="1908">
        <f t="shared" ref="CO117:EZ117" ca="1" si="166">IF(AND(CO92&gt;$E$117-$D$129,CO92&lt;=$E$118-$D$129),10,0)</f>
        <v>0</v>
      </c>
      <c r="CP117" s="1908">
        <f t="shared" ca="1" si="166"/>
        <v>0</v>
      </c>
      <c r="CQ117" s="1908">
        <f t="shared" ca="1" si="166"/>
        <v>0</v>
      </c>
      <c r="CR117" s="1908">
        <f t="shared" ca="1" si="166"/>
        <v>0</v>
      </c>
      <c r="CS117" s="1908">
        <f t="shared" ca="1" si="166"/>
        <v>0</v>
      </c>
      <c r="CT117" s="1908">
        <f t="shared" ca="1" si="166"/>
        <v>0</v>
      </c>
      <c r="CU117" s="1907">
        <f t="shared" ca="1" si="166"/>
        <v>0</v>
      </c>
      <c r="CV117" s="1908">
        <f t="shared" ca="1" si="166"/>
        <v>0</v>
      </c>
      <c r="CW117" s="1908">
        <f t="shared" ca="1" si="166"/>
        <v>0</v>
      </c>
      <c r="CX117" s="1908">
        <f t="shared" ca="1" si="166"/>
        <v>0</v>
      </c>
      <c r="CY117" s="1908">
        <f t="shared" ca="1" si="166"/>
        <v>0</v>
      </c>
      <c r="CZ117" s="1908">
        <f t="shared" ca="1" si="166"/>
        <v>0</v>
      </c>
      <c r="DA117" s="1908">
        <f t="shared" ca="1" si="166"/>
        <v>0</v>
      </c>
      <c r="DB117" s="1907">
        <f t="shared" ca="1" si="166"/>
        <v>0</v>
      </c>
      <c r="DC117" s="1908">
        <f t="shared" ca="1" si="166"/>
        <v>0</v>
      </c>
      <c r="DD117" s="1908">
        <f t="shared" ca="1" si="166"/>
        <v>0</v>
      </c>
      <c r="DE117" s="1908">
        <f t="shared" ca="1" si="166"/>
        <v>0</v>
      </c>
      <c r="DF117" s="1908">
        <f t="shared" ca="1" si="166"/>
        <v>0</v>
      </c>
      <c r="DG117" s="1908">
        <f t="shared" ca="1" si="166"/>
        <v>0</v>
      </c>
      <c r="DH117" s="1908">
        <f t="shared" ca="1" si="166"/>
        <v>0</v>
      </c>
      <c r="DI117" s="1907">
        <f t="shared" ca="1" si="166"/>
        <v>0</v>
      </c>
      <c r="DJ117" s="1908">
        <f t="shared" ca="1" si="166"/>
        <v>0</v>
      </c>
      <c r="DK117" s="1908">
        <f t="shared" ca="1" si="166"/>
        <v>0</v>
      </c>
      <c r="DL117" s="1908">
        <f t="shared" ca="1" si="166"/>
        <v>0</v>
      </c>
      <c r="DM117" s="1908">
        <f t="shared" ca="1" si="166"/>
        <v>0</v>
      </c>
      <c r="DN117" s="1908">
        <f t="shared" ca="1" si="166"/>
        <v>0</v>
      </c>
      <c r="DO117" s="1908">
        <f t="shared" ca="1" si="166"/>
        <v>0</v>
      </c>
      <c r="DP117" s="1907">
        <f t="shared" ca="1" si="166"/>
        <v>0</v>
      </c>
      <c r="DQ117" s="1908">
        <f t="shared" ca="1" si="166"/>
        <v>0</v>
      </c>
      <c r="DR117" s="1908">
        <f t="shared" ca="1" si="166"/>
        <v>0</v>
      </c>
      <c r="DS117" s="1908">
        <f t="shared" ca="1" si="166"/>
        <v>0</v>
      </c>
      <c r="DT117" s="1908">
        <f t="shared" ca="1" si="166"/>
        <v>0</v>
      </c>
      <c r="DU117" s="1908">
        <f t="shared" ca="1" si="166"/>
        <v>0</v>
      </c>
      <c r="DV117" s="1908">
        <f t="shared" ca="1" si="166"/>
        <v>0</v>
      </c>
      <c r="DW117" s="1907">
        <f t="shared" ca="1" si="166"/>
        <v>0</v>
      </c>
      <c r="DX117" s="1908">
        <f t="shared" ca="1" si="166"/>
        <v>0</v>
      </c>
      <c r="DY117" s="1908">
        <f t="shared" ca="1" si="166"/>
        <v>0</v>
      </c>
      <c r="DZ117" s="1908">
        <f t="shared" ca="1" si="166"/>
        <v>0</v>
      </c>
      <c r="EA117" s="1908">
        <f t="shared" ca="1" si="166"/>
        <v>0</v>
      </c>
      <c r="EB117" s="1908">
        <f t="shared" ca="1" si="166"/>
        <v>0</v>
      </c>
      <c r="EC117" s="1908">
        <f t="shared" ca="1" si="166"/>
        <v>0</v>
      </c>
      <c r="ED117" s="1907">
        <f t="shared" ca="1" si="166"/>
        <v>0</v>
      </c>
      <c r="EE117" s="1908">
        <f t="shared" ca="1" si="166"/>
        <v>0</v>
      </c>
      <c r="EF117" s="1908">
        <f t="shared" ca="1" si="166"/>
        <v>0</v>
      </c>
      <c r="EG117" s="1908">
        <f t="shared" ca="1" si="166"/>
        <v>0</v>
      </c>
      <c r="EH117" s="1908">
        <f t="shared" ca="1" si="166"/>
        <v>0</v>
      </c>
      <c r="EI117" s="1908">
        <f t="shared" ca="1" si="166"/>
        <v>0</v>
      </c>
      <c r="EJ117" s="1908">
        <f t="shared" ca="1" si="166"/>
        <v>0</v>
      </c>
      <c r="EK117" s="1907">
        <f t="shared" ca="1" si="166"/>
        <v>0</v>
      </c>
      <c r="EL117" s="1908">
        <f t="shared" ca="1" si="166"/>
        <v>0</v>
      </c>
      <c r="EM117" s="1908">
        <f t="shared" ca="1" si="166"/>
        <v>0</v>
      </c>
      <c r="EN117" s="1908">
        <f t="shared" ca="1" si="166"/>
        <v>0</v>
      </c>
      <c r="EO117" s="1908">
        <f t="shared" ca="1" si="166"/>
        <v>0</v>
      </c>
      <c r="EP117" s="1908">
        <f t="shared" ca="1" si="166"/>
        <v>0</v>
      </c>
      <c r="EQ117" s="1908">
        <f t="shared" ca="1" si="166"/>
        <v>0</v>
      </c>
      <c r="ER117" s="1907">
        <f t="shared" ca="1" si="166"/>
        <v>0</v>
      </c>
      <c r="ES117" s="1908">
        <f t="shared" ca="1" si="166"/>
        <v>0</v>
      </c>
      <c r="ET117" s="1908">
        <f t="shared" ca="1" si="166"/>
        <v>0</v>
      </c>
      <c r="EU117" s="1908">
        <f t="shared" ca="1" si="166"/>
        <v>0</v>
      </c>
      <c r="EV117" s="1908">
        <f t="shared" ca="1" si="166"/>
        <v>0</v>
      </c>
      <c r="EW117" s="1908">
        <f t="shared" ca="1" si="166"/>
        <v>0</v>
      </c>
      <c r="EX117" s="1908">
        <f t="shared" ca="1" si="166"/>
        <v>0</v>
      </c>
      <c r="EY117" s="1907">
        <f t="shared" ca="1" si="166"/>
        <v>0</v>
      </c>
      <c r="EZ117" s="1908">
        <f t="shared" ca="1" si="166"/>
        <v>0</v>
      </c>
      <c r="FA117" s="1908">
        <f t="shared" ref="FA117:HL117" ca="1" si="167">IF(AND(FA92&gt;$E$117-$D$129,FA92&lt;=$E$118-$D$129),10,0)</f>
        <v>0</v>
      </c>
      <c r="FB117" s="1908">
        <f t="shared" ca="1" si="167"/>
        <v>0</v>
      </c>
      <c r="FC117" s="1908">
        <f t="shared" ca="1" si="167"/>
        <v>0</v>
      </c>
      <c r="FD117" s="1908">
        <f t="shared" ca="1" si="167"/>
        <v>0</v>
      </c>
      <c r="FE117" s="1908">
        <f t="shared" ca="1" si="167"/>
        <v>0</v>
      </c>
      <c r="FF117" s="1907">
        <f t="shared" ca="1" si="167"/>
        <v>0</v>
      </c>
      <c r="FG117" s="1908">
        <f t="shared" ca="1" si="167"/>
        <v>0</v>
      </c>
      <c r="FH117" s="1908">
        <f t="shared" ca="1" si="167"/>
        <v>0</v>
      </c>
      <c r="FI117" s="1908">
        <f t="shared" ca="1" si="167"/>
        <v>0</v>
      </c>
      <c r="FJ117" s="1908">
        <f t="shared" ca="1" si="167"/>
        <v>0</v>
      </c>
      <c r="FK117" s="1908">
        <f t="shared" ca="1" si="167"/>
        <v>0</v>
      </c>
      <c r="FL117" s="1908">
        <f t="shared" ca="1" si="167"/>
        <v>0</v>
      </c>
      <c r="FM117" s="1907">
        <f t="shared" ca="1" si="167"/>
        <v>0</v>
      </c>
      <c r="FN117" s="1908">
        <f t="shared" ca="1" si="167"/>
        <v>0</v>
      </c>
      <c r="FO117" s="1908">
        <f t="shared" ca="1" si="167"/>
        <v>0</v>
      </c>
      <c r="FP117" s="1908">
        <f t="shared" ca="1" si="167"/>
        <v>0</v>
      </c>
      <c r="FQ117" s="1908">
        <f t="shared" ca="1" si="167"/>
        <v>0</v>
      </c>
      <c r="FR117" s="1908">
        <f t="shared" ca="1" si="167"/>
        <v>0</v>
      </c>
      <c r="FS117" s="1908">
        <f t="shared" ca="1" si="167"/>
        <v>0</v>
      </c>
      <c r="FT117" s="1907">
        <f t="shared" ca="1" si="167"/>
        <v>0</v>
      </c>
      <c r="FU117" s="1908">
        <f t="shared" ca="1" si="167"/>
        <v>0</v>
      </c>
      <c r="FV117" s="1908">
        <f t="shared" ca="1" si="167"/>
        <v>0</v>
      </c>
      <c r="FW117" s="1908">
        <f t="shared" ca="1" si="167"/>
        <v>0</v>
      </c>
      <c r="FX117" s="1908">
        <f t="shared" ca="1" si="167"/>
        <v>0</v>
      </c>
      <c r="FY117" s="1908">
        <f t="shared" ca="1" si="167"/>
        <v>0</v>
      </c>
      <c r="FZ117" s="1908">
        <f t="shared" ca="1" si="167"/>
        <v>0</v>
      </c>
      <c r="GA117" s="1907">
        <f t="shared" ca="1" si="167"/>
        <v>0</v>
      </c>
      <c r="GB117" s="1908">
        <f t="shared" ca="1" si="167"/>
        <v>0</v>
      </c>
      <c r="GC117" s="1908">
        <f t="shared" ca="1" si="167"/>
        <v>0</v>
      </c>
      <c r="GD117" s="1908">
        <f t="shared" ca="1" si="167"/>
        <v>0</v>
      </c>
      <c r="GE117" s="1908">
        <f t="shared" ca="1" si="167"/>
        <v>0</v>
      </c>
      <c r="GF117" s="1908">
        <f t="shared" ca="1" si="167"/>
        <v>0</v>
      </c>
      <c r="GG117" s="1908">
        <f t="shared" ca="1" si="167"/>
        <v>0</v>
      </c>
      <c r="GH117" s="1907">
        <f t="shared" ca="1" si="167"/>
        <v>0</v>
      </c>
      <c r="GI117" s="1908">
        <f t="shared" ca="1" si="167"/>
        <v>0</v>
      </c>
      <c r="GJ117" s="1908">
        <f t="shared" ca="1" si="167"/>
        <v>0</v>
      </c>
      <c r="GK117" s="1908">
        <f t="shared" ca="1" si="167"/>
        <v>0</v>
      </c>
      <c r="GL117" s="1908">
        <f t="shared" ca="1" si="167"/>
        <v>0</v>
      </c>
      <c r="GM117" s="1908">
        <f t="shared" ca="1" si="167"/>
        <v>0</v>
      </c>
      <c r="GN117" s="1908">
        <f t="shared" ca="1" si="167"/>
        <v>0</v>
      </c>
      <c r="GO117" s="1907">
        <f t="shared" ca="1" si="167"/>
        <v>0</v>
      </c>
      <c r="GP117" s="1908">
        <f t="shared" ca="1" si="167"/>
        <v>0</v>
      </c>
      <c r="GQ117" s="1908">
        <f t="shared" ca="1" si="167"/>
        <v>0</v>
      </c>
      <c r="GR117" s="1908">
        <f t="shared" ca="1" si="167"/>
        <v>0</v>
      </c>
      <c r="GS117" s="1908">
        <f t="shared" ca="1" si="167"/>
        <v>0</v>
      </c>
      <c r="GT117" s="1908">
        <f t="shared" ca="1" si="167"/>
        <v>0</v>
      </c>
      <c r="GU117" s="1908">
        <f t="shared" ca="1" si="167"/>
        <v>0</v>
      </c>
      <c r="GV117" s="1907">
        <f t="shared" ca="1" si="167"/>
        <v>0</v>
      </c>
      <c r="GW117" s="1908">
        <f t="shared" ca="1" si="167"/>
        <v>0</v>
      </c>
      <c r="GX117" s="1908">
        <f t="shared" ca="1" si="167"/>
        <v>0</v>
      </c>
      <c r="GY117" s="1908">
        <f t="shared" ca="1" si="167"/>
        <v>0</v>
      </c>
      <c r="GZ117" s="1908">
        <f t="shared" ca="1" si="167"/>
        <v>0</v>
      </c>
      <c r="HA117" s="1908">
        <f t="shared" ca="1" si="167"/>
        <v>0</v>
      </c>
      <c r="HB117" s="1908">
        <f t="shared" ca="1" si="167"/>
        <v>0</v>
      </c>
      <c r="HC117" s="1907">
        <f t="shared" ca="1" si="167"/>
        <v>0</v>
      </c>
      <c r="HD117" s="1908">
        <f t="shared" ca="1" si="167"/>
        <v>0</v>
      </c>
      <c r="HE117" s="1908">
        <f t="shared" ca="1" si="167"/>
        <v>0</v>
      </c>
      <c r="HF117" s="1908">
        <f t="shared" ca="1" si="167"/>
        <v>0</v>
      </c>
      <c r="HG117" s="1908">
        <f t="shared" ca="1" si="167"/>
        <v>0</v>
      </c>
      <c r="HH117" s="1908">
        <f t="shared" ca="1" si="167"/>
        <v>0</v>
      </c>
      <c r="HI117" s="1908">
        <f t="shared" ca="1" si="167"/>
        <v>0</v>
      </c>
      <c r="HJ117" s="1907">
        <f t="shared" ca="1" si="167"/>
        <v>0</v>
      </c>
      <c r="HK117" s="1908">
        <f t="shared" ca="1" si="167"/>
        <v>0</v>
      </c>
      <c r="HL117" s="1908">
        <f t="shared" ca="1" si="167"/>
        <v>0</v>
      </c>
      <c r="HM117" s="1908">
        <f t="shared" ref="HM117:IK117" ca="1" si="168">IF(AND(HM92&gt;$E$117-$D$129,HM92&lt;=$E$118-$D$129),10,0)</f>
        <v>0</v>
      </c>
      <c r="HN117" s="1908">
        <f t="shared" ca="1" si="168"/>
        <v>0</v>
      </c>
      <c r="HO117" s="1908">
        <f t="shared" ca="1" si="168"/>
        <v>0</v>
      </c>
      <c r="HP117" s="1908">
        <f t="shared" ca="1" si="168"/>
        <v>0</v>
      </c>
      <c r="HQ117" s="1907">
        <f t="shared" ca="1" si="168"/>
        <v>0</v>
      </c>
      <c r="HR117" s="1908">
        <f t="shared" ca="1" si="168"/>
        <v>0</v>
      </c>
      <c r="HS117" s="1908">
        <f t="shared" ca="1" si="168"/>
        <v>0</v>
      </c>
      <c r="HT117" s="1908">
        <f t="shared" ca="1" si="168"/>
        <v>0</v>
      </c>
      <c r="HU117" s="1908">
        <f t="shared" ca="1" si="168"/>
        <v>0</v>
      </c>
      <c r="HV117" s="1908">
        <f t="shared" ca="1" si="168"/>
        <v>0</v>
      </c>
      <c r="HW117" s="1908">
        <f t="shared" ca="1" si="168"/>
        <v>0</v>
      </c>
      <c r="HX117" s="1907">
        <f t="shared" ca="1" si="168"/>
        <v>0</v>
      </c>
      <c r="HY117" s="1908">
        <f t="shared" ca="1" si="168"/>
        <v>0</v>
      </c>
      <c r="HZ117" s="1908">
        <f t="shared" ca="1" si="168"/>
        <v>0</v>
      </c>
      <c r="IA117" s="1908">
        <f t="shared" ca="1" si="168"/>
        <v>0</v>
      </c>
      <c r="IB117" s="1908">
        <f t="shared" ca="1" si="168"/>
        <v>0</v>
      </c>
      <c r="IC117" s="1908">
        <f t="shared" ca="1" si="168"/>
        <v>0</v>
      </c>
      <c r="ID117" s="1908">
        <f t="shared" ca="1" si="168"/>
        <v>0</v>
      </c>
      <c r="IE117" s="1907">
        <f t="shared" ca="1" si="168"/>
        <v>0</v>
      </c>
      <c r="IF117" s="1908">
        <f t="shared" ca="1" si="168"/>
        <v>0</v>
      </c>
      <c r="IG117" s="1908">
        <f t="shared" ca="1" si="168"/>
        <v>0</v>
      </c>
      <c r="IH117" s="1908">
        <f t="shared" ca="1" si="168"/>
        <v>0</v>
      </c>
      <c r="II117" s="1908">
        <f t="shared" ca="1" si="168"/>
        <v>0</v>
      </c>
      <c r="IJ117" s="1908">
        <f t="shared" ca="1" si="168"/>
        <v>0</v>
      </c>
      <c r="IK117" s="1909">
        <f t="shared" ca="1" si="168"/>
        <v>0</v>
      </c>
    </row>
    <row r="118" spans="1:245" ht="7.5" hidden="1" customHeight="1" x14ac:dyDescent="0.35">
      <c r="A118" s="195">
        <f>IF(B117=0,0,"XXX")</f>
        <v>0</v>
      </c>
      <c r="B118" s="1910"/>
      <c r="C118" s="1912"/>
      <c r="D118" s="360" t="str">
        <f>IF(ENTRADAS!$F$22=0,0,"término:")</f>
        <v>término:</v>
      </c>
      <c r="E118" s="361">
        <f>IF(C117=0,0,E117+F117)</f>
        <v>0</v>
      </c>
      <c r="F118" s="1913"/>
      <c r="G118" s="1914"/>
      <c r="H118" s="1907"/>
      <c r="I118" s="1908"/>
      <c r="J118" s="1908"/>
      <c r="K118" s="1908"/>
      <c r="L118" s="1908"/>
      <c r="M118" s="1908"/>
      <c r="N118" s="1908"/>
      <c r="O118" s="1907"/>
      <c r="P118" s="1908"/>
      <c r="Q118" s="1908"/>
      <c r="R118" s="1908"/>
      <c r="S118" s="1908"/>
      <c r="T118" s="1908"/>
      <c r="U118" s="1908"/>
      <c r="V118" s="1907"/>
      <c r="W118" s="1908"/>
      <c r="X118" s="1908"/>
      <c r="Y118" s="1908"/>
      <c r="Z118" s="1908"/>
      <c r="AA118" s="1908"/>
      <c r="AB118" s="1908"/>
      <c r="AC118" s="1907"/>
      <c r="AD118" s="1908"/>
      <c r="AE118" s="1908"/>
      <c r="AF118" s="1908"/>
      <c r="AG118" s="1908"/>
      <c r="AH118" s="1908"/>
      <c r="AI118" s="1908"/>
      <c r="AJ118" s="1907"/>
      <c r="AK118" s="1908"/>
      <c r="AL118" s="1908"/>
      <c r="AM118" s="1908"/>
      <c r="AN118" s="1908"/>
      <c r="AO118" s="1908"/>
      <c r="AP118" s="1908"/>
      <c r="AQ118" s="1907"/>
      <c r="AR118" s="1908"/>
      <c r="AS118" s="1908"/>
      <c r="AT118" s="1908"/>
      <c r="AU118" s="1908"/>
      <c r="AV118" s="1908"/>
      <c r="AW118" s="1908"/>
      <c r="AX118" s="1907"/>
      <c r="AY118" s="1908"/>
      <c r="AZ118" s="1908"/>
      <c r="BA118" s="1908"/>
      <c r="BB118" s="1908"/>
      <c r="BC118" s="1908"/>
      <c r="BD118" s="1908"/>
      <c r="BE118" s="1907"/>
      <c r="BF118" s="1908"/>
      <c r="BG118" s="1908"/>
      <c r="BH118" s="1908"/>
      <c r="BI118" s="1908"/>
      <c r="BJ118" s="1908"/>
      <c r="BK118" s="1908"/>
      <c r="BL118" s="1907"/>
      <c r="BM118" s="1908"/>
      <c r="BN118" s="1908"/>
      <c r="BO118" s="1908"/>
      <c r="BP118" s="1908"/>
      <c r="BQ118" s="1908"/>
      <c r="BR118" s="1908"/>
      <c r="BS118" s="1907"/>
      <c r="BT118" s="1908"/>
      <c r="BU118" s="1908"/>
      <c r="BV118" s="1908"/>
      <c r="BW118" s="1908"/>
      <c r="BX118" s="1908"/>
      <c r="BY118" s="1908"/>
      <c r="BZ118" s="1907"/>
      <c r="CA118" s="1908"/>
      <c r="CB118" s="1908"/>
      <c r="CC118" s="1908"/>
      <c r="CD118" s="1908"/>
      <c r="CE118" s="1908"/>
      <c r="CF118" s="1908"/>
      <c r="CG118" s="1907"/>
      <c r="CH118" s="1908"/>
      <c r="CI118" s="1908"/>
      <c r="CJ118" s="1908"/>
      <c r="CK118" s="1908"/>
      <c r="CL118" s="1908"/>
      <c r="CM118" s="1908"/>
      <c r="CN118" s="1907"/>
      <c r="CO118" s="1908"/>
      <c r="CP118" s="1908"/>
      <c r="CQ118" s="1908"/>
      <c r="CR118" s="1908"/>
      <c r="CS118" s="1908"/>
      <c r="CT118" s="1908"/>
      <c r="CU118" s="1907"/>
      <c r="CV118" s="1908"/>
      <c r="CW118" s="1908"/>
      <c r="CX118" s="1908"/>
      <c r="CY118" s="1908"/>
      <c r="CZ118" s="1908"/>
      <c r="DA118" s="1908"/>
      <c r="DB118" s="1907"/>
      <c r="DC118" s="1908"/>
      <c r="DD118" s="1908"/>
      <c r="DE118" s="1908"/>
      <c r="DF118" s="1908"/>
      <c r="DG118" s="1908"/>
      <c r="DH118" s="1908"/>
      <c r="DI118" s="1907"/>
      <c r="DJ118" s="1908"/>
      <c r="DK118" s="1908"/>
      <c r="DL118" s="1908"/>
      <c r="DM118" s="1908"/>
      <c r="DN118" s="1908"/>
      <c r="DO118" s="1908"/>
      <c r="DP118" s="1907"/>
      <c r="DQ118" s="1908"/>
      <c r="DR118" s="1908"/>
      <c r="DS118" s="1908"/>
      <c r="DT118" s="1908"/>
      <c r="DU118" s="1908"/>
      <c r="DV118" s="1908"/>
      <c r="DW118" s="1907"/>
      <c r="DX118" s="1908"/>
      <c r="DY118" s="1908"/>
      <c r="DZ118" s="1908"/>
      <c r="EA118" s="1908"/>
      <c r="EB118" s="1908"/>
      <c r="EC118" s="1908"/>
      <c r="ED118" s="1907"/>
      <c r="EE118" s="1908"/>
      <c r="EF118" s="1908"/>
      <c r="EG118" s="1908"/>
      <c r="EH118" s="1908"/>
      <c r="EI118" s="1908"/>
      <c r="EJ118" s="1908"/>
      <c r="EK118" s="1907"/>
      <c r="EL118" s="1908"/>
      <c r="EM118" s="1908"/>
      <c r="EN118" s="1908"/>
      <c r="EO118" s="1908"/>
      <c r="EP118" s="1908"/>
      <c r="EQ118" s="1908"/>
      <c r="ER118" s="1907"/>
      <c r="ES118" s="1908"/>
      <c r="ET118" s="1908"/>
      <c r="EU118" s="1908"/>
      <c r="EV118" s="1908"/>
      <c r="EW118" s="1908"/>
      <c r="EX118" s="1908"/>
      <c r="EY118" s="1907"/>
      <c r="EZ118" s="1908"/>
      <c r="FA118" s="1908"/>
      <c r="FB118" s="1908"/>
      <c r="FC118" s="1908"/>
      <c r="FD118" s="1908"/>
      <c r="FE118" s="1908"/>
      <c r="FF118" s="1907"/>
      <c r="FG118" s="1908"/>
      <c r="FH118" s="1908"/>
      <c r="FI118" s="1908"/>
      <c r="FJ118" s="1908"/>
      <c r="FK118" s="1908"/>
      <c r="FL118" s="1908"/>
      <c r="FM118" s="1907"/>
      <c r="FN118" s="1908"/>
      <c r="FO118" s="1908"/>
      <c r="FP118" s="1908"/>
      <c r="FQ118" s="1908"/>
      <c r="FR118" s="1908"/>
      <c r="FS118" s="1908"/>
      <c r="FT118" s="1907"/>
      <c r="FU118" s="1908"/>
      <c r="FV118" s="1908"/>
      <c r="FW118" s="1908"/>
      <c r="FX118" s="1908"/>
      <c r="FY118" s="1908"/>
      <c r="FZ118" s="1908"/>
      <c r="GA118" s="1907"/>
      <c r="GB118" s="1908"/>
      <c r="GC118" s="1908"/>
      <c r="GD118" s="1908"/>
      <c r="GE118" s="1908"/>
      <c r="GF118" s="1908"/>
      <c r="GG118" s="1908"/>
      <c r="GH118" s="1907"/>
      <c r="GI118" s="1908"/>
      <c r="GJ118" s="1908"/>
      <c r="GK118" s="1908"/>
      <c r="GL118" s="1908"/>
      <c r="GM118" s="1908"/>
      <c r="GN118" s="1908"/>
      <c r="GO118" s="1907"/>
      <c r="GP118" s="1908"/>
      <c r="GQ118" s="1908"/>
      <c r="GR118" s="1908"/>
      <c r="GS118" s="1908"/>
      <c r="GT118" s="1908"/>
      <c r="GU118" s="1908"/>
      <c r="GV118" s="1907"/>
      <c r="GW118" s="1908"/>
      <c r="GX118" s="1908"/>
      <c r="GY118" s="1908"/>
      <c r="GZ118" s="1908"/>
      <c r="HA118" s="1908"/>
      <c r="HB118" s="1908"/>
      <c r="HC118" s="1907"/>
      <c r="HD118" s="1908"/>
      <c r="HE118" s="1908"/>
      <c r="HF118" s="1908"/>
      <c r="HG118" s="1908"/>
      <c r="HH118" s="1908"/>
      <c r="HI118" s="1908"/>
      <c r="HJ118" s="1907"/>
      <c r="HK118" s="1908"/>
      <c r="HL118" s="1908"/>
      <c r="HM118" s="1908"/>
      <c r="HN118" s="1908"/>
      <c r="HO118" s="1908"/>
      <c r="HP118" s="1908"/>
      <c r="HQ118" s="1907"/>
      <c r="HR118" s="1908"/>
      <c r="HS118" s="1908"/>
      <c r="HT118" s="1908"/>
      <c r="HU118" s="1908"/>
      <c r="HV118" s="1908"/>
      <c r="HW118" s="1908"/>
      <c r="HX118" s="1907"/>
      <c r="HY118" s="1908"/>
      <c r="HZ118" s="1908"/>
      <c r="IA118" s="1908"/>
      <c r="IB118" s="1908"/>
      <c r="IC118" s="1908"/>
      <c r="ID118" s="1908"/>
      <c r="IE118" s="1907"/>
      <c r="IF118" s="1908"/>
      <c r="IG118" s="1908"/>
      <c r="IH118" s="1908"/>
      <c r="II118" s="1908"/>
      <c r="IJ118" s="1908"/>
      <c r="IK118" s="1909"/>
    </row>
    <row r="119" spans="1:245" ht="7.5" hidden="1" customHeight="1" x14ac:dyDescent="0.35">
      <c r="A119" s="195">
        <f>IF(B119=0,0,"XXX")</f>
        <v>0</v>
      </c>
      <c r="B119" s="1910">
        <f>IF(ENTRADAS!J1254=0,0,ENTRADAS!C1254)</f>
        <v>0</v>
      </c>
      <c r="C119" s="1911">
        <f>IF(ENTRADAS!J1254="x",ENTRADAS!D1254,0)</f>
        <v>0</v>
      </c>
      <c r="D119" s="358" t="str">
        <f>IF(ENTRADAS!$F$22=0,0,"início:")</f>
        <v>início:</v>
      </c>
      <c r="E119" s="359">
        <f>IF(C119=0,0,IF(F120&gt;0,F120+D129,IF(ENTRADAS!$O$1252="J",E106+2,E106+1+F117+2)))</f>
        <v>0</v>
      </c>
      <c r="F119" s="454">
        <f>IF(C119=0,0,ENTRADAS!$H$1254)</f>
        <v>0</v>
      </c>
      <c r="G119" s="455" t="str">
        <f>IF(ENTRADAS!$F$22=0,0,"dias")</f>
        <v>dias</v>
      </c>
      <c r="H119" s="1907">
        <f>IF(F119=0,0,IF(ENTRADAS!$O$1252="J",IF(AND(H92+$D$129&gt;=$E$119,H92+$D$129&lt;=$E$120+1),10,0),IF(AND(H92+$D$129+1&gt;=$E$119,H92+$D$129+1&lt;=$E$120),10,0)))</f>
        <v>0</v>
      </c>
      <c r="I119" s="1908">
        <f ca="1">IF(ENTRADAS!$O$1252="J",IF(AND(I92+$D$129&gt;=$E$119,I92+$D$129&lt;=$E$120+1),10,0),IF(AND(I92+$D$129+1&gt;=$E$119,I92+$D$129+1&lt;=$E$120),10,0))</f>
        <v>0</v>
      </c>
      <c r="J119" s="1908">
        <f ca="1">IF(ENTRADAS!$O$1252="J",IF(AND(J92+$D$129&gt;=$E$119,J92+$D$129&lt;=$E$120+1),10,0),IF(AND(J92+$D$129+1&gt;=$E$119,J92+$D$129+1&lt;=$E$120),10,0))</f>
        <v>0</v>
      </c>
      <c r="K119" s="1908">
        <f ca="1">IF(ENTRADAS!$O$1252="J",IF(AND(K92+$D$129&gt;=$E$119,K92+$D$129&lt;=$E$120+1),10,0),IF(AND(K92+$D$129+1&gt;=$E$119,K92+$D$129+1&lt;=$E$120),10,0))</f>
        <v>0</v>
      </c>
      <c r="L119" s="1908">
        <f ca="1">IF(ENTRADAS!$O$1252="J",IF(AND(L92+$D$129&gt;=$E$119,L92+$D$129&lt;=$E$120+1),10,0),IF(AND(L92+$D$129+1&gt;=$E$119,L92+$D$129+1&lt;=$E$120),10,0))</f>
        <v>0</v>
      </c>
      <c r="M119" s="1908">
        <f ca="1">IF(ENTRADAS!$O$1252="J",IF(AND(M92+$D$129&gt;=$E$119,M92+$D$129&lt;=$E$120+1),10,0),IF(AND(M92+$D$129+1&gt;=$E$119,M92+$D$129+1&lt;=$E$120),10,0))</f>
        <v>0</v>
      </c>
      <c r="N119" s="1908">
        <f ca="1">IF(ENTRADAS!$O$1252="J",IF(AND(N92+$D$129&gt;=$E$119,N92+$D$129&lt;=$E$120+1),10,0),IF(AND(N92+$D$129+1&gt;=$E$119,N92+$D$129+1&lt;=$E$120),10,0))</f>
        <v>0</v>
      </c>
      <c r="O119" s="1907">
        <f ca="1">IF(ENTRADAS!$O$1252="J",IF(AND(O92+$D$129&gt;=$E$119,O92+$D$129&lt;=$E$120+1),10,0),IF(AND(O92+$D$129+1&gt;=$E$119,O92+$D$129+1&lt;=$E$120),10,0))</f>
        <v>0</v>
      </c>
      <c r="P119" s="1908">
        <f ca="1">IF(ENTRADAS!$O$1252="J",IF(AND(P92+$D$129&gt;=$E$119,P92+$D$129&lt;=$E$120+1),10,0),IF(AND(P92+$D$129+1&gt;=$E$119,P92+$D$129+1&lt;=$E$120),10,0))</f>
        <v>0</v>
      </c>
      <c r="Q119" s="1908">
        <f ca="1">IF(ENTRADAS!$O$1252="J",IF(AND(Q92+$D$129&gt;=$E$119,Q92+$D$129&lt;=$E$120+1),10,0),IF(AND(Q92+$D$129+1&gt;=$E$119,Q92+$D$129+1&lt;=$E$120),10,0))</f>
        <v>0</v>
      </c>
      <c r="R119" s="1908">
        <f ca="1">IF(ENTRADAS!$O$1252="J",IF(AND(R92+$D$129&gt;=$E$119,R92+$D$129&lt;=$E$120+1),10,0),IF(AND(R92+$D$129+1&gt;=$E$119,R92+$D$129+1&lt;=$E$120),10,0))</f>
        <v>0</v>
      </c>
      <c r="S119" s="1908">
        <f ca="1">IF(ENTRADAS!$O$1252="J",IF(AND(S92+$D$129&gt;=$E$119,S92+$D$129&lt;=$E$120+1),10,0),IF(AND(S92+$D$129+1&gt;=$E$119,S92+$D$129+1&lt;=$E$120),10,0))</f>
        <v>0</v>
      </c>
      <c r="T119" s="1908">
        <f ca="1">IF(ENTRADAS!$O$1252="J",IF(AND(T92+$D$129&gt;=$E$119,T92+$D$129&lt;=$E$120+1),10,0),IF(AND(T92+$D$129+1&gt;=$E$119,T92+$D$129+1&lt;=$E$120),10,0))</f>
        <v>0</v>
      </c>
      <c r="U119" s="1908">
        <f ca="1">IF(ENTRADAS!$O$1252="J",IF(AND(U92+$D$129&gt;=$E$119,U92+$D$129&lt;=$E$120+1),10,0),IF(AND(U92+$D$129+1&gt;=$E$119,U92+$D$129+1&lt;=$E$120),10,0))</f>
        <v>0</v>
      </c>
      <c r="V119" s="1907">
        <f ca="1">IF(ENTRADAS!$O$1252="J",IF(AND(V92+$D$129&gt;=$E$119,V92+$D$129&lt;=$E$120+1),10,0),IF(AND(V92+$D$129+1&gt;=$E$119,V92+$D$129+1&lt;=$E$120),10,0))</f>
        <v>0</v>
      </c>
      <c r="W119" s="1908">
        <f ca="1">IF(ENTRADAS!$O$1252="J",IF(AND(W92+$D$129&gt;=$E$119,W92+$D$129&lt;=$E$120+1),10,0),IF(AND(W92+$D$129+1&gt;=$E$119,W92+$D$129+1&lt;=$E$120),10,0))</f>
        <v>0</v>
      </c>
      <c r="X119" s="1908">
        <f ca="1">IF(ENTRADAS!$O$1252="J",IF(AND(X92+$D$129&gt;=$E$119,X92+$D$129&lt;=$E$120+1),10,0),IF(AND(X92+$D$129+1&gt;=$E$119,X92+$D$129+1&lt;=$E$120),10,0))</f>
        <v>0</v>
      </c>
      <c r="Y119" s="1908">
        <f ca="1">IF(ENTRADAS!$O$1252="J",IF(AND(Y92+$D$129&gt;=$E$119,Y92+$D$129&lt;=$E$120+1),10,0),IF(AND(Y92+$D$129+1&gt;=$E$119,Y92+$D$129+1&lt;=$E$120),10,0))</f>
        <v>0</v>
      </c>
      <c r="Z119" s="1908">
        <f ca="1">IF(ENTRADAS!$O$1252="J",IF(AND(Z92+$D$129&gt;=$E$119,Z92+$D$129&lt;=$E$120+1),10,0),IF(AND(Z92+$D$129+1&gt;=$E$119,Z92+$D$129+1&lt;=$E$120),10,0))</f>
        <v>0</v>
      </c>
      <c r="AA119" s="1908">
        <f ca="1">IF(ENTRADAS!$O$1252="J",IF(AND(AA92+$D$129&gt;=$E$119,AA92+$D$129&lt;=$E$120+1),10,0),IF(AND(AA92+$D$129+1&gt;=$E$119,AA92+$D$129+1&lt;=$E$120),10,0))</f>
        <v>0</v>
      </c>
      <c r="AB119" s="1908">
        <f ca="1">IF(ENTRADAS!$O$1252="J",IF(AND(AB92+$D$129&gt;=$E$119,AB92+$D$129&lt;=$E$120+1),10,0),IF(AND(AB92+$D$129+1&gt;=$E$119,AB92+$D$129+1&lt;=$E$120),10,0))</f>
        <v>0</v>
      </c>
      <c r="AC119" s="1907">
        <f ca="1">IF(ENTRADAS!$O$1252="J",IF(AND(AC92+$D$129&gt;=$E$119,AC92+$D$129&lt;=$E$120+1),10,0),IF(AND(AC92+$D$129+1&gt;=$E$119,AC92+$D$129+1&lt;=$E$120),10,0))</f>
        <v>0</v>
      </c>
      <c r="AD119" s="1908">
        <f ca="1">IF(ENTRADAS!$O$1252="J",IF(AND(AD92+$D$129&gt;=$E$119,AD92+$D$129&lt;=$E$120+1),10,0),IF(AND(AD92+$D$129+1&gt;=$E$119,AD92+$D$129+1&lt;=$E$120),10,0))</f>
        <v>0</v>
      </c>
      <c r="AE119" s="1908">
        <f ca="1">IF(ENTRADAS!$O$1252="J",IF(AND(AE92+$D$129&gt;=$E$119,AE92+$D$129&lt;=$E$120+1),10,0),IF(AND(AE92+$D$129+1&gt;=$E$119,AE92+$D$129+1&lt;=$E$120),10,0))</f>
        <v>0</v>
      </c>
      <c r="AF119" s="1908">
        <f ca="1">IF(ENTRADAS!$O$1252="J",IF(AND(AF92+$D$129&gt;=$E$119,AF92+$D$129&lt;=$E$120+1),10,0),IF(AND(AF92+$D$129+1&gt;=$E$119,AF92+$D$129+1&lt;=$E$120),10,0))</f>
        <v>0</v>
      </c>
      <c r="AG119" s="1908">
        <f ca="1">IF(ENTRADAS!$O$1252="J",IF(AND(AG92+$D$129&gt;=$E$119,AG92+$D$129&lt;=$E$120+1),10,0),IF(AND(AG92+$D$129+1&gt;=$E$119,AG92+$D$129+1&lt;=$E$120),10,0))</f>
        <v>0</v>
      </c>
      <c r="AH119" s="1908">
        <f ca="1">IF(ENTRADAS!$O$1252="J",IF(AND(AH92+$D$129&gt;=$E$119,AH92+$D$129&lt;=$E$120+1),10,0),IF(AND(AH92+$D$129+1&gt;=$E$119,AH92+$D$129+1&lt;=$E$120),10,0))</f>
        <v>0</v>
      </c>
      <c r="AI119" s="1908">
        <f ca="1">IF(ENTRADAS!$O$1252="J",IF(AND(AI92+$D$129&gt;=$E$119,AI92+$D$129&lt;=$E$120+1),10,0),IF(AND(AI92+$D$129+1&gt;=$E$119,AI92+$D$129+1&lt;=$E$120),10,0))</f>
        <v>0</v>
      </c>
      <c r="AJ119" s="1907">
        <f ca="1">IF(ENTRADAS!$O$1252="J",IF(AND(AJ92+$D$129&gt;=$E$119,AJ92+$D$129&lt;=$E$120+1),10,0),IF(AND(AJ92+$D$129+1&gt;=$E$119,AJ92+$D$129+1&lt;=$E$120),10,0))</f>
        <v>0</v>
      </c>
      <c r="AK119" s="1908">
        <f ca="1">IF(ENTRADAS!$O$1252="J",IF(AND(AK92+$D$129&gt;=$E$119,AK92+$D$129&lt;=$E$120+1),10,0),IF(AND(AK92+$D$129+1&gt;=$E$119,AK92+$D$129+1&lt;=$E$120),10,0))</f>
        <v>0</v>
      </c>
      <c r="AL119" s="1908">
        <f ca="1">IF(ENTRADAS!$O$1252="J",IF(AND(AL92+$D$129&gt;=$E$119,AL92+$D$129&lt;=$E$120+1),10,0),IF(AND(AL92+$D$129+1&gt;=$E$119,AL92+$D$129+1&lt;=$E$120),10,0))</f>
        <v>0</v>
      </c>
      <c r="AM119" s="1908">
        <f ca="1">IF(ENTRADAS!$O$1252="J",IF(AND(AM92+$D$129&gt;=$E$119,AM92+$D$129&lt;=$E$120+1),10,0),IF(AND(AM92+$D$129+1&gt;=$E$119,AM92+$D$129+1&lt;=$E$120),10,0))</f>
        <v>0</v>
      </c>
      <c r="AN119" s="1908">
        <f ca="1">IF(ENTRADAS!$O$1252="J",IF(AND(AN92+$D$129&gt;=$E$119,AN92+$D$129&lt;=$E$120+1),10,0),IF(AND(AN92+$D$129+1&gt;=$E$119,AN92+$D$129+1&lt;=$E$120),10,0))</f>
        <v>0</v>
      </c>
      <c r="AO119" s="1908">
        <f ca="1">IF(ENTRADAS!$O$1252="J",IF(AND(AO92+$D$129&gt;=$E$119,AO92+$D$129&lt;=$E$120+1),10,0),IF(AND(AO92+$D$129+1&gt;=$E$119,AO92+$D$129+1&lt;=$E$120),10,0))</f>
        <v>0</v>
      </c>
      <c r="AP119" s="1908">
        <f ca="1">IF(ENTRADAS!$O$1252="J",IF(AND(AP92+$D$129&gt;=$E$119,AP92+$D$129&lt;=$E$120+1),10,0),IF(AND(AP92+$D$129+1&gt;=$E$119,AP92+$D$129+1&lt;=$E$120),10,0))</f>
        <v>0</v>
      </c>
      <c r="AQ119" s="1907">
        <f ca="1">IF(ENTRADAS!$O$1252="J",IF(AND(AQ92+$D$129&gt;=$E$119,AQ92+$D$129&lt;=$E$120+1),10,0),IF(AND(AQ92+$D$129+1&gt;=$E$119,AQ92+$D$129+1&lt;=$E$120),10,0))</f>
        <v>0</v>
      </c>
      <c r="AR119" s="1908">
        <f ca="1">IF(ENTRADAS!$O$1252="J",IF(AND(AR92+$D$129&gt;=$E$119,AR92+$D$129&lt;=$E$120+1),10,0),IF(AND(AR92+$D$129+1&gt;=$E$119,AR92+$D$129+1&lt;=$E$120),10,0))</f>
        <v>0</v>
      </c>
      <c r="AS119" s="1908">
        <f ca="1">IF(ENTRADAS!$O$1252="J",IF(AND(AS92+$D$129&gt;=$E$119,AS92+$D$129&lt;=$E$120+1),10,0),IF(AND(AS92+$D$129+1&gt;=$E$119,AS92+$D$129+1&lt;=$E$120),10,0))</f>
        <v>0</v>
      </c>
      <c r="AT119" s="1908">
        <f ca="1">IF(ENTRADAS!$O$1252="J",IF(AND(AT92+$D$129&gt;=$E$119,AT92+$D$129&lt;=$E$120+1),10,0),IF(AND(AT92+$D$129+1&gt;=$E$119,AT92+$D$129+1&lt;=$E$120),10,0))</f>
        <v>0</v>
      </c>
      <c r="AU119" s="1908">
        <f ca="1">IF(ENTRADAS!$O$1252="J",IF(AND(AU92+$D$129&gt;=$E$119,AU92+$D$129&lt;=$E$120+1),10,0),IF(AND(AU92+$D$129+1&gt;=$E$119,AU92+$D$129+1&lt;=$E$120),10,0))</f>
        <v>0</v>
      </c>
      <c r="AV119" s="1908">
        <f ca="1">IF(ENTRADAS!$O$1252="J",IF(AND(AV92+$D$129&gt;=$E$119,AV92+$D$129&lt;=$E$120+1),10,0),IF(AND(AV92+$D$129+1&gt;=$E$119,AV92+$D$129+1&lt;=$E$120),10,0))</f>
        <v>0</v>
      </c>
      <c r="AW119" s="1908">
        <f ca="1">IF(ENTRADAS!$O$1252="J",IF(AND(AW92+$D$129&gt;=$E$119,AW92+$D$129&lt;=$E$120+1),10,0),IF(AND(AW92+$D$129+1&gt;=$E$119,AW92+$D$129+1&lt;=$E$120),10,0))</f>
        <v>0</v>
      </c>
      <c r="AX119" s="1907">
        <f ca="1">IF(ENTRADAS!$O$1252="J",IF(AND(AX92+$D$129&gt;=$E$119,AX92+$D$129&lt;=$E$120+1),10,0),IF(AND(AX92+$D$129+1&gt;=$E$119,AX92+$D$129+1&lt;=$E$120),10,0))</f>
        <v>0</v>
      </c>
      <c r="AY119" s="1908">
        <f ca="1">IF(ENTRADAS!$O$1252="J",IF(AND(AY92+$D$129&gt;=$E$119,AY92+$D$129&lt;=$E$120+1),10,0),IF(AND(AY92+$D$129+1&gt;=$E$119,AY92+$D$129+1&lt;=$E$120),10,0))</f>
        <v>0</v>
      </c>
      <c r="AZ119" s="1908">
        <f ca="1">IF(ENTRADAS!$O$1252="J",IF(AND(AZ92+$D$129&gt;=$E$119,AZ92+$D$129&lt;=$E$120+1),10,0),IF(AND(AZ92+$D$129+1&gt;=$E$119,AZ92+$D$129+1&lt;=$E$120),10,0))</f>
        <v>0</v>
      </c>
      <c r="BA119" s="1908">
        <f ca="1">IF(ENTRADAS!$O$1252="J",IF(AND(BA92+$D$129&gt;=$E$119,BA92+$D$129&lt;=$E$120+1),10,0),IF(AND(BA92+$D$129+1&gt;=$E$119,BA92+$D$129+1&lt;=$E$120),10,0))</f>
        <v>0</v>
      </c>
      <c r="BB119" s="1908">
        <f ca="1">IF(ENTRADAS!$O$1252="J",IF(AND(BB92+$D$129&gt;=$E$119,BB92+$D$129&lt;=$E$120+1),10,0),IF(AND(BB92+$D$129+1&gt;=$E$119,BB92+$D$129+1&lt;=$E$120),10,0))</f>
        <v>0</v>
      </c>
      <c r="BC119" s="1908">
        <f ca="1">IF(ENTRADAS!$O$1252="J",IF(AND(BC92+$D$129&gt;=$E$119,BC92+$D$129&lt;=$E$120+1),10,0),IF(AND(BC92+$D$129+1&gt;=$E$119,BC92+$D$129+1&lt;=$E$120),10,0))</f>
        <v>0</v>
      </c>
      <c r="BD119" s="1908">
        <f ca="1">IF(ENTRADAS!$O$1252="J",IF(AND(BD92+$D$129&gt;=$E$119,BD92+$D$129&lt;=$E$120+1),10,0),IF(AND(BD92+$D$129+1&gt;=$E$119,BD92+$D$129+1&lt;=$E$120),10,0))</f>
        <v>0</v>
      </c>
      <c r="BE119" s="1907">
        <f ca="1">IF(ENTRADAS!$O$1252="J",IF(AND(BE92+$D$129&gt;=$E$119,BE92+$D$129&lt;=$E$120+1),10,0),IF(AND(BE92+$D$129+1&gt;=$E$119,BE92+$D$129+1&lt;=$E$120),10,0))</f>
        <v>0</v>
      </c>
      <c r="BF119" s="1908">
        <f ca="1">IF(ENTRADAS!$O$1252="J",IF(AND(BF92+$D$129&gt;=$E$119,BF92+$D$129&lt;=$E$120+1),10,0),IF(AND(BF92+$D$129+1&gt;=$E$119,BF92+$D$129+1&lt;=$E$120),10,0))</f>
        <v>0</v>
      </c>
      <c r="BG119" s="1908">
        <f ca="1">IF(ENTRADAS!$O$1252="J",IF(AND(BG92+$D$129&gt;=$E$119,BG92+$D$129&lt;=$E$120+1),10,0),IF(AND(BG92+$D$129+1&gt;=$E$119,BG92+$D$129+1&lt;=$E$120),10,0))</f>
        <v>0</v>
      </c>
      <c r="BH119" s="1908">
        <f ca="1">IF(ENTRADAS!$O$1252="J",IF(AND(BH92+$D$129&gt;=$E$119,BH92+$D$129&lt;=$E$120+1),10,0),IF(AND(BH92+$D$129+1&gt;=$E$119,BH92+$D$129+1&lt;=$E$120),10,0))</f>
        <v>0</v>
      </c>
      <c r="BI119" s="1908">
        <f ca="1">IF(ENTRADAS!$O$1252="J",IF(AND(BI92+$D$129&gt;=$E$119,BI92+$D$129&lt;=$E$120+1),10,0),IF(AND(BI92+$D$129+1&gt;=$E$119,BI92+$D$129+1&lt;=$E$120),10,0))</f>
        <v>0</v>
      </c>
      <c r="BJ119" s="1908">
        <f ca="1">IF(ENTRADAS!$O$1252="J",IF(AND(BJ92+$D$129&gt;=$E$119,BJ92+$D$129&lt;=$E$120+1),10,0),IF(AND(BJ92+$D$129+1&gt;=$E$119,BJ92+$D$129+1&lt;=$E$120),10,0))</f>
        <v>0</v>
      </c>
      <c r="BK119" s="1908">
        <f ca="1">IF(ENTRADAS!$O$1252="J",IF(AND(BK92+$D$129&gt;=$E$119,BK92+$D$129&lt;=$E$120+1),10,0),IF(AND(BK92+$D$129+1&gt;=$E$119,BK92+$D$129+1&lt;=$E$120),10,0))</f>
        <v>0</v>
      </c>
      <c r="BL119" s="1907">
        <f ca="1">IF(ENTRADAS!$O$1252="J",IF(AND(BL92+$D$129&gt;=$E$119,BL92+$D$129&lt;=$E$120+1),10,0),IF(AND(BL92+$D$129+1&gt;=$E$119,BL92+$D$129+1&lt;=$E$120),10,0))</f>
        <v>0</v>
      </c>
      <c r="BM119" s="1908">
        <f ca="1">IF(ENTRADAS!$O$1252="J",IF(AND(BM92+$D$129&gt;=$E$119,BM92+$D$129&lt;=$E$120+1),10,0),IF(AND(BM92+$D$129+1&gt;=$E$119,BM92+$D$129+1&lt;=$E$120),10,0))</f>
        <v>0</v>
      </c>
      <c r="BN119" s="1908">
        <f ca="1">IF(ENTRADAS!$O$1252="J",IF(AND(BN92+$D$129&gt;=$E$119,BN92+$D$129&lt;=$E$120+1),10,0),IF(AND(BN92+$D$129+1&gt;=$E$119,BN92+$D$129+1&lt;=$E$120),10,0))</f>
        <v>0</v>
      </c>
      <c r="BO119" s="1908">
        <f ca="1">IF(ENTRADAS!$O$1252="J",IF(AND(BO92+$D$129&gt;=$E$119,BO92+$D$129&lt;=$E$120+1),10,0),IF(AND(BO92+$D$129+1&gt;=$E$119,BO92+$D$129+1&lt;=$E$120),10,0))</f>
        <v>0</v>
      </c>
      <c r="BP119" s="1908">
        <f ca="1">IF(ENTRADAS!$O$1252="J",IF(AND(BP92+$D$129&gt;=$E$119,BP92+$D$129&lt;=$E$120+1),10,0),IF(AND(BP92+$D$129+1&gt;=$E$119,BP92+$D$129+1&lt;=$E$120),10,0))</f>
        <v>0</v>
      </c>
      <c r="BQ119" s="1908">
        <f ca="1">IF(ENTRADAS!$O$1252="J",IF(AND(BQ92+$D$129&gt;=$E$119,BQ92+$D$129&lt;=$E$120+1),10,0),IF(AND(BQ92+$D$129+1&gt;=$E$119,BQ92+$D$129+1&lt;=$E$120),10,0))</f>
        <v>0</v>
      </c>
      <c r="BR119" s="1908">
        <f ca="1">IF(ENTRADAS!$O$1252="J",IF(AND(BR92+$D$129&gt;=$E$119,BR92+$D$129&lt;=$E$120+1),10,0),IF(AND(BR92+$D$129+1&gt;=$E$119,BR92+$D$129+1&lt;=$E$120),10,0))</f>
        <v>0</v>
      </c>
      <c r="BS119" s="1907">
        <f ca="1">IF(ENTRADAS!$O$1252="J",IF(AND(BS92+$D$129&gt;=$E$119,BS92+$D$129&lt;=$E$120+1),10,0),IF(AND(BS92+$D$129+1&gt;=$E$119,BS92+$D$129+1&lt;=$E$120),10,0))</f>
        <v>0</v>
      </c>
      <c r="BT119" s="1908">
        <f ca="1">IF(ENTRADAS!$O$1252="J",IF(AND(BT92+$D$129&gt;=$E$119,BT92+$D$129&lt;=$E$120+1),10,0),IF(AND(BT92+$D$129+1&gt;=$E$119,BT92+$D$129+1&lt;=$E$120),10,0))</f>
        <v>0</v>
      </c>
      <c r="BU119" s="1908">
        <f ca="1">IF(ENTRADAS!$O$1252="J",IF(AND(BU92+$D$129&gt;=$E$119,BU92+$D$129&lt;=$E$120+1),10,0),IF(AND(BU92+$D$129+1&gt;=$E$119,BU92+$D$129+1&lt;=$E$120),10,0))</f>
        <v>0</v>
      </c>
      <c r="BV119" s="1908">
        <f ca="1">IF(ENTRADAS!$O$1252="J",IF(AND(BV92+$D$129&gt;=$E$119,BV92+$D$129&lt;=$E$120+1),10,0),IF(AND(BV92+$D$129+1&gt;=$E$119,BV92+$D$129+1&lt;=$E$120),10,0))</f>
        <v>0</v>
      </c>
      <c r="BW119" s="1908">
        <f ca="1">IF(ENTRADAS!$O$1252="J",IF(AND(BW92+$D$129&gt;=$E$119,BW92+$D$129&lt;=$E$120+1),10,0),IF(AND(BW92+$D$129+1&gt;=$E$119,BW92+$D$129+1&lt;=$E$120),10,0))</f>
        <v>0</v>
      </c>
      <c r="BX119" s="1908">
        <f ca="1">IF(ENTRADAS!$O$1252="J",IF(AND(BX92+$D$129&gt;=$E$119,BX92+$D$129&lt;=$E$120+1),10,0),IF(AND(BX92+$D$129+1&gt;=$E$119,BX92+$D$129+1&lt;=$E$120),10,0))</f>
        <v>0</v>
      </c>
      <c r="BY119" s="1908">
        <f ca="1">IF(ENTRADAS!$O$1252="J",IF(AND(BY92+$D$129&gt;=$E$119,BY92+$D$129&lt;=$E$120+1),10,0),IF(AND(BY92+$D$129+1&gt;=$E$119,BY92+$D$129+1&lt;=$E$120),10,0))</f>
        <v>0</v>
      </c>
      <c r="BZ119" s="1907">
        <f ca="1">IF(ENTRADAS!$O$1252="J",IF(AND(BZ92+$D$129&gt;=$E$119,BZ92+$D$129&lt;=$E$120+1),10,0),IF(AND(BZ92+$D$129+1&gt;=$E$119,BZ92+$D$129+1&lt;=$E$120),10,0))</f>
        <v>0</v>
      </c>
      <c r="CA119" s="1908">
        <f ca="1">IF(ENTRADAS!$O$1252="J",IF(AND(CA92+$D$129&gt;=$E$119,CA92+$D$129&lt;=$E$120+1),10,0),IF(AND(CA92+$D$129+1&gt;=$E$119,CA92+$D$129+1&lt;=$E$120),10,0))</f>
        <v>0</v>
      </c>
      <c r="CB119" s="1908">
        <f ca="1">IF(ENTRADAS!$O$1252="J",IF(AND(CB92+$D$129&gt;=$E$119,CB92+$D$129&lt;=$E$120+1),10,0),IF(AND(CB92+$D$129+1&gt;=$E$119,CB92+$D$129+1&lt;=$E$120),10,0))</f>
        <v>0</v>
      </c>
      <c r="CC119" s="1908">
        <f ca="1">IF(ENTRADAS!$O$1252="J",IF(AND(CC92+$D$129&gt;=$E$119,CC92+$D$129&lt;=$E$120+1),10,0),IF(AND(CC92+$D$129+1&gt;=$E$119,CC92+$D$129+1&lt;=$E$120),10,0))</f>
        <v>0</v>
      </c>
      <c r="CD119" s="1908">
        <f ca="1">IF(ENTRADAS!$O$1252="J",IF(AND(CD92+$D$129&gt;=$E$119,CD92+$D$129&lt;=$E$120+1),10,0),IF(AND(CD92+$D$129+1&gt;=$E$119,CD92+$D$129+1&lt;=$E$120),10,0))</f>
        <v>0</v>
      </c>
      <c r="CE119" s="1908">
        <f ca="1">IF(ENTRADAS!$O$1252="J",IF(AND(CE92+$D$129&gt;=$E$119,CE92+$D$129&lt;=$E$120+1),10,0),IF(AND(CE92+$D$129+1&gt;=$E$119,CE92+$D$129+1&lt;=$E$120),10,0))</f>
        <v>0</v>
      </c>
      <c r="CF119" s="1908">
        <f ca="1">IF(ENTRADAS!$O$1252="J",IF(AND(CF92+$D$129&gt;=$E$119,CF92+$D$129&lt;=$E$120+1),10,0),IF(AND(CF92+$D$129+1&gt;=$E$119,CF92+$D$129+1&lt;=$E$120),10,0))</f>
        <v>0</v>
      </c>
      <c r="CG119" s="1907">
        <f ca="1">IF(ENTRADAS!$O$1252="J",IF(AND(CG92+$D$129&gt;=$E$119,CG92+$D$129&lt;=$E$120+1),10,0),IF(AND(CG92+$D$129+1&gt;=$E$119,CG92+$D$129+1&lt;=$E$120),10,0))</f>
        <v>0</v>
      </c>
      <c r="CH119" s="1908">
        <f ca="1">IF(ENTRADAS!$O$1252="J",IF(AND(CH92+$D$129&gt;=$E$119,CH92+$D$129&lt;=$E$120+1),10,0),IF(AND(CH92+$D$129+1&gt;=$E$119,CH92+$D$129+1&lt;=$E$120),10,0))</f>
        <v>0</v>
      </c>
      <c r="CI119" s="1908">
        <f ca="1">IF(ENTRADAS!$O$1252="J",IF(AND(CI92+$D$129&gt;=$E$119,CI92+$D$129&lt;=$E$120+1),10,0),IF(AND(CI92+$D$129+1&gt;=$E$119,CI92+$D$129+1&lt;=$E$120),10,0))</f>
        <v>0</v>
      </c>
      <c r="CJ119" s="1908">
        <f ca="1">IF(ENTRADAS!$O$1252="J",IF(AND(CJ92+$D$129&gt;=$E$119,CJ92+$D$129&lt;=$E$120+1),10,0),IF(AND(CJ92+$D$129+1&gt;=$E$119,CJ92+$D$129+1&lt;=$E$120),10,0))</f>
        <v>0</v>
      </c>
      <c r="CK119" s="1908">
        <f ca="1">IF(ENTRADAS!$O$1252="J",IF(AND(CK92+$D$129&gt;=$E$119,CK92+$D$129&lt;=$E$120+1),10,0),IF(AND(CK92+$D$129+1&gt;=$E$119,CK92+$D$129+1&lt;=$E$120),10,0))</f>
        <v>0</v>
      </c>
      <c r="CL119" s="1908">
        <f ca="1">IF(ENTRADAS!$O$1252="J",IF(AND(CL92+$D$129&gt;=$E$119,CL92+$D$129&lt;=$E$120+1),10,0),IF(AND(CL92+$D$129+1&gt;=$E$119,CL92+$D$129+1&lt;=$E$120),10,0))</f>
        <v>0</v>
      </c>
      <c r="CM119" s="1908">
        <f ca="1">IF(ENTRADAS!$O$1252="J",IF(AND(CM92+$D$129&gt;=$E$119,CM92+$D$129&lt;=$E$120+1),10,0),IF(AND(CM92+$D$129+1&gt;=$E$119,CM92+$D$129+1&lt;=$E$120),10,0))</f>
        <v>0</v>
      </c>
      <c r="CN119" s="1907">
        <f ca="1">IF(ENTRADAS!$O$1252="J",IF(AND(CN92+$D$129&gt;=$E$119,CN92+$D$129&lt;=$E$120+1),10,0),IF(AND(CN92+$D$129+1&gt;=$E$119,CN92+$D$129+1&lt;=$E$120),10,0))</f>
        <v>0</v>
      </c>
      <c r="CO119" s="1908">
        <f ca="1">IF(ENTRADAS!$O$1252="J",IF(AND(CO92+$D$129&gt;=$E$119,CO92+$D$129&lt;=$E$120+1),10,0),IF(AND(CO92+$D$129+1&gt;=$E$119,CO92+$D$129+1&lt;=$E$120),10,0))</f>
        <v>0</v>
      </c>
      <c r="CP119" s="1908">
        <f ca="1">IF(ENTRADAS!$O$1252="J",IF(AND(CP92+$D$129&gt;=$E$119,CP92+$D$129&lt;=$E$120+1),10,0),IF(AND(CP92+$D$129+1&gt;=$E$119,CP92+$D$129+1&lt;=$E$120),10,0))</f>
        <v>0</v>
      </c>
      <c r="CQ119" s="1908">
        <f ca="1">IF(ENTRADAS!$O$1252="J",IF(AND(CQ92+$D$129&gt;=$E$119,CQ92+$D$129&lt;=$E$120+1),10,0),IF(AND(CQ92+$D$129+1&gt;=$E$119,CQ92+$D$129+1&lt;=$E$120),10,0))</f>
        <v>0</v>
      </c>
      <c r="CR119" s="1908">
        <f ca="1">IF(ENTRADAS!$O$1252="J",IF(AND(CR92+$D$129&gt;=$E$119,CR92+$D$129&lt;=$E$120+1),10,0),IF(AND(CR92+$D$129+1&gt;=$E$119,CR92+$D$129+1&lt;=$E$120),10,0))</f>
        <v>0</v>
      </c>
      <c r="CS119" s="1908">
        <f ca="1">IF(ENTRADAS!$O$1252="J",IF(AND(CS92+$D$129&gt;=$E$119,CS92+$D$129&lt;=$E$120+1),10,0),IF(AND(CS92+$D$129+1&gt;=$E$119,CS92+$D$129+1&lt;=$E$120),10,0))</f>
        <v>0</v>
      </c>
      <c r="CT119" s="1908">
        <f ca="1">IF(ENTRADAS!$O$1252="J",IF(AND(CT92+$D$129&gt;=$E$119,CT92+$D$129&lt;=$E$120+1),10,0),IF(AND(CT92+$D$129+1&gt;=$E$119,CT92+$D$129+1&lt;=$E$120),10,0))</f>
        <v>0</v>
      </c>
      <c r="CU119" s="1907">
        <f ca="1">IF(ENTRADAS!$O$1252="J",IF(AND(CU92+$D$129&gt;=$E$119,CU92+$D$129&lt;=$E$120+1),10,0),IF(AND(CU92+$D$129+1&gt;=$E$119,CU92+$D$129+1&lt;=$E$120),10,0))</f>
        <v>0</v>
      </c>
      <c r="CV119" s="1908">
        <f ca="1">IF(ENTRADAS!$O$1252="J",IF(AND(CV92+$D$129&gt;=$E$119,CV92+$D$129&lt;=$E$120+1),10,0),IF(AND(CV92+$D$129+1&gt;=$E$119,CV92+$D$129+1&lt;=$E$120),10,0))</f>
        <v>0</v>
      </c>
      <c r="CW119" s="1908">
        <f ca="1">IF(ENTRADAS!$O$1252="J",IF(AND(CW92+$D$129&gt;=$E$119,CW92+$D$129&lt;=$E$120+1),10,0),IF(AND(CW92+$D$129+1&gt;=$E$119,CW92+$D$129+1&lt;=$E$120),10,0))</f>
        <v>0</v>
      </c>
      <c r="CX119" s="1908">
        <f ca="1">IF(ENTRADAS!$O$1252="J",IF(AND(CX92+$D$129&gt;=$E$119,CX92+$D$129&lt;=$E$120+1),10,0),IF(AND(CX92+$D$129+1&gt;=$E$119,CX92+$D$129+1&lt;=$E$120),10,0))</f>
        <v>0</v>
      </c>
      <c r="CY119" s="1908">
        <f ca="1">IF(ENTRADAS!$O$1252="J",IF(AND(CY92+$D$129&gt;=$E$119,CY92+$D$129&lt;=$E$120+1),10,0),IF(AND(CY92+$D$129+1&gt;=$E$119,CY92+$D$129+1&lt;=$E$120),10,0))</f>
        <v>0</v>
      </c>
      <c r="CZ119" s="1908">
        <f ca="1">IF(ENTRADAS!$O$1252="J",IF(AND(CZ92+$D$129&gt;=$E$119,CZ92+$D$129&lt;=$E$120+1),10,0),IF(AND(CZ92+$D$129+1&gt;=$E$119,CZ92+$D$129+1&lt;=$E$120),10,0))</f>
        <v>0</v>
      </c>
      <c r="DA119" s="1908">
        <f ca="1">IF(ENTRADAS!$O$1252="J",IF(AND(DA92+$D$129&gt;=$E$119,DA92+$D$129&lt;=$E$120+1),10,0),IF(AND(DA92+$D$129+1&gt;=$E$119,DA92+$D$129+1&lt;=$E$120),10,0))</f>
        <v>0</v>
      </c>
      <c r="DB119" s="1907">
        <f ca="1">IF(ENTRADAS!$O$1252="J",IF(AND(DB92+$D$129&gt;=$E$119,DB92+$D$129&lt;=$E$120+1),10,0),IF(AND(DB92+$D$129+1&gt;=$E$119,DB92+$D$129+1&lt;=$E$120),10,0))</f>
        <v>0</v>
      </c>
      <c r="DC119" s="1908">
        <f ca="1">IF(ENTRADAS!$O$1252="J",IF(AND(DC92+$D$129&gt;=$E$119,DC92+$D$129&lt;=$E$120+1),10,0),IF(AND(DC92+$D$129+1&gt;=$E$119,DC92+$D$129+1&lt;=$E$120),10,0))</f>
        <v>0</v>
      </c>
      <c r="DD119" s="1908">
        <f ca="1">IF(ENTRADAS!$O$1252="J",IF(AND(DD92+$D$129&gt;=$E$119,DD92+$D$129&lt;=$E$120+1),10,0),IF(AND(DD92+$D$129+1&gt;=$E$119,DD92+$D$129+1&lt;=$E$120),10,0))</f>
        <v>0</v>
      </c>
      <c r="DE119" s="1908">
        <f ca="1">IF(ENTRADAS!$O$1252="J",IF(AND(DE92+$D$129&gt;=$E$119,DE92+$D$129&lt;=$E$120+1),10,0),IF(AND(DE92+$D$129+1&gt;=$E$119,DE92+$D$129+1&lt;=$E$120),10,0))</f>
        <v>0</v>
      </c>
      <c r="DF119" s="1908">
        <f ca="1">IF(ENTRADAS!$O$1252="J",IF(AND(DF92+$D$129&gt;=$E$119,DF92+$D$129&lt;=$E$120+1),10,0),IF(AND(DF92+$D$129+1&gt;=$E$119,DF92+$D$129+1&lt;=$E$120),10,0))</f>
        <v>0</v>
      </c>
      <c r="DG119" s="1908">
        <f ca="1">IF(ENTRADAS!$O$1252="J",IF(AND(DG92+$D$129&gt;=$E$119,DG92+$D$129&lt;=$E$120+1),10,0),IF(AND(DG92+$D$129+1&gt;=$E$119,DG92+$D$129+1&lt;=$E$120),10,0))</f>
        <v>0</v>
      </c>
      <c r="DH119" s="1908">
        <f ca="1">IF(ENTRADAS!$O$1252="J",IF(AND(DH92+$D$129&gt;=$E$119,DH92+$D$129&lt;=$E$120+1),10,0),IF(AND(DH92+$D$129+1&gt;=$E$119,DH92+$D$129+1&lt;=$E$120),10,0))</f>
        <v>0</v>
      </c>
      <c r="DI119" s="1907">
        <f ca="1">IF(ENTRADAS!$O$1252="J",IF(AND(DI92+$D$129&gt;=$E$119,DI92+$D$129&lt;=$E$120+1),10,0),IF(AND(DI92+$D$129+1&gt;=$E$119,DI92+$D$129+1&lt;=$E$120),10,0))</f>
        <v>0</v>
      </c>
      <c r="DJ119" s="1908">
        <f ca="1">IF(ENTRADAS!$O$1252="J",IF(AND(DJ92+$D$129&gt;=$E$119,DJ92+$D$129&lt;=$E$120+1),10,0),IF(AND(DJ92+$D$129+1&gt;=$E$119,DJ92+$D$129+1&lt;=$E$120),10,0))</f>
        <v>0</v>
      </c>
      <c r="DK119" s="1908">
        <f ca="1">IF(ENTRADAS!$O$1252="J",IF(AND(DK92+$D$129&gt;=$E$119,DK92+$D$129&lt;=$E$120+1),10,0),IF(AND(DK92+$D$129+1&gt;=$E$119,DK92+$D$129+1&lt;=$E$120),10,0))</f>
        <v>0</v>
      </c>
      <c r="DL119" s="1908">
        <f ca="1">IF(ENTRADAS!$O$1252="J",IF(AND(DL92+$D$129&gt;=$E$119,DL92+$D$129&lt;=$E$120+1),10,0),IF(AND(DL92+$D$129+1&gt;=$E$119,DL92+$D$129+1&lt;=$E$120),10,0))</f>
        <v>0</v>
      </c>
      <c r="DM119" s="1908">
        <f ca="1">IF(ENTRADAS!$O$1252="J",IF(AND(DM92+$D$129&gt;=$E$119,DM92+$D$129&lt;=$E$120+1),10,0),IF(AND(DM92+$D$129+1&gt;=$E$119,DM92+$D$129+1&lt;=$E$120),10,0))</f>
        <v>0</v>
      </c>
      <c r="DN119" s="1908">
        <f ca="1">IF(ENTRADAS!$O$1252="J",IF(AND(DN92+$D$129&gt;=$E$119,DN92+$D$129&lt;=$E$120+1),10,0),IF(AND(DN92+$D$129+1&gt;=$E$119,DN92+$D$129+1&lt;=$E$120),10,0))</f>
        <v>0</v>
      </c>
      <c r="DO119" s="1908">
        <f ca="1">IF(ENTRADAS!$O$1252="J",IF(AND(DO92+$D$129&gt;=$E$119,DO92+$D$129&lt;=$E$120+1),10,0),IF(AND(DO92+$D$129+1&gt;=$E$119,DO92+$D$129+1&lt;=$E$120),10,0))</f>
        <v>0</v>
      </c>
      <c r="DP119" s="1907">
        <f ca="1">IF(ENTRADAS!$O$1252="J",IF(AND(DP92+$D$129&gt;=$E$119,DP92+$D$129&lt;=$E$120+1),10,0),IF(AND(DP92+$D$129+1&gt;=$E$119,DP92+$D$129+1&lt;=$E$120),10,0))</f>
        <v>0</v>
      </c>
      <c r="DQ119" s="1908">
        <f ca="1">IF(ENTRADAS!$O$1252="J",IF(AND(DQ92+$D$129&gt;=$E$119,DQ92+$D$129&lt;=$E$120+1),10,0),IF(AND(DQ92+$D$129+1&gt;=$E$119,DQ92+$D$129+1&lt;=$E$120),10,0))</f>
        <v>0</v>
      </c>
      <c r="DR119" s="1908">
        <f ca="1">IF(ENTRADAS!$O$1252="J",IF(AND(DR92+$D$129&gt;=$E$119,DR92+$D$129&lt;=$E$120+1),10,0),IF(AND(DR92+$D$129+1&gt;=$E$119,DR92+$D$129+1&lt;=$E$120),10,0))</f>
        <v>0</v>
      </c>
      <c r="DS119" s="1908">
        <f ca="1">IF(ENTRADAS!$O$1252="J",IF(AND(DS92+$D$129&gt;=$E$119,DS92+$D$129&lt;=$E$120+1),10,0),IF(AND(DS92+$D$129+1&gt;=$E$119,DS92+$D$129+1&lt;=$E$120),10,0))</f>
        <v>0</v>
      </c>
      <c r="DT119" s="1908">
        <f ca="1">IF(ENTRADAS!$O$1252="J",IF(AND(DT92+$D$129&gt;=$E$119,DT92+$D$129&lt;=$E$120+1),10,0),IF(AND(DT92+$D$129+1&gt;=$E$119,DT92+$D$129+1&lt;=$E$120),10,0))</f>
        <v>0</v>
      </c>
      <c r="DU119" s="1908">
        <f ca="1">IF(ENTRADAS!$O$1252="J",IF(AND(DU92+$D$129&gt;=$E$119,DU92+$D$129&lt;=$E$120+1),10,0),IF(AND(DU92+$D$129+1&gt;=$E$119,DU92+$D$129+1&lt;=$E$120),10,0))</f>
        <v>0</v>
      </c>
      <c r="DV119" s="1908">
        <f ca="1">IF(ENTRADAS!$O$1252="J",IF(AND(DV92+$D$129&gt;=$E$119,DV92+$D$129&lt;=$E$120+1),10,0),IF(AND(DV92+$D$129+1&gt;=$E$119,DV92+$D$129+1&lt;=$E$120),10,0))</f>
        <v>0</v>
      </c>
      <c r="DW119" s="1907">
        <f ca="1">IF(ENTRADAS!$O$1252="J",IF(AND(DW92+$D$129&gt;=$E$119,DW92+$D$129&lt;=$E$120+1),10,0),IF(AND(DW92+$D$129+1&gt;=$E$119,DW92+$D$129+1&lt;=$E$120),10,0))</f>
        <v>0</v>
      </c>
      <c r="DX119" s="1908">
        <f ca="1">IF(ENTRADAS!$O$1252="J",IF(AND(DX92+$D$129&gt;=$E$119,DX92+$D$129&lt;=$E$120+1),10,0),IF(AND(DX92+$D$129+1&gt;=$E$119,DX92+$D$129+1&lt;=$E$120),10,0))</f>
        <v>0</v>
      </c>
      <c r="DY119" s="1908">
        <f ca="1">IF(ENTRADAS!$O$1252="J",IF(AND(DY92+$D$129&gt;=$E$119,DY92+$D$129&lt;=$E$120+1),10,0),IF(AND(DY92+$D$129+1&gt;=$E$119,DY92+$D$129+1&lt;=$E$120),10,0))</f>
        <v>0</v>
      </c>
      <c r="DZ119" s="1908">
        <f ca="1">IF(ENTRADAS!$O$1252="J",IF(AND(DZ92+$D$129&gt;=$E$119,DZ92+$D$129&lt;=$E$120+1),10,0),IF(AND(DZ92+$D$129+1&gt;=$E$119,DZ92+$D$129+1&lt;=$E$120),10,0))</f>
        <v>0</v>
      </c>
      <c r="EA119" s="1908">
        <f ca="1">IF(ENTRADAS!$O$1252="J",IF(AND(EA92+$D$129&gt;=$E$119,EA92+$D$129&lt;=$E$120+1),10,0),IF(AND(EA92+$D$129+1&gt;=$E$119,EA92+$D$129+1&lt;=$E$120),10,0))</f>
        <v>0</v>
      </c>
      <c r="EB119" s="1908">
        <f ca="1">IF(ENTRADAS!$O$1252="J",IF(AND(EB92+$D$129&gt;=$E$119,EB92+$D$129&lt;=$E$120+1),10,0),IF(AND(EB92+$D$129+1&gt;=$E$119,EB92+$D$129+1&lt;=$E$120),10,0))</f>
        <v>0</v>
      </c>
      <c r="EC119" s="1908">
        <f ca="1">IF(ENTRADAS!$O$1252="J",IF(AND(EC92+$D$129&gt;=$E$119,EC92+$D$129&lt;=$E$120+1),10,0),IF(AND(EC92+$D$129+1&gt;=$E$119,EC92+$D$129+1&lt;=$E$120),10,0))</f>
        <v>0</v>
      </c>
      <c r="ED119" s="1907">
        <f ca="1">IF(ENTRADAS!$O$1252="J",IF(AND(ED92+$D$129&gt;=$E$119,ED92+$D$129&lt;=$E$120+1),10,0),IF(AND(ED92+$D$129+1&gt;=$E$119,ED92+$D$129+1&lt;=$E$120),10,0))</f>
        <v>0</v>
      </c>
      <c r="EE119" s="1908">
        <f ca="1">IF(ENTRADAS!$O$1252="J",IF(AND(EE92+$D$129&gt;=$E$119,EE92+$D$129&lt;=$E$120+1),10,0),IF(AND(EE92+$D$129+1&gt;=$E$119,EE92+$D$129+1&lt;=$E$120),10,0))</f>
        <v>0</v>
      </c>
      <c r="EF119" s="1908">
        <f ca="1">IF(ENTRADAS!$O$1252="J",IF(AND(EF92+$D$129&gt;=$E$119,EF92+$D$129&lt;=$E$120+1),10,0),IF(AND(EF92+$D$129+1&gt;=$E$119,EF92+$D$129+1&lt;=$E$120),10,0))</f>
        <v>0</v>
      </c>
      <c r="EG119" s="1908">
        <f ca="1">IF(ENTRADAS!$O$1252="J",IF(AND(EG92+$D$129&gt;=$E$119,EG92+$D$129&lt;=$E$120+1),10,0),IF(AND(EG92+$D$129+1&gt;=$E$119,EG92+$D$129+1&lt;=$E$120),10,0))</f>
        <v>0</v>
      </c>
      <c r="EH119" s="1908">
        <f ca="1">IF(ENTRADAS!$O$1252="J",IF(AND(EH92+$D$129&gt;=$E$119,EH92+$D$129&lt;=$E$120+1),10,0),IF(AND(EH92+$D$129+1&gt;=$E$119,EH92+$D$129+1&lt;=$E$120),10,0))</f>
        <v>0</v>
      </c>
      <c r="EI119" s="1908">
        <f ca="1">IF(ENTRADAS!$O$1252="J",IF(AND(EI92+$D$129&gt;=$E$119,EI92+$D$129&lt;=$E$120+1),10,0),IF(AND(EI92+$D$129+1&gt;=$E$119,EI92+$D$129+1&lt;=$E$120),10,0))</f>
        <v>0</v>
      </c>
      <c r="EJ119" s="1908">
        <f ca="1">IF(ENTRADAS!$O$1252="J",IF(AND(EJ92+$D$129&gt;=$E$119,EJ92+$D$129&lt;=$E$120+1),10,0),IF(AND(EJ92+$D$129+1&gt;=$E$119,EJ92+$D$129+1&lt;=$E$120),10,0))</f>
        <v>0</v>
      </c>
      <c r="EK119" s="1907">
        <f ca="1">IF(ENTRADAS!$O$1252="J",IF(AND(EK92+$D$129&gt;=$E$119,EK92+$D$129&lt;=$E$120+1),10,0),IF(AND(EK92+$D$129+1&gt;=$E$119,EK92+$D$129+1&lt;=$E$120),10,0))</f>
        <v>0</v>
      </c>
      <c r="EL119" s="1908">
        <f ca="1">IF(ENTRADAS!$O$1252="J",IF(AND(EL92+$D$129&gt;=$E$119,EL92+$D$129&lt;=$E$120+1),10,0),IF(AND(EL92+$D$129+1&gt;=$E$119,EL92+$D$129+1&lt;=$E$120),10,0))</f>
        <v>0</v>
      </c>
      <c r="EM119" s="1908">
        <f ca="1">IF(ENTRADAS!$O$1252="J",IF(AND(EM92+$D$129&gt;=$E$119,EM92+$D$129&lt;=$E$120+1),10,0),IF(AND(EM92+$D$129+1&gt;=$E$119,EM92+$D$129+1&lt;=$E$120),10,0))</f>
        <v>0</v>
      </c>
      <c r="EN119" s="1908">
        <f ca="1">IF(ENTRADAS!$O$1252="J",IF(AND(EN92+$D$129&gt;=$E$119,EN92+$D$129&lt;=$E$120+1),10,0),IF(AND(EN92+$D$129+1&gt;=$E$119,EN92+$D$129+1&lt;=$E$120),10,0))</f>
        <v>0</v>
      </c>
      <c r="EO119" s="1908">
        <f ca="1">IF(ENTRADAS!$O$1252="J",IF(AND(EO92+$D$129&gt;=$E$119,EO92+$D$129&lt;=$E$120+1),10,0),IF(AND(EO92+$D$129+1&gt;=$E$119,EO92+$D$129+1&lt;=$E$120),10,0))</f>
        <v>0</v>
      </c>
      <c r="EP119" s="1908">
        <f ca="1">IF(ENTRADAS!$O$1252="J",IF(AND(EP92+$D$129&gt;=$E$119,EP92+$D$129&lt;=$E$120+1),10,0),IF(AND(EP92+$D$129+1&gt;=$E$119,EP92+$D$129+1&lt;=$E$120),10,0))</f>
        <v>0</v>
      </c>
      <c r="EQ119" s="1908">
        <f ca="1">IF(ENTRADAS!$O$1252="J",IF(AND(EQ92+$D$129&gt;=$E$119,EQ92+$D$129&lt;=$E$120+1),10,0),IF(AND(EQ92+$D$129+1&gt;=$E$119,EQ92+$D$129+1&lt;=$E$120),10,0))</f>
        <v>0</v>
      </c>
      <c r="ER119" s="1907">
        <f ca="1">IF(ENTRADAS!$O$1252="J",IF(AND(ER92+$D$129&gt;=$E$119,ER92+$D$129&lt;=$E$120+1),10,0),IF(AND(ER92+$D$129+1&gt;=$E$119,ER92+$D$129+1&lt;=$E$120),10,0))</f>
        <v>0</v>
      </c>
      <c r="ES119" s="1908">
        <f ca="1">IF(ENTRADAS!$O$1252="J",IF(AND(ES92+$D$129&gt;=$E$119,ES92+$D$129&lt;=$E$120+1),10,0),IF(AND(ES92+$D$129+1&gt;=$E$119,ES92+$D$129+1&lt;=$E$120),10,0))</f>
        <v>0</v>
      </c>
      <c r="ET119" s="1908">
        <f ca="1">IF(ENTRADAS!$O$1252="J",IF(AND(ET92+$D$129&gt;=$E$119,ET92+$D$129&lt;=$E$120+1),10,0),IF(AND(ET92+$D$129+1&gt;=$E$119,ET92+$D$129+1&lt;=$E$120),10,0))</f>
        <v>0</v>
      </c>
      <c r="EU119" s="1908">
        <f ca="1">IF(ENTRADAS!$O$1252="J",IF(AND(EU92+$D$129&gt;=$E$119,EU92+$D$129&lt;=$E$120+1),10,0),IF(AND(EU92+$D$129+1&gt;=$E$119,EU92+$D$129+1&lt;=$E$120),10,0))</f>
        <v>0</v>
      </c>
      <c r="EV119" s="1908">
        <f ca="1">IF(ENTRADAS!$O$1252="J",IF(AND(EV92+$D$129&gt;=$E$119,EV92+$D$129&lt;=$E$120+1),10,0),IF(AND(EV92+$D$129+1&gt;=$E$119,EV92+$D$129+1&lt;=$E$120),10,0))</f>
        <v>0</v>
      </c>
      <c r="EW119" s="1908">
        <f ca="1">IF(ENTRADAS!$O$1252="J",IF(AND(EW92+$D$129&gt;=$E$119,EW92+$D$129&lt;=$E$120+1),10,0),IF(AND(EW92+$D$129+1&gt;=$E$119,EW92+$D$129+1&lt;=$E$120),10,0))</f>
        <v>0</v>
      </c>
      <c r="EX119" s="1908">
        <f ca="1">IF(ENTRADAS!$O$1252="J",IF(AND(EX92+$D$129&gt;=$E$119,EX92+$D$129&lt;=$E$120+1),10,0),IF(AND(EX92+$D$129+1&gt;=$E$119,EX92+$D$129+1&lt;=$E$120),10,0))</f>
        <v>0</v>
      </c>
      <c r="EY119" s="1907">
        <f ca="1">IF(ENTRADAS!$O$1252="J",IF(AND(EY92+$D$129&gt;=$E$119,EY92+$D$129&lt;=$E$120+1),10,0),IF(AND(EY92+$D$129+1&gt;=$E$119,EY92+$D$129+1&lt;=$E$120),10,0))</f>
        <v>0</v>
      </c>
      <c r="EZ119" s="1908">
        <f ca="1">IF(ENTRADAS!$O$1252="J",IF(AND(EZ92+$D$129&gt;=$E$119,EZ92+$D$129&lt;=$E$120+1),10,0),IF(AND(EZ92+$D$129+1&gt;=$E$119,EZ92+$D$129+1&lt;=$E$120),10,0))</f>
        <v>0</v>
      </c>
      <c r="FA119" s="1908">
        <f ca="1">IF(ENTRADAS!$O$1252="J",IF(AND(FA92+$D$129&gt;=$E$119,FA92+$D$129&lt;=$E$120+1),10,0),IF(AND(FA92+$D$129+1&gt;=$E$119,FA92+$D$129+1&lt;=$E$120),10,0))</f>
        <v>0</v>
      </c>
      <c r="FB119" s="1908">
        <f ca="1">IF(ENTRADAS!$O$1252="J",IF(AND(FB92+$D$129&gt;=$E$119,FB92+$D$129&lt;=$E$120+1),10,0),IF(AND(FB92+$D$129+1&gt;=$E$119,FB92+$D$129+1&lt;=$E$120),10,0))</f>
        <v>0</v>
      </c>
      <c r="FC119" s="1908">
        <f ca="1">IF(ENTRADAS!$O$1252="J",IF(AND(FC92+$D$129&gt;=$E$119,FC92+$D$129&lt;=$E$120+1),10,0),IF(AND(FC92+$D$129+1&gt;=$E$119,FC92+$D$129+1&lt;=$E$120),10,0))</f>
        <v>0</v>
      </c>
      <c r="FD119" s="1908">
        <f ca="1">IF(ENTRADAS!$O$1252="J",IF(AND(FD92+$D$129&gt;=$E$119,FD92+$D$129&lt;=$E$120+1),10,0),IF(AND(FD92+$D$129+1&gt;=$E$119,FD92+$D$129+1&lt;=$E$120),10,0))</f>
        <v>0</v>
      </c>
      <c r="FE119" s="1908">
        <f ca="1">IF(ENTRADAS!$O$1252="J",IF(AND(FE92+$D$129&gt;=$E$119,FE92+$D$129&lt;=$E$120+1),10,0),IF(AND(FE92+$D$129+1&gt;=$E$119,FE92+$D$129+1&lt;=$E$120),10,0))</f>
        <v>0</v>
      </c>
      <c r="FF119" s="1907">
        <f ca="1">IF(ENTRADAS!$O$1252="J",IF(AND(FF92+$D$129&gt;=$E$119,FF92+$D$129&lt;=$E$120+1),10,0),IF(AND(FF92+$D$129+1&gt;=$E$119,FF92+$D$129+1&lt;=$E$120),10,0))</f>
        <v>0</v>
      </c>
      <c r="FG119" s="1908">
        <f ca="1">IF(ENTRADAS!$O$1252="J",IF(AND(FG92+$D$129&gt;=$E$119,FG92+$D$129&lt;=$E$120+1),10,0),IF(AND(FG92+$D$129+1&gt;=$E$119,FG92+$D$129+1&lt;=$E$120),10,0))</f>
        <v>0</v>
      </c>
      <c r="FH119" s="1908">
        <f ca="1">IF(ENTRADAS!$O$1252="J",IF(AND(FH92+$D$129&gt;=$E$119,FH92+$D$129&lt;=$E$120+1),10,0),IF(AND(FH92+$D$129+1&gt;=$E$119,FH92+$D$129+1&lt;=$E$120),10,0))</f>
        <v>0</v>
      </c>
      <c r="FI119" s="1908">
        <f ca="1">IF(ENTRADAS!$O$1252="J",IF(AND(FI92+$D$129&gt;=$E$119,FI92+$D$129&lt;=$E$120+1),10,0),IF(AND(FI92+$D$129+1&gt;=$E$119,FI92+$D$129+1&lt;=$E$120),10,0))</f>
        <v>0</v>
      </c>
      <c r="FJ119" s="1908">
        <f ca="1">IF(ENTRADAS!$O$1252="J",IF(AND(FJ92+$D$129&gt;=$E$119,FJ92+$D$129&lt;=$E$120+1),10,0),IF(AND(FJ92+$D$129+1&gt;=$E$119,FJ92+$D$129+1&lt;=$E$120),10,0))</f>
        <v>0</v>
      </c>
      <c r="FK119" s="1908">
        <f ca="1">IF(ENTRADAS!$O$1252="J",IF(AND(FK92+$D$129&gt;=$E$119,FK92+$D$129&lt;=$E$120+1),10,0),IF(AND(FK92+$D$129+1&gt;=$E$119,FK92+$D$129+1&lt;=$E$120),10,0))</f>
        <v>0</v>
      </c>
      <c r="FL119" s="1908">
        <f ca="1">IF(ENTRADAS!$O$1252="J",IF(AND(FL92+$D$129&gt;=$E$119,FL92+$D$129&lt;=$E$120+1),10,0),IF(AND(FL92+$D$129+1&gt;=$E$119,FL92+$D$129+1&lt;=$E$120),10,0))</f>
        <v>0</v>
      </c>
      <c r="FM119" s="1907">
        <f ca="1">IF(ENTRADAS!$O$1252="J",IF(AND(FM92+$D$129&gt;=$E$119,FM92+$D$129&lt;=$E$120+1),10,0),IF(AND(FM92+$D$129+1&gt;=$E$119,FM92+$D$129+1&lt;=$E$120),10,0))</f>
        <v>0</v>
      </c>
      <c r="FN119" s="1908">
        <f ca="1">IF(ENTRADAS!$O$1252="J",IF(AND(FN92+$D$129&gt;=$E$119,FN92+$D$129&lt;=$E$120+1),10,0),IF(AND(FN92+$D$129+1&gt;=$E$119,FN92+$D$129+1&lt;=$E$120),10,0))</f>
        <v>0</v>
      </c>
      <c r="FO119" s="1908">
        <f ca="1">IF(ENTRADAS!$O$1252="J",IF(AND(FO92+$D$129&gt;=$E$119,FO92+$D$129&lt;=$E$120+1),10,0),IF(AND(FO92+$D$129+1&gt;=$E$119,FO92+$D$129+1&lt;=$E$120),10,0))</f>
        <v>0</v>
      </c>
      <c r="FP119" s="1908">
        <f ca="1">IF(ENTRADAS!$O$1252="J",IF(AND(FP92+$D$129&gt;=$E$119,FP92+$D$129&lt;=$E$120+1),10,0),IF(AND(FP92+$D$129+1&gt;=$E$119,FP92+$D$129+1&lt;=$E$120),10,0))</f>
        <v>0</v>
      </c>
      <c r="FQ119" s="1908">
        <f ca="1">IF(ENTRADAS!$O$1252="J",IF(AND(FQ92+$D$129&gt;=$E$119,FQ92+$D$129&lt;=$E$120+1),10,0),IF(AND(FQ92+$D$129+1&gt;=$E$119,FQ92+$D$129+1&lt;=$E$120),10,0))</f>
        <v>0</v>
      </c>
      <c r="FR119" s="1908">
        <f ca="1">IF(ENTRADAS!$O$1252="J",IF(AND(FR92+$D$129&gt;=$E$119,FR92+$D$129&lt;=$E$120+1),10,0),IF(AND(FR92+$D$129+1&gt;=$E$119,FR92+$D$129+1&lt;=$E$120),10,0))</f>
        <v>0</v>
      </c>
      <c r="FS119" s="1908">
        <f ca="1">IF(ENTRADAS!$O$1252="J",IF(AND(FS92+$D$129&gt;=$E$119,FS92+$D$129&lt;=$E$120+1),10,0),IF(AND(FS92+$D$129+1&gt;=$E$119,FS92+$D$129+1&lt;=$E$120),10,0))</f>
        <v>0</v>
      </c>
      <c r="FT119" s="1907">
        <f ca="1">IF(ENTRADAS!$O$1252="J",IF(AND(FT92+$D$129&gt;=$E$119,FT92+$D$129&lt;=$E$120+1),10,0),IF(AND(FT92+$D$129+1&gt;=$E$119,FT92+$D$129+1&lt;=$E$120),10,0))</f>
        <v>0</v>
      </c>
      <c r="FU119" s="1908">
        <f ca="1">IF(ENTRADAS!$O$1252="J",IF(AND(FU92+$D$129&gt;=$E$119,FU92+$D$129&lt;=$E$120+1),10,0),IF(AND(FU92+$D$129+1&gt;=$E$119,FU92+$D$129+1&lt;=$E$120),10,0))</f>
        <v>0</v>
      </c>
      <c r="FV119" s="1908">
        <f ca="1">IF(ENTRADAS!$O$1252="J",IF(AND(FV92+$D$129&gt;=$E$119,FV92+$D$129&lt;=$E$120+1),10,0),IF(AND(FV92+$D$129+1&gt;=$E$119,FV92+$D$129+1&lt;=$E$120),10,0))</f>
        <v>0</v>
      </c>
      <c r="FW119" s="1908">
        <f ca="1">IF(ENTRADAS!$O$1252="J",IF(AND(FW92+$D$129&gt;=$E$119,FW92+$D$129&lt;=$E$120+1),10,0),IF(AND(FW92+$D$129+1&gt;=$E$119,FW92+$D$129+1&lt;=$E$120),10,0))</f>
        <v>0</v>
      </c>
      <c r="FX119" s="1908">
        <f ca="1">IF(ENTRADAS!$O$1252="J",IF(AND(FX92+$D$129&gt;=$E$119,FX92+$D$129&lt;=$E$120+1),10,0),IF(AND(FX92+$D$129+1&gt;=$E$119,FX92+$D$129+1&lt;=$E$120),10,0))</f>
        <v>0</v>
      </c>
      <c r="FY119" s="1908">
        <f ca="1">IF(ENTRADAS!$O$1252="J",IF(AND(FY92+$D$129&gt;=$E$119,FY92+$D$129&lt;=$E$120+1),10,0),IF(AND(FY92+$D$129+1&gt;=$E$119,FY92+$D$129+1&lt;=$E$120),10,0))</f>
        <v>0</v>
      </c>
      <c r="FZ119" s="1908">
        <f ca="1">IF(ENTRADAS!$O$1252="J",IF(AND(FZ92+$D$129&gt;=$E$119,FZ92+$D$129&lt;=$E$120+1),10,0),IF(AND(FZ92+$D$129+1&gt;=$E$119,FZ92+$D$129+1&lt;=$E$120),10,0))</f>
        <v>0</v>
      </c>
      <c r="GA119" s="1907">
        <f ca="1">IF(ENTRADAS!$O$1252="J",IF(AND(GA92+$D$129&gt;=$E$119,GA92+$D$129&lt;=$E$120+1),10,0),IF(AND(GA92+$D$129+1&gt;=$E$119,GA92+$D$129+1&lt;=$E$120),10,0))</f>
        <v>0</v>
      </c>
      <c r="GB119" s="1908">
        <f ca="1">IF(ENTRADAS!$O$1252="J",IF(AND(GB92+$D$129&gt;=$E$119,GB92+$D$129&lt;=$E$120+1),10,0),IF(AND(GB92+$D$129+1&gt;=$E$119,GB92+$D$129+1&lt;=$E$120),10,0))</f>
        <v>0</v>
      </c>
      <c r="GC119" s="1908">
        <f ca="1">IF(ENTRADAS!$O$1252="J",IF(AND(GC92+$D$129&gt;=$E$119,GC92+$D$129&lt;=$E$120+1),10,0),IF(AND(GC92+$D$129+1&gt;=$E$119,GC92+$D$129+1&lt;=$E$120),10,0))</f>
        <v>0</v>
      </c>
      <c r="GD119" s="1908">
        <f ca="1">IF(ENTRADAS!$O$1252="J",IF(AND(GD92+$D$129&gt;=$E$119,GD92+$D$129&lt;=$E$120+1),10,0),IF(AND(GD92+$D$129+1&gt;=$E$119,GD92+$D$129+1&lt;=$E$120),10,0))</f>
        <v>0</v>
      </c>
      <c r="GE119" s="1908">
        <f ca="1">IF(ENTRADAS!$O$1252="J",IF(AND(GE92+$D$129&gt;=$E$119,GE92+$D$129&lt;=$E$120+1),10,0),IF(AND(GE92+$D$129+1&gt;=$E$119,GE92+$D$129+1&lt;=$E$120),10,0))</f>
        <v>0</v>
      </c>
      <c r="GF119" s="1908">
        <f ca="1">IF(ENTRADAS!$O$1252="J",IF(AND(GF92+$D$129&gt;=$E$119,GF92+$D$129&lt;=$E$120+1),10,0),IF(AND(GF92+$D$129+1&gt;=$E$119,GF92+$D$129+1&lt;=$E$120),10,0))</f>
        <v>0</v>
      </c>
      <c r="GG119" s="1908">
        <f ca="1">IF(ENTRADAS!$O$1252="J",IF(AND(GG92+$D$129&gt;=$E$119,GG92+$D$129&lt;=$E$120+1),10,0),IF(AND(GG92+$D$129+1&gt;=$E$119,GG92+$D$129+1&lt;=$E$120),10,0))</f>
        <v>0</v>
      </c>
      <c r="GH119" s="1907">
        <f ca="1">IF(ENTRADAS!$O$1252="J",IF(AND(GH92+$D$129&gt;=$E$119,GH92+$D$129&lt;=$E$120+1),10,0),IF(AND(GH92+$D$129+1&gt;=$E$119,GH92+$D$129+1&lt;=$E$120),10,0))</f>
        <v>0</v>
      </c>
      <c r="GI119" s="1908">
        <f ca="1">IF(ENTRADAS!$O$1252="J",IF(AND(GI92+$D$129&gt;=$E$119,GI92+$D$129&lt;=$E$120+1),10,0),IF(AND(GI92+$D$129+1&gt;=$E$119,GI92+$D$129+1&lt;=$E$120),10,0))</f>
        <v>0</v>
      </c>
      <c r="GJ119" s="1908">
        <f ca="1">IF(ENTRADAS!$O$1252="J",IF(AND(GJ92+$D$129&gt;=$E$119,GJ92+$D$129&lt;=$E$120+1),10,0),IF(AND(GJ92+$D$129+1&gt;=$E$119,GJ92+$D$129+1&lt;=$E$120),10,0))</f>
        <v>0</v>
      </c>
      <c r="GK119" s="1908">
        <f ca="1">IF(ENTRADAS!$O$1252="J",IF(AND(GK92+$D$129&gt;=$E$119,GK92+$D$129&lt;=$E$120+1),10,0),IF(AND(GK92+$D$129+1&gt;=$E$119,GK92+$D$129+1&lt;=$E$120),10,0))</f>
        <v>0</v>
      </c>
      <c r="GL119" s="1908">
        <f ca="1">IF(ENTRADAS!$O$1252="J",IF(AND(GL92+$D$129&gt;=$E$119,GL92+$D$129&lt;=$E$120+1),10,0),IF(AND(GL92+$D$129+1&gt;=$E$119,GL92+$D$129+1&lt;=$E$120),10,0))</f>
        <v>0</v>
      </c>
      <c r="GM119" s="1908">
        <f ca="1">IF(ENTRADAS!$O$1252="J",IF(AND(GM92+$D$129&gt;=$E$119,GM92+$D$129&lt;=$E$120+1),10,0),IF(AND(GM92+$D$129+1&gt;=$E$119,GM92+$D$129+1&lt;=$E$120),10,0))</f>
        <v>0</v>
      </c>
      <c r="GN119" s="1908">
        <f ca="1">IF(ENTRADAS!$O$1252="J",IF(AND(GN92+$D$129&gt;=$E$119,GN92+$D$129&lt;=$E$120+1),10,0),IF(AND(GN92+$D$129+1&gt;=$E$119,GN92+$D$129+1&lt;=$E$120),10,0))</f>
        <v>0</v>
      </c>
      <c r="GO119" s="1907">
        <f ca="1">IF(ENTRADAS!$O$1252="J",IF(AND(GO92+$D$129&gt;=$E$119,GO92+$D$129&lt;=$E$120+1),10,0),IF(AND(GO92+$D$129+1&gt;=$E$119,GO92+$D$129+1&lt;=$E$120),10,0))</f>
        <v>0</v>
      </c>
      <c r="GP119" s="1908">
        <f ca="1">IF(ENTRADAS!$O$1252="J",IF(AND(GP92+$D$129&gt;=$E$119,GP92+$D$129&lt;=$E$120+1),10,0),IF(AND(GP92+$D$129+1&gt;=$E$119,GP92+$D$129+1&lt;=$E$120),10,0))</f>
        <v>0</v>
      </c>
      <c r="GQ119" s="1908">
        <f ca="1">IF(ENTRADAS!$O$1252="J",IF(AND(GQ92+$D$129&gt;=$E$119,GQ92+$D$129&lt;=$E$120+1),10,0),IF(AND(GQ92+$D$129+1&gt;=$E$119,GQ92+$D$129+1&lt;=$E$120),10,0))</f>
        <v>0</v>
      </c>
      <c r="GR119" s="1908">
        <f ca="1">IF(ENTRADAS!$O$1252="J",IF(AND(GR92+$D$129&gt;=$E$119,GR92+$D$129&lt;=$E$120+1),10,0),IF(AND(GR92+$D$129+1&gt;=$E$119,GR92+$D$129+1&lt;=$E$120),10,0))</f>
        <v>0</v>
      </c>
      <c r="GS119" s="1908">
        <f ca="1">IF(ENTRADAS!$O$1252="J",IF(AND(GS92+$D$129&gt;=$E$119,GS92+$D$129&lt;=$E$120+1),10,0),IF(AND(GS92+$D$129+1&gt;=$E$119,GS92+$D$129+1&lt;=$E$120),10,0))</f>
        <v>0</v>
      </c>
      <c r="GT119" s="1908">
        <f ca="1">IF(ENTRADAS!$O$1252="J",IF(AND(GT92+$D$129&gt;=$E$119,GT92+$D$129&lt;=$E$120+1),10,0),IF(AND(GT92+$D$129+1&gt;=$E$119,GT92+$D$129+1&lt;=$E$120),10,0))</f>
        <v>0</v>
      </c>
      <c r="GU119" s="1908">
        <f ca="1">IF(ENTRADAS!$O$1252="J",IF(AND(GU92+$D$129&gt;=$E$119,GU92+$D$129&lt;=$E$120+1),10,0),IF(AND(GU92+$D$129+1&gt;=$E$119,GU92+$D$129+1&lt;=$E$120),10,0))</f>
        <v>0</v>
      </c>
      <c r="GV119" s="1907">
        <f ca="1">IF(ENTRADAS!$O$1252="J",IF(AND(GV92+$D$129&gt;=$E$119,GV92+$D$129&lt;=$E$120+1),10,0),IF(AND(GV92+$D$129+1&gt;=$E$119,GV92+$D$129+1&lt;=$E$120),10,0))</f>
        <v>0</v>
      </c>
      <c r="GW119" s="1908">
        <f ca="1">IF(ENTRADAS!$O$1252="J",IF(AND(GW92+$D$129&gt;=$E$119,GW92+$D$129&lt;=$E$120+1),10,0),IF(AND(GW92+$D$129+1&gt;=$E$119,GW92+$D$129+1&lt;=$E$120),10,0))</f>
        <v>0</v>
      </c>
      <c r="GX119" s="1908">
        <f ca="1">IF(ENTRADAS!$O$1252="J",IF(AND(GX92+$D$129&gt;=$E$119,GX92+$D$129&lt;=$E$120+1),10,0),IF(AND(GX92+$D$129+1&gt;=$E$119,GX92+$D$129+1&lt;=$E$120),10,0))</f>
        <v>0</v>
      </c>
      <c r="GY119" s="1908">
        <f ca="1">IF(ENTRADAS!$O$1252="J",IF(AND(GY92+$D$129&gt;=$E$119,GY92+$D$129&lt;=$E$120+1),10,0),IF(AND(GY92+$D$129+1&gt;=$E$119,GY92+$D$129+1&lt;=$E$120),10,0))</f>
        <v>0</v>
      </c>
      <c r="GZ119" s="1908">
        <f ca="1">IF(ENTRADAS!$O$1252="J",IF(AND(GZ92+$D$129&gt;=$E$119,GZ92+$D$129&lt;=$E$120+1),10,0),IF(AND(GZ92+$D$129+1&gt;=$E$119,GZ92+$D$129+1&lt;=$E$120),10,0))</f>
        <v>0</v>
      </c>
      <c r="HA119" s="1908">
        <f ca="1">IF(ENTRADAS!$O$1252="J",IF(AND(HA92+$D$129&gt;=$E$119,HA92+$D$129&lt;=$E$120+1),10,0),IF(AND(HA92+$D$129+1&gt;=$E$119,HA92+$D$129+1&lt;=$E$120),10,0))</f>
        <v>0</v>
      </c>
      <c r="HB119" s="1908">
        <f ca="1">IF(ENTRADAS!$O$1252="J",IF(AND(HB92+$D$129&gt;=$E$119,HB92+$D$129&lt;=$E$120+1),10,0),IF(AND(HB92+$D$129+1&gt;=$E$119,HB92+$D$129+1&lt;=$E$120),10,0))</f>
        <v>0</v>
      </c>
      <c r="HC119" s="1907">
        <f ca="1">IF(ENTRADAS!$O$1252="J",IF(AND(HC92+$D$129&gt;=$E$119,HC92+$D$129&lt;=$E$120+1),10,0),IF(AND(HC92+$D$129+1&gt;=$E$119,HC92+$D$129+1&lt;=$E$120),10,0))</f>
        <v>0</v>
      </c>
      <c r="HD119" s="1908">
        <f ca="1">IF(ENTRADAS!$O$1252="J",IF(AND(HD92+$D$129&gt;=$E$119,HD92+$D$129&lt;=$E$120+1),10,0),IF(AND(HD92+$D$129+1&gt;=$E$119,HD92+$D$129+1&lt;=$E$120),10,0))</f>
        <v>0</v>
      </c>
      <c r="HE119" s="1908">
        <f ca="1">IF(ENTRADAS!$O$1252="J",IF(AND(HE92+$D$129&gt;=$E$119,HE92+$D$129&lt;=$E$120+1),10,0),IF(AND(HE92+$D$129+1&gt;=$E$119,HE92+$D$129+1&lt;=$E$120),10,0))</f>
        <v>0</v>
      </c>
      <c r="HF119" s="1908">
        <f ca="1">IF(ENTRADAS!$O$1252="J",IF(AND(HF92+$D$129&gt;=$E$119,HF92+$D$129&lt;=$E$120+1),10,0),IF(AND(HF92+$D$129+1&gt;=$E$119,HF92+$D$129+1&lt;=$E$120),10,0))</f>
        <v>0</v>
      </c>
      <c r="HG119" s="1908">
        <f ca="1">IF(ENTRADAS!$O$1252="J",IF(AND(HG92+$D$129&gt;=$E$119,HG92+$D$129&lt;=$E$120+1),10,0),IF(AND(HG92+$D$129+1&gt;=$E$119,HG92+$D$129+1&lt;=$E$120),10,0))</f>
        <v>0</v>
      </c>
      <c r="HH119" s="1908">
        <f ca="1">IF(ENTRADAS!$O$1252="J",IF(AND(HH92+$D$129&gt;=$E$119,HH92+$D$129&lt;=$E$120+1),10,0),IF(AND(HH92+$D$129+1&gt;=$E$119,HH92+$D$129+1&lt;=$E$120),10,0))</f>
        <v>0</v>
      </c>
      <c r="HI119" s="1908">
        <f ca="1">IF(ENTRADAS!$O$1252="J",IF(AND(HI92+$D$129&gt;=$E$119,HI92+$D$129&lt;=$E$120+1),10,0),IF(AND(HI92+$D$129+1&gt;=$E$119,HI92+$D$129+1&lt;=$E$120),10,0))</f>
        <v>0</v>
      </c>
      <c r="HJ119" s="1907">
        <f ca="1">IF(ENTRADAS!$O$1252="J",IF(AND(HJ92+$D$129&gt;=$E$119,HJ92+$D$129&lt;=$E$120+1),10,0),IF(AND(HJ92+$D$129+1&gt;=$E$119,HJ92+$D$129+1&lt;=$E$120),10,0))</f>
        <v>0</v>
      </c>
      <c r="HK119" s="1908">
        <f ca="1">IF(ENTRADAS!$O$1252="J",IF(AND(HK92+$D$129&gt;=$E$119,HK92+$D$129&lt;=$E$120+1),10,0),IF(AND(HK92+$D$129+1&gt;=$E$119,HK92+$D$129+1&lt;=$E$120),10,0))</f>
        <v>0</v>
      </c>
      <c r="HL119" s="1908">
        <f ca="1">IF(ENTRADAS!$O$1252="J",IF(AND(HL92+$D$129&gt;=$E$119,HL92+$D$129&lt;=$E$120+1),10,0),IF(AND(HL92+$D$129+1&gt;=$E$119,HL92+$D$129+1&lt;=$E$120),10,0))</f>
        <v>0</v>
      </c>
      <c r="HM119" s="1908">
        <f ca="1">IF(ENTRADAS!$O$1252="J",IF(AND(HM92+$D$129&gt;=$E$119,HM92+$D$129&lt;=$E$120+1),10,0),IF(AND(HM92+$D$129+1&gt;=$E$119,HM92+$D$129+1&lt;=$E$120),10,0))</f>
        <v>0</v>
      </c>
      <c r="HN119" s="1908">
        <f ca="1">IF(ENTRADAS!$O$1252="J",IF(AND(HN92+$D$129&gt;=$E$119,HN92+$D$129&lt;=$E$120+1),10,0),IF(AND(HN92+$D$129+1&gt;=$E$119,HN92+$D$129+1&lt;=$E$120),10,0))</f>
        <v>0</v>
      </c>
      <c r="HO119" s="1908">
        <f ca="1">IF(ENTRADAS!$O$1252="J",IF(AND(HO92+$D$129&gt;=$E$119,HO92+$D$129&lt;=$E$120+1),10,0),IF(AND(HO92+$D$129+1&gt;=$E$119,HO92+$D$129+1&lt;=$E$120),10,0))</f>
        <v>0</v>
      </c>
      <c r="HP119" s="1908">
        <f ca="1">IF(ENTRADAS!$O$1252="J",IF(AND(HP92+$D$129&gt;=$E$119,HP92+$D$129&lt;=$E$120+1),10,0),IF(AND(HP92+$D$129+1&gt;=$E$119,HP92+$D$129+1&lt;=$E$120),10,0))</f>
        <v>0</v>
      </c>
      <c r="HQ119" s="1907">
        <f ca="1">IF(ENTRADAS!$O$1252="J",IF(AND(HQ92+$D$129&gt;=$E$119,HQ92+$D$129&lt;=$E$120+1),10,0),IF(AND(HQ92+$D$129+1&gt;=$E$119,HQ92+$D$129+1&lt;=$E$120),10,0))</f>
        <v>0</v>
      </c>
      <c r="HR119" s="1908">
        <f ca="1">IF(ENTRADAS!$O$1252="J",IF(AND(HR92+$D$129&gt;=$E$119,HR92+$D$129&lt;=$E$120+1),10,0),IF(AND(HR92+$D$129+1&gt;=$E$119,HR92+$D$129+1&lt;=$E$120),10,0))</f>
        <v>0</v>
      </c>
      <c r="HS119" s="1908">
        <f ca="1">IF(ENTRADAS!$O$1252="J",IF(AND(HS92+$D$129&gt;=$E$119,HS92+$D$129&lt;=$E$120+1),10,0),IF(AND(HS92+$D$129+1&gt;=$E$119,HS92+$D$129+1&lt;=$E$120),10,0))</f>
        <v>0</v>
      </c>
      <c r="HT119" s="1908">
        <f ca="1">IF(ENTRADAS!$O$1252="J",IF(AND(HT92+$D$129&gt;=$E$119,HT92+$D$129&lt;=$E$120+1),10,0),IF(AND(HT92+$D$129+1&gt;=$E$119,HT92+$D$129+1&lt;=$E$120),10,0))</f>
        <v>0</v>
      </c>
      <c r="HU119" s="1908">
        <f ca="1">IF(ENTRADAS!$O$1252="J",IF(AND(HU92+$D$129&gt;=$E$119,HU92+$D$129&lt;=$E$120+1),10,0),IF(AND(HU92+$D$129+1&gt;=$E$119,HU92+$D$129+1&lt;=$E$120),10,0))</f>
        <v>0</v>
      </c>
      <c r="HV119" s="1908">
        <f ca="1">IF(ENTRADAS!$O$1252="J",IF(AND(HV92+$D$129&gt;=$E$119,HV92+$D$129&lt;=$E$120+1),10,0),IF(AND(HV92+$D$129+1&gt;=$E$119,HV92+$D$129+1&lt;=$E$120),10,0))</f>
        <v>0</v>
      </c>
      <c r="HW119" s="1908">
        <f ca="1">IF(ENTRADAS!$O$1252="J",IF(AND(HW92+$D$129&gt;=$E$119,HW92+$D$129&lt;=$E$120+1),10,0),IF(AND(HW92+$D$129+1&gt;=$E$119,HW92+$D$129+1&lt;=$E$120),10,0))</f>
        <v>0</v>
      </c>
      <c r="HX119" s="1907">
        <f ca="1">IF(ENTRADAS!$O$1252="J",IF(AND(HX92+$D$129&gt;=$E$119,HX92+$D$129&lt;=$E$120+1),10,0),IF(AND(HX92+$D$129+1&gt;=$E$119,HX92+$D$129+1&lt;=$E$120),10,0))</f>
        <v>0</v>
      </c>
      <c r="HY119" s="1908">
        <f ca="1">IF(ENTRADAS!$O$1252="J",IF(AND(HY92+$D$129&gt;=$E$119,HY92+$D$129&lt;=$E$120+1),10,0),IF(AND(HY92+$D$129+1&gt;=$E$119,HY92+$D$129+1&lt;=$E$120),10,0))</f>
        <v>0</v>
      </c>
      <c r="HZ119" s="1908">
        <f ca="1">IF(ENTRADAS!$O$1252="J",IF(AND(HZ92+$D$129&gt;=$E$119,HZ92+$D$129&lt;=$E$120+1),10,0),IF(AND(HZ92+$D$129+1&gt;=$E$119,HZ92+$D$129+1&lt;=$E$120),10,0))</f>
        <v>0</v>
      </c>
      <c r="IA119" s="1908">
        <f ca="1">IF(ENTRADAS!$O$1252="J",IF(AND(IA92+$D$129&gt;=$E$119,IA92+$D$129&lt;=$E$120+1),10,0),IF(AND(IA92+$D$129+1&gt;=$E$119,IA92+$D$129+1&lt;=$E$120),10,0))</f>
        <v>0</v>
      </c>
      <c r="IB119" s="1908">
        <f ca="1">IF(ENTRADAS!$O$1252="J",IF(AND(IB92+$D$129&gt;=$E$119,IB92+$D$129&lt;=$E$120+1),10,0),IF(AND(IB92+$D$129+1&gt;=$E$119,IB92+$D$129+1&lt;=$E$120),10,0))</f>
        <v>0</v>
      </c>
      <c r="IC119" s="1908">
        <f ca="1">IF(ENTRADAS!$O$1252="J",IF(AND(IC92+$D$129&gt;=$E$119,IC92+$D$129&lt;=$E$120+1),10,0),IF(AND(IC92+$D$129+1&gt;=$E$119,IC92+$D$129+1&lt;=$E$120),10,0))</f>
        <v>0</v>
      </c>
      <c r="ID119" s="1908">
        <f ca="1">IF(ENTRADAS!$O$1252="J",IF(AND(ID92+$D$129&gt;=$E$119,ID92+$D$129&lt;=$E$120+1),10,0),IF(AND(ID92+$D$129+1&gt;=$E$119,ID92+$D$129+1&lt;=$E$120),10,0))</f>
        <v>0</v>
      </c>
      <c r="IE119" s="1907">
        <f ca="1">IF(ENTRADAS!$O$1252="J",IF(AND(IE92+$D$129&gt;=$E$119,IE92+$D$129&lt;=$E$120+1),10,0),IF(AND(IE92+$D$129+1&gt;=$E$119,IE92+$D$129+1&lt;=$E$120),10,0))</f>
        <v>0</v>
      </c>
      <c r="IF119" s="1908">
        <f ca="1">IF(ENTRADAS!$O$1252="J",IF(AND(IF92+$D$129&gt;=$E$119,IF92+$D$129&lt;=$E$120+1),10,0),IF(AND(IF92+$D$129+1&gt;=$E$119,IF92+$D$129+1&lt;=$E$120),10,0))</f>
        <v>0</v>
      </c>
      <c r="IG119" s="1908">
        <f ca="1">IF(ENTRADAS!$O$1252="J",IF(AND(IG92+$D$129&gt;=$E$119,IG92+$D$129&lt;=$E$120+1),10,0),IF(AND(IG92+$D$129+1&gt;=$E$119,IG92+$D$129+1&lt;=$E$120),10,0))</f>
        <v>0</v>
      </c>
      <c r="IH119" s="1908">
        <f ca="1">IF(ENTRADAS!$O$1252="J",IF(AND(IH92+$D$129&gt;=$E$119,IH92+$D$129&lt;=$E$120+1),10,0),IF(AND(IH92+$D$129+1&gt;=$E$119,IH92+$D$129+1&lt;=$E$120),10,0))</f>
        <v>0</v>
      </c>
      <c r="II119" s="1908">
        <f ca="1">IF(ENTRADAS!$O$1252="J",IF(AND(II92+$D$129&gt;=$E$119,II92+$D$129&lt;=$E$120+1),10,0),IF(AND(II92+$D$129+1&gt;=$E$119,II92+$D$129+1&lt;=$E$120),10,0))</f>
        <v>0</v>
      </c>
      <c r="IJ119" s="1908">
        <f ca="1">IF(ENTRADAS!$O$1252="J",IF(AND(IJ92+$D$129&gt;=$E$119,IJ92+$D$129&lt;=$E$120+1),10,0),IF(AND(IJ92+$D$129+1&gt;=$E$119,IJ92+$D$129+1&lt;=$E$120),10,0))</f>
        <v>0</v>
      </c>
      <c r="IK119" s="1909">
        <f ca="1">IF(ENTRADAS!$O$1252="J",IF(AND(IK92+$D$129&gt;=$E$119,IK92+$D$129&lt;=$E$120+1),10,0),IF(AND(IK92+$D$129+1&gt;=$E$119,IK92+$D$129+1&lt;=$E$120),10,0))</f>
        <v>0</v>
      </c>
    </row>
    <row r="120" spans="1:245" ht="7.5" hidden="1" customHeight="1" x14ac:dyDescent="0.35">
      <c r="A120" s="195">
        <f>IF(B119=0,0,"XXX")</f>
        <v>0</v>
      </c>
      <c r="B120" s="1910"/>
      <c r="C120" s="1912"/>
      <c r="D120" s="360" t="str">
        <f>IF(ENTRADAS!$F$22=0,0,"término:")</f>
        <v>término:</v>
      </c>
      <c r="E120" s="361">
        <f>IF(C119=0,0,IF(ENTRADAS!O1252="J",E119+F119-1,E119+F119))</f>
        <v>0</v>
      </c>
      <c r="F120" s="1913"/>
      <c r="G120" s="1914"/>
      <c r="H120" s="1907"/>
      <c r="I120" s="1908"/>
      <c r="J120" s="1908"/>
      <c r="K120" s="1908"/>
      <c r="L120" s="1908"/>
      <c r="M120" s="1908"/>
      <c r="N120" s="1908"/>
      <c r="O120" s="1907"/>
      <c r="P120" s="1908"/>
      <c r="Q120" s="1908"/>
      <c r="R120" s="1908"/>
      <c r="S120" s="1908"/>
      <c r="T120" s="1908"/>
      <c r="U120" s="1908"/>
      <c r="V120" s="1907"/>
      <c r="W120" s="1908"/>
      <c r="X120" s="1908"/>
      <c r="Y120" s="1908"/>
      <c r="Z120" s="1908"/>
      <c r="AA120" s="1908"/>
      <c r="AB120" s="1908"/>
      <c r="AC120" s="1907"/>
      <c r="AD120" s="1908"/>
      <c r="AE120" s="1908"/>
      <c r="AF120" s="1908"/>
      <c r="AG120" s="1908"/>
      <c r="AH120" s="1908"/>
      <c r="AI120" s="1908"/>
      <c r="AJ120" s="1907"/>
      <c r="AK120" s="1908"/>
      <c r="AL120" s="1908"/>
      <c r="AM120" s="1908"/>
      <c r="AN120" s="1908"/>
      <c r="AO120" s="1908"/>
      <c r="AP120" s="1908"/>
      <c r="AQ120" s="1907"/>
      <c r="AR120" s="1908"/>
      <c r="AS120" s="1908"/>
      <c r="AT120" s="1908"/>
      <c r="AU120" s="1908"/>
      <c r="AV120" s="1908"/>
      <c r="AW120" s="1908"/>
      <c r="AX120" s="1907"/>
      <c r="AY120" s="1908"/>
      <c r="AZ120" s="1908"/>
      <c r="BA120" s="1908"/>
      <c r="BB120" s="1908"/>
      <c r="BC120" s="1908"/>
      <c r="BD120" s="1908"/>
      <c r="BE120" s="1907"/>
      <c r="BF120" s="1908"/>
      <c r="BG120" s="1908"/>
      <c r="BH120" s="1908"/>
      <c r="BI120" s="1908"/>
      <c r="BJ120" s="1908"/>
      <c r="BK120" s="1908"/>
      <c r="BL120" s="1907"/>
      <c r="BM120" s="1908"/>
      <c r="BN120" s="1908"/>
      <c r="BO120" s="1908"/>
      <c r="BP120" s="1908"/>
      <c r="BQ120" s="1908"/>
      <c r="BR120" s="1908"/>
      <c r="BS120" s="1907"/>
      <c r="BT120" s="1908"/>
      <c r="BU120" s="1908"/>
      <c r="BV120" s="1908"/>
      <c r="BW120" s="1908"/>
      <c r="BX120" s="1908"/>
      <c r="BY120" s="1908"/>
      <c r="BZ120" s="1907"/>
      <c r="CA120" s="1908"/>
      <c r="CB120" s="1908"/>
      <c r="CC120" s="1908"/>
      <c r="CD120" s="1908"/>
      <c r="CE120" s="1908"/>
      <c r="CF120" s="1908"/>
      <c r="CG120" s="1907"/>
      <c r="CH120" s="1908"/>
      <c r="CI120" s="1908"/>
      <c r="CJ120" s="1908"/>
      <c r="CK120" s="1908"/>
      <c r="CL120" s="1908"/>
      <c r="CM120" s="1908"/>
      <c r="CN120" s="1907"/>
      <c r="CO120" s="1908"/>
      <c r="CP120" s="1908"/>
      <c r="CQ120" s="1908"/>
      <c r="CR120" s="1908"/>
      <c r="CS120" s="1908"/>
      <c r="CT120" s="1908"/>
      <c r="CU120" s="1907"/>
      <c r="CV120" s="1908"/>
      <c r="CW120" s="1908"/>
      <c r="CX120" s="1908"/>
      <c r="CY120" s="1908"/>
      <c r="CZ120" s="1908"/>
      <c r="DA120" s="1908"/>
      <c r="DB120" s="1907"/>
      <c r="DC120" s="1908"/>
      <c r="DD120" s="1908"/>
      <c r="DE120" s="1908"/>
      <c r="DF120" s="1908"/>
      <c r="DG120" s="1908"/>
      <c r="DH120" s="1908"/>
      <c r="DI120" s="1907"/>
      <c r="DJ120" s="1908"/>
      <c r="DK120" s="1908"/>
      <c r="DL120" s="1908"/>
      <c r="DM120" s="1908"/>
      <c r="DN120" s="1908"/>
      <c r="DO120" s="1908"/>
      <c r="DP120" s="1907"/>
      <c r="DQ120" s="1908"/>
      <c r="DR120" s="1908"/>
      <c r="DS120" s="1908"/>
      <c r="DT120" s="1908"/>
      <c r="DU120" s="1908"/>
      <c r="DV120" s="1908"/>
      <c r="DW120" s="1907"/>
      <c r="DX120" s="1908"/>
      <c r="DY120" s="1908"/>
      <c r="DZ120" s="1908"/>
      <c r="EA120" s="1908"/>
      <c r="EB120" s="1908"/>
      <c r="EC120" s="1908"/>
      <c r="ED120" s="1907"/>
      <c r="EE120" s="1908"/>
      <c r="EF120" s="1908"/>
      <c r="EG120" s="1908"/>
      <c r="EH120" s="1908"/>
      <c r="EI120" s="1908"/>
      <c r="EJ120" s="1908"/>
      <c r="EK120" s="1907"/>
      <c r="EL120" s="1908"/>
      <c r="EM120" s="1908"/>
      <c r="EN120" s="1908"/>
      <c r="EO120" s="1908"/>
      <c r="EP120" s="1908"/>
      <c r="EQ120" s="1908"/>
      <c r="ER120" s="1907"/>
      <c r="ES120" s="1908"/>
      <c r="ET120" s="1908"/>
      <c r="EU120" s="1908"/>
      <c r="EV120" s="1908"/>
      <c r="EW120" s="1908"/>
      <c r="EX120" s="1908"/>
      <c r="EY120" s="1907"/>
      <c r="EZ120" s="1908"/>
      <c r="FA120" s="1908"/>
      <c r="FB120" s="1908"/>
      <c r="FC120" s="1908"/>
      <c r="FD120" s="1908"/>
      <c r="FE120" s="1908"/>
      <c r="FF120" s="1907"/>
      <c r="FG120" s="1908"/>
      <c r="FH120" s="1908"/>
      <c r="FI120" s="1908"/>
      <c r="FJ120" s="1908"/>
      <c r="FK120" s="1908"/>
      <c r="FL120" s="1908"/>
      <c r="FM120" s="1907"/>
      <c r="FN120" s="1908"/>
      <c r="FO120" s="1908"/>
      <c r="FP120" s="1908"/>
      <c r="FQ120" s="1908"/>
      <c r="FR120" s="1908"/>
      <c r="FS120" s="1908"/>
      <c r="FT120" s="1907"/>
      <c r="FU120" s="1908"/>
      <c r="FV120" s="1908"/>
      <c r="FW120" s="1908"/>
      <c r="FX120" s="1908"/>
      <c r="FY120" s="1908"/>
      <c r="FZ120" s="1908"/>
      <c r="GA120" s="1907"/>
      <c r="GB120" s="1908"/>
      <c r="GC120" s="1908"/>
      <c r="GD120" s="1908"/>
      <c r="GE120" s="1908"/>
      <c r="GF120" s="1908"/>
      <c r="GG120" s="1908"/>
      <c r="GH120" s="1907"/>
      <c r="GI120" s="1908"/>
      <c r="GJ120" s="1908"/>
      <c r="GK120" s="1908"/>
      <c r="GL120" s="1908"/>
      <c r="GM120" s="1908"/>
      <c r="GN120" s="1908"/>
      <c r="GO120" s="1907"/>
      <c r="GP120" s="1908"/>
      <c r="GQ120" s="1908"/>
      <c r="GR120" s="1908"/>
      <c r="GS120" s="1908"/>
      <c r="GT120" s="1908"/>
      <c r="GU120" s="1908"/>
      <c r="GV120" s="1907"/>
      <c r="GW120" s="1908"/>
      <c r="GX120" s="1908"/>
      <c r="GY120" s="1908"/>
      <c r="GZ120" s="1908"/>
      <c r="HA120" s="1908"/>
      <c r="HB120" s="1908"/>
      <c r="HC120" s="1907"/>
      <c r="HD120" s="1908"/>
      <c r="HE120" s="1908"/>
      <c r="HF120" s="1908"/>
      <c r="HG120" s="1908"/>
      <c r="HH120" s="1908"/>
      <c r="HI120" s="1908"/>
      <c r="HJ120" s="1907"/>
      <c r="HK120" s="1908"/>
      <c r="HL120" s="1908"/>
      <c r="HM120" s="1908"/>
      <c r="HN120" s="1908"/>
      <c r="HO120" s="1908"/>
      <c r="HP120" s="1908"/>
      <c r="HQ120" s="1907"/>
      <c r="HR120" s="1908"/>
      <c r="HS120" s="1908"/>
      <c r="HT120" s="1908"/>
      <c r="HU120" s="1908"/>
      <c r="HV120" s="1908"/>
      <c r="HW120" s="1908"/>
      <c r="HX120" s="1907"/>
      <c r="HY120" s="1908"/>
      <c r="HZ120" s="1908"/>
      <c r="IA120" s="1908"/>
      <c r="IB120" s="1908"/>
      <c r="IC120" s="1908"/>
      <c r="ID120" s="1908"/>
      <c r="IE120" s="1907"/>
      <c r="IF120" s="1908"/>
      <c r="IG120" s="1908"/>
      <c r="IH120" s="1908"/>
      <c r="II120" s="1908"/>
      <c r="IJ120" s="1908"/>
      <c r="IK120" s="1909"/>
    </row>
    <row r="121" spans="1:245" ht="7.5" hidden="1" customHeight="1" x14ac:dyDescent="0.35">
      <c r="A121" s="195">
        <f>IF(B121=0,0,"XXX")</f>
        <v>0</v>
      </c>
      <c r="B121" s="1910">
        <f>IF(ENTRADAS!J1255=0,0,ENTRADAS!C1255)</f>
        <v>0</v>
      </c>
      <c r="C121" s="1911">
        <f>IF(ENTRADAS!J1255="x",ENTRADAS!D1255,0)</f>
        <v>0</v>
      </c>
      <c r="D121" s="358" t="str">
        <f>IF(ENTRADAS!$F$22=0,0,"início:")</f>
        <v>início:</v>
      </c>
      <c r="E121" s="359">
        <f>IF(C121=0,0,IF(F122&gt;0,F122+D129,IF(ENTRADAS!$O$1252="J",E106+2,E106+1+F117+1+F119+2)))</f>
        <v>0</v>
      </c>
      <c r="F121" s="454">
        <f>IF(C121=0,0,ENTRADAS!$H$1255)</f>
        <v>0</v>
      </c>
      <c r="G121" s="455" t="str">
        <f>IF(ENTRADAS!$F$22=0,0,"dias")</f>
        <v>dias</v>
      </c>
      <c r="H121" s="1907">
        <f ca="1">IF(ENTRADAS!$O$1252="J",IF(AND(H92+$D$129&gt;=$E$121,H92+$D$129&lt;=$E$122),10,0),IF(AND(H92+$D$129+2&gt;=$E$121,H92+$D$129+2&lt;=$E$122),10,0))</f>
        <v>0</v>
      </c>
      <c r="I121" s="1908">
        <f ca="1">IF(ENTRADAS!$O$1252="J",IF(AND(I92+$D$129&gt;=$E$121,I92+$D$129&lt;=$E$122),10,0),IF(AND(I92+$D$129+2&gt;=$E$121,I92+$D$129+2&lt;=$E$122),10,0))</f>
        <v>0</v>
      </c>
      <c r="J121" s="1908">
        <f ca="1">IF(ENTRADAS!$O$1252="J",IF(AND(J92+$D$129&gt;=$E$121,J92+$D$129&lt;=$E$122),10,0),IF(AND(J92+$D$129+2&gt;=$E$121,J92+$D$129+2&lt;=$E$122),10,0))</f>
        <v>0</v>
      </c>
      <c r="K121" s="1908">
        <f ca="1">IF(ENTRADAS!$O$1252="J",IF(AND(K92+$D$129&gt;=$E$121,K92+$D$129&lt;=$E$122),10,0),IF(AND(K92+$D$129+2&gt;=$E$121,K92+$D$129+2&lt;=$E$122),10,0))</f>
        <v>0</v>
      </c>
      <c r="L121" s="1908">
        <f ca="1">IF(ENTRADAS!$O$1252="J",IF(AND(L92+$D$129&gt;=$E$121,L92+$D$129&lt;=$E$122),10,0),IF(AND(L92+$D$129+2&gt;=$E$121,L92+$D$129+2&lt;=$E$122),10,0))</f>
        <v>0</v>
      </c>
      <c r="M121" s="1908">
        <f ca="1">IF(ENTRADAS!$O$1252="J",IF(AND(M92+$D$129&gt;=$E$121,M92+$D$129&lt;=$E$122),10,0),IF(AND(M92+$D$129+2&gt;=$E$121,M92+$D$129+2&lt;=$E$122),10,0))</f>
        <v>0</v>
      </c>
      <c r="N121" s="1908">
        <f ca="1">IF(ENTRADAS!$O$1252="J",IF(AND(N92+$D$129&gt;=$E$121,N92+$D$129&lt;=$E$122),10,0),IF(AND(N92+$D$129+2&gt;=$E$121,N92+$D$129+2&lt;=$E$122),10,0))</f>
        <v>0</v>
      </c>
      <c r="O121" s="1907">
        <f ca="1">IF(ENTRADAS!$O$1252="J",IF(AND(O92+$D$129&gt;=$E$121,O92+$D$129&lt;=$E$122),10,0),IF(AND(O92+$D$129+2&gt;=$E$121,O92+$D$129+2&lt;=$E$122),10,0))</f>
        <v>0</v>
      </c>
      <c r="P121" s="1908">
        <f ca="1">IF(ENTRADAS!$O$1252="J",IF(AND(P92+$D$129&gt;=$E$121,P92+$D$129&lt;=$E$122),10,0),IF(AND(P92+$D$129+2&gt;=$E$121,P92+$D$129+2&lt;=$E$122),10,0))</f>
        <v>0</v>
      </c>
      <c r="Q121" s="1908">
        <f ca="1">IF(ENTRADAS!$O$1252="J",IF(AND(Q92+$D$129&gt;=$E$121,Q92+$D$129&lt;=$E$122),10,0),IF(AND(Q92+$D$129+2&gt;=$E$121,Q92+$D$129+2&lt;=$E$122),10,0))</f>
        <v>0</v>
      </c>
      <c r="R121" s="1908">
        <f ca="1">IF(ENTRADAS!$O$1252="J",IF(AND(R92+$D$129&gt;=$E$121,R92+$D$129&lt;=$E$122),10,0),IF(AND(R92+$D$129+2&gt;=$E$121,R92+$D$129+2&lt;=$E$122),10,0))</f>
        <v>0</v>
      </c>
      <c r="S121" s="1908">
        <f ca="1">IF(ENTRADAS!$O$1252="J",IF(AND(S92+$D$129&gt;=$E$121,S92+$D$129&lt;=$E$122),10,0),IF(AND(S92+$D$129+2&gt;=$E$121,S92+$D$129+2&lt;=$E$122),10,0))</f>
        <v>0</v>
      </c>
      <c r="T121" s="1908">
        <f ca="1">IF(ENTRADAS!$O$1252="J",IF(AND(T92+$D$129&gt;=$E$121,T92+$D$129&lt;=$E$122),10,0),IF(AND(T92+$D$129+2&gt;=$E$121,T92+$D$129+2&lt;=$E$122),10,0))</f>
        <v>0</v>
      </c>
      <c r="U121" s="1908">
        <f ca="1">IF(ENTRADAS!$O$1252="J",IF(AND(U92+$D$129&gt;=$E$121,U92+$D$129&lt;=$E$122),10,0),IF(AND(U92+$D$129+2&gt;=$E$121,U92+$D$129+2&lt;=$E$122),10,0))</f>
        <v>0</v>
      </c>
      <c r="V121" s="1907">
        <f ca="1">IF(ENTRADAS!$O$1252="J",IF(AND(V92+$D$129&gt;=$E$121,V92+$D$129&lt;=$E$122),10,0),IF(AND(V92+$D$129+2&gt;=$E$121,V92+$D$129+2&lt;=$E$122),10,0))</f>
        <v>0</v>
      </c>
      <c r="W121" s="1908">
        <f ca="1">IF(ENTRADAS!$O$1252="J",IF(AND(W92+$D$129&gt;=$E$121,W92+$D$129&lt;=$E$122),10,0),IF(AND(W92+$D$129+2&gt;=$E$121,W92+$D$129+2&lt;=$E$122),10,0))</f>
        <v>0</v>
      </c>
      <c r="X121" s="1908">
        <f ca="1">IF(ENTRADAS!$O$1252="J",IF(AND(X92+$D$129&gt;=$E$121,X92+$D$129&lt;=$E$122),10,0),IF(AND(X92+$D$129+2&gt;=$E$121,X92+$D$129+2&lt;=$E$122),10,0))</f>
        <v>0</v>
      </c>
      <c r="Y121" s="1908">
        <f ca="1">IF(ENTRADAS!$O$1252="J",IF(AND(Y92+$D$129&gt;=$E$121,Y92+$D$129&lt;=$E$122),10,0),IF(AND(Y92+$D$129+2&gt;=$E$121,Y92+$D$129+2&lt;=$E$122),10,0))</f>
        <v>0</v>
      </c>
      <c r="Z121" s="1908">
        <f ca="1">IF(ENTRADAS!$O$1252="J",IF(AND(Z92+$D$129&gt;=$E$121,Z92+$D$129&lt;=$E$122),10,0),IF(AND(Z92+$D$129+2&gt;=$E$121,Z92+$D$129+2&lt;=$E$122),10,0))</f>
        <v>0</v>
      </c>
      <c r="AA121" s="1908">
        <f ca="1">IF(ENTRADAS!$O$1252="J",IF(AND(AA92+$D$129&gt;=$E$121,AA92+$D$129&lt;=$E$122),10,0),IF(AND(AA92+$D$129+2&gt;=$E$121,AA92+$D$129+2&lt;=$E$122),10,0))</f>
        <v>0</v>
      </c>
      <c r="AB121" s="1908">
        <f ca="1">IF(ENTRADAS!$O$1252="J",IF(AND(AB92+$D$129&gt;=$E$121,AB92+$D$129&lt;=$E$122),10,0),IF(AND(AB92+$D$129+2&gt;=$E$121,AB92+$D$129+2&lt;=$E$122),10,0))</f>
        <v>0</v>
      </c>
      <c r="AC121" s="1907">
        <f ca="1">IF(ENTRADAS!$O$1252="J",IF(AND(AC92+$D$129&gt;=$E$121,AC92+$D$129&lt;=$E$122),10,0),IF(AND(AC92+$D$129+2&gt;=$E$121,AC92+$D$129+2&lt;=$E$122),10,0))</f>
        <v>0</v>
      </c>
      <c r="AD121" s="1908">
        <f ca="1">IF(ENTRADAS!$O$1252="J",IF(AND(AD92+$D$129&gt;=$E$121,AD92+$D$129&lt;=$E$122),10,0),IF(AND(AD92+$D$129+2&gt;=$E$121,AD92+$D$129+2&lt;=$E$122),10,0))</f>
        <v>0</v>
      </c>
      <c r="AE121" s="1908">
        <f ca="1">IF(ENTRADAS!$O$1252="J",IF(AND(AE92+$D$129&gt;=$E$121,AE92+$D$129&lt;=$E$122),10,0),IF(AND(AE92+$D$129+2&gt;=$E$121,AE92+$D$129+2&lt;=$E$122),10,0))</f>
        <v>0</v>
      </c>
      <c r="AF121" s="1908">
        <f ca="1">IF(ENTRADAS!$O$1252="J",IF(AND(AF92+$D$129&gt;=$E$121,AF92+$D$129&lt;=$E$122),10,0),IF(AND(AF92+$D$129+2&gt;=$E$121,AF92+$D$129+2&lt;=$E$122),10,0))</f>
        <v>0</v>
      </c>
      <c r="AG121" s="1908">
        <f ca="1">IF(ENTRADAS!$O$1252="J",IF(AND(AG92+$D$129&gt;=$E$121,AG92+$D$129&lt;=$E$122),10,0),IF(AND(AG92+$D$129+2&gt;=$E$121,AG92+$D$129+2&lt;=$E$122),10,0))</f>
        <v>0</v>
      </c>
      <c r="AH121" s="1908">
        <f ca="1">IF(ENTRADAS!$O$1252="J",IF(AND(AH92+$D$129&gt;=$E$121,AH92+$D$129&lt;=$E$122),10,0),IF(AND(AH92+$D$129+2&gt;=$E$121,AH92+$D$129+2&lt;=$E$122),10,0))</f>
        <v>0</v>
      </c>
      <c r="AI121" s="1908">
        <f ca="1">IF(ENTRADAS!$O$1252="J",IF(AND(AI92+$D$129&gt;=$E$121,AI92+$D$129&lt;=$E$122),10,0),IF(AND(AI92+$D$129+2&gt;=$E$121,AI92+$D$129+2&lt;=$E$122),10,0))</f>
        <v>0</v>
      </c>
      <c r="AJ121" s="1907">
        <f ca="1">IF(ENTRADAS!$O$1252="J",IF(AND(AJ92+$D$129&gt;=$E$121,AJ92+$D$129&lt;=$E$122),10,0),IF(AND(AJ92+$D$129+2&gt;=$E$121,AJ92+$D$129+2&lt;=$E$122),10,0))</f>
        <v>0</v>
      </c>
      <c r="AK121" s="1908">
        <f ca="1">IF(ENTRADAS!$O$1252="J",IF(AND(AK92+$D$129&gt;=$E$121,AK92+$D$129&lt;=$E$122),10,0),IF(AND(AK92+$D$129+2&gt;=$E$121,AK92+$D$129+2&lt;=$E$122),10,0))</f>
        <v>0</v>
      </c>
      <c r="AL121" s="1908">
        <f ca="1">IF(ENTRADAS!$O$1252="J",IF(AND(AL92+$D$129&gt;=$E$121,AL92+$D$129&lt;=$E$122),10,0),IF(AND(AL92+$D$129+2&gt;=$E$121,AL92+$D$129+2&lt;=$E$122),10,0))</f>
        <v>0</v>
      </c>
      <c r="AM121" s="1908">
        <f ca="1">IF(ENTRADAS!$O$1252="J",IF(AND(AM92+$D$129&gt;=$E$121,AM92+$D$129&lt;=$E$122),10,0),IF(AND(AM92+$D$129+2&gt;=$E$121,AM92+$D$129+2&lt;=$E$122),10,0))</f>
        <v>0</v>
      </c>
      <c r="AN121" s="1908">
        <f ca="1">IF(ENTRADAS!$O$1252="J",IF(AND(AN92+$D$129&gt;=$E$121,AN92+$D$129&lt;=$E$122),10,0),IF(AND(AN92+$D$129+2&gt;=$E$121,AN92+$D$129+2&lt;=$E$122),10,0))</f>
        <v>0</v>
      </c>
      <c r="AO121" s="1908">
        <f ca="1">IF(ENTRADAS!$O$1252="J",IF(AND(AO92+$D$129&gt;=$E$121,AO92+$D$129&lt;=$E$122),10,0),IF(AND(AO92+$D$129+2&gt;=$E$121,AO92+$D$129+2&lt;=$E$122),10,0))</f>
        <v>0</v>
      </c>
      <c r="AP121" s="1908">
        <f ca="1">IF(ENTRADAS!$O$1252="J",IF(AND(AP92+$D$129&gt;=$E$121,AP92+$D$129&lt;=$E$122),10,0),IF(AND(AP92+$D$129+2&gt;=$E$121,AP92+$D$129+2&lt;=$E$122),10,0))</f>
        <v>0</v>
      </c>
      <c r="AQ121" s="1907">
        <f ca="1">IF(ENTRADAS!$O$1252="J",IF(AND(AQ92+$D$129&gt;=$E$121,AQ92+$D$129&lt;=$E$122),10,0),IF(AND(AQ92+$D$129+2&gt;=$E$121,AQ92+$D$129+2&lt;=$E$122),10,0))</f>
        <v>0</v>
      </c>
      <c r="AR121" s="1908">
        <f ca="1">IF(ENTRADAS!$O$1252="J",IF(AND(AR92+$D$129&gt;=$E$121,AR92+$D$129&lt;=$E$122),10,0),IF(AND(AR92+$D$129+2&gt;=$E$121,AR92+$D$129+2&lt;=$E$122),10,0))</f>
        <v>0</v>
      </c>
      <c r="AS121" s="1908">
        <f ca="1">IF(ENTRADAS!$O$1252="J",IF(AND(AS92+$D$129&gt;=$E$121,AS92+$D$129&lt;=$E$122),10,0),IF(AND(AS92+$D$129+2&gt;=$E$121,AS92+$D$129+2&lt;=$E$122),10,0))</f>
        <v>0</v>
      </c>
      <c r="AT121" s="1908">
        <f ca="1">IF(ENTRADAS!$O$1252="J",IF(AND(AT92+$D$129&gt;=$E$121,AT92+$D$129&lt;=$E$122),10,0),IF(AND(AT92+$D$129+2&gt;=$E$121,AT92+$D$129+2&lt;=$E$122),10,0))</f>
        <v>0</v>
      </c>
      <c r="AU121" s="1908">
        <f ca="1">IF(ENTRADAS!$O$1252="J",IF(AND(AU92+$D$129&gt;=$E$121,AU92+$D$129&lt;=$E$122),10,0),IF(AND(AU92+$D$129+2&gt;=$E$121,AU92+$D$129+2&lt;=$E$122),10,0))</f>
        <v>0</v>
      </c>
      <c r="AV121" s="1908">
        <f ca="1">IF(ENTRADAS!$O$1252="J",IF(AND(AV92+$D$129&gt;=$E$121,AV92+$D$129&lt;=$E$122),10,0),IF(AND(AV92+$D$129+2&gt;=$E$121,AV92+$D$129+2&lt;=$E$122),10,0))</f>
        <v>0</v>
      </c>
      <c r="AW121" s="1908">
        <f ca="1">IF(ENTRADAS!$O$1252="J",IF(AND(AW92+$D$129&gt;=$E$121,AW92+$D$129&lt;=$E$122),10,0),IF(AND(AW92+$D$129+2&gt;=$E$121,AW92+$D$129+2&lt;=$E$122),10,0))</f>
        <v>0</v>
      </c>
      <c r="AX121" s="1907">
        <f ca="1">IF(ENTRADAS!$O$1252="J",IF(AND(AX92+$D$129&gt;=$E$121,AX92+$D$129&lt;=$E$122),10,0),IF(AND(AX92+$D$129+2&gt;=$E$121,AX92+$D$129+2&lt;=$E$122),10,0))</f>
        <v>0</v>
      </c>
      <c r="AY121" s="1908">
        <f ca="1">IF(ENTRADAS!$O$1252="J",IF(AND(AY92+$D$129&gt;=$E$121,AY92+$D$129&lt;=$E$122),10,0),IF(AND(AY92+$D$129+2&gt;=$E$121,AY92+$D$129+2&lt;=$E$122),10,0))</f>
        <v>0</v>
      </c>
      <c r="AZ121" s="1908">
        <f ca="1">IF(ENTRADAS!$O$1252="J",IF(AND(AZ92+$D$129&gt;=$E$121,AZ92+$D$129&lt;=$E$122),10,0),IF(AND(AZ92+$D$129+2&gt;=$E$121,AZ92+$D$129+2&lt;=$E$122),10,0))</f>
        <v>0</v>
      </c>
      <c r="BA121" s="1908">
        <f ca="1">IF(ENTRADAS!$O$1252="J",IF(AND(BA92+$D$129&gt;=$E$121,BA92+$D$129&lt;=$E$122),10,0),IF(AND(BA92+$D$129+2&gt;=$E$121,BA92+$D$129+2&lt;=$E$122),10,0))</f>
        <v>0</v>
      </c>
      <c r="BB121" s="1908">
        <f ca="1">IF(ENTRADAS!$O$1252="J",IF(AND(BB92+$D$129&gt;=$E$121,BB92+$D$129&lt;=$E$122),10,0),IF(AND(BB92+$D$129+2&gt;=$E$121,BB92+$D$129+2&lt;=$E$122),10,0))</f>
        <v>0</v>
      </c>
      <c r="BC121" s="1908">
        <f ca="1">IF(ENTRADAS!$O$1252="J",IF(AND(BC92+$D$129&gt;=$E$121,BC92+$D$129&lt;=$E$122),10,0),IF(AND(BC92+$D$129+2&gt;=$E$121,BC92+$D$129+2&lt;=$E$122),10,0))</f>
        <v>0</v>
      </c>
      <c r="BD121" s="1908">
        <f ca="1">IF(ENTRADAS!$O$1252="J",IF(AND(BD92+$D$129&gt;=$E$121,BD92+$D$129&lt;=$E$122),10,0),IF(AND(BD92+$D$129+2&gt;=$E$121,BD92+$D$129+2&lt;=$E$122),10,0))</f>
        <v>0</v>
      </c>
      <c r="BE121" s="1907">
        <f ca="1">IF(ENTRADAS!$O$1252="J",IF(AND(BE92+$D$129&gt;=$E$121,BE92+$D$129&lt;=$E$122),10,0),IF(AND(BE92+$D$129+2&gt;=$E$121,BE92+$D$129+2&lt;=$E$122),10,0))</f>
        <v>0</v>
      </c>
      <c r="BF121" s="1908">
        <f ca="1">IF(ENTRADAS!$O$1252="J",IF(AND(BF92+$D$129&gt;=$E$121,BF92+$D$129&lt;=$E$122),10,0),IF(AND(BF92+$D$129+2&gt;=$E$121,BF92+$D$129+2&lt;=$E$122),10,0))</f>
        <v>0</v>
      </c>
      <c r="BG121" s="1908">
        <f ca="1">IF(ENTRADAS!$O$1252="J",IF(AND(BG92+$D$129&gt;=$E$121,BG92+$D$129&lt;=$E$122),10,0),IF(AND(BG92+$D$129+2&gt;=$E$121,BG92+$D$129+2&lt;=$E$122),10,0))</f>
        <v>0</v>
      </c>
      <c r="BH121" s="1908">
        <f ca="1">IF(ENTRADAS!$O$1252="J",IF(AND(BH92+$D$129&gt;=$E$121,BH92+$D$129&lt;=$E$122),10,0),IF(AND(BH92+$D$129+2&gt;=$E$121,BH92+$D$129+2&lt;=$E$122),10,0))</f>
        <v>0</v>
      </c>
      <c r="BI121" s="1908">
        <f ca="1">IF(ENTRADAS!$O$1252="J",IF(AND(BI92+$D$129&gt;=$E$121,BI92+$D$129&lt;=$E$122),10,0),IF(AND(BI92+$D$129+2&gt;=$E$121,BI92+$D$129+2&lt;=$E$122),10,0))</f>
        <v>0</v>
      </c>
      <c r="BJ121" s="1908">
        <f ca="1">IF(ENTRADAS!$O$1252="J",IF(AND(BJ92+$D$129&gt;=$E$121,BJ92+$D$129&lt;=$E$122),10,0),IF(AND(BJ92+$D$129+2&gt;=$E$121,BJ92+$D$129+2&lt;=$E$122),10,0))</f>
        <v>0</v>
      </c>
      <c r="BK121" s="1908">
        <f ca="1">IF(ENTRADAS!$O$1252="J",IF(AND(BK92+$D$129&gt;=$E$121,BK92+$D$129&lt;=$E$122),10,0),IF(AND(BK92+$D$129+2&gt;=$E$121,BK92+$D$129+2&lt;=$E$122),10,0))</f>
        <v>0</v>
      </c>
      <c r="BL121" s="1907">
        <f ca="1">IF(ENTRADAS!$O$1252="J",IF(AND(BL92+$D$129&gt;=$E$121,BL92+$D$129&lt;=$E$122),10,0),IF(AND(BL92+$D$129+2&gt;=$E$121,BL92+$D$129+2&lt;=$E$122),10,0))</f>
        <v>0</v>
      </c>
      <c r="BM121" s="1908">
        <f ca="1">IF(ENTRADAS!$O$1252="J",IF(AND(BM92+$D$129&gt;=$E$121,BM92+$D$129&lt;=$E$122),10,0),IF(AND(BM92+$D$129+2&gt;=$E$121,BM92+$D$129+2&lt;=$E$122),10,0))</f>
        <v>0</v>
      </c>
      <c r="BN121" s="1908">
        <f ca="1">IF(ENTRADAS!$O$1252="J",IF(AND(BN92+$D$129&gt;=$E$121,BN92+$D$129&lt;=$E$122),10,0),IF(AND(BN92+$D$129+2&gt;=$E$121,BN92+$D$129+2&lt;=$E$122),10,0))</f>
        <v>0</v>
      </c>
      <c r="BO121" s="1908">
        <f ca="1">IF(ENTRADAS!$O$1252="J",IF(AND(BO92+$D$129&gt;=$E$121,BO92+$D$129&lt;=$E$122),10,0),IF(AND(BO92+$D$129+2&gt;=$E$121,BO92+$D$129+2&lt;=$E$122),10,0))</f>
        <v>0</v>
      </c>
      <c r="BP121" s="1908">
        <f ca="1">IF(ENTRADAS!$O$1252="J",IF(AND(BP92+$D$129&gt;=$E$121,BP92+$D$129&lt;=$E$122),10,0),IF(AND(BP92+$D$129+2&gt;=$E$121,BP92+$D$129+2&lt;=$E$122),10,0))</f>
        <v>0</v>
      </c>
      <c r="BQ121" s="1908">
        <f ca="1">IF(ENTRADAS!$O$1252="J",IF(AND(BQ92+$D$129&gt;=$E$121,BQ92+$D$129&lt;=$E$122),10,0),IF(AND(BQ92+$D$129+2&gt;=$E$121,BQ92+$D$129+2&lt;=$E$122),10,0))</f>
        <v>0</v>
      </c>
      <c r="BR121" s="1908">
        <f ca="1">IF(ENTRADAS!$O$1252="J",IF(AND(BR92+$D$129&gt;=$E$121,BR92+$D$129&lt;=$E$122),10,0),IF(AND(BR92+$D$129+2&gt;=$E$121,BR92+$D$129+2&lt;=$E$122),10,0))</f>
        <v>0</v>
      </c>
      <c r="BS121" s="1907">
        <f ca="1">IF(ENTRADAS!$O$1252="J",IF(AND(BS92+$D$129&gt;=$E$121,BS92+$D$129&lt;=$E$122),10,0),IF(AND(BS92+$D$129+2&gt;=$E$121,BS92+$D$129+2&lt;=$E$122),10,0))</f>
        <v>0</v>
      </c>
      <c r="BT121" s="1908">
        <f ca="1">IF(ENTRADAS!$O$1252="J",IF(AND(BT92+$D$129&gt;=$E$121,BT92+$D$129&lt;=$E$122),10,0),IF(AND(BT92+$D$129+2&gt;=$E$121,BT92+$D$129+2&lt;=$E$122),10,0))</f>
        <v>0</v>
      </c>
      <c r="BU121" s="1908">
        <f ca="1">IF(ENTRADAS!$O$1252="J",IF(AND(BU92+$D$129&gt;=$E$121,BU92+$D$129&lt;=$E$122),10,0),IF(AND(BU92+$D$129+2&gt;=$E$121,BU92+$D$129+2&lt;=$E$122),10,0))</f>
        <v>0</v>
      </c>
      <c r="BV121" s="1908">
        <f ca="1">IF(ENTRADAS!$O$1252="J",IF(AND(BV92+$D$129&gt;=$E$121,BV92+$D$129&lt;=$E$122),10,0),IF(AND(BV92+$D$129+2&gt;=$E$121,BV92+$D$129+2&lt;=$E$122),10,0))</f>
        <v>0</v>
      </c>
      <c r="BW121" s="1908">
        <f ca="1">IF(ENTRADAS!$O$1252="J",IF(AND(BW92+$D$129&gt;=$E$121,BW92+$D$129&lt;=$E$122),10,0),IF(AND(BW92+$D$129+2&gt;=$E$121,BW92+$D$129+2&lt;=$E$122),10,0))</f>
        <v>0</v>
      </c>
      <c r="BX121" s="1908">
        <f ca="1">IF(ENTRADAS!$O$1252="J",IF(AND(BX92+$D$129&gt;=$E$121,BX92+$D$129&lt;=$E$122),10,0),IF(AND(BX92+$D$129+2&gt;=$E$121,BX92+$D$129+2&lt;=$E$122),10,0))</f>
        <v>0</v>
      </c>
      <c r="BY121" s="1908">
        <f ca="1">IF(ENTRADAS!$O$1252="J",IF(AND(BY92+$D$129&gt;=$E$121,BY92+$D$129&lt;=$E$122),10,0),IF(AND(BY92+$D$129+2&gt;=$E$121,BY92+$D$129+2&lt;=$E$122),10,0))</f>
        <v>0</v>
      </c>
      <c r="BZ121" s="1907">
        <f ca="1">IF(ENTRADAS!$O$1252="J",IF(AND(BZ92+$D$129&gt;=$E$121,BZ92+$D$129&lt;=$E$122),10,0),IF(AND(BZ92+$D$129+2&gt;=$E$121,BZ92+$D$129+2&lt;=$E$122),10,0))</f>
        <v>0</v>
      </c>
      <c r="CA121" s="1908">
        <f ca="1">IF(ENTRADAS!$O$1252="J",IF(AND(CA92+$D$129&gt;=$E$121,CA92+$D$129&lt;=$E$122),10,0),IF(AND(CA92+$D$129+2&gt;=$E$121,CA92+$D$129+2&lt;=$E$122),10,0))</f>
        <v>0</v>
      </c>
      <c r="CB121" s="1908">
        <f ca="1">IF(ENTRADAS!$O$1252="J",IF(AND(CB92+$D$129&gt;=$E$121,CB92+$D$129&lt;=$E$122),10,0),IF(AND(CB92+$D$129+2&gt;=$E$121,CB92+$D$129+2&lt;=$E$122),10,0))</f>
        <v>0</v>
      </c>
      <c r="CC121" s="1908">
        <f ca="1">IF(ENTRADAS!$O$1252="J",IF(AND(CC92+$D$129&gt;=$E$121,CC92+$D$129&lt;=$E$122),10,0),IF(AND(CC92+$D$129+2&gt;=$E$121,CC92+$D$129+2&lt;=$E$122),10,0))</f>
        <v>0</v>
      </c>
      <c r="CD121" s="1908">
        <f ca="1">IF(ENTRADAS!$O$1252="J",IF(AND(CD92+$D$129&gt;=$E$121,CD92+$D$129&lt;=$E$122),10,0),IF(AND(CD92+$D$129+2&gt;=$E$121,CD92+$D$129+2&lt;=$E$122),10,0))</f>
        <v>0</v>
      </c>
      <c r="CE121" s="1908">
        <f ca="1">IF(ENTRADAS!$O$1252="J",IF(AND(CE92+$D$129&gt;=$E$121,CE92+$D$129&lt;=$E$122),10,0),IF(AND(CE92+$D$129+2&gt;=$E$121,CE92+$D$129+2&lt;=$E$122),10,0))</f>
        <v>0</v>
      </c>
      <c r="CF121" s="1908">
        <f ca="1">IF(ENTRADAS!$O$1252="J",IF(AND(CF92+$D$129&gt;=$E$121,CF92+$D$129&lt;=$E$122),10,0),IF(AND(CF92+$D$129+2&gt;=$E$121,CF92+$D$129+2&lt;=$E$122),10,0))</f>
        <v>0</v>
      </c>
      <c r="CG121" s="1907">
        <f ca="1">IF(ENTRADAS!$O$1252="J",IF(AND(CG92+$D$129&gt;=$E$121,CG92+$D$129&lt;=$E$122),10,0),IF(AND(CG92+$D$129+2&gt;=$E$121,CG92+$D$129+2&lt;=$E$122),10,0))</f>
        <v>0</v>
      </c>
      <c r="CH121" s="1908">
        <f ca="1">IF(ENTRADAS!$O$1252="J",IF(AND(CH92+$D$129&gt;=$E$121,CH92+$D$129&lt;=$E$122),10,0),IF(AND(CH92+$D$129+2&gt;=$E$121,CH92+$D$129+2&lt;=$E$122),10,0))</f>
        <v>0</v>
      </c>
      <c r="CI121" s="1908">
        <f ca="1">IF(ENTRADAS!$O$1252="J",IF(AND(CI92+$D$129&gt;=$E$121,CI92+$D$129&lt;=$E$122),10,0),IF(AND(CI92+$D$129+2&gt;=$E$121,CI92+$D$129+2&lt;=$E$122),10,0))</f>
        <v>0</v>
      </c>
      <c r="CJ121" s="1908">
        <f ca="1">IF(ENTRADAS!$O$1252="J",IF(AND(CJ92+$D$129&gt;=$E$121,CJ92+$D$129&lt;=$E$122),10,0),IF(AND(CJ92+$D$129+2&gt;=$E$121,CJ92+$D$129+2&lt;=$E$122),10,0))</f>
        <v>0</v>
      </c>
      <c r="CK121" s="1908">
        <f ca="1">IF(ENTRADAS!$O$1252="J",IF(AND(CK92+$D$129&gt;=$E$121,CK92+$D$129&lt;=$E$122),10,0),IF(AND(CK92+$D$129+2&gt;=$E$121,CK92+$D$129+2&lt;=$E$122),10,0))</f>
        <v>0</v>
      </c>
      <c r="CL121" s="1908">
        <f ca="1">IF(ENTRADAS!$O$1252="J",IF(AND(CL92+$D$129&gt;=$E$121,CL92+$D$129&lt;=$E$122),10,0),IF(AND(CL92+$D$129+2&gt;=$E$121,CL92+$D$129+2&lt;=$E$122),10,0))</f>
        <v>0</v>
      </c>
      <c r="CM121" s="1908">
        <f ca="1">IF(ENTRADAS!$O$1252="J",IF(AND(CM92+$D$129&gt;=$E$121,CM92+$D$129&lt;=$E$122),10,0),IF(AND(CM92+$D$129+2&gt;=$E$121,CM92+$D$129+2&lt;=$E$122),10,0))</f>
        <v>0</v>
      </c>
      <c r="CN121" s="1907">
        <f ca="1">IF(ENTRADAS!$O$1252="J",IF(AND(CN92+$D$129&gt;=$E$121,CN92+$D$129&lt;=$E$122),10,0),IF(AND(CN92+$D$129+2&gt;=$E$121,CN92+$D$129+2&lt;=$E$122),10,0))</f>
        <v>0</v>
      </c>
      <c r="CO121" s="1908">
        <f ca="1">IF(ENTRADAS!$O$1252="J",IF(AND(CO92+$D$129&gt;=$E$121,CO92+$D$129&lt;=$E$122),10,0),IF(AND(CO92+$D$129+2&gt;=$E$121,CO92+$D$129+2&lt;=$E$122),10,0))</f>
        <v>0</v>
      </c>
      <c r="CP121" s="1908">
        <f ca="1">IF(ENTRADAS!$O$1252="J",IF(AND(CP92+$D$129&gt;=$E$121,CP92+$D$129&lt;=$E$122),10,0),IF(AND(CP92+$D$129+2&gt;=$E$121,CP92+$D$129+2&lt;=$E$122),10,0))</f>
        <v>0</v>
      </c>
      <c r="CQ121" s="1908">
        <f ca="1">IF(ENTRADAS!$O$1252="J",IF(AND(CQ92+$D$129&gt;=$E$121,CQ92+$D$129&lt;=$E$122),10,0),IF(AND(CQ92+$D$129+2&gt;=$E$121,CQ92+$D$129+2&lt;=$E$122),10,0))</f>
        <v>0</v>
      </c>
      <c r="CR121" s="1908">
        <f ca="1">IF(ENTRADAS!$O$1252="J",IF(AND(CR92+$D$129&gt;=$E$121,CR92+$D$129&lt;=$E$122),10,0),IF(AND(CR92+$D$129+2&gt;=$E$121,CR92+$D$129+2&lt;=$E$122),10,0))</f>
        <v>0</v>
      </c>
      <c r="CS121" s="1908">
        <f ca="1">IF(ENTRADAS!$O$1252="J",IF(AND(CS92+$D$129&gt;=$E$121,CS92+$D$129&lt;=$E$122),10,0),IF(AND(CS92+$D$129+2&gt;=$E$121,CS92+$D$129+2&lt;=$E$122),10,0))</f>
        <v>0</v>
      </c>
      <c r="CT121" s="1908">
        <f ca="1">IF(ENTRADAS!$O$1252="J",IF(AND(CT92+$D$129&gt;=$E$121,CT92+$D$129&lt;=$E$122),10,0),IF(AND(CT92+$D$129+2&gt;=$E$121,CT92+$D$129+2&lt;=$E$122),10,0))</f>
        <v>0</v>
      </c>
      <c r="CU121" s="1907">
        <f ca="1">IF(ENTRADAS!$O$1252="J",IF(AND(CU92+$D$129&gt;=$E$121,CU92+$D$129&lt;=$E$122),10,0),IF(AND(CU92+$D$129+2&gt;=$E$121,CU92+$D$129+2&lt;=$E$122),10,0))</f>
        <v>0</v>
      </c>
      <c r="CV121" s="1908">
        <f ca="1">IF(ENTRADAS!$O$1252="J",IF(AND(CV92+$D$129&gt;=$E$121,CV92+$D$129&lt;=$E$122),10,0),IF(AND(CV92+$D$129+2&gt;=$E$121,CV92+$D$129+2&lt;=$E$122),10,0))</f>
        <v>0</v>
      </c>
      <c r="CW121" s="1908">
        <f ca="1">IF(ENTRADAS!$O$1252="J",IF(AND(CW92+$D$129&gt;=$E$121,CW92+$D$129&lt;=$E$122),10,0),IF(AND(CW92+$D$129+2&gt;=$E$121,CW92+$D$129+2&lt;=$E$122),10,0))</f>
        <v>0</v>
      </c>
      <c r="CX121" s="1908">
        <f ca="1">IF(ENTRADAS!$O$1252="J",IF(AND(CX92+$D$129&gt;=$E$121,CX92+$D$129&lt;=$E$122),10,0),IF(AND(CX92+$D$129+2&gt;=$E$121,CX92+$D$129+2&lt;=$E$122),10,0))</f>
        <v>0</v>
      </c>
      <c r="CY121" s="1908">
        <f ca="1">IF(ENTRADAS!$O$1252="J",IF(AND(CY92+$D$129&gt;=$E$121,CY92+$D$129&lt;=$E$122),10,0),IF(AND(CY92+$D$129+2&gt;=$E$121,CY92+$D$129+2&lt;=$E$122),10,0))</f>
        <v>0</v>
      </c>
      <c r="CZ121" s="1908">
        <f ca="1">IF(ENTRADAS!$O$1252="J",IF(AND(CZ92+$D$129&gt;=$E$121,CZ92+$D$129&lt;=$E$122),10,0),IF(AND(CZ92+$D$129+2&gt;=$E$121,CZ92+$D$129+2&lt;=$E$122),10,0))</f>
        <v>0</v>
      </c>
      <c r="DA121" s="1908">
        <f ca="1">IF(ENTRADAS!$O$1252="J",IF(AND(DA92+$D$129&gt;=$E$121,DA92+$D$129&lt;=$E$122),10,0),IF(AND(DA92+$D$129+2&gt;=$E$121,DA92+$D$129+2&lt;=$E$122),10,0))</f>
        <v>0</v>
      </c>
      <c r="DB121" s="1907">
        <f ca="1">IF(ENTRADAS!$O$1252="J",IF(AND(DB92+$D$129&gt;=$E$121,DB92+$D$129&lt;=$E$122),10,0),IF(AND(DB92+$D$129+2&gt;=$E$121,DB92+$D$129+2&lt;=$E$122),10,0))</f>
        <v>0</v>
      </c>
      <c r="DC121" s="1908">
        <f ca="1">IF(ENTRADAS!$O$1252="J",IF(AND(DC92+$D$129&gt;=$E$121,DC92+$D$129&lt;=$E$122),10,0),IF(AND(DC92+$D$129+2&gt;=$E$121,DC92+$D$129+2&lt;=$E$122),10,0))</f>
        <v>0</v>
      </c>
      <c r="DD121" s="1908">
        <f ca="1">IF(ENTRADAS!$O$1252="J",IF(AND(DD92+$D$129&gt;=$E$121,DD92+$D$129&lt;=$E$122),10,0),IF(AND(DD92+$D$129+2&gt;=$E$121,DD92+$D$129+2&lt;=$E$122),10,0))</f>
        <v>0</v>
      </c>
      <c r="DE121" s="1908">
        <f ca="1">IF(ENTRADAS!$O$1252="J",IF(AND(DE92+$D$129&gt;=$E$121,DE92+$D$129&lt;=$E$122),10,0),IF(AND(DE92+$D$129+2&gt;=$E$121,DE92+$D$129+2&lt;=$E$122),10,0))</f>
        <v>0</v>
      </c>
      <c r="DF121" s="1908">
        <f ca="1">IF(ENTRADAS!$O$1252="J",IF(AND(DF92+$D$129&gt;=$E$121,DF92+$D$129&lt;=$E$122),10,0),IF(AND(DF92+$D$129+2&gt;=$E$121,DF92+$D$129+2&lt;=$E$122),10,0))</f>
        <v>0</v>
      </c>
      <c r="DG121" s="1908">
        <f ca="1">IF(ENTRADAS!$O$1252="J",IF(AND(DG92+$D$129&gt;=$E$121,DG92+$D$129&lt;=$E$122),10,0),IF(AND(DG92+$D$129+2&gt;=$E$121,DG92+$D$129+2&lt;=$E$122),10,0))</f>
        <v>0</v>
      </c>
      <c r="DH121" s="1908">
        <f ca="1">IF(ENTRADAS!$O$1252="J",IF(AND(DH92+$D$129&gt;=$E$121,DH92+$D$129&lt;=$E$122),10,0),IF(AND(DH92+$D$129+2&gt;=$E$121,DH92+$D$129+2&lt;=$E$122),10,0))</f>
        <v>0</v>
      </c>
      <c r="DI121" s="1907">
        <f ca="1">IF(ENTRADAS!$O$1252="J",IF(AND(DI92+$D$129&gt;=$E$121,DI92+$D$129&lt;=$E$122),10,0),IF(AND(DI92+$D$129+2&gt;=$E$121,DI92+$D$129+2&lt;=$E$122),10,0))</f>
        <v>0</v>
      </c>
      <c r="DJ121" s="1908">
        <f ca="1">IF(ENTRADAS!$O$1252="J",IF(AND(DJ92+$D$129&gt;=$E$121,DJ92+$D$129&lt;=$E$122),10,0),IF(AND(DJ92+$D$129+2&gt;=$E$121,DJ92+$D$129+2&lt;=$E$122),10,0))</f>
        <v>0</v>
      </c>
      <c r="DK121" s="1908">
        <f ca="1">IF(ENTRADAS!$O$1252="J",IF(AND(DK92+$D$129&gt;=$E$121,DK92+$D$129&lt;=$E$122),10,0),IF(AND(DK92+$D$129+2&gt;=$E$121,DK92+$D$129+2&lt;=$E$122),10,0))</f>
        <v>0</v>
      </c>
      <c r="DL121" s="1908">
        <f ca="1">IF(ENTRADAS!$O$1252="J",IF(AND(DL92+$D$129&gt;=$E$121,DL92+$D$129&lt;=$E$122),10,0),IF(AND(DL92+$D$129+2&gt;=$E$121,DL92+$D$129+2&lt;=$E$122),10,0))</f>
        <v>0</v>
      </c>
      <c r="DM121" s="1908">
        <f ca="1">IF(ENTRADAS!$O$1252="J",IF(AND(DM92+$D$129&gt;=$E$121,DM92+$D$129&lt;=$E$122),10,0),IF(AND(DM92+$D$129+2&gt;=$E$121,DM92+$D$129+2&lt;=$E$122),10,0))</f>
        <v>0</v>
      </c>
      <c r="DN121" s="1908">
        <f ca="1">IF(ENTRADAS!$O$1252="J",IF(AND(DN92+$D$129&gt;=$E$121,DN92+$D$129&lt;=$E$122),10,0),IF(AND(DN92+$D$129+2&gt;=$E$121,DN92+$D$129+2&lt;=$E$122),10,0))</f>
        <v>0</v>
      </c>
      <c r="DO121" s="1908">
        <f ca="1">IF(ENTRADAS!$O$1252="J",IF(AND(DO92+$D$129&gt;=$E$121,DO92+$D$129&lt;=$E$122),10,0),IF(AND(DO92+$D$129+2&gt;=$E$121,DO92+$D$129+2&lt;=$E$122),10,0))</f>
        <v>0</v>
      </c>
      <c r="DP121" s="1907">
        <f ca="1">IF(ENTRADAS!$O$1252="J",IF(AND(DP92+$D$129&gt;=$E$121,DP92+$D$129&lt;=$E$122),10,0),IF(AND(DP92+$D$129+2&gt;=$E$121,DP92+$D$129+2&lt;=$E$122),10,0))</f>
        <v>0</v>
      </c>
      <c r="DQ121" s="1908">
        <f ca="1">IF(ENTRADAS!$O$1252="J",IF(AND(DQ92+$D$129&gt;=$E$121,DQ92+$D$129&lt;=$E$122),10,0),IF(AND(DQ92+$D$129+2&gt;=$E$121,DQ92+$D$129+2&lt;=$E$122),10,0))</f>
        <v>0</v>
      </c>
      <c r="DR121" s="1908">
        <f ca="1">IF(ENTRADAS!$O$1252="J",IF(AND(DR92+$D$129&gt;=$E$121,DR92+$D$129&lt;=$E$122),10,0),IF(AND(DR92+$D$129+2&gt;=$E$121,DR92+$D$129+2&lt;=$E$122),10,0))</f>
        <v>0</v>
      </c>
      <c r="DS121" s="1908">
        <f ca="1">IF(ENTRADAS!$O$1252="J",IF(AND(DS92+$D$129&gt;=$E$121,DS92+$D$129&lt;=$E$122),10,0),IF(AND(DS92+$D$129+2&gt;=$E$121,DS92+$D$129+2&lt;=$E$122),10,0))</f>
        <v>0</v>
      </c>
      <c r="DT121" s="1908">
        <f ca="1">IF(ENTRADAS!$O$1252="J",IF(AND(DT92+$D$129&gt;=$E$121,DT92+$D$129&lt;=$E$122),10,0),IF(AND(DT92+$D$129+2&gt;=$E$121,DT92+$D$129+2&lt;=$E$122),10,0))</f>
        <v>0</v>
      </c>
      <c r="DU121" s="1908">
        <f ca="1">IF(ENTRADAS!$O$1252="J",IF(AND(DU92+$D$129&gt;=$E$121,DU92+$D$129&lt;=$E$122),10,0),IF(AND(DU92+$D$129+2&gt;=$E$121,DU92+$D$129+2&lt;=$E$122),10,0))</f>
        <v>0</v>
      </c>
      <c r="DV121" s="1908">
        <f ca="1">IF(ENTRADAS!$O$1252="J",IF(AND(DV92+$D$129&gt;=$E$121,DV92+$D$129&lt;=$E$122),10,0),IF(AND(DV92+$D$129+2&gt;=$E$121,DV92+$D$129+2&lt;=$E$122),10,0))</f>
        <v>0</v>
      </c>
      <c r="DW121" s="1907">
        <f ca="1">IF(ENTRADAS!$O$1252="J",IF(AND(DW92+$D$129&gt;=$E$121,DW92+$D$129&lt;=$E$122),10,0),IF(AND(DW92+$D$129+2&gt;=$E$121,DW92+$D$129+2&lt;=$E$122),10,0))</f>
        <v>0</v>
      </c>
      <c r="DX121" s="1908">
        <f ca="1">IF(ENTRADAS!$O$1252="J",IF(AND(DX92+$D$129&gt;=$E$121,DX92+$D$129&lt;=$E$122),10,0),IF(AND(DX92+$D$129+2&gt;=$E$121,DX92+$D$129+2&lt;=$E$122),10,0))</f>
        <v>0</v>
      </c>
      <c r="DY121" s="1908">
        <f ca="1">IF(ENTRADAS!$O$1252="J",IF(AND(DY92+$D$129&gt;=$E$121,DY92+$D$129&lt;=$E$122),10,0),IF(AND(DY92+$D$129+2&gt;=$E$121,DY92+$D$129+2&lt;=$E$122),10,0))</f>
        <v>0</v>
      </c>
      <c r="DZ121" s="1908">
        <f ca="1">IF(ENTRADAS!$O$1252="J",IF(AND(DZ92+$D$129&gt;=$E$121,DZ92+$D$129&lt;=$E$122),10,0),IF(AND(DZ92+$D$129+2&gt;=$E$121,DZ92+$D$129+2&lt;=$E$122),10,0))</f>
        <v>0</v>
      </c>
      <c r="EA121" s="1908">
        <f ca="1">IF(ENTRADAS!$O$1252="J",IF(AND(EA92+$D$129&gt;=$E$121,EA92+$D$129&lt;=$E$122),10,0),IF(AND(EA92+$D$129+2&gt;=$E$121,EA92+$D$129+2&lt;=$E$122),10,0))</f>
        <v>0</v>
      </c>
      <c r="EB121" s="1908">
        <f ca="1">IF(ENTRADAS!$O$1252="J",IF(AND(EB92+$D$129&gt;=$E$121,EB92+$D$129&lt;=$E$122),10,0),IF(AND(EB92+$D$129+2&gt;=$E$121,EB92+$D$129+2&lt;=$E$122),10,0))</f>
        <v>0</v>
      </c>
      <c r="EC121" s="1908">
        <f ca="1">IF(ENTRADAS!$O$1252="J",IF(AND(EC92+$D$129&gt;=$E$121,EC92+$D$129&lt;=$E$122),10,0),IF(AND(EC92+$D$129+2&gt;=$E$121,EC92+$D$129+2&lt;=$E$122),10,0))</f>
        <v>0</v>
      </c>
      <c r="ED121" s="1907">
        <f ca="1">IF(ENTRADAS!$O$1252="J",IF(AND(ED92+$D$129&gt;=$E$121,ED92+$D$129&lt;=$E$122),10,0),IF(AND(ED92+$D$129+2&gt;=$E$121,ED92+$D$129+2&lt;=$E$122),10,0))</f>
        <v>0</v>
      </c>
      <c r="EE121" s="1908">
        <f ca="1">IF(ENTRADAS!$O$1252="J",IF(AND(EE92+$D$129&gt;=$E$121,EE92+$D$129&lt;=$E$122),10,0),IF(AND(EE92+$D$129+2&gt;=$E$121,EE92+$D$129+2&lt;=$E$122),10,0))</f>
        <v>0</v>
      </c>
      <c r="EF121" s="1908">
        <f ca="1">IF(ENTRADAS!$O$1252="J",IF(AND(EF92+$D$129&gt;=$E$121,EF92+$D$129&lt;=$E$122),10,0),IF(AND(EF92+$D$129+2&gt;=$E$121,EF92+$D$129+2&lt;=$E$122),10,0))</f>
        <v>0</v>
      </c>
      <c r="EG121" s="1908">
        <f ca="1">IF(ENTRADAS!$O$1252="J",IF(AND(EG92+$D$129&gt;=$E$121,EG92+$D$129&lt;=$E$122),10,0),IF(AND(EG92+$D$129+2&gt;=$E$121,EG92+$D$129+2&lt;=$E$122),10,0))</f>
        <v>0</v>
      </c>
      <c r="EH121" s="1908">
        <f ca="1">IF(ENTRADAS!$O$1252="J",IF(AND(EH92+$D$129&gt;=$E$121,EH92+$D$129&lt;=$E$122),10,0),IF(AND(EH92+$D$129+2&gt;=$E$121,EH92+$D$129+2&lt;=$E$122),10,0))</f>
        <v>0</v>
      </c>
      <c r="EI121" s="1908">
        <f ca="1">IF(ENTRADAS!$O$1252="J",IF(AND(EI92+$D$129&gt;=$E$121,EI92+$D$129&lt;=$E$122),10,0),IF(AND(EI92+$D$129+2&gt;=$E$121,EI92+$D$129+2&lt;=$E$122),10,0))</f>
        <v>0</v>
      </c>
      <c r="EJ121" s="1908">
        <f ca="1">IF(ENTRADAS!$O$1252="J",IF(AND(EJ92+$D$129&gt;=$E$121,EJ92+$D$129&lt;=$E$122),10,0),IF(AND(EJ92+$D$129+2&gt;=$E$121,EJ92+$D$129+2&lt;=$E$122),10,0))</f>
        <v>0</v>
      </c>
      <c r="EK121" s="1907">
        <f ca="1">IF(ENTRADAS!$O$1252="J",IF(AND(EK92+$D$129&gt;=$E$121,EK92+$D$129&lt;=$E$122),10,0),IF(AND(EK92+$D$129+2&gt;=$E$121,EK92+$D$129+2&lt;=$E$122),10,0))</f>
        <v>0</v>
      </c>
      <c r="EL121" s="1908">
        <f ca="1">IF(ENTRADAS!$O$1252="J",IF(AND(EL92+$D$129&gt;=$E$121,EL92+$D$129&lt;=$E$122),10,0),IF(AND(EL92+$D$129+2&gt;=$E$121,EL92+$D$129+2&lt;=$E$122),10,0))</f>
        <v>0</v>
      </c>
      <c r="EM121" s="1908">
        <f ca="1">IF(ENTRADAS!$O$1252="J",IF(AND(EM92+$D$129&gt;=$E$121,EM92+$D$129&lt;=$E$122),10,0),IF(AND(EM92+$D$129+2&gt;=$E$121,EM92+$D$129+2&lt;=$E$122),10,0))</f>
        <v>0</v>
      </c>
      <c r="EN121" s="1908">
        <f ca="1">IF(ENTRADAS!$O$1252="J",IF(AND(EN92+$D$129&gt;=$E$121,EN92+$D$129&lt;=$E$122),10,0),IF(AND(EN92+$D$129+2&gt;=$E$121,EN92+$D$129+2&lt;=$E$122),10,0))</f>
        <v>0</v>
      </c>
      <c r="EO121" s="1908">
        <f ca="1">IF(ENTRADAS!$O$1252="J",IF(AND(EO92+$D$129&gt;=$E$121,EO92+$D$129&lt;=$E$122),10,0),IF(AND(EO92+$D$129+2&gt;=$E$121,EO92+$D$129+2&lt;=$E$122),10,0))</f>
        <v>0</v>
      </c>
      <c r="EP121" s="1908">
        <f ca="1">IF(ENTRADAS!$O$1252="J",IF(AND(EP92+$D$129&gt;=$E$121,EP92+$D$129&lt;=$E$122),10,0),IF(AND(EP92+$D$129+2&gt;=$E$121,EP92+$D$129+2&lt;=$E$122),10,0))</f>
        <v>0</v>
      </c>
      <c r="EQ121" s="1908">
        <f ca="1">IF(ENTRADAS!$O$1252="J",IF(AND(EQ92+$D$129&gt;=$E$121,EQ92+$D$129&lt;=$E$122),10,0),IF(AND(EQ92+$D$129+2&gt;=$E$121,EQ92+$D$129+2&lt;=$E$122),10,0))</f>
        <v>0</v>
      </c>
      <c r="ER121" s="1907">
        <f ca="1">IF(ENTRADAS!$O$1252="J",IF(AND(ER92+$D$129&gt;=$E$121,ER92+$D$129&lt;=$E$122),10,0),IF(AND(ER92+$D$129+2&gt;=$E$121,ER92+$D$129+2&lt;=$E$122),10,0))</f>
        <v>0</v>
      </c>
      <c r="ES121" s="1908">
        <f ca="1">IF(ENTRADAS!$O$1252="J",IF(AND(ES92+$D$129&gt;=$E$121,ES92+$D$129&lt;=$E$122),10,0),IF(AND(ES92+$D$129+2&gt;=$E$121,ES92+$D$129+2&lt;=$E$122),10,0))</f>
        <v>0</v>
      </c>
      <c r="ET121" s="1908">
        <f ca="1">IF(ENTRADAS!$O$1252="J",IF(AND(ET92+$D$129&gt;=$E$121,ET92+$D$129&lt;=$E$122),10,0),IF(AND(ET92+$D$129+2&gt;=$E$121,ET92+$D$129+2&lt;=$E$122),10,0))</f>
        <v>0</v>
      </c>
      <c r="EU121" s="1908">
        <f ca="1">IF(ENTRADAS!$O$1252="J",IF(AND(EU92+$D$129&gt;=$E$121,EU92+$D$129&lt;=$E$122),10,0),IF(AND(EU92+$D$129+2&gt;=$E$121,EU92+$D$129+2&lt;=$E$122),10,0))</f>
        <v>0</v>
      </c>
      <c r="EV121" s="1908">
        <f ca="1">IF(ENTRADAS!$O$1252="J",IF(AND(EV92+$D$129&gt;=$E$121,EV92+$D$129&lt;=$E$122),10,0),IF(AND(EV92+$D$129+2&gt;=$E$121,EV92+$D$129+2&lt;=$E$122),10,0))</f>
        <v>0</v>
      </c>
      <c r="EW121" s="1908">
        <f ca="1">IF(ENTRADAS!$O$1252="J",IF(AND(EW92+$D$129&gt;=$E$121,EW92+$D$129&lt;=$E$122),10,0),IF(AND(EW92+$D$129+2&gt;=$E$121,EW92+$D$129+2&lt;=$E$122),10,0))</f>
        <v>0</v>
      </c>
      <c r="EX121" s="1908">
        <f ca="1">IF(ENTRADAS!$O$1252="J",IF(AND(EX92+$D$129&gt;=$E$121,EX92+$D$129&lt;=$E$122),10,0),IF(AND(EX92+$D$129+2&gt;=$E$121,EX92+$D$129+2&lt;=$E$122),10,0))</f>
        <v>0</v>
      </c>
      <c r="EY121" s="1907">
        <f ca="1">IF(ENTRADAS!$O$1252="J",IF(AND(EY92+$D$129&gt;=$E$121,EY92+$D$129&lt;=$E$122),10,0),IF(AND(EY92+$D$129+2&gt;=$E$121,EY92+$D$129+2&lt;=$E$122),10,0))</f>
        <v>0</v>
      </c>
      <c r="EZ121" s="1908">
        <f ca="1">IF(ENTRADAS!$O$1252="J",IF(AND(EZ92+$D$129&gt;=$E$121,EZ92+$D$129&lt;=$E$122),10,0),IF(AND(EZ92+$D$129+2&gt;=$E$121,EZ92+$D$129+2&lt;=$E$122),10,0))</f>
        <v>0</v>
      </c>
      <c r="FA121" s="1908">
        <f ca="1">IF(ENTRADAS!$O$1252="J",IF(AND(FA92+$D$129&gt;=$E$121,FA92+$D$129&lt;=$E$122),10,0),IF(AND(FA92+$D$129+2&gt;=$E$121,FA92+$D$129+2&lt;=$E$122),10,0))</f>
        <v>0</v>
      </c>
      <c r="FB121" s="1908">
        <f ca="1">IF(ENTRADAS!$O$1252="J",IF(AND(FB92+$D$129&gt;=$E$121,FB92+$D$129&lt;=$E$122),10,0),IF(AND(FB92+$D$129+2&gt;=$E$121,FB92+$D$129+2&lt;=$E$122),10,0))</f>
        <v>0</v>
      </c>
      <c r="FC121" s="1908">
        <f ca="1">IF(ENTRADAS!$O$1252="J",IF(AND(FC92+$D$129&gt;=$E$121,FC92+$D$129&lt;=$E$122),10,0),IF(AND(FC92+$D$129+2&gt;=$E$121,FC92+$D$129+2&lt;=$E$122),10,0))</f>
        <v>0</v>
      </c>
      <c r="FD121" s="1908">
        <f ca="1">IF(ENTRADAS!$O$1252="J",IF(AND(FD92+$D$129&gt;=$E$121,FD92+$D$129&lt;=$E$122),10,0),IF(AND(FD92+$D$129+2&gt;=$E$121,FD92+$D$129+2&lt;=$E$122),10,0))</f>
        <v>0</v>
      </c>
      <c r="FE121" s="1908">
        <f ca="1">IF(ENTRADAS!$O$1252="J",IF(AND(FE92+$D$129&gt;=$E$121,FE92+$D$129&lt;=$E$122),10,0),IF(AND(FE92+$D$129+2&gt;=$E$121,FE92+$D$129+2&lt;=$E$122),10,0))</f>
        <v>0</v>
      </c>
      <c r="FF121" s="1907">
        <f ca="1">IF(ENTRADAS!$O$1252="J",IF(AND(FF92+$D$129&gt;=$E$121,FF92+$D$129&lt;=$E$122),10,0),IF(AND(FF92+$D$129+2&gt;=$E$121,FF92+$D$129+2&lt;=$E$122),10,0))</f>
        <v>0</v>
      </c>
      <c r="FG121" s="1908">
        <f ca="1">IF(ENTRADAS!$O$1252="J",IF(AND(FG92+$D$129&gt;=$E$121,FG92+$D$129&lt;=$E$122),10,0),IF(AND(FG92+$D$129+2&gt;=$E$121,FG92+$D$129+2&lt;=$E$122),10,0))</f>
        <v>0</v>
      </c>
      <c r="FH121" s="1908">
        <f ca="1">IF(ENTRADAS!$O$1252="J",IF(AND(FH92+$D$129&gt;=$E$121,FH92+$D$129&lt;=$E$122),10,0),IF(AND(FH92+$D$129+2&gt;=$E$121,FH92+$D$129+2&lt;=$E$122),10,0))</f>
        <v>0</v>
      </c>
      <c r="FI121" s="1908">
        <f ca="1">IF(ENTRADAS!$O$1252="J",IF(AND(FI92+$D$129&gt;=$E$121,FI92+$D$129&lt;=$E$122),10,0),IF(AND(FI92+$D$129+2&gt;=$E$121,FI92+$D$129+2&lt;=$E$122),10,0))</f>
        <v>0</v>
      </c>
      <c r="FJ121" s="1908">
        <f ca="1">IF(ENTRADAS!$O$1252="J",IF(AND(FJ92+$D$129&gt;=$E$121,FJ92+$D$129&lt;=$E$122),10,0),IF(AND(FJ92+$D$129+2&gt;=$E$121,FJ92+$D$129+2&lt;=$E$122),10,0))</f>
        <v>0</v>
      </c>
      <c r="FK121" s="1908">
        <f ca="1">IF(ENTRADAS!$O$1252="J",IF(AND(FK92+$D$129&gt;=$E$121,FK92+$D$129&lt;=$E$122),10,0),IF(AND(FK92+$D$129+2&gt;=$E$121,FK92+$D$129+2&lt;=$E$122),10,0))</f>
        <v>0</v>
      </c>
      <c r="FL121" s="1908">
        <f ca="1">IF(ENTRADAS!$O$1252="J",IF(AND(FL92+$D$129&gt;=$E$121,FL92+$D$129&lt;=$E$122),10,0),IF(AND(FL92+$D$129+2&gt;=$E$121,FL92+$D$129+2&lt;=$E$122),10,0))</f>
        <v>0</v>
      </c>
      <c r="FM121" s="1907">
        <f ca="1">IF(ENTRADAS!$O$1252="J",IF(AND(FM92+$D$129&gt;=$E$121,FM92+$D$129&lt;=$E$122),10,0),IF(AND(FM92+$D$129+2&gt;=$E$121,FM92+$D$129+2&lt;=$E$122),10,0))</f>
        <v>0</v>
      </c>
      <c r="FN121" s="1908">
        <f ca="1">IF(ENTRADAS!$O$1252="J",IF(AND(FN92+$D$129&gt;=$E$121,FN92+$D$129&lt;=$E$122),10,0),IF(AND(FN92+$D$129+2&gt;=$E$121,FN92+$D$129+2&lt;=$E$122),10,0))</f>
        <v>0</v>
      </c>
      <c r="FO121" s="1908">
        <f ca="1">IF(ENTRADAS!$O$1252="J",IF(AND(FO92+$D$129&gt;=$E$121,FO92+$D$129&lt;=$E$122),10,0),IF(AND(FO92+$D$129+2&gt;=$E$121,FO92+$D$129+2&lt;=$E$122),10,0))</f>
        <v>0</v>
      </c>
      <c r="FP121" s="1908">
        <f ca="1">IF(ENTRADAS!$O$1252="J",IF(AND(FP92+$D$129&gt;=$E$121,FP92+$D$129&lt;=$E$122),10,0),IF(AND(FP92+$D$129+2&gt;=$E$121,FP92+$D$129+2&lt;=$E$122),10,0))</f>
        <v>0</v>
      </c>
      <c r="FQ121" s="1908">
        <f ca="1">IF(ENTRADAS!$O$1252="J",IF(AND(FQ92+$D$129&gt;=$E$121,FQ92+$D$129&lt;=$E$122),10,0),IF(AND(FQ92+$D$129+2&gt;=$E$121,FQ92+$D$129+2&lt;=$E$122),10,0))</f>
        <v>0</v>
      </c>
      <c r="FR121" s="1908">
        <f ca="1">IF(ENTRADAS!$O$1252="J",IF(AND(FR92+$D$129&gt;=$E$121,FR92+$D$129&lt;=$E$122),10,0),IF(AND(FR92+$D$129+2&gt;=$E$121,FR92+$D$129+2&lt;=$E$122),10,0))</f>
        <v>0</v>
      </c>
      <c r="FS121" s="1908">
        <f ca="1">IF(ENTRADAS!$O$1252="J",IF(AND(FS92+$D$129&gt;=$E$121,FS92+$D$129&lt;=$E$122),10,0),IF(AND(FS92+$D$129+2&gt;=$E$121,FS92+$D$129+2&lt;=$E$122),10,0))</f>
        <v>0</v>
      </c>
      <c r="FT121" s="1907">
        <f ca="1">IF(ENTRADAS!$O$1252="J",IF(AND(FT92+$D$129&gt;=$E$121,FT92+$D$129&lt;=$E$122),10,0),IF(AND(FT92+$D$129+2&gt;=$E$121,FT92+$D$129+2&lt;=$E$122),10,0))</f>
        <v>0</v>
      </c>
      <c r="FU121" s="1908">
        <f ca="1">IF(ENTRADAS!$O$1252="J",IF(AND(FU92+$D$129&gt;=$E$121,FU92+$D$129&lt;=$E$122),10,0),IF(AND(FU92+$D$129+2&gt;=$E$121,FU92+$D$129+2&lt;=$E$122),10,0))</f>
        <v>0</v>
      </c>
      <c r="FV121" s="1908">
        <f ca="1">IF(ENTRADAS!$O$1252="J",IF(AND(FV92+$D$129&gt;=$E$121,FV92+$D$129&lt;=$E$122),10,0),IF(AND(FV92+$D$129+2&gt;=$E$121,FV92+$D$129+2&lt;=$E$122),10,0))</f>
        <v>0</v>
      </c>
      <c r="FW121" s="1908">
        <f ca="1">IF(ENTRADAS!$O$1252="J",IF(AND(FW92+$D$129&gt;=$E$121,FW92+$D$129&lt;=$E$122),10,0),IF(AND(FW92+$D$129+2&gt;=$E$121,FW92+$D$129+2&lt;=$E$122),10,0))</f>
        <v>0</v>
      </c>
      <c r="FX121" s="1908">
        <f ca="1">IF(ENTRADAS!$O$1252="J",IF(AND(FX92+$D$129&gt;=$E$121,FX92+$D$129&lt;=$E$122),10,0),IF(AND(FX92+$D$129+2&gt;=$E$121,FX92+$D$129+2&lt;=$E$122),10,0))</f>
        <v>0</v>
      </c>
      <c r="FY121" s="1908">
        <f ca="1">IF(ENTRADAS!$O$1252="J",IF(AND(FY92+$D$129&gt;=$E$121,FY92+$D$129&lt;=$E$122),10,0),IF(AND(FY92+$D$129+2&gt;=$E$121,FY92+$D$129+2&lt;=$E$122),10,0))</f>
        <v>0</v>
      </c>
      <c r="FZ121" s="1908">
        <f ca="1">IF(ENTRADAS!$O$1252="J",IF(AND(FZ92+$D$129&gt;=$E$121,FZ92+$D$129&lt;=$E$122),10,0),IF(AND(FZ92+$D$129+2&gt;=$E$121,FZ92+$D$129+2&lt;=$E$122),10,0))</f>
        <v>0</v>
      </c>
      <c r="GA121" s="1907">
        <f ca="1">IF(ENTRADAS!$O$1252="J",IF(AND(GA92+$D$129&gt;=$E$121,GA92+$D$129&lt;=$E$122),10,0),IF(AND(GA92+$D$129+2&gt;=$E$121,GA92+$D$129+2&lt;=$E$122),10,0))</f>
        <v>0</v>
      </c>
      <c r="GB121" s="1908">
        <f ca="1">IF(ENTRADAS!$O$1252="J",IF(AND(GB92+$D$129&gt;=$E$121,GB92+$D$129&lt;=$E$122),10,0),IF(AND(GB92+$D$129+2&gt;=$E$121,GB92+$D$129+2&lt;=$E$122),10,0))</f>
        <v>0</v>
      </c>
      <c r="GC121" s="1908">
        <f ca="1">IF(ENTRADAS!$O$1252="J",IF(AND(GC92+$D$129&gt;=$E$121,GC92+$D$129&lt;=$E$122),10,0),IF(AND(GC92+$D$129+2&gt;=$E$121,GC92+$D$129+2&lt;=$E$122),10,0))</f>
        <v>0</v>
      </c>
      <c r="GD121" s="1908">
        <f ca="1">IF(ENTRADAS!$O$1252="J",IF(AND(GD92+$D$129&gt;=$E$121,GD92+$D$129&lt;=$E$122),10,0),IF(AND(GD92+$D$129+2&gt;=$E$121,GD92+$D$129+2&lt;=$E$122),10,0))</f>
        <v>0</v>
      </c>
      <c r="GE121" s="1908">
        <f ca="1">IF(ENTRADAS!$O$1252="J",IF(AND(GE92+$D$129&gt;=$E$121,GE92+$D$129&lt;=$E$122),10,0),IF(AND(GE92+$D$129+2&gt;=$E$121,GE92+$D$129+2&lt;=$E$122),10,0))</f>
        <v>0</v>
      </c>
      <c r="GF121" s="1908">
        <f ca="1">IF(ENTRADAS!$O$1252="J",IF(AND(GF92+$D$129&gt;=$E$121,GF92+$D$129&lt;=$E$122),10,0),IF(AND(GF92+$D$129+2&gt;=$E$121,GF92+$D$129+2&lt;=$E$122),10,0))</f>
        <v>0</v>
      </c>
      <c r="GG121" s="1908">
        <f ca="1">IF(ENTRADAS!$O$1252="J",IF(AND(GG92+$D$129&gt;=$E$121,GG92+$D$129&lt;=$E$122),10,0),IF(AND(GG92+$D$129+2&gt;=$E$121,GG92+$D$129+2&lt;=$E$122),10,0))</f>
        <v>0</v>
      </c>
      <c r="GH121" s="1907">
        <f ca="1">IF(ENTRADAS!$O$1252="J",IF(AND(GH92+$D$129&gt;=$E$121,GH92+$D$129&lt;=$E$122),10,0),IF(AND(GH92+$D$129+2&gt;=$E$121,GH92+$D$129+2&lt;=$E$122),10,0))</f>
        <v>0</v>
      </c>
      <c r="GI121" s="1908">
        <f ca="1">IF(ENTRADAS!$O$1252="J",IF(AND(GI92+$D$129&gt;=$E$121,GI92+$D$129&lt;=$E$122),10,0),IF(AND(GI92+$D$129+2&gt;=$E$121,GI92+$D$129+2&lt;=$E$122),10,0))</f>
        <v>0</v>
      </c>
      <c r="GJ121" s="1908">
        <f ca="1">IF(ENTRADAS!$O$1252="J",IF(AND(GJ92+$D$129&gt;=$E$121,GJ92+$D$129&lt;=$E$122),10,0),IF(AND(GJ92+$D$129+2&gt;=$E$121,GJ92+$D$129+2&lt;=$E$122),10,0))</f>
        <v>0</v>
      </c>
      <c r="GK121" s="1908">
        <f ca="1">IF(ENTRADAS!$O$1252="J",IF(AND(GK92+$D$129&gt;=$E$121,GK92+$D$129&lt;=$E$122),10,0),IF(AND(GK92+$D$129+2&gt;=$E$121,GK92+$D$129+2&lt;=$E$122),10,0))</f>
        <v>0</v>
      </c>
      <c r="GL121" s="1908">
        <f ca="1">IF(ENTRADAS!$O$1252="J",IF(AND(GL92+$D$129&gt;=$E$121,GL92+$D$129&lt;=$E$122),10,0),IF(AND(GL92+$D$129+2&gt;=$E$121,GL92+$D$129+2&lt;=$E$122),10,0))</f>
        <v>0</v>
      </c>
      <c r="GM121" s="1908">
        <f ca="1">IF(ENTRADAS!$O$1252="J",IF(AND(GM92+$D$129&gt;=$E$121,GM92+$D$129&lt;=$E$122),10,0),IF(AND(GM92+$D$129+2&gt;=$E$121,GM92+$D$129+2&lt;=$E$122),10,0))</f>
        <v>0</v>
      </c>
      <c r="GN121" s="1908">
        <f ca="1">IF(ENTRADAS!$O$1252="J",IF(AND(GN92+$D$129&gt;=$E$121,GN92+$D$129&lt;=$E$122),10,0),IF(AND(GN92+$D$129+2&gt;=$E$121,GN92+$D$129+2&lt;=$E$122),10,0))</f>
        <v>0</v>
      </c>
      <c r="GO121" s="1907">
        <f ca="1">IF(ENTRADAS!$O$1252="J",IF(AND(GO92+$D$129&gt;=$E$121,GO92+$D$129&lt;=$E$122),10,0),IF(AND(GO92+$D$129+2&gt;=$E$121,GO92+$D$129+2&lt;=$E$122),10,0))</f>
        <v>0</v>
      </c>
      <c r="GP121" s="1908">
        <f ca="1">IF(ENTRADAS!$O$1252="J",IF(AND(GP92+$D$129&gt;=$E$121,GP92+$D$129&lt;=$E$122),10,0),IF(AND(GP92+$D$129+2&gt;=$E$121,GP92+$D$129+2&lt;=$E$122),10,0))</f>
        <v>0</v>
      </c>
      <c r="GQ121" s="1908">
        <f ca="1">IF(ENTRADAS!$O$1252="J",IF(AND(GQ92+$D$129&gt;=$E$121,GQ92+$D$129&lt;=$E$122),10,0),IF(AND(GQ92+$D$129+2&gt;=$E$121,GQ92+$D$129+2&lt;=$E$122),10,0))</f>
        <v>0</v>
      </c>
      <c r="GR121" s="1908">
        <f ca="1">IF(ENTRADAS!$O$1252="J",IF(AND(GR92+$D$129&gt;=$E$121,GR92+$D$129&lt;=$E$122),10,0),IF(AND(GR92+$D$129+2&gt;=$E$121,GR92+$D$129+2&lt;=$E$122),10,0))</f>
        <v>0</v>
      </c>
      <c r="GS121" s="1908">
        <f ca="1">IF(ENTRADAS!$O$1252="J",IF(AND(GS92+$D$129&gt;=$E$121,GS92+$D$129&lt;=$E$122),10,0),IF(AND(GS92+$D$129+2&gt;=$E$121,GS92+$D$129+2&lt;=$E$122),10,0))</f>
        <v>0</v>
      </c>
      <c r="GT121" s="1908">
        <f ca="1">IF(ENTRADAS!$O$1252="J",IF(AND(GT92+$D$129&gt;=$E$121,GT92+$D$129&lt;=$E$122),10,0),IF(AND(GT92+$D$129+2&gt;=$E$121,GT92+$D$129+2&lt;=$E$122),10,0))</f>
        <v>0</v>
      </c>
      <c r="GU121" s="1908">
        <f ca="1">IF(ENTRADAS!$O$1252="J",IF(AND(GU92+$D$129&gt;=$E$121,GU92+$D$129&lt;=$E$122),10,0),IF(AND(GU92+$D$129+2&gt;=$E$121,GU92+$D$129+2&lt;=$E$122),10,0))</f>
        <v>0</v>
      </c>
      <c r="GV121" s="1907">
        <f ca="1">IF(ENTRADAS!$O$1252="J",IF(AND(GV92+$D$129&gt;=$E$121,GV92+$D$129&lt;=$E$122),10,0),IF(AND(GV92+$D$129+2&gt;=$E$121,GV92+$D$129+2&lt;=$E$122),10,0))</f>
        <v>0</v>
      </c>
      <c r="GW121" s="1908">
        <f ca="1">IF(ENTRADAS!$O$1252="J",IF(AND(GW92+$D$129&gt;=$E$121,GW92+$D$129&lt;=$E$122),10,0),IF(AND(GW92+$D$129+2&gt;=$E$121,GW92+$D$129+2&lt;=$E$122),10,0))</f>
        <v>0</v>
      </c>
      <c r="GX121" s="1908">
        <f ca="1">IF(ENTRADAS!$O$1252="J",IF(AND(GX92+$D$129&gt;=$E$121,GX92+$D$129&lt;=$E$122),10,0),IF(AND(GX92+$D$129+2&gt;=$E$121,GX92+$D$129+2&lt;=$E$122),10,0))</f>
        <v>0</v>
      </c>
      <c r="GY121" s="1908">
        <f ca="1">IF(ENTRADAS!$O$1252="J",IF(AND(GY92+$D$129&gt;=$E$121,GY92+$D$129&lt;=$E$122),10,0),IF(AND(GY92+$D$129+2&gt;=$E$121,GY92+$D$129+2&lt;=$E$122),10,0))</f>
        <v>0</v>
      </c>
      <c r="GZ121" s="1908">
        <f ca="1">IF(ENTRADAS!$O$1252="J",IF(AND(GZ92+$D$129&gt;=$E$121,GZ92+$D$129&lt;=$E$122),10,0),IF(AND(GZ92+$D$129+2&gt;=$E$121,GZ92+$D$129+2&lt;=$E$122),10,0))</f>
        <v>0</v>
      </c>
      <c r="HA121" s="1908">
        <f ca="1">IF(ENTRADAS!$O$1252="J",IF(AND(HA92+$D$129&gt;=$E$121,HA92+$D$129&lt;=$E$122),10,0),IF(AND(HA92+$D$129+2&gt;=$E$121,HA92+$D$129+2&lt;=$E$122),10,0))</f>
        <v>0</v>
      </c>
      <c r="HB121" s="1908">
        <f ca="1">IF(ENTRADAS!$O$1252="J",IF(AND(HB92+$D$129&gt;=$E$121,HB92+$D$129&lt;=$E$122),10,0),IF(AND(HB92+$D$129+2&gt;=$E$121,HB92+$D$129+2&lt;=$E$122),10,0))</f>
        <v>0</v>
      </c>
      <c r="HC121" s="1907">
        <f ca="1">IF(ENTRADAS!$O$1252="J",IF(AND(HC92+$D$129&gt;=$E$121,HC92+$D$129&lt;=$E$122),10,0),IF(AND(HC92+$D$129+2&gt;=$E$121,HC92+$D$129+2&lt;=$E$122),10,0))</f>
        <v>0</v>
      </c>
      <c r="HD121" s="1908">
        <f ca="1">IF(ENTRADAS!$O$1252="J",IF(AND(HD92+$D$129&gt;=$E$121,HD92+$D$129&lt;=$E$122),10,0),IF(AND(HD92+$D$129+2&gt;=$E$121,HD92+$D$129+2&lt;=$E$122),10,0))</f>
        <v>0</v>
      </c>
      <c r="HE121" s="1908">
        <f ca="1">IF(ENTRADAS!$O$1252="J",IF(AND(HE92+$D$129&gt;=$E$121,HE92+$D$129&lt;=$E$122),10,0),IF(AND(HE92+$D$129+2&gt;=$E$121,HE92+$D$129+2&lt;=$E$122),10,0))</f>
        <v>0</v>
      </c>
      <c r="HF121" s="1908">
        <f ca="1">IF(ENTRADAS!$O$1252="J",IF(AND(HF92+$D$129&gt;=$E$121,HF92+$D$129&lt;=$E$122),10,0),IF(AND(HF92+$D$129+2&gt;=$E$121,HF92+$D$129+2&lt;=$E$122),10,0))</f>
        <v>0</v>
      </c>
      <c r="HG121" s="1908">
        <f ca="1">IF(ENTRADAS!$O$1252="J",IF(AND(HG92+$D$129&gt;=$E$121,HG92+$D$129&lt;=$E$122),10,0),IF(AND(HG92+$D$129+2&gt;=$E$121,HG92+$D$129+2&lt;=$E$122),10,0))</f>
        <v>0</v>
      </c>
      <c r="HH121" s="1908">
        <f ca="1">IF(ENTRADAS!$O$1252="J",IF(AND(HH92+$D$129&gt;=$E$121,HH92+$D$129&lt;=$E$122),10,0),IF(AND(HH92+$D$129+2&gt;=$E$121,HH92+$D$129+2&lt;=$E$122),10,0))</f>
        <v>0</v>
      </c>
      <c r="HI121" s="1908">
        <f ca="1">IF(ENTRADAS!$O$1252="J",IF(AND(HI92+$D$129&gt;=$E$121,HI92+$D$129&lt;=$E$122),10,0),IF(AND(HI92+$D$129+2&gt;=$E$121,HI92+$D$129+2&lt;=$E$122),10,0))</f>
        <v>0</v>
      </c>
      <c r="HJ121" s="1907">
        <f ca="1">IF(ENTRADAS!$O$1252="J",IF(AND(HJ92+$D$129&gt;=$E$121,HJ92+$D$129&lt;=$E$122),10,0),IF(AND(HJ92+$D$129+2&gt;=$E$121,HJ92+$D$129+2&lt;=$E$122),10,0))</f>
        <v>0</v>
      </c>
      <c r="HK121" s="1908">
        <f ca="1">IF(ENTRADAS!$O$1252="J",IF(AND(HK92+$D$129&gt;=$E$121,HK92+$D$129&lt;=$E$122),10,0),IF(AND(HK92+$D$129+2&gt;=$E$121,HK92+$D$129+2&lt;=$E$122),10,0))</f>
        <v>0</v>
      </c>
      <c r="HL121" s="1908">
        <f ca="1">IF(ENTRADAS!$O$1252="J",IF(AND(HL92+$D$129&gt;=$E$121,HL92+$D$129&lt;=$E$122),10,0),IF(AND(HL92+$D$129+2&gt;=$E$121,HL92+$D$129+2&lt;=$E$122),10,0))</f>
        <v>0</v>
      </c>
      <c r="HM121" s="1908">
        <f ca="1">IF(ENTRADAS!$O$1252="J",IF(AND(HM92+$D$129&gt;=$E$121,HM92+$D$129&lt;=$E$122),10,0),IF(AND(HM92+$D$129+2&gt;=$E$121,HM92+$D$129+2&lt;=$E$122),10,0))</f>
        <v>0</v>
      </c>
      <c r="HN121" s="1908">
        <f ca="1">IF(ENTRADAS!$O$1252="J",IF(AND(HN92+$D$129&gt;=$E$121,HN92+$D$129&lt;=$E$122),10,0),IF(AND(HN92+$D$129+2&gt;=$E$121,HN92+$D$129+2&lt;=$E$122),10,0))</f>
        <v>0</v>
      </c>
      <c r="HO121" s="1908">
        <f ca="1">IF(ENTRADAS!$O$1252="J",IF(AND(HO92+$D$129&gt;=$E$121,HO92+$D$129&lt;=$E$122),10,0),IF(AND(HO92+$D$129+2&gt;=$E$121,HO92+$D$129+2&lt;=$E$122),10,0))</f>
        <v>0</v>
      </c>
      <c r="HP121" s="1908">
        <f ca="1">IF(ENTRADAS!$O$1252="J",IF(AND(HP92+$D$129&gt;=$E$121,HP92+$D$129&lt;=$E$122),10,0),IF(AND(HP92+$D$129+2&gt;=$E$121,HP92+$D$129+2&lt;=$E$122),10,0))</f>
        <v>0</v>
      </c>
      <c r="HQ121" s="1907">
        <f ca="1">IF(ENTRADAS!$O$1252="J",IF(AND(HQ92+$D$129&gt;=$E$121,HQ92+$D$129&lt;=$E$122),10,0),IF(AND(HQ92+$D$129+2&gt;=$E$121,HQ92+$D$129+2&lt;=$E$122),10,0))</f>
        <v>0</v>
      </c>
      <c r="HR121" s="1908">
        <f ca="1">IF(ENTRADAS!$O$1252="J",IF(AND(HR92+$D$129&gt;=$E$121,HR92+$D$129&lt;=$E$122),10,0),IF(AND(HR92+$D$129+2&gt;=$E$121,HR92+$D$129+2&lt;=$E$122),10,0))</f>
        <v>0</v>
      </c>
      <c r="HS121" s="1908">
        <f ca="1">IF(ENTRADAS!$O$1252="J",IF(AND(HS92+$D$129&gt;=$E$121,HS92+$D$129&lt;=$E$122),10,0),IF(AND(HS92+$D$129+2&gt;=$E$121,HS92+$D$129+2&lt;=$E$122),10,0))</f>
        <v>0</v>
      </c>
      <c r="HT121" s="1908">
        <f ca="1">IF(ENTRADAS!$O$1252="J",IF(AND(HT92+$D$129&gt;=$E$121,HT92+$D$129&lt;=$E$122),10,0),IF(AND(HT92+$D$129+2&gt;=$E$121,HT92+$D$129+2&lt;=$E$122),10,0))</f>
        <v>0</v>
      </c>
      <c r="HU121" s="1908">
        <f ca="1">IF(ENTRADAS!$O$1252="J",IF(AND(HU92+$D$129&gt;=$E$121,HU92+$D$129&lt;=$E$122),10,0),IF(AND(HU92+$D$129+2&gt;=$E$121,HU92+$D$129+2&lt;=$E$122),10,0))</f>
        <v>0</v>
      </c>
      <c r="HV121" s="1908">
        <f ca="1">IF(ENTRADAS!$O$1252="J",IF(AND(HV92+$D$129&gt;=$E$121,HV92+$D$129&lt;=$E$122),10,0),IF(AND(HV92+$D$129+2&gt;=$E$121,HV92+$D$129+2&lt;=$E$122),10,0))</f>
        <v>0</v>
      </c>
      <c r="HW121" s="1908">
        <f ca="1">IF(ENTRADAS!$O$1252="J",IF(AND(HW92+$D$129&gt;=$E$121,HW92+$D$129&lt;=$E$122),10,0),IF(AND(HW92+$D$129+2&gt;=$E$121,HW92+$D$129+2&lt;=$E$122),10,0))</f>
        <v>0</v>
      </c>
      <c r="HX121" s="1907">
        <f ca="1">IF(ENTRADAS!$O$1252="J",IF(AND(HX92+$D$129&gt;=$E$121,HX92+$D$129&lt;=$E$122),10,0),IF(AND(HX92+$D$129+2&gt;=$E$121,HX92+$D$129+2&lt;=$E$122),10,0))</f>
        <v>0</v>
      </c>
      <c r="HY121" s="1908">
        <f ca="1">IF(ENTRADAS!$O$1252="J",IF(AND(HY92+$D$129&gt;=$E$121,HY92+$D$129&lt;=$E$122),10,0),IF(AND(HY92+$D$129+2&gt;=$E$121,HY92+$D$129+2&lt;=$E$122),10,0))</f>
        <v>0</v>
      </c>
      <c r="HZ121" s="1908">
        <f ca="1">IF(ENTRADAS!$O$1252="J",IF(AND(HZ92+$D$129&gt;=$E$121,HZ92+$D$129&lt;=$E$122),10,0),IF(AND(HZ92+$D$129+2&gt;=$E$121,HZ92+$D$129+2&lt;=$E$122),10,0))</f>
        <v>0</v>
      </c>
      <c r="IA121" s="1908">
        <f ca="1">IF(ENTRADAS!$O$1252="J",IF(AND(IA92+$D$129&gt;=$E$121,IA92+$D$129&lt;=$E$122),10,0),IF(AND(IA92+$D$129+2&gt;=$E$121,IA92+$D$129+2&lt;=$E$122),10,0))</f>
        <v>0</v>
      </c>
      <c r="IB121" s="1908">
        <f ca="1">IF(ENTRADAS!$O$1252="J",IF(AND(IB92+$D$129&gt;=$E$121,IB92+$D$129&lt;=$E$122),10,0),IF(AND(IB92+$D$129+2&gt;=$E$121,IB92+$D$129+2&lt;=$E$122),10,0))</f>
        <v>0</v>
      </c>
      <c r="IC121" s="1908">
        <f ca="1">IF(ENTRADAS!$O$1252="J",IF(AND(IC92+$D$129&gt;=$E$121,IC92+$D$129&lt;=$E$122),10,0),IF(AND(IC92+$D$129+2&gt;=$E$121,IC92+$D$129+2&lt;=$E$122),10,0))</f>
        <v>0</v>
      </c>
      <c r="ID121" s="1908">
        <f ca="1">IF(ENTRADAS!$O$1252="J",IF(AND(ID92+$D$129&gt;=$E$121,ID92+$D$129&lt;=$E$122),10,0),IF(AND(ID92+$D$129+2&gt;=$E$121,ID92+$D$129+2&lt;=$E$122),10,0))</f>
        <v>0</v>
      </c>
      <c r="IE121" s="1907">
        <f ca="1">IF(ENTRADAS!$O$1252="J",IF(AND(IE92+$D$129&gt;=$E$121,IE92+$D$129&lt;=$E$122),10,0),IF(AND(IE92+$D$129+2&gt;=$E$121,IE92+$D$129+2&lt;=$E$122),10,0))</f>
        <v>0</v>
      </c>
      <c r="IF121" s="1908">
        <f ca="1">IF(ENTRADAS!$O$1252="J",IF(AND(IF92+$D$129&gt;=$E$121,IF92+$D$129&lt;=$E$122),10,0),IF(AND(IF92+$D$129+2&gt;=$E$121,IF92+$D$129+2&lt;=$E$122),10,0))</f>
        <v>0</v>
      </c>
      <c r="IG121" s="1908">
        <f ca="1">IF(ENTRADAS!$O$1252="J",IF(AND(IG92+$D$129&gt;=$E$121,IG92+$D$129&lt;=$E$122),10,0),IF(AND(IG92+$D$129+2&gt;=$E$121,IG92+$D$129+2&lt;=$E$122),10,0))</f>
        <v>0</v>
      </c>
      <c r="IH121" s="1908">
        <f ca="1">IF(ENTRADAS!$O$1252="J",IF(AND(IH92+$D$129&gt;=$E$121,IH92+$D$129&lt;=$E$122),10,0),IF(AND(IH92+$D$129+2&gt;=$E$121,IH92+$D$129+2&lt;=$E$122),10,0))</f>
        <v>0</v>
      </c>
      <c r="II121" s="1908">
        <f ca="1">IF(ENTRADAS!$O$1252="J",IF(AND(II92+$D$129&gt;=$E$121,II92+$D$129&lt;=$E$122),10,0),IF(AND(II92+$D$129+2&gt;=$E$121,II92+$D$129+2&lt;=$E$122),10,0))</f>
        <v>0</v>
      </c>
      <c r="IJ121" s="1908">
        <f ca="1">IF(ENTRADAS!$O$1252="J",IF(AND(IJ92+$D$129&gt;=$E$121,IJ92+$D$129&lt;=$E$122),10,0),IF(AND(IJ92+$D$129+2&gt;=$E$121,IJ92+$D$129+2&lt;=$E$122),10,0))</f>
        <v>0</v>
      </c>
      <c r="IK121" s="1909">
        <f ca="1">IF(ENTRADAS!$O$1252="J",IF(AND(IK92+$D$129&gt;=$E$121,IK92+$D$129&lt;=$E$122),10,0),IF(AND(IK92+$D$129+2&gt;=$E$121,IK92+$D$129+2&lt;=$E$122),10,0))</f>
        <v>0</v>
      </c>
    </row>
    <row r="122" spans="1:245" ht="7.5" hidden="1" customHeight="1" x14ac:dyDescent="0.35">
      <c r="A122" s="195">
        <f>IF(B121=0,0,"XXX")</f>
        <v>0</v>
      </c>
      <c r="B122" s="1910"/>
      <c r="C122" s="1912"/>
      <c r="D122" s="360" t="str">
        <f>IF(ENTRADAS!$F$22=0,0,"término:")</f>
        <v>término:</v>
      </c>
      <c r="E122" s="361">
        <f>IF(C121=0,0,E121+F121)</f>
        <v>0</v>
      </c>
      <c r="F122" s="1913"/>
      <c r="G122" s="1914"/>
      <c r="H122" s="1907"/>
      <c r="I122" s="1908"/>
      <c r="J122" s="1908"/>
      <c r="K122" s="1908"/>
      <c r="L122" s="1908"/>
      <c r="M122" s="1908"/>
      <c r="N122" s="1908"/>
      <c r="O122" s="1907"/>
      <c r="P122" s="1908"/>
      <c r="Q122" s="1908"/>
      <c r="R122" s="1908"/>
      <c r="S122" s="1908"/>
      <c r="T122" s="1908"/>
      <c r="U122" s="1908"/>
      <c r="V122" s="1907"/>
      <c r="W122" s="1908"/>
      <c r="X122" s="1908"/>
      <c r="Y122" s="1908"/>
      <c r="Z122" s="1908"/>
      <c r="AA122" s="1908"/>
      <c r="AB122" s="1908"/>
      <c r="AC122" s="1907"/>
      <c r="AD122" s="1908"/>
      <c r="AE122" s="1908"/>
      <c r="AF122" s="1908"/>
      <c r="AG122" s="1908"/>
      <c r="AH122" s="1908"/>
      <c r="AI122" s="1908"/>
      <c r="AJ122" s="1907"/>
      <c r="AK122" s="1908"/>
      <c r="AL122" s="1908"/>
      <c r="AM122" s="1908"/>
      <c r="AN122" s="1908"/>
      <c r="AO122" s="1908"/>
      <c r="AP122" s="1908"/>
      <c r="AQ122" s="1907"/>
      <c r="AR122" s="1908"/>
      <c r="AS122" s="1908"/>
      <c r="AT122" s="1908"/>
      <c r="AU122" s="1908"/>
      <c r="AV122" s="1908"/>
      <c r="AW122" s="1908"/>
      <c r="AX122" s="1907"/>
      <c r="AY122" s="1908"/>
      <c r="AZ122" s="1908"/>
      <c r="BA122" s="1908"/>
      <c r="BB122" s="1908"/>
      <c r="BC122" s="1908"/>
      <c r="BD122" s="1908"/>
      <c r="BE122" s="1907"/>
      <c r="BF122" s="1908"/>
      <c r="BG122" s="1908"/>
      <c r="BH122" s="1908"/>
      <c r="BI122" s="1908"/>
      <c r="BJ122" s="1908"/>
      <c r="BK122" s="1908"/>
      <c r="BL122" s="1907"/>
      <c r="BM122" s="1908"/>
      <c r="BN122" s="1908"/>
      <c r="BO122" s="1908"/>
      <c r="BP122" s="1908"/>
      <c r="BQ122" s="1908"/>
      <c r="BR122" s="1908"/>
      <c r="BS122" s="1907"/>
      <c r="BT122" s="1908"/>
      <c r="BU122" s="1908"/>
      <c r="BV122" s="1908"/>
      <c r="BW122" s="1908"/>
      <c r="BX122" s="1908"/>
      <c r="BY122" s="1908"/>
      <c r="BZ122" s="1907"/>
      <c r="CA122" s="1908"/>
      <c r="CB122" s="1908"/>
      <c r="CC122" s="1908"/>
      <c r="CD122" s="1908"/>
      <c r="CE122" s="1908"/>
      <c r="CF122" s="1908"/>
      <c r="CG122" s="1907"/>
      <c r="CH122" s="1908"/>
      <c r="CI122" s="1908"/>
      <c r="CJ122" s="1908"/>
      <c r="CK122" s="1908"/>
      <c r="CL122" s="1908"/>
      <c r="CM122" s="1908"/>
      <c r="CN122" s="1907"/>
      <c r="CO122" s="1908"/>
      <c r="CP122" s="1908"/>
      <c r="CQ122" s="1908"/>
      <c r="CR122" s="1908"/>
      <c r="CS122" s="1908"/>
      <c r="CT122" s="1908"/>
      <c r="CU122" s="1907"/>
      <c r="CV122" s="1908"/>
      <c r="CW122" s="1908"/>
      <c r="CX122" s="1908"/>
      <c r="CY122" s="1908"/>
      <c r="CZ122" s="1908"/>
      <c r="DA122" s="1908"/>
      <c r="DB122" s="1907"/>
      <c r="DC122" s="1908"/>
      <c r="DD122" s="1908"/>
      <c r="DE122" s="1908"/>
      <c r="DF122" s="1908"/>
      <c r="DG122" s="1908"/>
      <c r="DH122" s="1908"/>
      <c r="DI122" s="1907"/>
      <c r="DJ122" s="1908"/>
      <c r="DK122" s="1908"/>
      <c r="DL122" s="1908"/>
      <c r="DM122" s="1908"/>
      <c r="DN122" s="1908"/>
      <c r="DO122" s="1908"/>
      <c r="DP122" s="1907"/>
      <c r="DQ122" s="1908"/>
      <c r="DR122" s="1908"/>
      <c r="DS122" s="1908"/>
      <c r="DT122" s="1908"/>
      <c r="DU122" s="1908"/>
      <c r="DV122" s="1908"/>
      <c r="DW122" s="1907"/>
      <c r="DX122" s="1908"/>
      <c r="DY122" s="1908"/>
      <c r="DZ122" s="1908"/>
      <c r="EA122" s="1908"/>
      <c r="EB122" s="1908"/>
      <c r="EC122" s="1908"/>
      <c r="ED122" s="1907"/>
      <c r="EE122" s="1908"/>
      <c r="EF122" s="1908"/>
      <c r="EG122" s="1908"/>
      <c r="EH122" s="1908"/>
      <c r="EI122" s="1908"/>
      <c r="EJ122" s="1908"/>
      <c r="EK122" s="1907"/>
      <c r="EL122" s="1908"/>
      <c r="EM122" s="1908"/>
      <c r="EN122" s="1908"/>
      <c r="EO122" s="1908"/>
      <c r="EP122" s="1908"/>
      <c r="EQ122" s="1908"/>
      <c r="ER122" s="1907"/>
      <c r="ES122" s="1908"/>
      <c r="ET122" s="1908"/>
      <c r="EU122" s="1908"/>
      <c r="EV122" s="1908"/>
      <c r="EW122" s="1908"/>
      <c r="EX122" s="1908"/>
      <c r="EY122" s="1907"/>
      <c r="EZ122" s="1908"/>
      <c r="FA122" s="1908"/>
      <c r="FB122" s="1908"/>
      <c r="FC122" s="1908"/>
      <c r="FD122" s="1908"/>
      <c r="FE122" s="1908"/>
      <c r="FF122" s="1907"/>
      <c r="FG122" s="1908"/>
      <c r="FH122" s="1908"/>
      <c r="FI122" s="1908"/>
      <c r="FJ122" s="1908"/>
      <c r="FK122" s="1908"/>
      <c r="FL122" s="1908"/>
      <c r="FM122" s="1907"/>
      <c r="FN122" s="1908"/>
      <c r="FO122" s="1908"/>
      <c r="FP122" s="1908"/>
      <c r="FQ122" s="1908"/>
      <c r="FR122" s="1908"/>
      <c r="FS122" s="1908"/>
      <c r="FT122" s="1907"/>
      <c r="FU122" s="1908"/>
      <c r="FV122" s="1908"/>
      <c r="FW122" s="1908"/>
      <c r="FX122" s="1908"/>
      <c r="FY122" s="1908"/>
      <c r="FZ122" s="1908"/>
      <c r="GA122" s="1907"/>
      <c r="GB122" s="1908"/>
      <c r="GC122" s="1908"/>
      <c r="GD122" s="1908"/>
      <c r="GE122" s="1908"/>
      <c r="GF122" s="1908"/>
      <c r="GG122" s="1908"/>
      <c r="GH122" s="1907"/>
      <c r="GI122" s="1908"/>
      <c r="GJ122" s="1908"/>
      <c r="GK122" s="1908"/>
      <c r="GL122" s="1908"/>
      <c r="GM122" s="1908"/>
      <c r="GN122" s="1908"/>
      <c r="GO122" s="1907"/>
      <c r="GP122" s="1908"/>
      <c r="GQ122" s="1908"/>
      <c r="GR122" s="1908"/>
      <c r="GS122" s="1908"/>
      <c r="GT122" s="1908"/>
      <c r="GU122" s="1908"/>
      <c r="GV122" s="1907"/>
      <c r="GW122" s="1908"/>
      <c r="GX122" s="1908"/>
      <c r="GY122" s="1908"/>
      <c r="GZ122" s="1908"/>
      <c r="HA122" s="1908"/>
      <c r="HB122" s="1908"/>
      <c r="HC122" s="1907"/>
      <c r="HD122" s="1908"/>
      <c r="HE122" s="1908"/>
      <c r="HF122" s="1908"/>
      <c r="HG122" s="1908"/>
      <c r="HH122" s="1908"/>
      <c r="HI122" s="1908"/>
      <c r="HJ122" s="1907"/>
      <c r="HK122" s="1908"/>
      <c r="HL122" s="1908"/>
      <c r="HM122" s="1908"/>
      <c r="HN122" s="1908"/>
      <c r="HO122" s="1908"/>
      <c r="HP122" s="1908"/>
      <c r="HQ122" s="1907"/>
      <c r="HR122" s="1908"/>
      <c r="HS122" s="1908"/>
      <c r="HT122" s="1908"/>
      <c r="HU122" s="1908"/>
      <c r="HV122" s="1908"/>
      <c r="HW122" s="1908"/>
      <c r="HX122" s="1907"/>
      <c r="HY122" s="1908"/>
      <c r="HZ122" s="1908"/>
      <c r="IA122" s="1908"/>
      <c r="IB122" s="1908"/>
      <c r="IC122" s="1908"/>
      <c r="ID122" s="1908"/>
      <c r="IE122" s="1907"/>
      <c r="IF122" s="1908"/>
      <c r="IG122" s="1908"/>
      <c r="IH122" s="1908"/>
      <c r="II122" s="1908"/>
      <c r="IJ122" s="1908"/>
      <c r="IK122" s="1909"/>
    </row>
    <row r="123" spans="1:245" ht="11.1" customHeight="1" x14ac:dyDescent="0.4">
      <c r="A123" s="195" t="str">
        <f>IF(B123=0,0,"XXX")</f>
        <v>XXX</v>
      </c>
      <c r="B123" s="195" t="s">
        <v>10</v>
      </c>
      <c r="C123" s="349">
        <f ca="1">IF(IK94&lt;LARGE(E107:E116,1),"A CAPACIDADE DO CRONOGRAMA FOI ULTRAPASSADA !",0)</f>
        <v>0</v>
      </c>
    </row>
    <row r="124" spans="1:245" ht="5.0999999999999996" hidden="1" customHeight="1" x14ac:dyDescent="0.4">
      <c r="A124" s="195">
        <f>IF(B124=0,0,"XXX")</f>
        <v>0</v>
      </c>
      <c r="B124" s="451"/>
      <c r="F124" s="486">
        <f>IF(AND(ENTRADAS!$C$397="X",F114=0),IF((E30-D129+ENTRADAS!BS401)=0,0,IF((F113+(E30-D129+ENTRADAS!BS401))&lt;=F107," CRONOGRAMA INCONSISTENTE ! REVISE !",0)),IF(F114=0,0,IF((F113+F114)&lt;=F107," CRONOGRAMA INCONSISTENTE ! REVISE !",0)))</f>
        <v>0</v>
      </c>
    </row>
    <row r="125" spans="1:245" ht="13.15" hidden="1" x14ac:dyDescent="0.4">
      <c r="A125" s="195">
        <f>IF(B125=0,0,"XXX")</f>
        <v>0</v>
      </c>
      <c r="B125" s="5"/>
      <c r="F125" s="464">
        <f>IF(AND(ENTRADAS!$C$397="X",F114=0),IF((E30-D129+ENTRADAS!BS401)=0,IF(F116=0,0,IF(F115+F116&lt;F113+F107," CRONOGRAMA INCONSISTENTE ! REVISE !",0)),IF(F116=0,0,IF(F115+F116&lt;F113+(E30-D129+ENTRADAS!BS401)," CRONOGRAMA INCONSISTENTE ! REVISE !",0))),IF(F114=0,IF(F116=0,0,IF(F115+F116&lt;F113+F107," CRONOGRAMA INCONSISTENTE ! REVISE !",0)),IF(F116=0,0,IF(F115+F116&lt;F113+F114," CRONOGRAMA INCONSISTENTE ! REVISE !",0))))</f>
        <v>0</v>
      </c>
      <c r="V125" s="3"/>
      <c r="W125" s="17"/>
      <c r="X125" s="630">
        <f ca="1">IF(AND(ENTRADAS!$C$397="X",F114=0),IF(F116=0,IF(F115+(E30-D129+ENTRADAS!BS401)+F113+(E30-D129+ENTRADAS!BS401)&lt;F111+F107,10,0)),IF(F116=0,IF(F115+F114+F113&lt;F111+F107,10,0)))</f>
        <v>0</v>
      </c>
      <c r="Y125" s="32">
        <f>IF(AND(ENTRADAS!$C$397="X",F114=0),IF(F116&gt;0,IF(F115+F116&lt;(E30-D129+ENTRADAS!BS401)+F113,10,0),0),IF(F116&gt;0,IF(F115+F116&lt;F114+F113,10,0),0))</f>
        <v>0</v>
      </c>
    </row>
    <row r="126" spans="1:245" ht="13.15" hidden="1" x14ac:dyDescent="0.4">
      <c r="A126" s="195">
        <f>IF(B126=0,0,"XXX")</f>
        <v>0</v>
      </c>
      <c r="B126" s="5"/>
      <c r="C126" s="775" t="s">
        <v>1603</v>
      </c>
      <c r="D126" s="484">
        <f>$GH$3</f>
        <v>5</v>
      </c>
      <c r="E126" s="12"/>
      <c r="F126" s="12"/>
      <c r="V126" s="630">
        <f ca="1">IF(AND(ENTRADAS!$C$397="X",F114=0),IF((E30-D129+ENTRADAS!BS401)=0,IF(F116=0,IF(F115+F107+F111&lt;F107+F111,10,0),IF(F115+F116&lt;F107+F113+1,10,0)),0),IF(F114=0,IF(F116=0,IF(F115+F107+F111&lt;F107+F111,10,0),IF(F115+F116&lt;F107+F113+1,10,0)),0))</f>
        <v>0</v>
      </c>
      <c r="W126" s="630">
        <f ca="1">IF(AND(ENTRADAS!$C$397="X",F114=0),IF((E30-D129+ENTRADAS!BS401)&gt;0,W125,X125),IF(F114&gt;0,W125,X125))</f>
        <v>0</v>
      </c>
      <c r="X126" s="13"/>
      <c r="Y126" s="14"/>
      <c r="EI126" s="32" t="e">
        <f>IF(#REF!=0,0,"X")</f>
        <v>#REF!</v>
      </c>
    </row>
    <row r="127" spans="1:245" ht="13.15" hidden="1" x14ac:dyDescent="0.4">
      <c r="A127" s="195">
        <f>IF(B127=0,0,"XXX")</f>
        <v>0</v>
      </c>
      <c r="B127" s="5"/>
      <c r="C127" s="81" t="s">
        <v>1570</v>
      </c>
      <c r="D127" s="81">
        <f>D43+1</f>
        <v>2</v>
      </c>
      <c r="F127" s="464">
        <f>IF(AND(ENTRADAS!$C$397="X",F114=0),IF(F116+(E30-D129+ENTRADAS!BS401)=0,0,IF(V126=10," CRONOGRAMA INCONSISTENTE ! REVISE !",IF(W126=10," CRONOGRAMA INCONSISTENTE ! REVISE !",0))),IF(F116+F114=0,0,IF(V126=10," CRONOGRAMA INCONSISTENTE ! REVISE !",IF(W126=10," CRONOGRAMA INCONSISTENTE ! REVISE !",0))))</f>
        <v>0</v>
      </c>
    </row>
    <row r="128" spans="1:245" ht="13.15" hidden="1" x14ac:dyDescent="0.4">
      <c r="A128" s="195"/>
      <c r="B128" s="5"/>
      <c r="C128" s="81" t="s">
        <v>1571</v>
      </c>
      <c r="D128" s="470">
        <f>ENTRADAS!$F$22</f>
        <v>4</v>
      </c>
      <c r="F128" s="464">
        <f ca="1">IF(E112-E116&gt;0," CRONOGRAMA INCONSISTENTE ! REVISE !",0)</f>
        <v>0</v>
      </c>
    </row>
    <row r="129" spans="1:245" hidden="1" x14ac:dyDescent="0.35">
      <c r="A129" s="195"/>
      <c r="B129" s="5"/>
      <c r="C129" s="472" t="s">
        <v>1572</v>
      </c>
      <c r="D129" s="473">
        <f ca="1">$J$3</f>
        <v>45919</v>
      </c>
    </row>
    <row r="130" spans="1:245" hidden="1" x14ac:dyDescent="0.35">
      <c r="A130" s="195"/>
      <c r="B130" s="5"/>
      <c r="C130" s="472" t="str">
        <f>"térnimo confec parede tq "&amp;D127-1</f>
        <v>térnimo confec parede tq 1</v>
      </c>
      <c r="D130" s="475">
        <f ca="1">IF(D127&lt;=D128,D50,0)</f>
        <v>45943.25</v>
      </c>
    </row>
    <row r="131" spans="1:245" hidden="1" x14ac:dyDescent="0.35">
      <c r="A131" s="195"/>
      <c r="B131" s="5"/>
      <c r="C131" s="472" t="str">
        <f>"término confec cobert tq "&amp;D127-1</f>
        <v>término confec cobert tq 1</v>
      </c>
      <c r="D131" s="475">
        <f>LARGE(G83:G85,1)</f>
        <v>0</v>
      </c>
      <c r="E131" s="478">
        <f ca="1">(LARGE(G83:G85,1)-D129)-1</f>
        <v>-45920</v>
      </c>
    </row>
    <row r="132" spans="1:245" hidden="1" x14ac:dyDescent="0.35">
      <c r="A132" s="195"/>
      <c r="B132" s="5"/>
      <c r="C132" s="639" t="s">
        <v>1573</v>
      </c>
      <c r="D132" s="469">
        <f ca="1">IF(ENTRADAS!$F$22=0,0,IF($J$3=0,0,CÁLCULOS!$M$679/ENTRADAS!$F$22))</f>
        <v>25.25</v>
      </c>
      <c r="E132" s="32"/>
      <c r="H132" s="348">
        <f ca="1">IF(AND(H92&gt;=$E$133,H92&lt;$E$134),10,0)</f>
        <v>0</v>
      </c>
      <c r="I132" s="348">
        <f t="shared" ref="I132:BS132" ca="1" si="169">IF(AND(I92&gt;=$E$133,I92&lt;$E$134),10,0)</f>
        <v>0</v>
      </c>
      <c r="J132" s="348">
        <f t="shared" ca="1" si="169"/>
        <v>0</v>
      </c>
      <c r="K132" s="348">
        <f t="shared" ca="1" si="169"/>
        <v>0</v>
      </c>
      <c r="L132" s="348">
        <f t="shared" ca="1" si="169"/>
        <v>0</v>
      </c>
      <c r="M132" s="348">
        <f t="shared" ca="1" si="169"/>
        <v>0</v>
      </c>
      <c r="N132" s="348">
        <f t="shared" ca="1" si="169"/>
        <v>0</v>
      </c>
      <c r="O132" s="348">
        <f t="shared" ca="1" si="169"/>
        <v>0</v>
      </c>
      <c r="P132" s="348">
        <f t="shared" ca="1" si="169"/>
        <v>0</v>
      </c>
      <c r="Q132" s="348">
        <f t="shared" ca="1" si="169"/>
        <v>0</v>
      </c>
      <c r="R132" s="348">
        <f t="shared" ca="1" si="169"/>
        <v>0</v>
      </c>
      <c r="S132" s="348">
        <f t="shared" ca="1" si="169"/>
        <v>0</v>
      </c>
      <c r="T132" s="348">
        <f t="shared" ca="1" si="169"/>
        <v>0</v>
      </c>
      <c r="U132" s="348">
        <f t="shared" ca="1" si="169"/>
        <v>0</v>
      </c>
      <c r="V132" s="348">
        <f t="shared" ca="1" si="169"/>
        <v>0</v>
      </c>
      <c r="W132" s="348">
        <f t="shared" ca="1" si="169"/>
        <v>0</v>
      </c>
      <c r="X132" s="348">
        <f t="shared" ca="1" si="169"/>
        <v>0</v>
      </c>
      <c r="Y132" s="348">
        <f t="shared" ca="1" si="169"/>
        <v>0</v>
      </c>
      <c r="Z132" s="348">
        <f t="shared" ca="1" si="169"/>
        <v>0</v>
      </c>
      <c r="AA132" s="348">
        <f t="shared" ca="1" si="169"/>
        <v>0</v>
      </c>
      <c r="AB132" s="348">
        <f t="shared" ca="1" si="169"/>
        <v>0</v>
      </c>
      <c r="AC132" s="348">
        <f t="shared" ca="1" si="169"/>
        <v>0</v>
      </c>
      <c r="AD132" s="348">
        <f t="shared" ca="1" si="169"/>
        <v>0</v>
      </c>
      <c r="AE132" s="348">
        <f t="shared" ca="1" si="169"/>
        <v>0</v>
      </c>
      <c r="AF132" s="348">
        <f t="shared" ca="1" si="169"/>
        <v>0</v>
      </c>
      <c r="AG132" s="348">
        <f t="shared" ca="1" si="169"/>
        <v>0</v>
      </c>
      <c r="AH132" s="348">
        <f t="shared" ca="1" si="169"/>
        <v>0</v>
      </c>
      <c r="AI132" s="348">
        <f ca="1">IF(AND(AI92&gt;=$E$133,AI92&lt;$E$134),10,0)</f>
        <v>0</v>
      </c>
      <c r="AJ132" s="348">
        <f ca="1">IF(AND(AJ92&gt;=$E$133,AJ92&lt;$E$134),10,0)</f>
        <v>0</v>
      </c>
      <c r="AK132" s="348">
        <f ca="1">IF(AND(AK92&gt;=$E$133,AK92&lt;$E$134),10,0)</f>
        <v>0</v>
      </c>
      <c r="AL132" s="348">
        <f t="shared" ca="1" si="169"/>
        <v>0</v>
      </c>
      <c r="AM132" s="348">
        <f t="shared" ca="1" si="169"/>
        <v>10</v>
      </c>
      <c r="AN132" s="348">
        <f t="shared" ca="1" si="169"/>
        <v>10</v>
      </c>
      <c r="AO132" s="348">
        <f t="shared" ca="1" si="169"/>
        <v>10</v>
      </c>
      <c r="AP132" s="348">
        <f t="shared" ca="1" si="169"/>
        <v>10</v>
      </c>
      <c r="AQ132" s="348">
        <f t="shared" ca="1" si="169"/>
        <v>10</v>
      </c>
      <c r="AR132" s="348">
        <f t="shared" ca="1" si="169"/>
        <v>10</v>
      </c>
      <c r="AS132" s="348">
        <f t="shared" ca="1" si="169"/>
        <v>10</v>
      </c>
      <c r="AT132" s="348">
        <f t="shared" ca="1" si="169"/>
        <v>10</v>
      </c>
      <c r="AU132" s="348">
        <f t="shared" ca="1" si="169"/>
        <v>10</v>
      </c>
      <c r="AV132" s="348">
        <f t="shared" ca="1" si="169"/>
        <v>10</v>
      </c>
      <c r="AW132" s="348">
        <f t="shared" ca="1" si="169"/>
        <v>10</v>
      </c>
      <c r="AX132" s="348">
        <f t="shared" ca="1" si="169"/>
        <v>10</v>
      </c>
      <c r="AY132" s="348">
        <f t="shared" ca="1" si="169"/>
        <v>10</v>
      </c>
      <c r="AZ132" s="348">
        <f t="shared" ca="1" si="169"/>
        <v>10</v>
      </c>
      <c r="BA132" s="348">
        <f t="shared" ca="1" si="169"/>
        <v>10</v>
      </c>
      <c r="BB132" s="348">
        <f t="shared" ca="1" si="169"/>
        <v>10</v>
      </c>
      <c r="BC132" s="348">
        <f t="shared" ca="1" si="169"/>
        <v>10</v>
      </c>
      <c r="BD132" s="348">
        <f t="shared" ca="1" si="169"/>
        <v>10</v>
      </c>
      <c r="BE132" s="348">
        <f t="shared" ca="1" si="169"/>
        <v>10</v>
      </c>
      <c r="BF132" s="348">
        <f t="shared" ca="1" si="169"/>
        <v>10</v>
      </c>
      <c r="BG132" s="348">
        <f t="shared" ca="1" si="169"/>
        <v>10</v>
      </c>
      <c r="BH132" s="348">
        <f t="shared" ca="1" si="169"/>
        <v>10</v>
      </c>
      <c r="BI132" s="348">
        <f t="shared" ca="1" si="169"/>
        <v>10</v>
      </c>
      <c r="BJ132" s="348">
        <f t="shared" ca="1" si="169"/>
        <v>10</v>
      </c>
      <c r="BK132" s="348">
        <f t="shared" ca="1" si="169"/>
        <v>10</v>
      </c>
      <c r="BL132" s="348">
        <f t="shared" ca="1" si="169"/>
        <v>0</v>
      </c>
      <c r="BM132" s="348">
        <f t="shared" ca="1" si="169"/>
        <v>0</v>
      </c>
      <c r="BN132" s="348">
        <f t="shared" ca="1" si="169"/>
        <v>0</v>
      </c>
      <c r="BO132" s="348">
        <f t="shared" ca="1" si="169"/>
        <v>0</v>
      </c>
      <c r="BP132" s="348">
        <f t="shared" ca="1" si="169"/>
        <v>0</v>
      </c>
      <c r="BQ132" s="348">
        <f t="shared" ca="1" si="169"/>
        <v>0</v>
      </c>
      <c r="BR132" s="348">
        <f t="shared" ca="1" si="169"/>
        <v>0</v>
      </c>
      <c r="BS132" s="348">
        <f t="shared" ca="1" si="169"/>
        <v>0</v>
      </c>
      <c r="BT132" s="348">
        <f t="shared" ref="BT132:EE132" ca="1" si="170">IF(AND(BT92&gt;=$E$133,BT92&lt;$E$134),10,0)</f>
        <v>0</v>
      </c>
      <c r="BU132" s="348">
        <f t="shared" ca="1" si="170"/>
        <v>0</v>
      </c>
      <c r="BV132" s="348">
        <f t="shared" ca="1" si="170"/>
        <v>0</v>
      </c>
      <c r="BW132" s="348">
        <f t="shared" ca="1" si="170"/>
        <v>0</v>
      </c>
      <c r="BX132" s="348">
        <f t="shared" ca="1" si="170"/>
        <v>0</v>
      </c>
      <c r="BY132" s="348">
        <f t="shared" ca="1" si="170"/>
        <v>0</v>
      </c>
      <c r="BZ132" s="348">
        <f t="shared" ca="1" si="170"/>
        <v>0</v>
      </c>
      <c r="CA132" s="348">
        <f t="shared" ca="1" si="170"/>
        <v>0</v>
      </c>
      <c r="CB132" s="348">
        <f t="shared" ca="1" si="170"/>
        <v>0</v>
      </c>
      <c r="CC132" s="348">
        <f t="shared" ca="1" si="170"/>
        <v>0</v>
      </c>
      <c r="CD132" s="348">
        <f t="shared" ca="1" si="170"/>
        <v>0</v>
      </c>
      <c r="CE132" s="348">
        <f t="shared" ca="1" si="170"/>
        <v>0</v>
      </c>
      <c r="CF132" s="348">
        <f t="shared" ca="1" si="170"/>
        <v>0</v>
      </c>
      <c r="CG132" s="348">
        <f t="shared" ca="1" si="170"/>
        <v>0</v>
      </c>
      <c r="CH132" s="348">
        <f t="shared" ca="1" si="170"/>
        <v>0</v>
      </c>
      <c r="CI132" s="348">
        <f t="shared" ca="1" si="170"/>
        <v>0</v>
      </c>
      <c r="CJ132" s="348">
        <f t="shared" ca="1" si="170"/>
        <v>0</v>
      </c>
      <c r="CK132" s="348">
        <f t="shared" ca="1" si="170"/>
        <v>0</v>
      </c>
      <c r="CL132" s="348">
        <f t="shared" ca="1" si="170"/>
        <v>0</v>
      </c>
      <c r="CM132" s="348">
        <f t="shared" ca="1" si="170"/>
        <v>0</v>
      </c>
      <c r="CN132" s="348">
        <f t="shared" ca="1" si="170"/>
        <v>0</v>
      </c>
      <c r="CO132" s="348">
        <f t="shared" ca="1" si="170"/>
        <v>0</v>
      </c>
      <c r="CP132" s="348">
        <f t="shared" ca="1" si="170"/>
        <v>0</v>
      </c>
      <c r="CQ132" s="348">
        <f t="shared" ca="1" si="170"/>
        <v>0</v>
      </c>
      <c r="CR132" s="348">
        <f t="shared" ca="1" si="170"/>
        <v>0</v>
      </c>
      <c r="CS132" s="348">
        <f t="shared" ca="1" si="170"/>
        <v>0</v>
      </c>
      <c r="CT132" s="348">
        <f t="shared" ca="1" si="170"/>
        <v>0</v>
      </c>
      <c r="CU132" s="348">
        <f t="shared" ca="1" si="170"/>
        <v>0</v>
      </c>
      <c r="CV132" s="348">
        <f t="shared" ca="1" si="170"/>
        <v>0</v>
      </c>
      <c r="CW132" s="348">
        <f t="shared" ca="1" si="170"/>
        <v>0</v>
      </c>
      <c r="CX132" s="348">
        <f t="shared" ca="1" si="170"/>
        <v>0</v>
      </c>
      <c r="CY132" s="348">
        <f t="shared" ca="1" si="170"/>
        <v>0</v>
      </c>
      <c r="CZ132" s="348">
        <f t="shared" ca="1" si="170"/>
        <v>0</v>
      </c>
      <c r="DA132" s="348">
        <f t="shared" ca="1" si="170"/>
        <v>0</v>
      </c>
      <c r="DB132" s="348">
        <f t="shared" ca="1" si="170"/>
        <v>0</v>
      </c>
      <c r="DC132" s="348">
        <f t="shared" ca="1" si="170"/>
        <v>0</v>
      </c>
      <c r="DD132" s="348">
        <f t="shared" ca="1" si="170"/>
        <v>0</v>
      </c>
      <c r="DE132" s="348">
        <f t="shared" ca="1" si="170"/>
        <v>0</v>
      </c>
      <c r="DF132" s="348">
        <f t="shared" ca="1" si="170"/>
        <v>0</v>
      </c>
      <c r="DG132" s="348">
        <f t="shared" ca="1" si="170"/>
        <v>0</v>
      </c>
      <c r="DH132" s="348">
        <f t="shared" ca="1" si="170"/>
        <v>0</v>
      </c>
      <c r="DI132" s="348">
        <f t="shared" ca="1" si="170"/>
        <v>0</v>
      </c>
      <c r="DJ132" s="348">
        <f t="shared" ca="1" si="170"/>
        <v>0</v>
      </c>
      <c r="DK132" s="348">
        <f t="shared" ca="1" si="170"/>
        <v>0</v>
      </c>
      <c r="DL132" s="348">
        <f t="shared" ca="1" si="170"/>
        <v>0</v>
      </c>
      <c r="DM132" s="348">
        <f t="shared" ca="1" si="170"/>
        <v>0</v>
      </c>
      <c r="DN132" s="348">
        <f t="shared" ca="1" si="170"/>
        <v>0</v>
      </c>
      <c r="DO132" s="348">
        <f t="shared" ca="1" si="170"/>
        <v>0</v>
      </c>
      <c r="DP132" s="348">
        <f t="shared" ca="1" si="170"/>
        <v>0</v>
      </c>
      <c r="DQ132" s="348">
        <f t="shared" ca="1" si="170"/>
        <v>0</v>
      </c>
      <c r="DR132" s="348">
        <f t="shared" ca="1" si="170"/>
        <v>0</v>
      </c>
      <c r="DS132" s="348">
        <f t="shared" ca="1" si="170"/>
        <v>0</v>
      </c>
      <c r="DT132" s="348">
        <f t="shared" ca="1" si="170"/>
        <v>0</v>
      </c>
      <c r="DU132" s="348">
        <f t="shared" ca="1" si="170"/>
        <v>0</v>
      </c>
      <c r="DV132" s="348">
        <f t="shared" ca="1" si="170"/>
        <v>0</v>
      </c>
      <c r="DW132" s="348">
        <f t="shared" ca="1" si="170"/>
        <v>0</v>
      </c>
      <c r="DX132" s="348">
        <f t="shared" ca="1" si="170"/>
        <v>0</v>
      </c>
      <c r="DY132" s="348">
        <f t="shared" ca="1" si="170"/>
        <v>0</v>
      </c>
      <c r="DZ132" s="348">
        <f t="shared" ca="1" si="170"/>
        <v>0</v>
      </c>
      <c r="EA132" s="348">
        <f t="shared" ca="1" si="170"/>
        <v>0</v>
      </c>
      <c r="EB132" s="348">
        <f t="shared" ca="1" si="170"/>
        <v>0</v>
      </c>
      <c r="EC132" s="348">
        <f t="shared" ca="1" si="170"/>
        <v>0</v>
      </c>
      <c r="ED132" s="348">
        <f t="shared" ca="1" si="170"/>
        <v>0</v>
      </c>
      <c r="EE132" s="348">
        <f t="shared" ca="1" si="170"/>
        <v>0</v>
      </c>
      <c r="EF132" s="348">
        <f t="shared" ref="EF132:GQ132" ca="1" si="171">IF(AND(EF92&gt;=$E$133,EF92&lt;$E$134),10,0)</f>
        <v>0</v>
      </c>
      <c r="EG132" s="348">
        <f t="shared" ca="1" si="171"/>
        <v>0</v>
      </c>
      <c r="EH132" s="348">
        <f t="shared" ca="1" si="171"/>
        <v>0</v>
      </c>
      <c r="EI132" s="348">
        <f t="shared" ca="1" si="171"/>
        <v>0</v>
      </c>
      <c r="EJ132" s="348">
        <f t="shared" ca="1" si="171"/>
        <v>0</v>
      </c>
      <c r="EK132" s="348">
        <f t="shared" ca="1" si="171"/>
        <v>0</v>
      </c>
      <c r="EL132" s="348">
        <f t="shared" ca="1" si="171"/>
        <v>0</v>
      </c>
      <c r="EM132" s="348">
        <f t="shared" ca="1" si="171"/>
        <v>0</v>
      </c>
      <c r="EN132" s="348">
        <f t="shared" ca="1" si="171"/>
        <v>0</v>
      </c>
      <c r="EO132" s="348">
        <f t="shared" ca="1" si="171"/>
        <v>0</v>
      </c>
      <c r="EP132" s="348">
        <f t="shared" ca="1" si="171"/>
        <v>0</v>
      </c>
      <c r="EQ132" s="348">
        <f t="shared" ca="1" si="171"/>
        <v>0</v>
      </c>
      <c r="ER132" s="348">
        <f t="shared" ca="1" si="171"/>
        <v>0</v>
      </c>
      <c r="ES132" s="348">
        <f t="shared" ca="1" si="171"/>
        <v>0</v>
      </c>
      <c r="ET132" s="348">
        <f t="shared" ca="1" si="171"/>
        <v>0</v>
      </c>
      <c r="EU132" s="348">
        <f t="shared" ca="1" si="171"/>
        <v>0</v>
      </c>
      <c r="EV132" s="348">
        <f t="shared" ca="1" si="171"/>
        <v>0</v>
      </c>
      <c r="EW132" s="348">
        <f t="shared" ca="1" si="171"/>
        <v>0</v>
      </c>
      <c r="EX132" s="348">
        <f t="shared" ca="1" si="171"/>
        <v>0</v>
      </c>
      <c r="EY132" s="348">
        <f t="shared" ca="1" si="171"/>
        <v>0</v>
      </c>
      <c r="EZ132" s="348">
        <f t="shared" ca="1" si="171"/>
        <v>0</v>
      </c>
      <c r="FA132" s="348">
        <f t="shared" ca="1" si="171"/>
        <v>0</v>
      </c>
      <c r="FB132" s="348">
        <f t="shared" ca="1" si="171"/>
        <v>0</v>
      </c>
      <c r="FC132" s="348">
        <f t="shared" ca="1" si="171"/>
        <v>0</v>
      </c>
      <c r="FD132" s="348">
        <f t="shared" ca="1" si="171"/>
        <v>0</v>
      </c>
      <c r="FE132" s="348">
        <f t="shared" ca="1" si="171"/>
        <v>0</v>
      </c>
      <c r="FF132" s="348">
        <f t="shared" ca="1" si="171"/>
        <v>0</v>
      </c>
      <c r="FG132" s="348">
        <f t="shared" ca="1" si="171"/>
        <v>0</v>
      </c>
      <c r="FH132" s="348">
        <f t="shared" ca="1" si="171"/>
        <v>0</v>
      </c>
      <c r="FI132" s="348">
        <f t="shared" ca="1" si="171"/>
        <v>0</v>
      </c>
      <c r="FJ132" s="348">
        <f t="shared" ca="1" si="171"/>
        <v>0</v>
      </c>
      <c r="FK132" s="348">
        <f t="shared" ca="1" si="171"/>
        <v>0</v>
      </c>
      <c r="FL132" s="348">
        <f t="shared" ca="1" si="171"/>
        <v>0</v>
      </c>
      <c r="FM132" s="348">
        <f t="shared" ca="1" si="171"/>
        <v>0</v>
      </c>
      <c r="FN132" s="348">
        <f t="shared" ca="1" si="171"/>
        <v>0</v>
      </c>
      <c r="FO132" s="348">
        <f t="shared" ca="1" si="171"/>
        <v>0</v>
      </c>
      <c r="FP132" s="348">
        <f t="shared" ca="1" si="171"/>
        <v>0</v>
      </c>
      <c r="FQ132" s="348">
        <f t="shared" ca="1" si="171"/>
        <v>0</v>
      </c>
      <c r="FR132" s="348">
        <f t="shared" ca="1" si="171"/>
        <v>0</v>
      </c>
      <c r="FS132" s="348">
        <f t="shared" ca="1" si="171"/>
        <v>0</v>
      </c>
      <c r="FT132" s="348">
        <f t="shared" ca="1" si="171"/>
        <v>0</v>
      </c>
      <c r="FU132" s="348">
        <f t="shared" ca="1" si="171"/>
        <v>0</v>
      </c>
      <c r="FV132" s="348">
        <f t="shared" ca="1" si="171"/>
        <v>0</v>
      </c>
      <c r="FW132" s="348">
        <f t="shared" ca="1" si="171"/>
        <v>0</v>
      </c>
      <c r="FX132" s="348">
        <f t="shared" ca="1" si="171"/>
        <v>0</v>
      </c>
      <c r="FY132" s="348">
        <f t="shared" ca="1" si="171"/>
        <v>0</v>
      </c>
      <c r="FZ132" s="348">
        <f t="shared" ca="1" si="171"/>
        <v>0</v>
      </c>
      <c r="GA132" s="348">
        <f t="shared" ca="1" si="171"/>
        <v>0</v>
      </c>
      <c r="GB132" s="348">
        <f t="shared" ca="1" si="171"/>
        <v>0</v>
      </c>
      <c r="GC132" s="348">
        <f t="shared" ca="1" si="171"/>
        <v>0</v>
      </c>
      <c r="GD132" s="348">
        <f t="shared" ca="1" si="171"/>
        <v>0</v>
      </c>
      <c r="GE132" s="348">
        <f t="shared" ca="1" si="171"/>
        <v>0</v>
      </c>
      <c r="GF132" s="348">
        <f t="shared" ca="1" si="171"/>
        <v>0</v>
      </c>
      <c r="GG132" s="348">
        <f t="shared" ca="1" si="171"/>
        <v>0</v>
      </c>
      <c r="GH132" s="348">
        <f t="shared" ca="1" si="171"/>
        <v>0</v>
      </c>
      <c r="GI132" s="348">
        <f t="shared" ca="1" si="171"/>
        <v>0</v>
      </c>
      <c r="GJ132" s="348">
        <f t="shared" ca="1" si="171"/>
        <v>0</v>
      </c>
      <c r="GK132" s="348">
        <f t="shared" ca="1" si="171"/>
        <v>0</v>
      </c>
      <c r="GL132" s="348">
        <f t="shared" ca="1" si="171"/>
        <v>0</v>
      </c>
      <c r="GM132" s="348">
        <f t="shared" ca="1" si="171"/>
        <v>0</v>
      </c>
      <c r="GN132" s="348">
        <f t="shared" ca="1" si="171"/>
        <v>0</v>
      </c>
      <c r="GO132" s="348">
        <f t="shared" ca="1" si="171"/>
        <v>0</v>
      </c>
      <c r="GP132" s="348">
        <f t="shared" ca="1" si="171"/>
        <v>0</v>
      </c>
      <c r="GQ132" s="348">
        <f t="shared" ca="1" si="171"/>
        <v>0</v>
      </c>
      <c r="GR132" s="348">
        <f t="shared" ref="GR132:IK132" ca="1" si="172">IF(AND(GR92&gt;=$E$133,GR92&lt;$E$134),10,0)</f>
        <v>0</v>
      </c>
      <c r="GS132" s="348">
        <f t="shared" ca="1" si="172"/>
        <v>0</v>
      </c>
      <c r="GT132" s="348">
        <f t="shared" ca="1" si="172"/>
        <v>0</v>
      </c>
      <c r="GU132" s="348">
        <f t="shared" ca="1" si="172"/>
        <v>0</v>
      </c>
      <c r="GV132" s="348">
        <f t="shared" ca="1" si="172"/>
        <v>0</v>
      </c>
      <c r="GW132" s="348">
        <f t="shared" ca="1" si="172"/>
        <v>0</v>
      </c>
      <c r="GX132" s="348">
        <f t="shared" ca="1" si="172"/>
        <v>0</v>
      </c>
      <c r="GY132" s="348">
        <f t="shared" ca="1" si="172"/>
        <v>0</v>
      </c>
      <c r="GZ132" s="348">
        <f t="shared" ca="1" si="172"/>
        <v>0</v>
      </c>
      <c r="HA132" s="348">
        <f t="shared" ca="1" si="172"/>
        <v>0</v>
      </c>
      <c r="HB132" s="348">
        <f t="shared" ca="1" si="172"/>
        <v>0</v>
      </c>
      <c r="HC132" s="348">
        <f t="shared" ca="1" si="172"/>
        <v>0</v>
      </c>
      <c r="HD132" s="348">
        <f t="shared" ca="1" si="172"/>
        <v>0</v>
      </c>
      <c r="HE132" s="348">
        <f t="shared" ca="1" si="172"/>
        <v>0</v>
      </c>
      <c r="HF132" s="348">
        <f t="shared" ca="1" si="172"/>
        <v>0</v>
      </c>
      <c r="HG132" s="348">
        <f t="shared" ca="1" si="172"/>
        <v>0</v>
      </c>
      <c r="HH132" s="348">
        <f t="shared" ca="1" si="172"/>
        <v>0</v>
      </c>
      <c r="HI132" s="348">
        <f t="shared" ca="1" si="172"/>
        <v>0</v>
      </c>
      <c r="HJ132" s="348">
        <f t="shared" ca="1" si="172"/>
        <v>0</v>
      </c>
      <c r="HK132" s="348">
        <f t="shared" ca="1" si="172"/>
        <v>0</v>
      </c>
      <c r="HL132" s="348">
        <f t="shared" ca="1" si="172"/>
        <v>0</v>
      </c>
      <c r="HM132" s="348">
        <f t="shared" ca="1" si="172"/>
        <v>0</v>
      </c>
      <c r="HN132" s="348">
        <f t="shared" ca="1" si="172"/>
        <v>0</v>
      </c>
      <c r="HO132" s="348">
        <f t="shared" ca="1" si="172"/>
        <v>0</v>
      </c>
      <c r="HP132" s="348">
        <f t="shared" ca="1" si="172"/>
        <v>0</v>
      </c>
      <c r="HQ132" s="348">
        <f t="shared" ca="1" si="172"/>
        <v>0</v>
      </c>
      <c r="HR132" s="348">
        <f t="shared" ca="1" si="172"/>
        <v>0</v>
      </c>
      <c r="HS132" s="348">
        <f t="shared" ca="1" si="172"/>
        <v>0</v>
      </c>
      <c r="HT132" s="348">
        <f t="shared" ca="1" si="172"/>
        <v>0</v>
      </c>
      <c r="HU132" s="348">
        <f t="shared" ca="1" si="172"/>
        <v>0</v>
      </c>
      <c r="HV132" s="348">
        <f t="shared" ca="1" si="172"/>
        <v>0</v>
      </c>
      <c r="HW132" s="348">
        <f t="shared" ca="1" si="172"/>
        <v>0</v>
      </c>
      <c r="HX132" s="348">
        <f t="shared" ca="1" si="172"/>
        <v>0</v>
      </c>
      <c r="HY132" s="348">
        <f t="shared" ca="1" si="172"/>
        <v>0</v>
      </c>
      <c r="HZ132" s="348">
        <f t="shared" ca="1" si="172"/>
        <v>0</v>
      </c>
      <c r="IA132" s="348">
        <f t="shared" ca="1" si="172"/>
        <v>0</v>
      </c>
      <c r="IB132" s="348">
        <f t="shared" ca="1" si="172"/>
        <v>0</v>
      </c>
      <c r="IC132" s="348">
        <f t="shared" ca="1" si="172"/>
        <v>0</v>
      </c>
      <c r="ID132" s="348">
        <f t="shared" ca="1" si="172"/>
        <v>0</v>
      </c>
      <c r="IE132" s="348">
        <f t="shared" ca="1" si="172"/>
        <v>0</v>
      </c>
      <c r="IF132" s="348">
        <f t="shared" ca="1" si="172"/>
        <v>0</v>
      </c>
      <c r="IG132" s="348">
        <f t="shared" ca="1" si="172"/>
        <v>0</v>
      </c>
      <c r="IH132" s="348">
        <f t="shared" ca="1" si="172"/>
        <v>0</v>
      </c>
      <c r="II132" s="348">
        <f t="shared" ca="1" si="172"/>
        <v>0</v>
      </c>
      <c r="IJ132" s="348">
        <f t="shared" ca="1" si="172"/>
        <v>0</v>
      </c>
      <c r="IK132" s="348">
        <f t="shared" ca="1" si="172"/>
        <v>0</v>
      </c>
    </row>
    <row r="133" spans="1:245" hidden="1" x14ac:dyDescent="0.35">
      <c r="A133" s="195"/>
      <c r="B133" s="5"/>
      <c r="C133" s="630" t="s">
        <v>1574</v>
      </c>
      <c r="D133" s="467">
        <f ca="1">IF(ENTRADAS!$F$22=0,0,D130+1)</f>
        <v>45944.25</v>
      </c>
      <c r="E133" s="679">
        <f ca="1">1+(D127-1)*D132+0</f>
        <v>26.25</v>
      </c>
    </row>
    <row r="134" spans="1:245" hidden="1" x14ac:dyDescent="0.35">
      <c r="A134" s="195"/>
      <c r="B134" s="5"/>
      <c r="C134" s="630" t="s">
        <v>1575</v>
      </c>
      <c r="D134" s="467">
        <f ca="1">IF(ENTRADAS!$F$22=0,0,IF($J$3=0,0,E107+F107-1))</f>
        <v>45968.5</v>
      </c>
      <c r="E134" s="32">
        <f ca="1">E133+D132</f>
        <v>51.5</v>
      </c>
    </row>
    <row r="135" spans="1:245" hidden="1" x14ac:dyDescent="0.35">
      <c r="A135" s="195"/>
      <c r="B135" s="5"/>
      <c r="C135" s="750" t="s">
        <v>1576</v>
      </c>
      <c r="D135" s="32"/>
      <c r="E135" s="32">
        <f ca="1">IF(D127&lt;=D128,LAJES!$H$486/D128,0)</f>
        <v>0</v>
      </c>
      <c r="G135" s="32">
        <f>IF(E67&gt;E56,E67,IF(E56&gt;E67,E56,0))</f>
        <v>0</v>
      </c>
    </row>
    <row r="136" spans="1:245" hidden="1" x14ac:dyDescent="0.35">
      <c r="A136" s="195"/>
      <c r="B136" s="5"/>
      <c r="C136" s="630" t="s">
        <v>1577</v>
      </c>
      <c r="D136" s="483">
        <f>IF(ENTRADAS!$E$1038=0,0,IF(D128=0,0,IF(D127=D128,IF(G135&gt;D127*D132,0,E135),IF(E131+(D127*E135)&gt;(D127+1)*D132,(D127+1)*D132-E131,((D127-1)*E135)))))</f>
        <v>0</v>
      </c>
      <c r="E136" s="32"/>
      <c r="H136" s="348">
        <f>IF($D$138&gt;0,IF(AND(H92&gt;=$E$138,H92&lt;$E$140),10,0),IF($D$139&gt;0,IF(AND(H92&gt;=$E$139,H92&lt;$E$140),10),0))</f>
        <v>0</v>
      </c>
      <c r="I136" s="348">
        <f t="shared" ref="I136:BT136" si="173">IF($D$138&gt;0,IF(AND(I92&gt;=$E$138,I92&lt;$E$140),10,0),IF($D$139&gt;0,IF(AND(I92&gt;=$E$139,I92&lt;$E$140),10),0))</f>
        <v>0</v>
      </c>
      <c r="J136" s="348">
        <f t="shared" si="173"/>
        <v>0</v>
      </c>
      <c r="K136" s="348">
        <f t="shared" si="173"/>
        <v>0</v>
      </c>
      <c r="L136" s="348">
        <f t="shared" si="173"/>
        <v>0</v>
      </c>
      <c r="M136" s="348">
        <f t="shared" si="173"/>
        <v>0</v>
      </c>
      <c r="N136" s="348">
        <f t="shared" si="173"/>
        <v>0</v>
      </c>
      <c r="O136" s="348">
        <f t="shared" si="173"/>
        <v>0</v>
      </c>
      <c r="P136" s="348">
        <f t="shared" si="173"/>
        <v>0</v>
      </c>
      <c r="Q136" s="348">
        <f t="shared" si="173"/>
        <v>0</v>
      </c>
      <c r="R136" s="348">
        <f t="shared" si="173"/>
        <v>0</v>
      </c>
      <c r="S136" s="348">
        <f t="shared" si="173"/>
        <v>0</v>
      </c>
      <c r="T136" s="348">
        <f t="shared" si="173"/>
        <v>0</v>
      </c>
      <c r="U136" s="348">
        <f t="shared" si="173"/>
        <v>0</v>
      </c>
      <c r="V136" s="348">
        <f t="shared" si="173"/>
        <v>0</v>
      </c>
      <c r="W136" s="348">
        <f t="shared" si="173"/>
        <v>0</v>
      </c>
      <c r="X136" s="348">
        <f t="shared" si="173"/>
        <v>0</v>
      </c>
      <c r="Y136" s="348">
        <f t="shared" si="173"/>
        <v>0</v>
      </c>
      <c r="Z136" s="348">
        <f t="shared" si="173"/>
        <v>0</v>
      </c>
      <c r="AA136" s="348">
        <f t="shared" si="173"/>
        <v>0</v>
      </c>
      <c r="AB136" s="348">
        <f t="shared" si="173"/>
        <v>0</v>
      </c>
      <c r="AC136" s="348">
        <f t="shared" si="173"/>
        <v>0</v>
      </c>
      <c r="AD136" s="348">
        <f t="shared" si="173"/>
        <v>0</v>
      </c>
      <c r="AE136" s="348">
        <f t="shared" si="173"/>
        <v>0</v>
      </c>
      <c r="AF136" s="348">
        <f t="shared" si="173"/>
        <v>0</v>
      </c>
      <c r="AG136" s="348">
        <f t="shared" si="173"/>
        <v>0</v>
      </c>
      <c r="AH136" s="348">
        <f t="shared" si="173"/>
        <v>0</v>
      </c>
      <c r="AI136" s="348">
        <f t="shared" si="173"/>
        <v>0</v>
      </c>
      <c r="AJ136" s="348">
        <f t="shared" si="173"/>
        <v>0</v>
      </c>
      <c r="AK136" s="348">
        <f t="shared" si="173"/>
        <v>0</v>
      </c>
      <c r="AL136" s="348">
        <f t="shared" si="173"/>
        <v>0</v>
      </c>
      <c r="AM136" s="348">
        <f t="shared" si="173"/>
        <v>0</v>
      </c>
      <c r="AN136" s="348">
        <f t="shared" si="173"/>
        <v>0</v>
      </c>
      <c r="AO136" s="348">
        <f t="shared" si="173"/>
        <v>0</v>
      </c>
      <c r="AP136" s="348">
        <f t="shared" si="173"/>
        <v>0</v>
      </c>
      <c r="AQ136" s="348">
        <f t="shared" si="173"/>
        <v>0</v>
      </c>
      <c r="AR136" s="348">
        <f t="shared" si="173"/>
        <v>0</v>
      </c>
      <c r="AS136" s="348">
        <f t="shared" si="173"/>
        <v>0</v>
      </c>
      <c r="AT136" s="348">
        <f t="shared" si="173"/>
        <v>0</v>
      </c>
      <c r="AU136" s="348">
        <f t="shared" si="173"/>
        <v>0</v>
      </c>
      <c r="AV136" s="348">
        <f t="shared" si="173"/>
        <v>0</v>
      </c>
      <c r="AW136" s="348">
        <f t="shared" si="173"/>
        <v>0</v>
      </c>
      <c r="AX136" s="348">
        <f t="shared" si="173"/>
        <v>0</v>
      </c>
      <c r="AY136" s="348">
        <f t="shared" si="173"/>
        <v>0</v>
      </c>
      <c r="AZ136" s="348">
        <f t="shared" si="173"/>
        <v>0</v>
      </c>
      <c r="BA136" s="348">
        <f t="shared" si="173"/>
        <v>0</v>
      </c>
      <c r="BB136" s="348">
        <f t="shared" si="173"/>
        <v>0</v>
      </c>
      <c r="BC136" s="348">
        <f t="shared" si="173"/>
        <v>0</v>
      </c>
      <c r="BD136" s="348">
        <f t="shared" si="173"/>
        <v>0</v>
      </c>
      <c r="BE136" s="348">
        <f t="shared" si="173"/>
        <v>0</v>
      </c>
      <c r="BF136" s="348">
        <f t="shared" si="173"/>
        <v>0</v>
      </c>
      <c r="BG136" s="348">
        <f t="shared" si="173"/>
        <v>0</v>
      </c>
      <c r="BH136" s="348">
        <f t="shared" si="173"/>
        <v>0</v>
      </c>
      <c r="BI136" s="348">
        <f t="shared" si="173"/>
        <v>0</v>
      </c>
      <c r="BJ136" s="348">
        <f t="shared" si="173"/>
        <v>0</v>
      </c>
      <c r="BK136" s="348">
        <f t="shared" si="173"/>
        <v>0</v>
      </c>
      <c r="BL136" s="348">
        <f t="shared" si="173"/>
        <v>0</v>
      </c>
      <c r="BM136" s="348">
        <f t="shared" si="173"/>
        <v>0</v>
      </c>
      <c r="BN136" s="348">
        <f t="shared" si="173"/>
        <v>0</v>
      </c>
      <c r="BO136" s="348">
        <f t="shared" si="173"/>
        <v>0</v>
      </c>
      <c r="BP136" s="348">
        <f t="shared" si="173"/>
        <v>0</v>
      </c>
      <c r="BQ136" s="348">
        <f t="shared" si="173"/>
        <v>0</v>
      </c>
      <c r="BR136" s="348">
        <f t="shared" si="173"/>
        <v>0</v>
      </c>
      <c r="BS136" s="348">
        <f t="shared" si="173"/>
        <v>0</v>
      </c>
      <c r="BT136" s="348">
        <f t="shared" si="173"/>
        <v>0</v>
      </c>
      <c r="BU136" s="348">
        <f t="shared" ref="BU136:EF136" si="174">IF($D$138&gt;0,IF(AND(BU92&gt;=$E$138,BU92&lt;$E$140),10,0),IF($D$139&gt;0,IF(AND(BU92&gt;=$E$139,BU92&lt;$E$140),10),0))</f>
        <v>0</v>
      </c>
      <c r="BV136" s="348">
        <f t="shared" si="174"/>
        <v>0</v>
      </c>
      <c r="BW136" s="348">
        <f t="shared" si="174"/>
        <v>0</v>
      </c>
      <c r="BX136" s="348">
        <f t="shared" si="174"/>
        <v>0</v>
      </c>
      <c r="BY136" s="348">
        <f t="shared" si="174"/>
        <v>0</v>
      </c>
      <c r="BZ136" s="348">
        <f t="shared" si="174"/>
        <v>0</v>
      </c>
      <c r="CA136" s="348">
        <f t="shared" si="174"/>
        <v>0</v>
      </c>
      <c r="CB136" s="348">
        <f t="shared" si="174"/>
        <v>0</v>
      </c>
      <c r="CC136" s="348">
        <f t="shared" si="174"/>
        <v>0</v>
      </c>
      <c r="CD136" s="348">
        <f t="shared" si="174"/>
        <v>0</v>
      </c>
      <c r="CE136" s="348">
        <f t="shared" si="174"/>
        <v>0</v>
      </c>
      <c r="CF136" s="348">
        <f t="shared" si="174"/>
        <v>0</v>
      </c>
      <c r="CG136" s="348">
        <f t="shared" si="174"/>
        <v>0</v>
      </c>
      <c r="CH136" s="348">
        <f t="shared" si="174"/>
        <v>0</v>
      </c>
      <c r="CI136" s="348">
        <f t="shared" si="174"/>
        <v>0</v>
      </c>
      <c r="CJ136" s="348">
        <f t="shared" si="174"/>
        <v>0</v>
      </c>
      <c r="CK136" s="348">
        <f t="shared" si="174"/>
        <v>0</v>
      </c>
      <c r="CL136" s="348">
        <f t="shared" si="174"/>
        <v>0</v>
      </c>
      <c r="CM136" s="348">
        <f t="shared" si="174"/>
        <v>0</v>
      </c>
      <c r="CN136" s="348">
        <f t="shared" si="174"/>
        <v>0</v>
      </c>
      <c r="CO136" s="348">
        <f t="shared" si="174"/>
        <v>0</v>
      </c>
      <c r="CP136" s="348">
        <f t="shared" si="174"/>
        <v>0</v>
      </c>
      <c r="CQ136" s="348">
        <f t="shared" si="174"/>
        <v>0</v>
      </c>
      <c r="CR136" s="348">
        <f t="shared" si="174"/>
        <v>0</v>
      </c>
      <c r="CS136" s="348">
        <f t="shared" si="174"/>
        <v>0</v>
      </c>
      <c r="CT136" s="348">
        <f t="shared" si="174"/>
        <v>0</v>
      </c>
      <c r="CU136" s="348">
        <f t="shared" si="174"/>
        <v>0</v>
      </c>
      <c r="CV136" s="348">
        <f t="shared" si="174"/>
        <v>0</v>
      </c>
      <c r="CW136" s="348">
        <f t="shared" si="174"/>
        <v>0</v>
      </c>
      <c r="CX136" s="348">
        <f t="shared" si="174"/>
        <v>0</v>
      </c>
      <c r="CY136" s="348">
        <f t="shared" si="174"/>
        <v>0</v>
      </c>
      <c r="CZ136" s="348">
        <f t="shared" si="174"/>
        <v>0</v>
      </c>
      <c r="DA136" s="348">
        <f t="shared" si="174"/>
        <v>0</v>
      </c>
      <c r="DB136" s="348">
        <f t="shared" si="174"/>
        <v>0</v>
      </c>
      <c r="DC136" s="348">
        <f t="shared" si="174"/>
        <v>0</v>
      </c>
      <c r="DD136" s="348">
        <f t="shared" si="174"/>
        <v>0</v>
      </c>
      <c r="DE136" s="348">
        <f t="shared" si="174"/>
        <v>0</v>
      </c>
      <c r="DF136" s="348">
        <f t="shared" si="174"/>
        <v>0</v>
      </c>
      <c r="DG136" s="348">
        <f t="shared" si="174"/>
        <v>0</v>
      </c>
      <c r="DH136" s="348">
        <f t="shared" si="174"/>
        <v>0</v>
      </c>
      <c r="DI136" s="348">
        <f t="shared" si="174"/>
        <v>0</v>
      </c>
      <c r="DJ136" s="348">
        <f t="shared" si="174"/>
        <v>0</v>
      </c>
      <c r="DK136" s="348">
        <f t="shared" si="174"/>
        <v>0</v>
      </c>
      <c r="DL136" s="348">
        <f t="shared" si="174"/>
        <v>0</v>
      </c>
      <c r="DM136" s="348">
        <f t="shared" si="174"/>
        <v>0</v>
      </c>
      <c r="DN136" s="348">
        <f t="shared" si="174"/>
        <v>0</v>
      </c>
      <c r="DO136" s="348">
        <f t="shared" si="174"/>
        <v>0</v>
      </c>
      <c r="DP136" s="348">
        <f t="shared" si="174"/>
        <v>0</v>
      </c>
      <c r="DQ136" s="348">
        <f t="shared" si="174"/>
        <v>0</v>
      </c>
      <c r="DR136" s="348">
        <f t="shared" si="174"/>
        <v>0</v>
      </c>
      <c r="DS136" s="348">
        <f t="shared" si="174"/>
        <v>0</v>
      </c>
      <c r="DT136" s="348">
        <f t="shared" si="174"/>
        <v>0</v>
      </c>
      <c r="DU136" s="348">
        <f t="shared" si="174"/>
        <v>0</v>
      </c>
      <c r="DV136" s="348">
        <f t="shared" si="174"/>
        <v>0</v>
      </c>
      <c r="DW136" s="348">
        <f t="shared" si="174"/>
        <v>0</v>
      </c>
      <c r="DX136" s="348">
        <f t="shared" si="174"/>
        <v>0</v>
      </c>
      <c r="DY136" s="348">
        <f t="shared" si="174"/>
        <v>0</v>
      </c>
      <c r="DZ136" s="348">
        <f t="shared" si="174"/>
        <v>0</v>
      </c>
      <c r="EA136" s="348">
        <f t="shared" si="174"/>
        <v>0</v>
      </c>
      <c r="EB136" s="348">
        <f t="shared" si="174"/>
        <v>0</v>
      </c>
      <c r="EC136" s="348">
        <f t="shared" si="174"/>
        <v>0</v>
      </c>
      <c r="ED136" s="348">
        <f t="shared" si="174"/>
        <v>0</v>
      </c>
      <c r="EE136" s="348">
        <f t="shared" si="174"/>
        <v>0</v>
      </c>
      <c r="EF136" s="348">
        <f t="shared" si="174"/>
        <v>0</v>
      </c>
      <c r="EG136" s="348">
        <f t="shared" ref="EG136:GR136" si="175">IF($D$138&gt;0,IF(AND(EG92&gt;=$E$138,EG92&lt;$E$140),10,0),IF($D$139&gt;0,IF(AND(EG92&gt;=$E$139,EG92&lt;$E$140),10),0))</f>
        <v>0</v>
      </c>
      <c r="EH136" s="348">
        <f t="shared" si="175"/>
        <v>0</v>
      </c>
      <c r="EI136" s="348">
        <f t="shared" si="175"/>
        <v>0</v>
      </c>
      <c r="EJ136" s="348">
        <f t="shared" si="175"/>
        <v>0</v>
      </c>
      <c r="EK136" s="348">
        <f t="shared" si="175"/>
        <v>0</v>
      </c>
      <c r="EL136" s="348">
        <f t="shared" si="175"/>
        <v>0</v>
      </c>
      <c r="EM136" s="348">
        <f t="shared" si="175"/>
        <v>0</v>
      </c>
      <c r="EN136" s="348">
        <f t="shared" si="175"/>
        <v>0</v>
      </c>
      <c r="EO136" s="348">
        <f t="shared" si="175"/>
        <v>0</v>
      </c>
      <c r="EP136" s="348">
        <f t="shared" si="175"/>
        <v>0</v>
      </c>
      <c r="EQ136" s="348">
        <f t="shared" si="175"/>
        <v>0</v>
      </c>
      <c r="ER136" s="348">
        <f t="shared" si="175"/>
        <v>0</v>
      </c>
      <c r="ES136" s="348">
        <f t="shared" si="175"/>
        <v>0</v>
      </c>
      <c r="ET136" s="348">
        <f t="shared" si="175"/>
        <v>0</v>
      </c>
      <c r="EU136" s="348">
        <f t="shared" si="175"/>
        <v>0</v>
      </c>
      <c r="EV136" s="348">
        <f t="shared" si="175"/>
        <v>0</v>
      </c>
      <c r="EW136" s="348">
        <f t="shared" si="175"/>
        <v>0</v>
      </c>
      <c r="EX136" s="348">
        <f t="shared" si="175"/>
        <v>0</v>
      </c>
      <c r="EY136" s="348">
        <f t="shared" si="175"/>
        <v>0</v>
      </c>
      <c r="EZ136" s="348">
        <f t="shared" si="175"/>
        <v>0</v>
      </c>
      <c r="FA136" s="348">
        <f t="shared" si="175"/>
        <v>0</v>
      </c>
      <c r="FB136" s="348">
        <f t="shared" si="175"/>
        <v>0</v>
      </c>
      <c r="FC136" s="348">
        <f t="shared" si="175"/>
        <v>0</v>
      </c>
      <c r="FD136" s="348">
        <f t="shared" si="175"/>
        <v>0</v>
      </c>
      <c r="FE136" s="348">
        <f t="shared" si="175"/>
        <v>0</v>
      </c>
      <c r="FF136" s="348">
        <f t="shared" si="175"/>
        <v>0</v>
      </c>
      <c r="FG136" s="348">
        <f t="shared" si="175"/>
        <v>0</v>
      </c>
      <c r="FH136" s="348">
        <f t="shared" si="175"/>
        <v>0</v>
      </c>
      <c r="FI136" s="348">
        <f t="shared" si="175"/>
        <v>0</v>
      </c>
      <c r="FJ136" s="348">
        <f t="shared" si="175"/>
        <v>0</v>
      </c>
      <c r="FK136" s="348">
        <f t="shared" si="175"/>
        <v>0</v>
      </c>
      <c r="FL136" s="348">
        <f t="shared" si="175"/>
        <v>0</v>
      </c>
      <c r="FM136" s="348">
        <f t="shared" si="175"/>
        <v>0</v>
      </c>
      <c r="FN136" s="348">
        <f t="shared" si="175"/>
        <v>0</v>
      </c>
      <c r="FO136" s="348">
        <f t="shared" si="175"/>
        <v>0</v>
      </c>
      <c r="FP136" s="348">
        <f t="shared" si="175"/>
        <v>0</v>
      </c>
      <c r="FQ136" s="348">
        <f t="shared" si="175"/>
        <v>0</v>
      </c>
      <c r="FR136" s="348">
        <f t="shared" si="175"/>
        <v>0</v>
      </c>
      <c r="FS136" s="348">
        <f t="shared" si="175"/>
        <v>0</v>
      </c>
      <c r="FT136" s="348">
        <f t="shared" si="175"/>
        <v>0</v>
      </c>
      <c r="FU136" s="348">
        <f t="shared" si="175"/>
        <v>0</v>
      </c>
      <c r="FV136" s="348">
        <f t="shared" si="175"/>
        <v>0</v>
      </c>
      <c r="FW136" s="348">
        <f t="shared" si="175"/>
        <v>0</v>
      </c>
      <c r="FX136" s="348">
        <f t="shared" si="175"/>
        <v>0</v>
      </c>
      <c r="FY136" s="348">
        <f t="shared" si="175"/>
        <v>0</v>
      </c>
      <c r="FZ136" s="348">
        <f t="shared" si="175"/>
        <v>0</v>
      </c>
      <c r="GA136" s="348">
        <f t="shared" si="175"/>
        <v>0</v>
      </c>
      <c r="GB136" s="348">
        <f t="shared" si="175"/>
        <v>0</v>
      </c>
      <c r="GC136" s="348">
        <f t="shared" si="175"/>
        <v>0</v>
      </c>
      <c r="GD136" s="348">
        <f t="shared" si="175"/>
        <v>0</v>
      </c>
      <c r="GE136" s="348">
        <f t="shared" si="175"/>
        <v>0</v>
      </c>
      <c r="GF136" s="348">
        <f t="shared" si="175"/>
        <v>0</v>
      </c>
      <c r="GG136" s="348">
        <f t="shared" si="175"/>
        <v>0</v>
      </c>
      <c r="GH136" s="348">
        <f t="shared" si="175"/>
        <v>0</v>
      </c>
      <c r="GI136" s="348">
        <f t="shared" si="175"/>
        <v>0</v>
      </c>
      <c r="GJ136" s="348">
        <f t="shared" si="175"/>
        <v>0</v>
      </c>
      <c r="GK136" s="348">
        <f t="shared" si="175"/>
        <v>0</v>
      </c>
      <c r="GL136" s="348">
        <f t="shared" si="175"/>
        <v>0</v>
      </c>
      <c r="GM136" s="348">
        <f t="shared" si="175"/>
        <v>0</v>
      </c>
      <c r="GN136" s="348">
        <f t="shared" si="175"/>
        <v>0</v>
      </c>
      <c r="GO136" s="348">
        <f t="shared" si="175"/>
        <v>0</v>
      </c>
      <c r="GP136" s="348">
        <f t="shared" si="175"/>
        <v>0</v>
      </c>
      <c r="GQ136" s="348">
        <f t="shared" si="175"/>
        <v>0</v>
      </c>
      <c r="GR136" s="348">
        <f t="shared" si="175"/>
        <v>0</v>
      </c>
      <c r="GS136" s="348">
        <f t="shared" ref="GS136:IK136" si="176">IF($D$138&gt;0,IF(AND(GS92&gt;=$E$138,GS92&lt;$E$140),10,0),IF($D$139&gt;0,IF(AND(GS92&gt;=$E$139,GS92&lt;$E$140),10),0))</f>
        <v>0</v>
      </c>
      <c r="GT136" s="348">
        <f t="shared" si="176"/>
        <v>0</v>
      </c>
      <c r="GU136" s="348">
        <f t="shared" si="176"/>
        <v>0</v>
      </c>
      <c r="GV136" s="348">
        <f t="shared" si="176"/>
        <v>0</v>
      </c>
      <c r="GW136" s="348">
        <f t="shared" si="176"/>
        <v>0</v>
      </c>
      <c r="GX136" s="348">
        <f t="shared" si="176"/>
        <v>0</v>
      </c>
      <c r="GY136" s="348">
        <f t="shared" si="176"/>
        <v>0</v>
      </c>
      <c r="GZ136" s="348">
        <f t="shared" si="176"/>
        <v>0</v>
      </c>
      <c r="HA136" s="348">
        <f t="shared" si="176"/>
        <v>0</v>
      </c>
      <c r="HB136" s="348">
        <f t="shared" si="176"/>
        <v>0</v>
      </c>
      <c r="HC136" s="348">
        <f t="shared" si="176"/>
        <v>0</v>
      </c>
      <c r="HD136" s="348">
        <f t="shared" si="176"/>
        <v>0</v>
      </c>
      <c r="HE136" s="348">
        <f t="shared" si="176"/>
        <v>0</v>
      </c>
      <c r="HF136" s="348">
        <f t="shared" si="176"/>
        <v>0</v>
      </c>
      <c r="HG136" s="348">
        <f t="shared" si="176"/>
        <v>0</v>
      </c>
      <c r="HH136" s="348">
        <f t="shared" si="176"/>
        <v>0</v>
      </c>
      <c r="HI136" s="348">
        <f t="shared" si="176"/>
        <v>0</v>
      </c>
      <c r="HJ136" s="348">
        <f t="shared" si="176"/>
        <v>0</v>
      </c>
      <c r="HK136" s="348">
        <f t="shared" si="176"/>
        <v>0</v>
      </c>
      <c r="HL136" s="348">
        <f t="shared" si="176"/>
        <v>0</v>
      </c>
      <c r="HM136" s="348">
        <f t="shared" si="176"/>
        <v>0</v>
      </c>
      <c r="HN136" s="348">
        <f t="shared" si="176"/>
        <v>0</v>
      </c>
      <c r="HO136" s="348">
        <f t="shared" si="176"/>
        <v>0</v>
      </c>
      <c r="HP136" s="348">
        <f t="shared" si="176"/>
        <v>0</v>
      </c>
      <c r="HQ136" s="348">
        <f t="shared" si="176"/>
        <v>0</v>
      </c>
      <c r="HR136" s="348">
        <f t="shared" si="176"/>
        <v>0</v>
      </c>
      <c r="HS136" s="348">
        <f t="shared" si="176"/>
        <v>0</v>
      </c>
      <c r="HT136" s="348">
        <f t="shared" si="176"/>
        <v>0</v>
      </c>
      <c r="HU136" s="348">
        <f t="shared" si="176"/>
        <v>0</v>
      </c>
      <c r="HV136" s="348">
        <f t="shared" si="176"/>
        <v>0</v>
      </c>
      <c r="HW136" s="348">
        <f t="shared" si="176"/>
        <v>0</v>
      </c>
      <c r="HX136" s="348">
        <f t="shared" si="176"/>
        <v>0</v>
      </c>
      <c r="HY136" s="348">
        <f t="shared" si="176"/>
        <v>0</v>
      </c>
      <c r="HZ136" s="348">
        <f t="shared" si="176"/>
        <v>0</v>
      </c>
      <c r="IA136" s="348">
        <f t="shared" si="176"/>
        <v>0</v>
      </c>
      <c r="IB136" s="348">
        <f t="shared" si="176"/>
        <v>0</v>
      </c>
      <c r="IC136" s="348">
        <f t="shared" si="176"/>
        <v>0</v>
      </c>
      <c r="ID136" s="348">
        <f t="shared" si="176"/>
        <v>0</v>
      </c>
      <c r="IE136" s="348">
        <f t="shared" si="176"/>
        <v>0</v>
      </c>
      <c r="IF136" s="348">
        <f t="shared" si="176"/>
        <v>0</v>
      </c>
      <c r="IG136" s="348">
        <f t="shared" si="176"/>
        <v>0</v>
      </c>
      <c r="IH136" s="348">
        <f t="shared" si="176"/>
        <v>0</v>
      </c>
      <c r="II136" s="348">
        <f t="shared" si="176"/>
        <v>0</v>
      </c>
      <c r="IJ136" s="348">
        <f t="shared" si="176"/>
        <v>0</v>
      </c>
      <c r="IK136" s="348">
        <f t="shared" si="176"/>
        <v>0</v>
      </c>
    </row>
    <row r="137" spans="1:245" hidden="1" x14ac:dyDescent="0.35">
      <c r="A137" s="195"/>
      <c r="B137" s="5"/>
      <c r="C137" s="630"/>
      <c r="D137" s="468"/>
      <c r="E137" s="32"/>
      <c r="G137" s="476">
        <f>LARGE(G83:G85,1)</f>
        <v>0</v>
      </c>
    </row>
    <row r="138" spans="1:245" hidden="1" x14ac:dyDescent="0.35">
      <c r="A138" s="195"/>
      <c r="B138" s="5"/>
      <c r="C138" s="630" t="s">
        <v>1578</v>
      </c>
      <c r="D138" s="467">
        <f>IF(ENTRADAS!$F$22&lt;D127,0,IF(ENTRADAS!$E$1038=0,0,IF(D136=0,0,IF(D128=D127,IF(D134-G137&gt;0,D134-(E134-G138)+1,0),IF(D128&gt;D127,G137-1,0)))))</f>
        <v>0</v>
      </c>
      <c r="E138" s="32">
        <f>IF(D138&gt;0,D138-D133+E133,IF(D139&gt;0,D139-D133+E133,0))</f>
        <v>0</v>
      </c>
      <c r="G138" s="477">
        <f ca="1">G137-$J$3</f>
        <v>-45919</v>
      </c>
    </row>
    <row r="139" spans="1:245" hidden="1" x14ac:dyDescent="0.35">
      <c r="A139" s="195"/>
      <c r="B139" s="5"/>
      <c r="C139" s="630" t="s">
        <v>1579</v>
      </c>
      <c r="D139" s="467">
        <f>IF(D128=0,0,IF(ENTRADAS!$E$1038=0,0,IF(D132-D136&lt;0,$J$3+D132,0)))</f>
        <v>0</v>
      </c>
      <c r="E139" s="32"/>
    </row>
    <row r="140" spans="1:245" hidden="1" x14ac:dyDescent="0.35">
      <c r="A140" s="195"/>
      <c r="B140" s="5"/>
      <c r="C140" s="630" t="s">
        <v>1580</v>
      </c>
      <c r="D140" s="467">
        <f ca="1">IF(E140=0,0,E140+D129-2)</f>
        <v>0</v>
      </c>
      <c r="E140" s="81">
        <f ca="1">IF(E135*D127+$G$77&lt;D133,E135*D127+$G$77-D129+1,IF(G143=FALSE,D141,G143))</f>
        <v>0</v>
      </c>
      <c r="G140" s="471">
        <f>IF(D128&lt;D127,0,IF(ENTRADAS!$E$1038=0,0,IF(D128=D127+1,IF((D127+1)*D132&gt;E138+LAJES!$H$486/D128,D138+LAJES!$H$486/D128+1,0),0)))</f>
        <v>0</v>
      </c>
    </row>
    <row r="141" spans="1:245" hidden="1" x14ac:dyDescent="0.35">
      <c r="A141" s="195"/>
      <c r="B141" s="5"/>
      <c r="D141" s="32">
        <f>LARGE(D142:E142,1)</f>
        <v>0</v>
      </c>
      <c r="E141" s="32">
        <f ca="1">IF(G142=FALSE,0,G142)</f>
        <v>0</v>
      </c>
      <c r="G141" s="471">
        <f>IF(D128=0,0,IF(ENTRADAS!$E$1038=0,0,IF(ENTRADAS!$F$22&gt;D127+1,D138+LAJES!$H$486/D128+1,0)))</f>
        <v>0</v>
      </c>
    </row>
    <row r="142" spans="1:245" ht="12.75" hidden="1" customHeight="1" x14ac:dyDescent="0.35">
      <c r="A142" s="195"/>
      <c r="B142" s="5"/>
      <c r="D142" s="32">
        <f>IF(D127=D128,IF(E138=0,0,IF(D127*E135+$G$77-D129&gt;=D127*D132,D127*D132+1,(E135*(D127-1))+E138)),0)</f>
        <v>0</v>
      </c>
      <c r="E142" s="32">
        <f>IF(D127+1=D128,IF(E138=0,0,IF(D128*D132+D129&gt;=(E131+(D127-1)*E135)+D129,E138+E135,D127*D132+1)),0)</f>
        <v>0</v>
      </c>
      <c r="G142" s="508" t="b">
        <f ca="1">IF(G140&gt;0,G140-D129,IF(G141&gt;0,G141-D129,IF(E54+(D128*E135)&gt;D128*D132,IF(D127*D132&lt;(LAJES!$H$486/D128)*D127+E138+E139,D127*D132+1,D128*D132+1))))</f>
        <v>0</v>
      </c>
    </row>
    <row r="143" spans="1:245" ht="12" hidden="1" customHeight="1" x14ac:dyDescent="0.35">
      <c r="A143" s="195"/>
      <c r="B143" s="5"/>
      <c r="E143" s="32">
        <f>IF(D127+1=D128,IF(E138=0,0,IF(D128*D132+D129&gt;=(E131+(D127-1)*E135)+D129,E138+E135,D128*D132+1)),0)</f>
        <v>0</v>
      </c>
      <c r="G143" s="508">
        <f ca="1">IF(D127=D128,IF(D128*D132+D129&lt;=(E131+(D127-1)*E135)+D129,LARGE(D141:E141,1)),IF(D141=E141,E143,LARGE(D141:E141,1)))</f>
        <v>0</v>
      </c>
    </row>
    <row r="144" spans="1:245" ht="3.75" hidden="1" customHeight="1" x14ac:dyDescent="0.35">
      <c r="A144" s="195"/>
      <c r="B144" s="5"/>
    </row>
    <row r="145" spans="1:245" hidden="1" x14ac:dyDescent="0.35">
      <c r="A145" s="195"/>
      <c r="B145" s="5"/>
      <c r="C145" s="32" t="s">
        <v>1581</v>
      </c>
      <c r="D145" s="342">
        <f>IF(ENTRADAS!$D$912=0,0,IF(ENTRADAS!$E$1038=0,LAJES!$H$486/D128,0))</f>
        <v>0</v>
      </c>
      <c r="E145" s="32"/>
      <c r="H145" s="348">
        <f>IF(AND(H92&gt;=$E$146,H92&lt;$E$147),10,0)</f>
        <v>0</v>
      </c>
      <c r="I145" s="348">
        <f t="shared" ref="I145:BS145" si="177">IF(AND(I92&gt;=$E$146,I92&lt;$E$147),10,0)</f>
        <v>0</v>
      </c>
      <c r="J145" s="348">
        <f t="shared" si="177"/>
        <v>0</v>
      </c>
      <c r="K145" s="348">
        <f t="shared" si="177"/>
        <v>0</v>
      </c>
      <c r="L145" s="348">
        <f t="shared" si="177"/>
        <v>0</v>
      </c>
      <c r="M145" s="348">
        <f t="shared" si="177"/>
        <v>0</v>
      </c>
      <c r="N145" s="348">
        <f t="shared" si="177"/>
        <v>0</v>
      </c>
      <c r="O145" s="348">
        <f t="shared" si="177"/>
        <v>0</v>
      </c>
      <c r="P145" s="348">
        <f t="shared" si="177"/>
        <v>0</v>
      </c>
      <c r="Q145" s="348">
        <f t="shared" si="177"/>
        <v>0</v>
      </c>
      <c r="R145" s="348">
        <f t="shared" si="177"/>
        <v>0</v>
      </c>
      <c r="S145" s="348">
        <f t="shared" si="177"/>
        <v>0</v>
      </c>
      <c r="T145" s="348">
        <f t="shared" si="177"/>
        <v>0</v>
      </c>
      <c r="U145" s="348">
        <f t="shared" si="177"/>
        <v>0</v>
      </c>
      <c r="V145" s="348">
        <f t="shared" si="177"/>
        <v>0</v>
      </c>
      <c r="W145" s="348">
        <f t="shared" si="177"/>
        <v>0</v>
      </c>
      <c r="X145" s="348">
        <f t="shared" si="177"/>
        <v>0</v>
      </c>
      <c r="Y145" s="348">
        <f t="shared" si="177"/>
        <v>0</v>
      </c>
      <c r="Z145" s="348">
        <f t="shared" si="177"/>
        <v>0</v>
      </c>
      <c r="AA145" s="348">
        <f t="shared" si="177"/>
        <v>0</v>
      </c>
      <c r="AB145" s="348">
        <f t="shared" si="177"/>
        <v>0</v>
      </c>
      <c r="AC145" s="348">
        <f t="shared" si="177"/>
        <v>0</v>
      </c>
      <c r="AD145" s="348">
        <f t="shared" si="177"/>
        <v>0</v>
      </c>
      <c r="AE145" s="348">
        <f t="shared" si="177"/>
        <v>0</v>
      </c>
      <c r="AF145" s="348">
        <f t="shared" si="177"/>
        <v>0</v>
      </c>
      <c r="AG145" s="348">
        <f t="shared" si="177"/>
        <v>0</v>
      </c>
      <c r="AH145" s="348">
        <f t="shared" si="177"/>
        <v>0</v>
      </c>
      <c r="AI145" s="348">
        <f t="shared" si="177"/>
        <v>0</v>
      </c>
      <c r="AJ145" s="348">
        <f t="shared" si="177"/>
        <v>0</v>
      </c>
      <c r="AK145" s="348">
        <f t="shared" si="177"/>
        <v>0</v>
      </c>
      <c r="AL145" s="348">
        <f t="shared" si="177"/>
        <v>0</v>
      </c>
      <c r="AM145" s="348">
        <f t="shared" si="177"/>
        <v>0</v>
      </c>
      <c r="AN145" s="348">
        <f t="shared" si="177"/>
        <v>0</v>
      </c>
      <c r="AO145" s="348">
        <f t="shared" si="177"/>
        <v>0</v>
      </c>
      <c r="AP145" s="348">
        <f t="shared" si="177"/>
        <v>0</v>
      </c>
      <c r="AQ145" s="348">
        <f t="shared" si="177"/>
        <v>0</v>
      </c>
      <c r="AR145" s="348">
        <f t="shared" si="177"/>
        <v>0</v>
      </c>
      <c r="AS145" s="348">
        <f t="shared" si="177"/>
        <v>0</v>
      </c>
      <c r="AT145" s="348">
        <f t="shared" si="177"/>
        <v>0</v>
      </c>
      <c r="AU145" s="348">
        <f t="shared" si="177"/>
        <v>0</v>
      </c>
      <c r="AV145" s="348">
        <f t="shared" si="177"/>
        <v>0</v>
      </c>
      <c r="AW145" s="348">
        <f t="shared" si="177"/>
        <v>0</v>
      </c>
      <c r="AX145" s="348">
        <f t="shared" si="177"/>
        <v>0</v>
      </c>
      <c r="AY145" s="348">
        <f t="shared" si="177"/>
        <v>0</v>
      </c>
      <c r="AZ145" s="348">
        <f t="shared" si="177"/>
        <v>0</v>
      </c>
      <c r="BA145" s="348">
        <f t="shared" si="177"/>
        <v>0</v>
      </c>
      <c r="BB145" s="348">
        <f t="shared" si="177"/>
        <v>0</v>
      </c>
      <c r="BC145" s="348">
        <f t="shared" si="177"/>
        <v>0</v>
      </c>
      <c r="BD145" s="348">
        <f t="shared" si="177"/>
        <v>0</v>
      </c>
      <c r="BE145" s="348">
        <f t="shared" si="177"/>
        <v>0</v>
      </c>
      <c r="BF145" s="348">
        <f t="shared" si="177"/>
        <v>0</v>
      </c>
      <c r="BG145" s="348">
        <f t="shared" si="177"/>
        <v>0</v>
      </c>
      <c r="BH145" s="348">
        <f t="shared" si="177"/>
        <v>0</v>
      </c>
      <c r="BI145" s="348">
        <f t="shared" si="177"/>
        <v>0</v>
      </c>
      <c r="BJ145" s="348">
        <f t="shared" si="177"/>
        <v>0</v>
      </c>
      <c r="BK145" s="348">
        <f t="shared" si="177"/>
        <v>0</v>
      </c>
      <c r="BL145" s="348">
        <f t="shared" si="177"/>
        <v>0</v>
      </c>
      <c r="BM145" s="348">
        <f t="shared" si="177"/>
        <v>0</v>
      </c>
      <c r="BN145" s="348">
        <f t="shared" si="177"/>
        <v>0</v>
      </c>
      <c r="BO145" s="348">
        <f t="shared" si="177"/>
        <v>0</v>
      </c>
      <c r="BP145" s="348">
        <f t="shared" si="177"/>
        <v>0</v>
      </c>
      <c r="BQ145" s="348">
        <f t="shared" si="177"/>
        <v>0</v>
      </c>
      <c r="BR145" s="348">
        <f t="shared" si="177"/>
        <v>0</v>
      </c>
      <c r="BS145" s="348">
        <f t="shared" si="177"/>
        <v>0</v>
      </c>
      <c r="BT145" s="348">
        <f t="shared" ref="BT145:EE145" si="178">IF(AND(BT92&gt;=$E$146,BT92&lt;$E$147),10,0)</f>
        <v>0</v>
      </c>
      <c r="BU145" s="348">
        <f t="shared" si="178"/>
        <v>0</v>
      </c>
      <c r="BV145" s="348">
        <f t="shared" si="178"/>
        <v>0</v>
      </c>
      <c r="BW145" s="348">
        <f t="shared" si="178"/>
        <v>0</v>
      </c>
      <c r="BX145" s="348">
        <f t="shared" si="178"/>
        <v>0</v>
      </c>
      <c r="BY145" s="348">
        <f t="shared" si="178"/>
        <v>0</v>
      </c>
      <c r="BZ145" s="348">
        <f t="shared" si="178"/>
        <v>0</v>
      </c>
      <c r="CA145" s="348">
        <f t="shared" si="178"/>
        <v>0</v>
      </c>
      <c r="CB145" s="348">
        <f t="shared" si="178"/>
        <v>0</v>
      </c>
      <c r="CC145" s="348">
        <f t="shared" si="178"/>
        <v>0</v>
      </c>
      <c r="CD145" s="348">
        <f t="shared" si="178"/>
        <v>0</v>
      </c>
      <c r="CE145" s="348">
        <f t="shared" si="178"/>
        <v>0</v>
      </c>
      <c r="CF145" s="348">
        <f t="shared" si="178"/>
        <v>0</v>
      </c>
      <c r="CG145" s="348">
        <f t="shared" si="178"/>
        <v>0</v>
      </c>
      <c r="CH145" s="348">
        <f t="shared" si="178"/>
        <v>0</v>
      </c>
      <c r="CI145" s="348">
        <f t="shared" si="178"/>
        <v>0</v>
      </c>
      <c r="CJ145" s="348">
        <f t="shared" si="178"/>
        <v>0</v>
      </c>
      <c r="CK145" s="348">
        <f t="shared" si="178"/>
        <v>0</v>
      </c>
      <c r="CL145" s="348">
        <f t="shared" si="178"/>
        <v>0</v>
      </c>
      <c r="CM145" s="348">
        <f t="shared" si="178"/>
        <v>0</v>
      </c>
      <c r="CN145" s="348">
        <f t="shared" si="178"/>
        <v>0</v>
      </c>
      <c r="CO145" s="348">
        <f t="shared" si="178"/>
        <v>0</v>
      </c>
      <c r="CP145" s="348">
        <f t="shared" si="178"/>
        <v>0</v>
      </c>
      <c r="CQ145" s="348">
        <f t="shared" si="178"/>
        <v>0</v>
      </c>
      <c r="CR145" s="348">
        <f t="shared" si="178"/>
        <v>0</v>
      </c>
      <c r="CS145" s="348">
        <f t="shared" si="178"/>
        <v>0</v>
      </c>
      <c r="CT145" s="348">
        <f t="shared" si="178"/>
        <v>0</v>
      </c>
      <c r="CU145" s="348">
        <f t="shared" si="178"/>
        <v>0</v>
      </c>
      <c r="CV145" s="348">
        <f t="shared" si="178"/>
        <v>0</v>
      </c>
      <c r="CW145" s="348">
        <f t="shared" si="178"/>
        <v>0</v>
      </c>
      <c r="CX145" s="348">
        <f t="shared" si="178"/>
        <v>0</v>
      </c>
      <c r="CY145" s="348">
        <f t="shared" si="178"/>
        <v>0</v>
      </c>
      <c r="CZ145" s="348">
        <f t="shared" si="178"/>
        <v>0</v>
      </c>
      <c r="DA145" s="348">
        <f t="shared" si="178"/>
        <v>0</v>
      </c>
      <c r="DB145" s="348">
        <f t="shared" si="178"/>
        <v>0</v>
      </c>
      <c r="DC145" s="348">
        <f t="shared" si="178"/>
        <v>0</v>
      </c>
      <c r="DD145" s="348">
        <f t="shared" si="178"/>
        <v>0</v>
      </c>
      <c r="DE145" s="348">
        <f t="shared" si="178"/>
        <v>0</v>
      </c>
      <c r="DF145" s="348">
        <f t="shared" si="178"/>
        <v>0</v>
      </c>
      <c r="DG145" s="348">
        <f t="shared" si="178"/>
        <v>0</v>
      </c>
      <c r="DH145" s="348">
        <f t="shared" si="178"/>
        <v>0</v>
      </c>
      <c r="DI145" s="348">
        <f t="shared" si="178"/>
        <v>0</v>
      </c>
      <c r="DJ145" s="348">
        <f t="shared" si="178"/>
        <v>0</v>
      </c>
      <c r="DK145" s="348">
        <f t="shared" si="178"/>
        <v>0</v>
      </c>
      <c r="DL145" s="348">
        <f t="shared" si="178"/>
        <v>0</v>
      </c>
      <c r="DM145" s="348">
        <f t="shared" si="178"/>
        <v>0</v>
      </c>
      <c r="DN145" s="348">
        <f t="shared" si="178"/>
        <v>0</v>
      </c>
      <c r="DO145" s="348">
        <f t="shared" si="178"/>
        <v>0</v>
      </c>
      <c r="DP145" s="348">
        <f t="shared" si="178"/>
        <v>0</v>
      </c>
      <c r="DQ145" s="348">
        <f t="shared" si="178"/>
        <v>0</v>
      </c>
      <c r="DR145" s="348">
        <f t="shared" si="178"/>
        <v>0</v>
      </c>
      <c r="DS145" s="348">
        <f t="shared" si="178"/>
        <v>0</v>
      </c>
      <c r="DT145" s="348">
        <f t="shared" si="178"/>
        <v>0</v>
      </c>
      <c r="DU145" s="348">
        <f t="shared" si="178"/>
        <v>0</v>
      </c>
      <c r="DV145" s="348">
        <f t="shared" si="178"/>
        <v>0</v>
      </c>
      <c r="DW145" s="348">
        <f t="shared" si="178"/>
        <v>0</v>
      </c>
      <c r="DX145" s="348">
        <f t="shared" si="178"/>
        <v>0</v>
      </c>
      <c r="DY145" s="348">
        <f t="shared" si="178"/>
        <v>0</v>
      </c>
      <c r="DZ145" s="348">
        <f t="shared" si="178"/>
        <v>0</v>
      </c>
      <c r="EA145" s="348">
        <f t="shared" si="178"/>
        <v>0</v>
      </c>
      <c r="EB145" s="348">
        <f t="shared" si="178"/>
        <v>0</v>
      </c>
      <c r="EC145" s="348">
        <f t="shared" si="178"/>
        <v>0</v>
      </c>
      <c r="ED145" s="348">
        <f t="shared" si="178"/>
        <v>0</v>
      </c>
      <c r="EE145" s="348">
        <f t="shared" si="178"/>
        <v>0</v>
      </c>
      <c r="EF145" s="348">
        <f t="shared" ref="EF145:GQ145" si="179">IF(AND(EF92&gt;=$E$146,EF92&lt;$E$147),10,0)</f>
        <v>0</v>
      </c>
      <c r="EG145" s="348">
        <f t="shared" si="179"/>
        <v>0</v>
      </c>
      <c r="EH145" s="348">
        <f t="shared" si="179"/>
        <v>0</v>
      </c>
      <c r="EI145" s="348">
        <f t="shared" si="179"/>
        <v>0</v>
      </c>
      <c r="EJ145" s="348">
        <f t="shared" si="179"/>
        <v>0</v>
      </c>
      <c r="EK145" s="348">
        <f t="shared" si="179"/>
        <v>0</v>
      </c>
      <c r="EL145" s="348">
        <f t="shared" si="179"/>
        <v>0</v>
      </c>
      <c r="EM145" s="348">
        <f t="shared" si="179"/>
        <v>0</v>
      </c>
      <c r="EN145" s="348">
        <f t="shared" si="179"/>
        <v>0</v>
      </c>
      <c r="EO145" s="348">
        <f t="shared" si="179"/>
        <v>0</v>
      </c>
      <c r="EP145" s="348">
        <f t="shared" si="179"/>
        <v>0</v>
      </c>
      <c r="EQ145" s="348">
        <f t="shared" si="179"/>
        <v>0</v>
      </c>
      <c r="ER145" s="348">
        <f t="shared" si="179"/>
        <v>0</v>
      </c>
      <c r="ES145" s="348">
        <f t="shared" si="179"/>
        <v>0</v>
      </c>
      <c r="ET145" s="348">
        <f t="shared" si="179"/>
        <v>0</v>
      </c>
      <c r="EU145" s="348">
        <f t="shared" si="179"/>
        <v>0</v>
      </c>
      <c r="EV145" s="348">
        <f t="shared" si="179"/>
        <v>0</v>
      </c>
      <c r="EW145" s="348">
        <f t="shared" si="179"/>
        <v>0</v>
      </c>
      <c r="EX145" s="348">
        <f t="shared" si="179"/>
        <v>0</v>
      </c>
      <c r="EY145" s="348">
        <f t="shared" si="179"/>
        <v>0</v>
      </c>
      <c r="EZ145" s="348">
        <f t="shared" si="179"/>
        <v>0</v>
      </c>
      <c r="FA145" s="348">
        <f t="shared" si="179"/>
        <v>0</v>
      </c>
      <c r="FB145" s="348">
        <f t="shared" si="179"/>
        <v>0</v>
      </c>
      <c r="FC145" s="348">
        <f t="shared" si="179"/>
        <v>0</v>
      </c>
      <c r="FD145" s="348">
        <f t="shared" si="179"/>
        <v>0</v>
      </c>
      <c r="FE145" s="348">
        <f t="shared" si="179"/>
        <v>0</v>
      </c>
      <c r="FF145" s="348">
        <f t="shared" si="179"/>
        <v>0</v>
      </c>
      <c r="FG145" s="348">
        <f t="shared" si="179"/>
        <v>0</v>
      </c>
      <c r="FH145" s="348">
        <f t="shared" si="179"/>
        <v>0</v>
      </c>
      <c r="FI145" s="348">
        <f t="shared" si="179"/>
        <v>0</v>
      </c>
      <c r="FJ145" s="348">
        <f t="shared" si="179"/>
        <v>0</v>
      </c>
      <c r="FK145" s="348">
        <f t="shared" si="179"/>
        <v>0</v>
      </c>
      <c r="FL145" s="348">
        <f t="shared" si="179"/>
        <v>0</v>
      </c>
      <c r="FM145" s="348">
        <f t="shared" si="179"/>
        <v>0</v>
      </c>
      <c r="FN145" s="348">
        <f t="shared" si="179"/>
        <v>0</v>
      </c>
      <c r="FO145" s="348">
        <f t="shared" si="179"/>
        <v>0</v>
      </c>
      <c r="FP145" s="348">
        <f t="shared" si="179"/>
        <v>0</v>
      </c>
      <c r="FQ145" s="348">
        <f t="shared" si="179"/>
        <v>0</v>
      </c>
      <c r="FR145" s="348">
        <f t="shared" si="179"/>
        <v>0</v>
      </c>
      <c r="FS145" s="348">
        <f t="shared" si="179"/>
        <v>0</v>
      </c>
      <c r="FT145" s="348">
        <f t="shared" si="179"/>
        <v>0</v>
      </c>
      <c r="FU145" s="348">
        <f t="shared" si="179"/>
        <v>0</v>
      </c>
      <c r="FV145" s="348">
        <f t="shared" si="179"/>
        <v>0</v>
      </c>
      <c r="FW145" s="348">
        <f t="shared" si="179"/>
        <v>0</v>
      </c>
      <c r="FX145" s="348">
        <f t="shared" si="179"/>
        <v>0</v>
      </c>
      <c r="FY145" s="348">
        <f t="shared" si="179"/>
        <v>0</v>
      </c>
      <c r="FZ145" s="348">
        <f t="shared" si="179"/>
        <v>0</v>
      </c>
      <c r="GA145" s="348">
        <f t="shared" si="179"/>
        <v>0</v>
      </c>
      <c r="GB145" s="348">
        <f t="shared" si="179"/>
        <v>0</v>
      </c>
      <c r="GC145" s="348">
        <f t="shared" si="179"/>
        <v>0</v>
      </c>
      <c r="GD145" s="348">
        <f t="shared" si="179"/>
        <v>0</v>
      </c>
      <c r="GE145" s="348">
        <f t="shared" si="179"/>
        <v>0</v>
      </c>
      <c r="GF145" s="348">
        <f t="shared" si="179"/>
        <v>0</v>
      </c>
      <c r="GG145" s="348">
        <f t="shared" si="179"/>
        <v>0</v>
      </c>
      <c r="GH145" s="348">
        <f t="shared" si="179"/>
        <v>0</v>
      </c>
      <c r="GI145" s="348">
        <f t="shared" si="179"/>
        <v>0</v>
      </c>
      <c r="GJ145" s="348">
        <f t="shared" si="179"/>
        <v>0</v>
      </c>
      <c r="GK145" s="348">
        <f t="shared" si="179"/>
        <v>0</v>
      </c>
      <c r="GL145" s="348">
        <f t="shared" si="179"/>
        <v>0</v>
      </c>
      <c r="GM145" s="348">
        <f t="shared" si="179"/>
        <v>0</v>
      </c>
      <c r="GN145" s="348">
        <f t="shared" si="179"/>
        <v>0</v>
      </c>
      <c r="GO145" s="348">
        <f t="shared" si="179"/>
        <v>0</v>
      </c>
      <c r="GP145" s="348">
        <f t="shared" si="179"/>
        <v>0</v>
      </c>
      <c r="GQ145" s="348">
        <f t="shared" si="179"/>
        <v>0</v>
      </c>
      <c r="GR145" s="348">
        <f t="shared" ref="GR145:IK145" si="180">IF(AND(GR92&gt;=$E$146,GR92&lt;$E$147),10,0)</f>
        <v>0</v>
      </c>
      <c r="GS145" s="348">
        <f t="shared" si="180"/>
        <v>0</v>
      </c>
      <c r="GT145" s="348">
        <f t="shared" si="180"/>
        <v>0</v>
      </c>
      <c r="GU145" s="348">
        <f t="shared" si="180"/>
        <v>0</v>
      </c>
      <c r="GV145" s="348">
        <f t="shared" si="180"/>
        <v>0</v>
      </c>
      <c r="GW145" s="348">
        <f t="shared" si="180"/>
        <v>0</v>
      </c>
      <c r="GX145" s="348">
        <f t="shared" si="180"/>
        <v>0</v>
      </c>
      <c r="GY145" s="348">
        <f t="shared" si="180"/>
        <v>0</v>
      </c>
      <c r="GZ145" s="348">
        <f t="shared" si="180"/>
        <v>0</v>
      </c>
      <c r="HA145" s="348">
        <f t="shared" si="180"/>
        <v>0</v>
      </c>
      <c r="HB145" s="348">
        <f t="shared" si="180"/>
        <v>0</v>
      </c>
      <c r="HC145" s="348">
        <f t="shared" si="180"/>
        <v>0</v>
      </c>
      <c r="HD145" s="348">
        <f t="shared" si="180"/>
        <v>0</v>
      </c>
      <c r="HE145" s="348">
        <f t="shared" si="180"/>
        <v>0</v>
      </c>
      <c r="HF145" s="348">
        <f t="shared" si="180"/>
        <v>0</v>
      </c>
      <c r="HG145" s="348">
        <f t="shared" si="180"/>
        <v>0</v>
      </c>
      <c r="HH145" s="348">
        <f t="shared" si="180"/>
        <v>0</v>
      </c>
      <c r="HI145" s="348">
        <f t="shared" si="180"/>
        <v>0</v>
      </c>
      <c r="HJ145" s="348">
        <f t="shared" si="180"/>
        <v>0</v>
      </c>
      <c r="HK145" s="348">
        <f t="shared" si="180"/>
        <v>0</v>
      </c>
      <c r="HL145" s="348">
        <f t="shared" si="180"/>
        <v>0</v>
      </c>
      <c r="HM145" s="348">
        <f t="shared" si="180"/>
        <v>0</v>
      </c>
      <c r="HN145" s="348">
        <f t="shared" si="180"/>
        <v>0</v>
      </c>
      <c r="HO145" s="348">
        <f t="shared" si="180"/>
        <v>0</v>
      </c>
      <c r="HP145" s="348">
        <f t="shared" si="180"/>
        <v>0</v>
      </c>
      <c r="HQ145" s="348">
        <f t="shared" si="180"/>
        <v>0</v>
      </c>
      <c r="HR145" s="348">
        <f t="shared" si="180"/>
        <v>0</v>
      </c>
      <c r="HS145" s="348">
        <f t="shared" si="180"/>
        <v>0</v>
      </c>
      <c r="HT145" s="348">
        <f t="shared" si="180"/>
        <v>0</v>
      </c>
      <c r="HU145" s="348">
        <f t="shared" si="180"/>
        <v>0</v>
      </c>
      <c r="HV145" s="348">
        <f t="shared" si="180"/>
        <v>0</v>
      </c>
      <c r="HW145" s="348">
        <f t="shared" si="180"/>
        <v>0</v>
      </c>
      <c r="HX145" s="348">
        <f t="shared" si="180"/>
        <v>0</v>
      </c>
      <c r="HY145" s="348">
        <f t="shared" si="180"/>
        <v>0</v>
      </c>
      <c r="HZ145" s="348">
        <f t="shared" si="180"/>
        <v>0</v>
      </c>
      <c r="IA145" s="348">
        <f t="shared" si="180"/>
        <v>0</v>
      </c>
      <c r="IB145" s="348">
        <f t="shared" si="180"/>
        <v>0</v>
      </c>
      <c r="IC145" s="348">
        <f t="shared" si="180"/>
        <v>0</v>
      </c>
      <c r="ID145" s="348">
        <f t="shared" si="180"/>
        <v>0</v>
      </c>
      <c r="IE145" s="348">
        <f t="shared" si="180"/>
        <v>0</v>
      </c>
      <c r="IF145" s="348">
        <f t="shared" si="180"/>
        <v>0</v>
      </c>
      <c r="IG145" s="348">
        <f t="shared" si="180"/>
        <v>0</v>
      </c>
      <c r="IH145" s="348">
        <f t="shared" si="180"/>
        <v>0</v>
      </c>
      <c r="II145" s="348">
        <f t="shared" si="180"/>
        <v>0</v>
      </c>
      <c r="IJ145" s="348">
        <f t="shared" si="180"/>
        <v>0</v>
      </c>
      <c r="IK145" s="348">
        <f t="shared" si="180"/>
        <v>0</v>
      </c>
    </row>
    <row r="146" spans="1:245" hidden="1" x14ac:dyDescent="0.35">
      <c r="A146" s="195"/>
      <c r="B146" s="5"/>
      <c r="C146" s="630" t="s">
        <v>1582</v>
      </c>
      <c r="D146" s="467">
        <f>IF(ENTRADAS!$D$912=0,0,IF(ENTRADAS!$E$1038=0,D131+1,0))</f>
        <v>0</v>
      </c>
      <c r="E146" s="32">
        <f>IF(D146=0,0,D146-D129)</f>
        <v>0</v>
      </c>
      <c r="G146" s="32" t="b">
        <f>IF(G147&lt;0,G147*-1)</f>
        <v>0</v>
      </c>
    </row>
    <row r="147" spans="1:245" hidden="1" x14ac:dyDescent="0.35">
      <c r="A147" s="195"/>
      <c r="B147" s="5"/>
      <c r="C147" s="630" t="s">
        <v>1583</v>
      </c>
      <c r="D147" s="467">
        <f>IF(ENTRADAS!$D$912=0,0,IF(ENTRADAS!$E$1038=0,D146+D145-1,0))</f>
        <v>0</v>
      </c>
      <c r="E147" s="32">
        <f>IF(D145=0,0,D145+E146)</f>
        <v>0</v>
      </c>
      <c r="G147">
        <f>IF(ENTRADAS!$F$22=0,0,IF(D150=0,0,LAJES!$H$486/D128-D136))</f>
        <v>0</v>
      </c>
    </row>
    <row r="148" spans="1:245" hidden="1" x14ac:dyDescent="0.35">
      <c r="A148" s="195"/>
      <c r="B148" s="5"/>
      <c r="C148" s="630" t="s">
        <v>1584</v>
      </c>
      <c r="D148" s="468">
        <f>IF(D128=0,0,IF(D150=0,0,IF(G148&gt;0,G148,IF(G147&lt;0,G146,G147))))</f>
        <v>0</v>
      </c>
      <c r="E148" s="32"/>
      <c r="G148" s="32">
        <f>IF(D127=D128,IF(D127*E135+$G$77&gt;D127*D132+D129,(D127*E135+$G$77)-(D127*D132+D129),0),0)</f>
        <v>0</v>
      </c>
      <c r="H148" s="348">
        <f>IF($D$148&gt;0,IF(AND(H92&gt;=$E$150,H92&lt;$E$151),10,0),0)</f>
        <v>0</v>
      </c>
      <c r="I148" s="348">
        <f t="shared" ref="I148:BS148" si="181">IF($D$148&gt;0,IF(AND(I92&gt;=$E$150,I92&lt;$E$151),10,0),0)</f>
        <v>0</v>
      </c>
      <c r="J148" s="348">
        <f t="shared" si="181"/>
        <v>0</v>
      </c>
      <c r="K148" s="348">
        <f t="shared" si="181"/>
        <v>0</v>
      </c>
      <c r="L148" s="348">
        <f t="shared" si="181"/>
        <v>0</v>
      </c>
      <c r="M148" s="348">
        <f t="shared" si="181"/>
        <v>0</v>
      </c>
      <c r="N148" s="348">
        <f t="shared" si="181"/>
        <v>0</v>
      </c>
      <c r="O148" s="348">
        <f t="shared" si="181"/>
        <v>0</v>
      </c>
      <c r="P148" s="348">
        <f t="shared" si="181"/>
        <v>0</v>
      </c>
      <c r="Q148" s="348">
        <f t="shared" si="181"/>
        <v>0</v>
      </c>
      <c r="R148" s="348">
        <f t="shared" si="181"/>
        <v>0</v>
      </c>
      <c r="S148" s="348">
        <f t="shared" si="181"/>
        <v>0</v>
      </c>
      <c r="T148" s="348">
        <f t="shared" si="181"/>
        <v>0</v>
      </c>
      <c r="U148" s="348">
        <f t="shared" si="181"/>
        <v>0</v>
      </c>
      <c r="V148" s="348">
        <f t="shared" si="181"/>
        <v>0</v>
      </c>
      <c r="W148" s="348">
        <f t="shared" si="181"/>
        <v>0</v>
      </c>
      <c r="X148" s="348">
        <f t="shared" si="181"/>
        <v>0</v>
      </c>
      <c r="Y148" s="348">
        <f t="shared" si="181"/>
        <v>0</v>
      </c>
      <c r="Z148" s="348">
        <f t="shared" si="181"/>
        <v>0</v>
      </c>
      <c r="AA148" s="348">
        <f t="shared" si="181"/>
        <v>0</v>
      </c>
      <c r="AB148" s="348">
        <f t="shared" si="181"/>
        <v>0</v>
      </c>
      <c r="AC148" s="348">
        <f t="shared" si="181"/>
        <v>0</v>
      </c>
      <c r="AD148" s="348">
        <f t="shared" si="181"/>
        <v>0</v>
      </c>
      <c r="AE148" s="348">
        <f t="shared" si="181"/>
        <v>0</v>
      </c>
      <c r="AF148" s="348">
        <f t="shared" si="181"/>
        <v>0</v>
      </c>
      <c r="AG148" s="348">
        <f t="shared" si="181"/>
        <v>0</v>
      </c>
      <c r="AH148" s="348">
        <f t="shared" si="181"/>
        <v>0</v>
      </c>
      <c r="AI148" s="348">
        <f t="shared" si="181"/>
        <v>0</v>
      </c>
      <c r="AJ148" s="348">
        <f t="shared" si="181"/>
        <v>0</v>
      </c>
      <c r="AK148" s="348">
        <f t="shared" si="181"/>
        <v>0</v>
      </c>
      <c r="AL148" s="348">
        <f t="shared" si="181"/>
        <v>0</v>
      </c>
      <c r="AM148" s="348">
        <f t="shared" si="181"/>
        <v>0</v>
      </c>
      <c r="AN148" s="348">
        <f t="shared" si="181"/>
        <v>0</v>
      </c>
      <c r="AO148" s="348">
        <f t="shared" si="181"/>
        <v>0</v>
      </c>
      <c r="AP148" s="348">
        <f t="shared" si="181"/>
        <v>0</v>
      </c>
      <c r="AQ148" s="348">
        <f t="shared" si="181"/>
        <v>0</v>
      </c>
      <c r="AR148" s="348">
        <f t="shared" si="181"/>
        <v>0</v>
      </c>
      <c r="AS148" s="348">
        <f t="shared" si="181"/>
        <v>0</v>
      </c>
      <c r="AT148" s="348">
        <f t="shared" si="181"/>
        <v>0</v>
      </c>
      <c r="AU148" s="348">
        <f t="shared" si="181"/>
        <v>0</v>
      </c>
      <c r="AV148" s="348">
        <f t="shared" si="181"/>
        <v>0</v>
      </c>
      <c r="AW148" s="348">
        <f t="shared" si="181"/>
        <v>0</v>
      </c>
      <c r="AX148" s="348">
        <f t="shared" si="181"/>
        <v>0</v>
      </c>
      <c r="AY148" s="348">
        <f t="shared" si="181"/>
        <v>0</v>
      </c>
      <c r="AZ148" s="348">
        <f t="shared" si="181"/>
        <v>0</v>
      </c>
      <c r="BA148" s="348">
        <f t="shared" si="181"/>
        <v>0</v>
      </c>
      <c r="BB148" s="348">
        <f t="shared" si="181"/>
        <v>0</v>
      </c>
      <c r="BC148" s="348">
        <f t="shared" si="181"/>
        <v>0</v>
      </c>
      <c r="BD148" s="348">
        <f t="shared" si="181"/>
        <v>0</v>
      </c>
      <c r="BE148" s="348">
        <f t="shared" si="181"/>
        <v>0</v>
      </c>
      <c r="BF148" s="348">
        <f t="shared" si="181"/>
        <v>0</v>
      </c>
      <c r="BG148" s="348">
        <f t="shared" si="181"/>
        <v>0</v>
      </c>
      <c r="BH148" s="348">
        <f t="shared" si="181"/>
        <v>0</v>
      </c>
      <c r="BI148" s="348">
        <f t="shared" si="181"/>
        <v>0</v>
      </c>
      <c r="BJ148" s="348">
        <f t="shared" si="181"/>
        <v>0</v>
      </c>
      <c r="BK148" s="348">
        <f t="shared" si="181"/>
        <v>0</v>
      </c>
      <c r="BL148" s="348">
        <f t="shared" si="181"/>
        <v>0</v>
      </c>
      <c r="BM148" s="348">
        <f t="shared" si="181"/>
        <v>0</v>
      </c>
      <c r="BN148" s="348">
        <f t="shared" si="181"/>
        <v>0</v>
      </c>
      <c r="BO148" s="348">
        <f t="shared" si="181"/>
        <v>0</v>
      </c>
      <c r="BP148" s="348">
        <f t="shared" si="181"/>
        <v>0</v>
      </c>
      <c r="BQ148" s="348">
        <f t="shared" si="181"/>
        <v>0</v>
      </c>
      <c r="BR148" s="348">
        <f t="shared" si="181"/>
        <v>0</v>
      </c>
      <c r="BS148" s="348">
        <f t="shared" si="181"/>
        <v>0</v>
      </c>
      <c r="BT148" s="348">
        <f t="shared" ref="BT148:EE148" si="182">IF($D$148&gt;0,IF(AND(BT92&gt;=$E$150,BT92&lt;$E$151),10,0),0)</f>
        <v>0</v>
      </c>
      <c r="BU148" s="348">
        <f t="shared" si="182"/>
        <v>0</v>
      </c>
      <c r="BV148" s="348">
        <f t="shared" si="182"/>
        <v>0</v>
      </c>
      <c r="BW148" s="348">
        <f t="shared" si="182"/>
        <v>0</v>
      </c>
      <c r="BX148" s="348">
        <f t="shared" si="182"/>
        <v>0</v>
      </c>
      <c r="BY148" s="348">
        <f t="shared" si="182"/>
        <v>0</v>
      </c>
      <c r="BZ148" s="348">
        <f t="shared" si="182"/>
        <v>0</v>
      </c>
      <c r="CA148" s="348">
        <f t="shared" si="182"/>
        <v>0</v>
      </c>
      <c r="CB148" s="348">
        <f t="shared" si="182"/>
        <v>0</v>
      </c>
      <c r="CC148" s="348">
        <f t="shared" si="182"/>
        <v>0</v>
      </c>
      <c r="CD148" s="348">
        <f t="shared" si="182"/>
        <v>0</v>
      </c>
      <c r="CE148" s="348">
        <f t="shared" si="182"/>
        <v>0</v>
      </c>
      <c r="CF148" s="348">
        <f t="shared" si="182"/>
        <v>0</v>
      </c>
      <c r="CG148" s="348">
        <f t="shared" si="182"/>
        <v>0</v>
      </c>
      <c r="CH148" s="348">
        <f t="shared" si="182"/>
        <v>0</v>
      </c>
      <c r="CI148" s="348">
        <f t="shared" si="182"/>
        <v>0</v>
      </c>
      <c r="CJ148" s="348">
        <f t="shared" si="182"/>
        <v>0</v>
      </c>
      <c r="CK148" s="348">
        <f t="shared" si="182"/>
        <v>0</v>
      </c>
      <c r="CL148" s="348">
        <f t="shared" si="182"/>
        <v>0</v>
      </c>
      <c r="CM148" s="348">
        <f t="shared" si="182"/>
        <v>0</v>
      </c>
      <c r="CN148" s="348">
        <f t="shared" si="182"/>
        <v>0</v>
      </c>
      <c r="CO148" s="348">
        <f t="shared" si="182"/>
        <v>0</v>
      </c>
      <c r="CP148" s="348">
        <f t="shared" si="182"/>
        <v>0</v>
      </c>
      <c r="CQ148" s="348">
        <f t="shared" si="182"/>
        <v>0</v>
      </c>
      <c r="CR148" s="348">
        <f t="shared" si="182"/>
        <v>0</v>
      </c>
      <c r="CS148" s="348">
        <f t="shared" si="182"/>
        <v>0</v>
      </c>
      <c r="CT148" s="348">
        <f t="shared" si="182"/>
        <v>0</v>
      </c>
      <c r="CU148" s="348">
        <f t="shared" si="182"/>
        <v>0</v>
      </c>
      <c r="CV148" s="348">
        <f t="shared" si="182"/>
        <v>0</v>
      </c>
      <c r="CW148" s="348">
        <f t="shared" si="182"/>
        <v>0</v>
      </c>
      <c r="CX148" s="348">
        <f t="shared" si="182"/>
        <v>0</v>
      </c>
      <c r="CY148" s="348">
        <f t="shared" si="182"/>
        <v>0</v>
      </c>
      <c r="CZ148" s="348">
        <f t="shared" si="182"/>
        <v>0</v>
      </c>
      <c r="DA148" s="348">
        <f t="shared" si="182"/>
        <v>0</v>
      </c>
      <c r="DB148" s="348">
        <f t="shared" si="182"/>
        <v>0</v>
      </c>
      <c r="DC148" s="348">
        <f t="shared" si="182"/>
        <v>0</v>
      </c>
      <c r="DD148" s="348">
        <f t="shared" si="182"/>
        <v>0</v>
      </c>
      <c r="DE148" s="348">
        <f t="shared" si="182"/>
        <v>0</v>
      </c>
      <c r="DF148" s="348">
        <f t="shared" si="182"/>
        <v>0</v>
      </c>
      <c r="DG148" s="348">
        <f t="shared" si="182"/>
        <v>0</v>
      </c>
      <c r="DH148" s="348">
        <f t="shared" si="182"/>
        <v>0</v>
      </c>
      <c r="DI148" s="348">
        <f t="shared" si="182"/>
        <v>0</v>
      </c>
      <c r="DJ148" s="348">
        <f t="shared" si="182"/>
        <v>0</v>
      </c>
      <c r="DK148" s="348">
        <f t="shared" si="182"/>
        <v>0</v>
      </c>
      <c r="DL148" s="348">
        <f t="shared" si="182"/>
        <v>0</v>
      </c>
      <c r="DM148" s="348">
        <f t="shared" si="182"/>
        <v>0</v>
      </c>
      <c r="DN148" s="348">
        <f t="shared" si="182"/>
        <v>0</v>
      </c>
      <c r="DO148" s="348">
        <f t="shared" si="182"/>
        <v>0</v>
      </c>
      <c r="DP148" s="348">
        <f t="shared" si="182"/>
        <v>0</v>
      </c>
      <c r="DQ148" s="348">
        <f t="shared" si="182"/>
        <v>0</v>
      </c>
      <c r="DR148" s="348">
        <f t="shared" si="182"/>
        <v>0</v>
      </c>
      <c r="DS148" s="348">
        <f t="shared" si="182"/>
        <v>0</v>
      </c>
      <c r="DT148" s="348">
        <f t="shared" si="182"/>
        <v>0</v>
      </c>
      <c r="DU148" s="348">
        <f t="shared" si="182"/>
        <v>0</v>
      </c>
      <c r="DV148" s="348">
        <f t="shared" si="182"/>
        <v>0</v>
      </c>
      <c r="DW148" s="348">
        <f t="shared" si="182"/>
        <v>0</v>
      </c>
      <c r="DX148" s="348">
        <f t="shared" si="182"/>
        <v>0</v>
      </c>
      <c r="DY148" s="348">
        <f t="shared" si="182"/>
        <v>0</v>
      </c>
      <c r="DZ148" s="348">
        <f t="shared" si="182"/>
        <v>0</v>
      </c>
      <c r="EA148" s="348">
        <f t="shared" si="182"/>
        <v>0</v>
      </c>
      <c r="EB148" s="348">
        <f t="shared" si="182"/>
        <v>0</v>
      </c>
      <c r="EC148" s="348">
        <f t="shared" si="182"/>
        <v>0</v>
      </c>
      <c r="ED148" s="348">
        <f t="shared" si="182"/>
        <v>0</v>
      </c>
      <c r="EE148" s="348">
        <f t="shared" si="182"/>
        <v>0</v>
      </c>
      <c r="EF148" s="348">
        <f t="shared" ref="EF148:GQ148" si="183">IF($D$148&gt;0,IF(AND(EF92&gt;=$E$150,EF92&lt;$E$151),10,0),0)</f>
        <v>0</v>
      </c>
      <c r="EG148" s="348">
        <f t="shared" si="183"/>
        <v>0</v>
      </c>
      <c r="EH148" s="348">
        <f t="shared" si="183"/>
        <v>0</v>
      </c>
      <c r="EI148" s="348">
        <f t="shared" si="183"/>
        <v>0</v>
      </c>
      <c r="EJ148" s="348">
        <f t="shared" si="183"/>
        <v>0</v>
      </c>
      <c r="EK148" s="348">
        <f t="shared" si="183"/>
        <v>0</v>
      </c>
      <c r="EL148" s="348">
        <f t="shared" si="183"/>
        <v>0</v>
      </c>
      <c r="EM148" s="348">
        <f t="shared" si="183"/>
        <v>0</v>
      </c>
      <c r="EN148" s="348">
        <f t="shared" si="183"/>
        <v>0</v>
      </c>
      <c r="EO148" s="348">
        <f t="shared" si="183"/>
        <v>0</v>
      </c>
      <c r="EP148" s="348">
        <f t="shared" si="183"/>
        <v>0</v>
      </c>
      <c r="EQ148" s="348">
        <f t="shared" si="183"/>
        <v>0</v>
      </c>
      <c r="ER148" s="348">
        <f t="shared" si="183"/>
        <v>0</v>
      </c>
      <c r="ES148" s="348">
        <f t="shared" si="183"/>
        <v>0</v>
      </c>
      <c r="ET148" s="348">
        <f t="shared" si="183"/>
        <v>0</v>
      </c>
      <c r="EU148" s="348">
        <f t="shared" si="183"/>
        <v>0</v>
      </c>
      <c r="EV148" s="348">
        <f t="shared" si="183"/>
        <v>0</v>
      </c>
      <c r="EW148" s="348">
        <f t="shared" si="183"/>
        <v>0</v>
      </c>
      <c r="EX148" s="348">
        <f t="shared" si="183"/>
        <v>0</v>
      </c>
      <c r="EY148" s="348">
        <f t="shared" si="183"/>
        <v>0</v>
      </c>
      <c r="EZ148" s="348">
        <f t="shared" si="183"/>
        <v>0</v>
      </c>
      <c r="FA148" s="348">
        <f t="shared" si="183"/>
        <v>0</v>
      </c>
      <c r="FB148" s="348">
        <f t="shared" si="183"/>
        <v>0</v>
      </c>
      <c r="FC148" s="348">
        <f t="shared" si="183"/>
        <v>0</v>
      </c>
      <c r="FD148" s="348">
        <f t="shared" si="183"/>
        <v>0</v>
      </c>
      <c r="FE148" s="348">
        <f t="shared" si="183"/>
        <v>0</v>
      </c>
      <c r="FF148" s="348">
        <f t="shared" si="183"/>
        <v>0</v>
      </c>
      <c r="FG148" s="348">
        <f t="shared" si="183"/>
        <v>0</v>
      </c>
      <c r="FH148" s="348">
        <f t="shared" si="183"/>
        <v>0</v>
      </c>
      <c r="FI148" s="348">
        <f t="shared" si="183"/>
        <v>0</v>
      </c>
      <c r="FJ148" s="348">
        <f t="shared" si="183"/>
        <v>0</v>
      </c>
      <c r="FK148" s="348">
        <f t="shared" si="183"/>
        <v>0</v>
      </c>
      <c r="FL148" s="348">
        <f t="shared" si="183"/>
        <v>0</v>
      </c>
      <c r="FM148" s="348">
        <f t="shared" si="183"/>
        <v>0</v>
      </c>
      <c r="FN148" s="348">
        <f t="shared" si="183"/>
        <v>0</v>
      </c>
      <c r="FO148" s="348">
        <f t="shared" si="183"/>
        <v>0</v>
      </c>
      <c r="FP148" s="348">
        <f t="shared" si="183"/>
        <v>0</v>
      </c>
      <c r="FQ148" s="348">
        <f t="shared" si="183"/>
        <v>0</v>
      </c>
      <c r="FR148" s="348">
        <f t="shared" si="183"/>
        <v>0</v>
      </c>
      <c r="FS148" s="348">
        <f t="shared" si="183"/>
        <v>0</v>
      </c>
      <c r="FT148" s="348">
        <f t="shared" si="183"/>
        <v>0</v>
      </c>
      <c r="FU148" s="348">
        <f t="shared" si="183"/>
        <v>0</v>
      </c>
      <c r="FV148" s="348">
        <f t="shared" si="183"/>
        <v>0</v>
      </c>
      <c r="FW148" s="348">
        <f t="shared" si="183"/>
        <v>0</v>
      </c>
      <c r="FX148" s="348">
        <f t="shared" si="183"/>
        <v>0</v>
      </c>
      <c r="FY148" s="348">
        <f t="shared" si="183"/>
        <v>0</v>
      </c>
      <c r="FZ148" s="348">
        <f t="shared" si="183"/>
        <v>0</v>
      </c>
      <c r="GA148" s="348">
        <f t="shared" si="183"/>
        <v>0</v>
      </c>
      <c r="GB148" s="348">
        <f t="shared" si="183"/>
        <v>0</v>
      </c>
      <c r="GC148" s="348">
        <f t="shared" si="183"/>
        <v>0</v>
      </c>
      <c r="GD148" s="348">
        <f t="shared" si="183"/>
        <v>0</v>
      </c>
      <c r="GE148" s="348">
        <f t="shared" si="183"/>
        <v>0</v>
      </c>
      <c r="GF148" s="348">
        <f t="shared" si="183"/>
        <v>0</v>
      </c>
      <c r="GG148" s="348">
        <f t="shared" si="183"/>
        <v>0</v>
      </c>
      <c r="GH148" s="348">
        <f t="shared" si="183"/>
        <v>0</v>
      </c>
      <c r="GI148" s="348">
        <f t="shared" si="183"/>
        <v>0</v>
      </c>
      <c r="GJ148" s="348">
        <f t="shared" si="183"/>
        <v>0</v>
      </c>
      <c r="GK148" s="348">
        <f t="shared" si="183"/>
        <v>0</v>
      </c>
      <c r="GL148" s="348">
        <f t="shared" si="183"/>
        <v>0</v>
      </c>
      <c r="GM148" s="348">
        <f t="shared" si="183"/>
        <v>0</v>
      </c>
      <c r="GN148" s="348">
        <f t="shared" si="183"/>
        <v>0</v>
      </c>
      <c r="GO148" s="348">
        <f t="shared" si="183"/>
        <v>0</v>
      </c>
      <c r="GP148" s="348">
        <f t="shared" si="183"/>
        <v>0</v>
      </c>
      <c r="GQ148" s="348">
        <f t="shared" si="183"/>
        <v>0</v>
      </c>
      <c r="GR148" s="348">
        <f t="shared" ref="GR148:IK148" si="184">IF($D$148&gt;0,IF(AND(GR92&gt;=$E$150,GR92&lt;$E$151),10,0),0)</f>
        <v>0</v>
      </c>
      <c r="GS148" s="348">
        <f t="shared" si="184"/>
        <v>0</v>
      </c>
      <c r="GT148" s="348">
        <f t="shared" si="184"/>
        <v>0</v>
      </c>
      <c r="GU148" s="348">
        <f t="shared" si="184"/>
        <v>0</v>
      </c>
      <c r="GV148" s="348">
        <f t="shared" si="184"/>
        <v>0</v>
      </c>
      <c r="GW148" s="348">
        <f t="shared" si="184"/>
        <v>0</v>
      </c>
      <c r="GX148" s="348">
        <f t="shared" si="184"/>
        <v>0</v>
      </c>
      <c r="GY148" s="348">
        <f t="shared" si="184"/>
        <v>0</v>
      </c>
      <c r="GZ148" s="348">
        <f t="shared" si="184"/>
        <v>0</v>
      </c>
      <c r="HA148" s="348">
        <f t="shared" si="184"/>
        <v>0</v>
      </c>
      <c r="HB148" s="348">
        <f t="shared" si="184"/>
        <v>0</v>
      </c>
      <c r="HC148" s="348">
        <f t="shared" si="184"/>
        <v>0</v>
      </c>
      <c r="HD148" s="348">
        <f t="shared" si="184"/>
        <v>0</v>
      </c>
      <c r="HE148" s="348">
        <f t="shared" si="184"/>
        <v>0</v>
      </c>
      <c r="HF148" s="348">
        <f t="shared" si="184"/>
        <v>0</v>
      </c>
      <c r="HG148" s="348">
        <f t="shared" si="184"/>
        <v>0</v>
      </c>
      <c r="HH148" s="348">
        <f t="shared" si="184"/>
        <v>0</v>
      </c>
      <c r="HI148" s="348">
        <f t="shared" si="184"/>
        <v>0</v>
      </c>
      <c r="HJ148" s="348">
        <f t="shared" si="184"/>
        <v>0</v>
      </c>
      <c r="HK148" s="348">
        <f t="shared" si="184"/>
        <v>0</v>
      </c>
      <c r="HL148" s="348">
        <f t="shared" si="184"/>
        <v>0</v>
      </c>
      <c r="HM148" s="348">
        <f t="shared" si="184"/>
        <v>0</v>
      </c>
      <c r="HN148" s="348">
        <f t="shared" si="184"/>
        <v>0</v>
      </c>
      <c r="HO148" s="348">
        <f t="shared" si="184"/>
        <v>0</v>
      </c>
      <c r="HP148" s="348">
        <f t="shared" si="184"/>
        <v>0</v>
      </c>
      <c r="HQ148" s="348">
        <f t="shared" si="184"/>
        <v>0</v>
      </c>
      <c r="HR148" s="348">
        <f t="shared" si="184"/>
        <v>0</v>
      </c>
      <c r="HS148" s="348">
        <f t="shared" si="184"/>
        <v>0</v>
      </c>
      <c r="HT148" s="348">
        <f t="shared" si="184"/>
        <v>0</v>
      </c>
      <c r="HU148" s="348">
        <f t="shared" si="184"/>
        <v>0</v>
      </c>
      <c r="HV148" s="348">
        <f t="shared" si="184"/>
        <v>0</v>
      </c>
      <c r="HW148" s="348">
        <f t="shared" si="184"/>
        <v>0</v>
      </c>
      <c r="HX148" s="348">
        <f t="shared" si="184"/>
        <v>0</v>
      </c>
      <c r="HY148" s="348">
        <f t="shared" si="184"/>
        <v>0</v>
      </c>
      <c r="HZ148" s="348">
        <f t="shared" si="184"/>
        <v>0</v>
      </c>
      <c r="IA148" s="348">
        <f t="shared" si="184"/>
        <v>0</v>
      </c>
      <c r="IB148" s="348">
        <f t="shared" si="184"/>
        <v>0</v>
      </c>
      <c r="IC148" s="348">
        <f t="shared" si="184"/>
        <v>0</v>
      </c>
      <c r="ID148" s="348">
        <f t="shared" si="184"/>
        <v>0</v>
      </c>
      <c r="IE148" s="348">
        <f t="shared" si="184"/>
        <v>0</v>
      </c>
      <c r="IF148" s="348">
        <f t="shared" si="184"/>
        <v>0</v>
      </c>
      <c r="IG148" s="348">
        <f t="shared" si="184"/>
        <v>0</v>
      </c>
      <c r="IH148" s="348">
        <f t="shared" si="184"/>
        <v>0</v>
      </c>
      <c r="II148" s="348">
        <f t="shared" si="184"/>
        <v>0</v>
      </c>
      <c r="IJ148" s="348">
        <f t="shared" si="184"/>
        <v>0</v>
      </c>
      <c r="IK148" s="348">
        <f t="shared" si="184"/>
        <v>0</v>
      </c>
    </row>
    <row r="149" spans="1:245" hidden="1" x14ac:dyDescent="0.35">
      <c r="A149" s="195"/>
      <c r="B149" s="5"/>
      <c r="C149" s="630"/>
      <c r="D149" s="468"/>
      <c r="E149" s="32"/>
    </row>
    <row r="150" spans="1:245" hidden="1" x14ac:dyDescent="0.35">
      <c r="A150" s="195"/>
      <c r="B150" s="5"/>
      <c r="C150" s="630" t="s">
        <v>1585</v>
      </c>
      <c r="D150" s="471">
        <f>IF(D128&gt;D127+1,0,IF(D127=D128,IF(D128*D132&lt;D67,G151,G150),IF(D136&gt;E135,0,IF(D127+1=D128,0,D140+1))))</f>
        <v>0</v>
      </c>
      <c r="E150" s="32">
        <f>IF(D150=0,0,D150-D129+1)</f>
        <v>0</v>
      </c>
      <c r="G150" s="471">
        <f>IF(ENTRADAS!$E$1038=0,0,IF(ENTRADAS!$F$22=D127,IF(D127*D132&lt;E140,IF(E138+D127*(LAJES!$H$486/D128)&lt;(D127*D132)+D129,(D127*D132)+D129,E67+D129-1),0)))</f>
        <v>0</v>
      </c>
    </row>
    <row r="151" spans="1:245" hidden="1" x14ac:dyDescent="0.35">
      <c r="A151" s="195"/>
      <c r="B151" s="5"/>
      <c r="C151" s="630" t="s">
        <v>1586</v>
      </c>
      <c r="D151" s="467">
        <f>IF(D150=0,0,D150+D148-1)</f>
        <v>0</v>
      </c>
      <c r="E151" s="32">
        <f>D148+E150</f>
        <v>0</v>
      </c>
      <c r="G151" s="471">
        <f>IF(ENTRADAS!$E$1038=0,0,IF(D128=D127,IF(D127*D132&lt;E143,IF(E138+D127*(LAJES!$H$486/D128)&lt;(D127*D132)+D129,(D127*D132)+D129,E67+D129-1),IF(E143=0,D131+1))))</f>
        <v>0</v>
      </c>
    </row>
    <row r="152" spans="1:245" ht="12.75" hidden="1" customHeight="1" x14ac:dyDescent="0.35">
      <c r="A152" s="195"/>
      <c r="B152" s="5"/>
      <c r="G152" s="473">
        <f ca="1">IF(D151&gt;D140,D151,IF(D140&gt;D151,D140,0))</f>
        <v>0</v>
      </c>
    </row>
    <row r="153" spans="1:245" ht="4.5" hidden="1" customHeight="1" x14ac:dyDescent="0.35">
      <c r="A153" s="195"/>
      <c r="B153" s="5"/>
    </row>
    <row r="154" spans="1:245" ht="15.75" hidden="1" customHeight="1" x14ac:dyDescent="0.35">
      <c r="A154" s="195"/>
      <c r="B154" s="5"/>
      <c r="D154" s="600">
        <f ca="1">$J$3+(E30-D129+ENTRADAS!BS401)+D156-2</f>
        <v>45999.25</v>
      </c>
    </row>
    <row r="155" spans="1:245" ht="4.5" hidden="1" customHeight="1" x14ac:dyDescent="0.35">
      <c r="A155" s="195"/>
      <c r="B155" s="5"/>
    </row>
    <row r="156" spans="1:245" hidden="1" x14ac:dyDescent="0.35">
      <c r="A156" s="195"/>
      <c r="B156" s="5"/>
      <c r="C156" s="630" t="s">
        <v>1587</v>
      </c>
      <c r="D156" s="468">
        <f ca="1">IF(ENTRADAS!$F$22=0,0,IF($J$3=0,0,ROUNDUP(CÁLCULOS!$L$536/ENTRADAS!$F$22,0)))</f>
        <v>29</v>
      </c>
      <c r="E156" s="32"/>
      <c r="G156">
        <f ca="1">E30-D129</f>
        <v>53.25</v>
      </c>
      <c r="H156" s="348">
        <f ca="1">IF(ENTRADAS!$D$912="X",IF($E$158&gt;0,IF(AND(H92&gt;=$E$161,H92&lt;$E$162+1),10,0),IF(AND(H92&gt;=$E$161-1,H92&lt;$E$162-1),10,0)),IF($E$158&gt;0,IF(AND(H92&gt;=$E$161,H92&lt;$E$162+2),10,0),IF(AND(H92&gt;=$E$161-1,H92&lt;$E$162-1),10,0)))</f>
        <v>0</v>
      </c>
      <c r="I156" s="348">
        <f ca="1">IF(ENTRADAS!$D$912="X",IF($E$158&gt;0,IF(AND(I92&gt;=$E$161,I92&lt;$E$162+1),10,0),IF(AND(I92&gt;=$E$161-1,I92&lt;$E$162-1),10,0)),IF($E$158&gt;0,IF(AND(I92&gt;=$E$161,I92&lt;$E$162+2),10,0),IF(AND(I92&gt;=$E$161-1,I92&lt;$E$162-1),10,0)))</f>
        <v>0</v>
      </c>
      <c r="J156" s="348">
        <f ca="1">IF(ENTRADAS!$D$912="X",IF($E$158&gt;0,IF(AND(J92&gt;=$E$161,J92&lt;$E$162+1),10,0),IF(AND(J92&gt;=$E$161-1,J92&lt;$E$162-1),10,0)),IF($E$158&gt;0,IF(AND(J92&gt;=$E$161,J92&lt;$E$162+2),10,0),IF(AND(J92&gt;=$E$161-1,J92&lt;$E$162-1),10,0)))</f>
        <v>0</v>
      </c>
      <c r="K156" s="348">
        <f ca="1">IF(ENTRADAS!$D$912="X",IF($E$158&gt;0,IF(AND(K92&gt;=$E$161,K92&lt;$E$162+1),10,0),IF(AND(K92&gt;=$E$161-1,K92&lt;$E$162-1),10,0)),IF($E$158&gt;0,IF(AND(K92&gt;=$E$161,K92&lt;$E$162+2),10,0),IF(AND(K92&gt;=$E$161-1,K92&lt;$E$162-1),10,0)))</f>
        <v>0</v>
      </c>
      <c r="L156" s="348">
        <f ca="1">IF(ENTRADAS!$D$912="X",IF($E$158&gt;0,IF(AND(L92&gt;=$E$161,L92&lt;$E$162+1),10,0),IF(AND(L92&gt;=$E$161-1,L92&lt;$E$162-1),10,0)),IF($E$158&gt;0,IF(AND(L92&gt;=$E$161,L92&lt;$E$162+2),10,0),IF(AND(L92&gt;=$E$161-1,L92&lt;$E$162-1),10,0)))</f>
        <v>0</v>
      </c>
      <c r="M156" s="348">
        <f ca="1">IF(ENTRADAS!$D$912="X",IF($E$158&gt;0,IF(AND(M92&gt;=$E$161,M92&lt;$E$162+1),10,0),IF(AND(M92&gt;=$E$161-1,M92&lt;$E$162-1),10,0)),IF($E$158&gt;0,IF(AND(M92&gt;=$E$161,M92&lt;$E$162+2),10,0),IF(AND(M92&gt;=$E$161-1,M92&lt;$E$162-1),10,0)))</f>
        <v>0</v>
      </c>
      <c r="N156" s="348">
        <f ca="1">IF(ENTRADAS!$D$912="X",IF($E$158&gt;0,IF(AND(N92&gt;=$E$161,N92&lt;$E$162+1),10,0),IF(AND(N92&gt;=$E$161-1,N92&lt;$E$162-1),10,0)),IF($E$158&gt;0,IF(AND(N92&gt;=$E$161,N92&lt;$E$162+2),10,0),IF(AND(N92&gt;=$E$161-1,N92&lt;$E$162-1),10,0)))</f>
        <v>0</v>
      </c>
      <c r="O156" s="348">
        <f ca="1">IF(ENTRADAS!$D$912="X",IF($E$158&gt;0,IF(AND(O92&gt;=$E$161,O92&lt;$E$162+1),10,0),IF(AND(O92&gt;=$E$161-1,O92&lt;$E$162-1),10,0)),IF($E$158&gt;0,IF(AND(O92&gt;=$E$161,O92&lt;$E$162+2),10,0),IF(AND(O92&gt;=$E$161-1,O92&lt;$E$162-1),10,0)))</f>
        <v>0</v>
      </c>
      <c r="P156" s="348">
        <f ca="1">IF(ENTRADAS!$D$912="X",IF($E$158&gt;0,IF(AND(P92&gt;=$E$161,P92&lt;$E$162+1),10,0),IF(AND(P92&gt;=$E$161-1,P92&lt;$E$162-1),10,0)),IF($E$158&gt;0,IF(AND(P92&gt;=$E$161,P92&lt;$E$162+2),10,0),IF(AND(P92&gt;=$E$161-1,P92&lt;$E$162-1),10,0)))</f>
        <v>0</v>
      </c>
      <c r="Q156" s="348">
        <f ca="1">IF(ENTRADAS!$D$912="X",IF($E$158&gt;0,IF(AND(Q92&gt;=$E$161,Q92&lt;$E$162+1),10,0),IF(AND(Q92&gt;=$E$161-1,Q92&lt;$E$162-1),10,0)),IF($E$158&gt;0,IF(AND(Q92&gt;=$E$161,Q92&lt;$E$162+2),10,0),IF(AND(Q92&gt;=$E$161-1,Q92&lt;$E$162-1),10,0)))</f>
        <v>0</v>
      </c>
      <c r="R156" s="348">
        <f ca="1">IF(ENTRADAS!$D$912="X",IF($E$158&gt;0,IF(AND(R92&gt;=$E$161,R92&lt;$E$162+1),10,0),IF(AND(R92&gt;=$E$161-1,R92&lt;$E$162-1),10,0)),IF($E$158&gt;0,IF(AND(R92&gt;=$E$161,R92&lt;$E$162+2),10,0),IF(AND(R92&gt;=$E$161-1,R92&lt;$E$162-1),10,0)))</f>
        <v>0</v>
      </c>
      <c r="S156" s="348">
        <f ca="1">IF(ENTRADAS!$D$912="X",IF($E$158&gt;0,IF(AND(S92&gt;=$E$161,S92&lt;$E$162+1),10,0),IF(AND(S92&gt;=$E$161-1,S92&lt;$E$162-1),10,0)),IF($E$158&gt;0,IF(AND(S92&gt;=$E$161,S92&lt;$E$162+2),10,0),IF(AND(S92&gt;=$E$161-1,S92&lt;$E$162-1),10,0)))</f>
        <v>0</v>
      </c>
      <c r="T156" s="348">
        <f ca="1">IF(ENTRADAS!$D$912="X",IF($E$158&gt;0,IF(AND(T92&gt;=$E$161,T92&lt;$E$162+1),10,0),IF(AND(T92&gt;=$E$161-1,T92&lt;$E$162-1),10,0)),IF($E$158&gt;0,IF(AND(T92&gt;=$E$161,T92&lt;$E$162+2),10,0),IF(AND(T92&gt;=$E$161-1,T92&lt;$E$162-1),10,0)))</f>
        <v>0</v>
      </c>
      <c r="U156" s="348">
        <f ca="1">IF(ENTRADAS!$D$912="X",IF($E$158&gt;0,IF(AND(U92&gt;=$E$161,U92&lt;$E$162+1),10,0),IF(AND(U92&gt;=$E$161-1,U92&lt;$E$162-1),10,0)),IF($E$158&gt;0,IF(AND(U92&gt;=$E$161,U92&lt;$E$162+2),10,0),IF(AND(U92&gt;=$E$161-1,U92&lt;$E$162-1),10,0)))</f>
        <v>0</v>
      </c>
      <c r="V156" s="348">
        <f ca="1">IF(ENTRADAS!$D$912="X",IF($E$158&gt;0,IF(AND(V92&gt;=$E$161,V92&lt;$E$162+1),10,0),IF(AND(V92&gt;=$E$161-1,V92&lt;$E$162-1),10,0)),IF($E$158&gt;0,IF(AND(V92&gt;=$E$161,V92&lt;$E$162+2),10,0),IF(AND(V92&gt;=$E$161-1,V92&lt;$E$162-1),10,0)))</f>
        <v>0</v>
      </c>
      <c r="W156" s="348">
        <f ca="1">IF(ENTRADAS!$D$912="X",IF($E$158&gt;0,IF(AND(W92&gt;=$E$161,W92&lt;$E$162+1),10,0),IF(AND(W92&gt;=$E$161-1,W92&lt;$E$162-1),10,0)),IF($E$158&gt;0,IF(AND(W92&gt;=$E$161,W92&lt;$E$162+2),10,0),IF(AND(W92&gt;=$E$161-1,W92&lt;$E$162-1),10,0)))</f>
        <v>0</v>
      </c>
      <c r="X156" s="348">
        <f ca="1">IF(ENTRADAS!$D$912="X",IF($E$158&gt;0,IF(AND(X92&gt;=$E$161,X92&lt;$E$162+1),10,0),IF(AND(X92&gt;=$E$161-1,X92&lt;$E$162-1),10,0)),IF($E$158&gt;0,IF(AND(X92&gt;=$E$161,X92&lt;$E$162+2),10,0),IF(AND(X92&gt;=$E$161-1,X92&lt;$E$162-1),10,0)))</f>
        <v>0</v>
      </c>
      <c r="Y156" s="348">
        <f ca="1">IF(ENTRADAS!$D$912="X",IF($E$158&gt;0,IF(AND(Y92&gt;=$E$161,Y92&lt;$E$162+1),10,0),IF(AND(Y92&gt;=$E$161-1,Y92&lt;$E$162-1),10,0)),IF($E$158&gt;0,IF(AND(Y92&gt;=$E$161,Y92&lt;$E$162+2),10,0),IF(AND(Y92&gt;=$E$161-1,Y92&lt;$E$162-1),10,0)))</f>
        <v>0</v>
      </c>
      <c r="Z156" s="348">
        <f ca="1">IF(ENTRADAS!$D$912="X",IF($E$158&gt;0,IF(AND(Z92&gt;=$E$161,Z92&lt;$E$162+1),10,0),IF(AND(Z92&gt;=$E$161-1,Z92&lt;$E$162-1),10,0)),IF($E$158&gt;0,IF(AND(Z92&gt;=$E$161,Z92&lt;$E$162+2),10,0),IF(AND(Z92&gt;=$E$161-1,Z92&lt;$E$162-1),10,0)))</f>
        <v>0</v>
      </c>
      <c r="AA156" s="348">
        <f ca="1">IF(ENTRADAS!$D$912="X",IF($E$158&gt;0,IF(AND(AA92&gt;=$E$161,AA92&lt;$E$162+1),10,0),IF(AND(AA92&gt;=$E$161-1,AA92&lt;$E$162-1),10,0)),IF($E$158&gt;0,IF(AND(AA92&gt;=$E$161,AA92&lt;$E$162+2),10,0),IF(AND(AA92&gt;=$E$161-1,AA92&lt;$E$162-1),10,0)))</f>
        <v>0</v>
      </c>
      <c r="AB156" s="348">
        <f ca="1">IF(ENTRADAS!$D$912="X",IF($E$158&gt;0,IF(AND(AB92&gt;=$E$161,AB92&lt;$E$162+1),10,0),IF(AND(AB92&gt;=$E$161-1,AB92&lt;$E$162-1),10,0)),IF($E$158&gt;0,IF(AND(AB92&gt;=$E$161,AB92&lt;$E$162+2),10,0),IF(AND(AB92&gt;=$E$161-1,AB92&lt;$E$162-1),10,0)))</f>
        <v>0</v>
      </c>
      <c r="AC156" s="348">
        <f ca="1">IF(ENTRADAS!$D$912="X",IF($E$158&gt;0,IF(AND(AC92&gt;=$E$161,AC92&lt;$E$162+1),10,0),IF(AND(AC92&gt;=$E$161-1,AC92&lt;$E$162-1),10,0)),IF($E$158&gt;0,IF(AND(AC92&gt;=$E$161,AC92&lt;$E$162+2),10,0),IF(AND(AC92&gt;=$E$161-1,AC92&lt;$E$162-1),10,0)))</f>
        <v>0</v>
      </c>
      <c r="AD156" s="348">
        <f ca="1">IF(ENTRADAS!$D$912="X",IF($E$158&gt;0,IF(AND(AD92&gt;=$E$161,AD92&lt;$E$162+1),10,0),IF(AND(AD92&gt;=$E$161-1,AD92&lt;$E$162-1),10,0)),IF($E$158&gt;0,IF(AND(AD92&gt;=$E$161,AD92&lt;$E$162+2),10,0),IF(AND(AD92&gt;=$E$161-1,AD92&lt;$E$162-1),10,0)))</f>
        <v>0</v>
      </c>
      <c r="AE156" s="348">
        <f ca="1">IF(ENTRADAS!$D$912="X",IF($E$158&gt;0,IF(AND(AE92&gt;=$E$161,AE92&lt;$E$162+1),10,0),IF(AND(AE92&gt;=$E$161-1,AE92&lt;$E$162-1),10,0)),IF($E$158&gt;0,IF(AND(AE92&gt;=$E$161,AE92&lt;$E$162+2),10,0),IF(AND(AE92&gt;=$E$161-1,AE92&lt;$E$162-1),10,0)))</f>
        <v>0</v>
      </c>
      <c r="AF156" s="348">
        <f ca="1">IF(ENTRADAS!$D$912="X",IF($E$158&gt;0,IF(AND(AF92&gt;=$E$161,AF92&lt;$E$162+1),10,0),IF(AND(AF92&gt;=$E$161-1,AF92&lt;$E$162-1),10,0)),IF($E$158&gt;0,IF(AND(AF92&gt;=$E$161,AF92&lt;$E$162+2),10,0),IF(AND(AF92&gt;=$E$161-1,AF92&lt;$E$162-1),10,0)))</f>
        <v>0</v>
      </c>
      <c r="AG156" s="348">
        <f ca="1">IF(ENTRADAS!$D$912="X",IF($E$158&gt;0,IF(AND(AG92&gt;=$E$161,AG92&lt;$E$162+1),10,0),IF(AND(AG92&gt;=$E$161-1,AG92&lt;$E$162-1),10,0)),IF($E$158&gt;0,IF(AND(AG92&gt;=$E$161,AG92&lt;$E$162+2),10,0),IF(AND(AG92&gt;=$E$161-1,AG92&lt;$E$162-1),10,0)))</f>
        <v>0</v>
      </c>
      <c r="AH156" s="348">
        <f ca="1">IF(ENTRADAS!$D$912="X",IF($E$158&gt;0,IF(AND(AH92&gt;=$E$161,AH92&lt;$E$162+1),10,0),IF(AND(AH92&gt;=$E$161-1,AH92&lt;$E$162-1),10,0)),IF($E$158&gt;0,IF(AND(AH92&gt;=$E$161,AH92&lt;$E$162+2),10,0),IF(AND(AH92&gt;=$E$161-1,AH92&lt;$E$162-1),10,0)))</f>
        <v>0</v>
      </c>
      <c r="AI156" s="348">
        <f ca="1">IF(ENTRADAS!$D$912="X",IF($E$158&gt;0,IF(AND(AI92&gt;=$E$161,AI92&lt;$E$162+1),10,0),IF(AND(AI92&gt;=$E$161-1,AI92&lt;$E$162-1),10,0)),IF($E$158&gt;0,IF(AND(AI92&gt;=$E$161,AI92&lt;$E$162+2),10,0),IF(AND(AI92&gt;=$E$161-1,AI92&lt;$E$162-1),10,0)))</f>
        <v>0</v>
      </c>
      <c r="AJ156" s="348">
        <f ca="1">IF(ENTRADAS!$D$912="X",IF($E$158&gt;0,IF(AND(AJ92&gt;=$E$161,AJ92&lt;$E$162+1),10,0),IF(AND(AJ92&gt;=$E$161-1,AJ92&lt;$E$162-1),10,0)),IF($E$158&gt;0,IF(AND(AJ92&gt;=$E$161,AJ92&lt;$E$162+2),10,0),IF(AND(AJ92&gt;=$E$161-1,AJ92&lt;$E$162-1),10,0)))</f>
        <v>0</v>
      </c>
      <c r="AK156" s="348">
        <f ca="1">IF(ENTRADAS!$D$912="X",IF($E$158&gt;0,IF(AND(AK92&gt;=$E$161,AK92&lt;$E$162+1),10,0),IF(AND(AK92&gt;=$E$161-1,AK92&lt;$E$162-1),10,0)),IF($E$158&gt;0,IF(AND(AK92&gt;=$E$161,AK92&lt;$E$162+2),10,0),IF(AND(AK92&gt;=$E$161-1,AK92&lt;$E$162-1),10,0)))</f>
        <v>0</v>
      </c>
      <c r="AL156" s="348">
        <f ca="1">IF(ENTRADAS!$D$912="X",IF($E$158&gt;0,IF(AND(AL92&gt;=$E$161,AL92&lt;$E$162+1),10,0),IF(AND(AL92&gt;=$E$161-1,AL92&lt;$E$162-1),10,0)),IF($E$158&gt;0,IF(AND(AL92&gt;=$E$161,AL92&lt;$E$162+2),10,0),IF(AND(AL92&gt;=$E$161-1,AL92&lt;$E$162-1),10,0)))</f>
        <v>0</v>
      </c>
      <c r="AM156" s="348">
        <f ca="1">IF(ENTRADAS!$D$912="X",IF($E$158&gt;0,IF(AND(AM92&gt;=$E$161,AM92&lt;$E$162+1),10,0),IF(AND(AM92&gt;=$E$161-1,AM92&lt;$E$162-1),10,0)),IF($E$158&gt;0,IF(AND(AM92&gt;=$E$161,AM92&lt;$E$162+2),10,0),IF(AND(AM92&gt;=$E$161-1,AM92&lt;$E$162-1),10,0)))</f>
        <v>0</v>
      </c>
      <c r="AN156" s="348">
        <f ca="1">IF(ENTRADAS!$D$912="X",IF($E$158&gt;0,IF(AND(AN92&gt;=$E$161,AN92&lt;$E$162+1),10,0),IF(AND(AN92&gt;=$E$161-1,AN92&lt;$E$162-1),10,0)),IF($E$158&gt;0,IF(AND(AN92&gt;=$E$161,AN92&lt;$E$162+2),10,0),IF(AND(AN92&gt;=$E$161-1,AN92&lt;$E$162-1),10,0)))</f>
        <v>0</v>
      </c>
      <c r="AO156" s="348">
        <f ca="1">IF(ENTRADAS!$D$912="X",IF($E$158&gt;0,IF(AND(AO92&gt;=$E$161,AO92&lt;$E$162+1),10,0),IF(AND(AO92&gt;=$E$161-1,AO92&lt;$E$162-1),10,0)),IF($E$158&gt;0,IF(AND(AO92&gt;=$E$161,AO92&lt;$E$162+2),10,0),IF(AND(AO92&gt;=$E$161-1,AO92&lt;$E$162-1),10,0)))</f>
        <v>0</v>
      </c>
      <c r="AP156" s="348">
        <f ca="1">IF(ENTRADAS!$D$912="X",IF($E$158&gt;0,IF(AND(AP92&gt;=$E$161,AP92&lt;$E$162+1),10,0),IF(AND(AP92&gt;=$E$161-1,AP92&lt;$E$162-1),10,0)),IF($E$158&gt;0,IF(AND(AP92&gt;=$E$161,AP92&lt;$E$162+2),10,0),IF(AND(AP92&gt;=$E$161-1,AP92&lt;$E$162-1),10,0)))</f>
        <v>0</v>
      </c>
      <c r="AQ156" s="348">
        <f ca="1">IF(ENTRADAS!$D$912="X",IF($E$158&gt;0,IF(AND(AQ92&gt;=$E$161,AQ92&lt;$E$162+1),10,0),IF(AND(AQ92&gt;=$E$161-1,AQ92&lt;$E$162-1),10,0)),IF($E$158&gt;0,IF(AND(AQ92&gt;=$E$161,AQ92&lt;$E$162+2),10,0),IF(AND(AQ92&gt;=$E$161-1,AQ92&lt;$E$162-1),10,0)))</f>
        <v>0</v>
      </c>
      <c r="AR156" s="348">
        <f ca="1">IF(ENTRADAS!$D$912="X",IF($E$158&gt;0,IF(AND(AR92&gt;=$E$161,AR92&lt;$E$162+1),10,0),IF(AND(AR92&gt;=$E$161-1,AR92&lt;$E$162-1),10,0)),IF($E$158&gt;0,IF(AND(AR92&gt;=$E$161,AR92&lt;$E$162+2),10,0),IF(AND(AR92&gt;=$E$161-1,AR92&lt;$E$162-1),10,0)))</f>
        <v>0</v>
      </c>
      <c r="AS156" s="348">
        <f ca="1">IF(ENTRADAS!$D$912="X",IF($E$158&gt;0,IF(AND(AS92&gt;=$E$161,AS92&lt;$E$162+1),10,0),IF(AND(AS92&gt;=$E$161-1,AS92&lt;$E$162-1),10,0)),IF($E$158&gt;0,IF(AND(AS92&gt;=$E$161,AS92&lt;$E$162+2),10,0),IF(AND(AS92&gt;=$E$161-1,AS92&lt;$E$162-1),10,0)))</f>
        <v>0</v>
      </c>
      <c r="AT156" s="348">
        <f ca="1">IF(ENTRADAS!$D$912="X",IF($E$158&gt;0,IF(AND(AT92&gt;=$E$161,AT92&lt;$E$162+1),10,0),IF(AND(AT92&gt;=$E$161-1,AT92&lt;$E$162-1),10,0)),IF($E$158&gt;0,IF(AND(AT92&gt;=$E$161,AT92&lt;$E$162+2),10,0),IF(AND(AT92&gt;=$E$161-1,AT92&lt;$E$162-1),10,0)))</f>
        <v>0</v>
      </c>
      <c r="AU156" s="348">
        <f ca="1">IF(ENTRADAS!$D$912="X",IF($E$158&gt;0,IF(AND(AU92&gt;=$E$161,AU92&lt;$E$162+1),10,0),IF(AND(AU92&gt;=$E$161-1,AU92&lt;$E$162-1),10,0)),IF($E$158&gt;0,IF(AND(AU92&gt;=$E$161,AU92&lt;$E$162+2),10,0),IF(AND(AU92&gt;=$E$161-1,AU92&lt;$E$162-1),10,0)))</f>
        <v>0</v>
      </c>
      <c r="AV156" s="348">
        <f ca="1">IF(ENTRADAS!$D$912="X",IF($E$158&gt;0,IF(AND(AV92&gt;=$E$161,AV92&lt;$E$162+1),10,0),IF(AND(AV92&gt;=$E$161-1,AV92&lt;$E$162-1),10,0)),IF($E$158&gt;0,IF(AND(AV92&gt;=$E$161,AV92&lt;$E$162+2),10,0),IF(AND(AV92&gt;=$E$161-1,AV92&lt;$E$162-1),10,0)))</f>
        <v>0</v>
      </c>
      <c r="AW156" s="348">
        <f ca="1">IF(ENTRADAS!$D$912="X",IF($E$158&gt;0,IF(AND(AW92&gt;=$E$161,AW92&lt;$E$162+1),10,0),IF(AND(AW92&gt;=$E$161-1,AW92&lt;$E$162-1),10,0)),IF($E$158&gt;0,IF(AND(AW92&gt;=$E$161,AW92&lt;$E$162+2),10,0),IF(AND(AW92&gt;=$E$161-1,AW92&lt;$E$162-1),10,0)))</f>
        <v>0</v>
      </c>
      <c r="AX156" s="348">
        <f ca="1">IF(ENTRADAS!$D$912="X",IF($E$158&gt;0,IF(AND(AX92&gt;=$E$161,AX92&lt;$E$162+1),10,0),IF(AND(AX92&gt;=$E$161-1,AX92&lt;$E$162-1),10,0)),IF($E$158&gt;0,IF(AND(AX92&gt;=$E$161,AX92&lt;$E$162+2),10,0),IF(AND(AX92&gt;=$E$161-1,AX92&lt;$E$162-1),10,0)))</f>
        <v>0</v>
      </c>
      <c r="AY156" s="348">
        <f ca="1">IF(ENTRADAS!$D$912="X",IF($E$158&gt;0,IF(AND(AY92&gt;=$E$161,AY92&lt;$E$162+1),10,0),IF(AND(AY92&gt;=$E$161-1,AY92&lt;$E$162-1),10,0)),IF($E$158&gt;0,IF(AND(AY92&gt;=$E$161,AY92&lt;$E$162+2),10,0),IF(AND(AY92&gt;=$E$161-1,AY92&lt;$E$162-1),10,0)))</f>
        <v>0</v>
      </c>
      <c r="AZ156" s="348">
        <f ca="1">IF(ENTRADAS!$D$912="X",IF($E$158&gt;0,IF(AND(AZ92&gt;=$E$161,AZ92&lt;$E$162+1),10,0),IF(AND(AZ92&gt;=$E$161-1,AZ92&lt;$E$162-1),10,0)),IF($E$158&gt;0,IF(AND(AZ92&gt;=$E$161,AZ92&lt;$E$162+2),10,0),IF(AND(AZ92&gt;=$E$161-1,AZ92&lt;$E$162-1),10,0)))</f>
        <v>0</v>
      </c>
      <c r="BA156" s="348">
        <f ca="1">IF(ENTRADAS!$D$912="X",IF($E$158&gt;0,IF(AND(BA92&gt;=$E$161,BA92&lt;$E$162+1),10,0),IF(AND(BA92&gt;=$E$161-1,BA92&lt;$E$162-1),10,0)),IF($E$158&gt;0,IF(AND(BA92&gt;=$E$161,BA92&lt;$E$162+2),10,0),IF(AND(BA92&gt;=$E$161-1,BA92&lt;$E$162-1),10,0)))</f>
        <v>0</v>
      </c>
      <c r="BB156" s="348">
        <f ca="1">IF(ENTRADAS!$D$912="X",IF($E$158&gt;0,IF(AND(BB92&gt;=$E$161,BB92&lt;$E$162+1),10,0),IF(AND(BB92&gt;=$E$161-1,BB92&lt;$E$162-1),10,0)),IF($E$158&gt;0,IF(AND(BB92&gt;=$E$161,BB92&lt;$E$162+2),10,0),IF(AND(BB92&gt;=$E$161-1,BB92&lt;$E$162-1),10,0)))</f>
        <v>0</v>
      </c>
      <c r="BC156" s="348">
        <f ca="1">IF(ENTRADAS!$D$912="X",IF($E$158&gt;0,IF(AND(BC92&gt;=$E$161,BC92&lt;$E$162+1),10,0),IF(AND(BC92&gt;=$E$161-1,BC92&lt;$E$162-1),10,0)),IF($E$158&gt;0,IF(AND(BC92&gt;=$E$161,BC92&lt;$E$162+2),10,0),IF(AND(BC92&gt;=$E$161-1,BC92&lt;$E$162-1),10,0)))</f>
        <v>0</v>
      </c>
      <c r="BD156" s="348">
        <f ca="1">IF(ENTRADAS!$D$912="X",IF($E$158&gt;0,IF(AND(BD92&gt;=$E$161,BD92&lt;$E$162+1),10,0),IF(AND(BD92&gt;=$E$161-1,BD92&lt;$E$162-1),10,0)),IF($E$158&gt;0,IF(AND(BD92&gt;=$E$161,BD92&lt;$E$162+2),10,0),IF(AND(BD92&gt;=$E$161-1,BD92&lt;$E$162-1),10,0)))</f>
        <v>0</v>
      </c>
      <c r="BE156" s="348">
        <f ca="1">IF(ENTRADAS!$D$912="X",IF($E$158&gt;0,IF(AND(BE92&gt;=$E$161,BE92&lt;$E$162+1),10,0),IF(AND(BE92&gt;=$E$161-1,BE92&lt;$E$162-1),10,0)),IF($E$158&gt;0,IF(AND(BE92&gt;=$E$161,BE92&lt;$E$162+2),10,0),IF(AND(BE92&gt;=$E$161-1,BE92&lt;$E$162-1),10,0)))</f>
        <v>0</v>
      </c>
      <c r="BF156" s="348">
        <f ca="1">IF(ENTRADAS!$D$912="X",IF($E$158&gt;0,IF(AND(BF92&gt;=$E$161,BF92&lt;$E$162+1),10,0),IF(AND(BF92&gt;=$E$161-1,BF92&lt;$E$162-1),10,0)),IF($E$158&gt;0,IF(AND(BF92&gt;=$E$161,BF92&lt;$E$162+2),10,0),IF(AND(BF92&gt;=$E$161-1,BF92&lt;$E$162-1),10,0)))</f>
        <v>0</v>
      </c>
      <c r="BG156" s="348">
        <f ca="1">IF(ENTRADAS!$D$912="X",IF($E$158&gt;0,IF(AND(BG92&gt;=$E$161,BG92&lt;$E$162+1),10,0),IF(AND(BG92&gt;=$E$161-1,BG92&lt;$E$162-1),10,0)),IF($E$158&gt;0,IF(AND(BG92&gt;=$E$161,BG92&lt;$E$162+2),10,0),IF(AND(BG92&gt;=$E$161-1,BG92&lt;$E$162-1),10,0)))</f>
        <v>0</v>
      </c>
      <c r="BH156" s="348">
        <f ca="1">IF(ENTRADAS!$D$912="X",IF($E$158&gt;0,IF(AND(BH92&gt;=$E$161,BH92&lt;$E$162+1),10,0),IF(AND(BH92&gt;=$E$161-1,BH92&lt;$E$162-1),10,0)),IF($E$158&gt;0,IF(AND(BH92&gt;=$E$161,BH92&lt;$E$162+2),10,0),IF(AND(BH92&gt;=$E$161-1,BH92&lt;$E$162-1),10,0)))</f>
        <v>0</v>
      </c>
      <c r="BI156" s="348">
        <f ca="1">IF(ENTRADAS!$D$912="X",IF($E$158&gt;0,IF(AND(BI92&gt;=$E$161,BI92&lt;$E$162+1),10,0),IF(AND(BI92&gt;=$E$161-1,BI92&lt;$E$162-1),10,0)),IF($E$158&gt;0,IF(AND(BI92&gt;=$E$161,BI92&lt;$E$162+2),10,0),IF(AND(BI92&gt;=$E$161-1,BI92&lt;$E$162-1),10,0)))</f>
        <v>0</v>
      </c>
      <c r="BJ156" s="348">
        <f ca="1">IF(ENTRADAS!$D$912="X",IF($E$158&gt;0,IF(AND(BJ92&gt;=$E$161,BJ92&lt;$E$162+1),10,0),IF(AND(BJ92&gt;=$E$161-1,BJ92&lt;$E$162-1),10,0)),IF($E$158&gt;0,IF(AND(BJ92&gt;=$E$161,BJ92&lt;$E$162+2),10,0),IF(AND(BJ92&gt;=$E$161-1,BJ92&lt;$E$162-1),10,0)))</f>
        <v>10</v>
      </c>
      <c r="BK156" s="348">
        <f ca="1">IF(ENTRADAS!$D$912="X",IF($E$158&gt;0,IF(AND(BK92&gt;=$E$161,BK92&lt;$E$162+1),10,0),IF(AND(BK92&gt;=$E$161-1,BK92&lt;$E$162-1),10,0)),IF($E$158&gt;0,IF(AND(BK92&gt;=$E$161,BK92&lt;$E$162+2),10,0),IF(AND(BK92&gt;=$E$161-1,BK92&lt;$E$162-1),10,0)))</f>
        <v>10</v>
      </c>
      <c r="BL156" s="348">
        <f ca="1">IF(ENTRADAS!$D$912="X",IF($E$158&gt;0,IF(AND(BL92&gt;=$E$161,BL92&lt;$E$162+1),10,0),IF(AND(BL92&gt;=$E$161-1,BL92&lt;$E$162-1),10,0)),IF($E$158&gt;0,IF(AND(BL92&gt;=$E$161,BL92&lt;$E$162+2),10,0),IF(AND(BL92&gt;=$E$161-1,BL92&lt;$E$162-1),10,0)))</f>
        <v>10</v>
      </c>
      <c r="BM156" s="348">
        <f ca="1">IF(ENTRADAS!$D$912="X",IF($E$158&gt;0,IF(AND(BM92&gt;=$E$161,BM92&lt;$E$162+1),10,0),IF(AND(BM92&gt;=$E$161-1,BM92&lt;$E$162-1),10,0)),IF($E$158&gt;0,IF(AND(BM92&gt;=$E$161,BM92&lt;$E$162+2),10,0),IF(AND(BM92&gt;=$E$161-1,BM92&lt;$E$162-1),10,0)))</f>
        <v>10</v>
      </c>
      <c r="BN156" s="348">
        <f ca="1">IF(ENTRADAS!$D$912="X",IF($E$158&gt;0,IF(AND(BN92&gt;=$E$161,BN92&lt;$E$162+1),10,0),IF(AND(BN92&gt;=$E$161-1,BN92&lt;$E$162-1),10,0)),IF($E$158&gt;0,IF(AND(BN92&gt;=$E$161,BN92&lt;$E$162+2),10,0),IF(AND(BN92&gt;=$E$161-1,BN92&lt;$E$162-1),10,0)))</f>
        <v>10</v>
      </c>
      <c r="BO156" s="348">
        <f ca="1">IF(ENTRADAS!$D$912="X",IF($E$158&gt;0,IF(AND(BO92&gt;=$E$161,BO92&lt;$E$162+1),10,0),IF(AND(BO92&gt;=$E$161-1,BO92&lt;$E$162-1),10,0)),IF($E$158&gt;0,IF(AND(BO92&gt;=$E$161,BO92&lt;$E$162+2),10,0),IF(AND(BO92&gt;=$E$161-1,BO92&lt;$E$162-1),10,0)))</f>
        <v>10</v>
      </c>
      <c r="BP156" s="348">
        <f ca="1">IF(ENTRADAS!$D$912="X",IF($E$158&gt;0,IF(AND(BP92&gt;=$E$161,BP92&lt;$E$162+1),10,0),IF(AND(BP92&gt;=$E$161-1,BP92&lt;$E$162-1),10,0)),IF($E$158&gt;0,IF(AND(BP92&gt;=$E$161,BP92&lt;$E$162+2),10,0),IF(AND(BP92&gt;=$E$161-1,BP92&lt;$E$162-1),10,0)))</f>
        <v>10</v>
      </c>
      <c r="BQ156" s="348">
        <f ca="1">IF(ENTRADAS!$D$912="X",IF($E$158&gt;0,IF(AND(BQ92&gt;=$E$161,BQ92&lt;$E$162+1),10,0),IF(AND(BQ92&gt;=$E$161-1,BQ92&lt;$E$162-1),10,0)),IF($E$158&gt;0,IF(AND(BQ92&gt;=$E$161,BQ92&lt;$E$162+2),10,0),IF(AND(BQ92&gt;=$E$161-1,BQ92&lt;$E$162-1),10,0)))</f>
        <v>10</v>
      </c>
      <c r="BR156" s="348">
        <f ca="1">IF(ENTRADAS!$D$912="X",IF($E$158&gt;0,IF(AND(BR92&gt;=$E$161,BR92&lt;$E$162+1),10,0),IF(AND(BR92&gt;=$E$161-1,BR92&lt;$E$162-1),10,0)),IF($E$158&gt;0,IF(AND(BR92&gt;=$E$161,BR92&lt;$E$162+2),10,0),IF(AND(BR92&gt;=$E$161-1,BR92&lt;$E$162-1),10,0)))</f>
        <v>10</v>
      </c>
      <c r="BS156" s="348">
        <f ca="1">IF(ENTRADAS!$D$912="X",IF($E$158&gt;0,IF(AND(BS92&gt;=$E$161,BS92&lt;$E$162+1),10,0),IF(AND(BS92&gt;=$E$161-1,BS92&lt;$E$162-1),10,0)),IF($E$158&gt;0,IF(AND(BS92&gt;=$E$161,BS92&lt;$E$162+2),10,0),IF(AND(BS92&gt;=$E$161-1,BS92&lt;$E$162-1),10,0)))</f>
        <v>10</v>
      </c>
      <c r="BT156" s="348">
        <f ca="1">IF(ENTRADAS!$D$912="X",IF($E$158&gt;0,IF(AND(BT92&gt;=$E$161,BT92&lt;$E$162+1),10,0),IF(AND(BT92&gt;=$E$161-1,BT92&lt;$E$162-1),10,0)),IF($E$158&gt;0,IF(AND(BT92&gt;=$E$161,BT92&lt;$E$162+2),10,0),IF(AND(BT92&gt;=$E$161-1,BT92&lt;$E$162-1),10,0)))</f>
        <v>10</v>
      </c>
      <c r="BU156" s="348">
        <f ca="1">IF(ENTRADAS!$D$912="X",IF($E$158&gt;0,IF(AND(BU92&gt;=$E$161,BU92&lt;$E$162+1),10,0),IF(AND(BU92&gt;=$E$161-1,BU92&lt;$E$162-1),10,0)),IF($E$158&gt;0,IF(AND(BU92&gt;=$E$161,BU92&lt;$E$162+2),10,0),IF(AND(BU92&gt;=$E$161-1,BU92&lt;$E$162-1),10,0)))</f>
        <v>10</v>
      </c>
      <c r="BV156" s="348">
        <f ca="1">IF(ENTRADAS!$D$912="X",IF($E$158&gt;0,IF(AND(BV92&gt;=$E$161,BV92&lt;$E$162+1),10,0),IF(AND(BV92&gt;=$E$161-1,BV92&lt;$E$162-1),10,0)),IF($E$158&gt;0,IF(AND(BV92&gt;=$E$161,BV92&lt;$E$162+2),10,0),IF(AND(BV92&gt;=$E$161-1,BV92&lt;$E$162-1),10,0)))</f>
        <v>10</v>
      </c>
      <c r="BW156" s="348">
        <f ca="1">IF(ENTRADAS!$D$912="X",IF($E$158&gt;0,IF(AND(BW92&gt;=$E$161,BW92&lt;$E$162+1),10,0),IF(AND(BW92&gt;=$E$161-1,BW92&lt;$E$162-1),10,0)),IF($E$158&gt;0,IF(AND(BW92&gt;=$E$161,BW92&lt;$E$162+2),10,0),IF(AND(BW92&gt;=$E$161-1,BW92&lt;$E$162-1),10,0)))</f>
        <v>10</v>
      </c>
      <c r="BX156" s="348">
        <f ca="1">IF(ENTRADAS!$D$912="X",IF($E$158&gt;0,IF(AND(BX92&gt;=$E$161,BX92&lt;$E$162+1),10,0),IF(AND(BX92&gt;=$E$161-1,BX92&lt;$E$162-1),10,0)),IF($E$158&gt;0,IF(AND(BX92&gt;=$E$161,BX92&lt;$E$162+2),10,0),IF(AND(BX92&gt;=$E$161-1,BX92&lt;$E$162-1),10,0)))</f>
        <v>10</v>
      </c>
      <c r="BY156" s="348">
        <f ca="1">IF(ENTRADAS!$D$912="X",IF($E$158&gt;0,IF(AND(BY92&gt;=$E$161,BY92&lt;$E$162+1),10,0),IF(AND(BY92&gt;=$E$161-1,BY92&lt;$E$162-1),10,0)),IF($E$158&gt;0,IF(AND(BY92&gt;=$E$161,BY92&lt;$E$162+2),10,0),IF(AND(BY92&gt;=$E$161-1,BY92&lt;$E$162-1),10,0)))</f>
        <v>10</v>
      </c>
      <c r="BZ156" s="348">
        <f ca="1">IF(ENTRADAS!$D$912="X",IF($E$158&gt;0,IF(AND(BZ92&gt;=$E$161,BZ92&lt;$E$162+1),10,0),IF(AND(BZ92&gt;=$E$161-1,BZ92&lt;$E$162-1),10,0)),IF($E$158&gt;0,IF(AND(BZ92&gt;=$E$161,BZ92&lt;$E$162+2),10,0),IF(AND(BZ92&gt;=$E$161-1,BZ92&lt;$E$162-1),10,0)))</f>
        <v>10</v>
      </c>
      <c r="CA156" s="348">
        <f ca="1">IF(ENTRADAS!$D$912="X",IF($E$158&gt;0,IF(AND(CA92&gt;=$E$161,CA92&lt;$E$162+1),10,0),IF(AND(CA92&gt;=$E$161-1,CA92&lt;$E$162-1),10,0)),IF($E$158&gt;0,IF(AND(CA92&gt;=$E$161,CA92&lt;$E$162+2),10,0),IF(AND(CA92&gt;=$E$161-1,CA92&lt;$E$162-1),10,0)))</f>
        <v>10</v>
      </c>
      <c r="CB156" s="348">
        <f ca="1">IF(ENTRADAS!$D$912="X",IF($E$158&gt;0,IF(AND(CB92&gt;=$E$161,CB92&lt;$E$162+1),10,0),IF(AND(CB92&gt;=$E$161-1,CB92&lt;$E$162-1),10,0)),IF($E$158&gt;0,IF(AND(CB92&gt;=$E$161,CB92&lt;$E$162+2),10,0),IF(AND(CB92&gt;=$E$161-1,CB92&lt;$E$162-1),10,0)))</f>
        <v>10</v>
      </c>
      <c r="CC156" s="348">
        <f ca="1">IF(ENTRADAS!$D$912="X",IF($E$158&gt;0,IF(AND(CC92&gt;=$E$161,CC92&lt;$E$162+1),10,0),IF(AND(CC92&gt;=$E$161-1,CC92&lt;$E$162-1),10,0)),IF($E$158&gt;0,IF(AND(CC92&gt;=$E$161,CC92&lt;$E$162+2),10,0),IF(AND(CC92&gt;=$E$161-1,CC92&lt;$E$162-1),10,0)))</f>
        <v>10</v>
      </c>
      <c r="CD156" s="348">
        <f ca="1">IF(ENTRADAS!$D$912="X",IF($E$158&gt;0,IF(AND(CD92&gt;=$E$161,CD92&lt;$E$162+1),10,0),IF(AND(CD92&gt;=$E$161-1,CD92&lt;$E$162-1),10,0)),IF($E$158&gt;0,IF(AND(CD92&gt;=$E$161,CD92&lt;$E$162+2),10,0),IF(AND(CD92&gt;=$E$161-1,CD92&lt;$E$162-1),10,0)))</f>
        <v>10</v>
      </c>
      <c r="CE156" s="348">
        <f ca="1">IF(ENTRADAS!$D$912="X",IF($E$158&gt;0,IF(AND(CE92&gt;=$E$161,CE92&lt;$E$162+1),10,0),IF(AND(CE92&gt;=$E$161-1,CE92&lt;$E$162-1),10,0)),IF($E$158&gt;0,IF(AND(CE92&gt;=$E$161,CE92&lt;$E$162+2),10,0),IF(AND(CE92&gt;=$E$161-1,CE92&lt;$E$162-1),10,0)))</f>
        <v>10</v>
      </c>
      <c r="CF156" s="348">
        <f ca="1">IF(ENTRADAS!$D$912="X",IF($E$158&gt;0,IF(AND(CF92&gt;=$E$161,CF92&lt;$E$162+1),10,0),IF(AND(CF92&gt;=$E$161-1,CF92&lt;$E$162-1),10,0)),IF($E$158&gt;0,IF(AND(CF92&gt;=$E$161,CF92&lt;$E$162+2),10,0),IF(AND(CF92&gt;=$E$161-1,CF92&lt;$E$162-1),10,0)))</f>
        <v>10</v>
      </c>
      <c r="CG156" s="348">
        <f ca="1">IF(ENTRADAS!$D$912="X",IF($E$158&gt;0,IF(AND(CG92&gt;=$E$161,CG92&lt;$E$162+1),10,0),IF(AND(CG92&gt;=$E$161-1,CG92&lt;$E$162-1),10,0)),IF($E$158&gt;0,IF(AND(CG92&gt;=$E$161,CG92&lt;$E$162+2),10,0),IF(AND(CG92&gt;=$E$161-1,CG92&lt;$E$162-1),10,0)))</f>
        <v>10</v>
      </c>
      <c r="CH156" s="348">
        <f ca="1">IF(ENTRADAS!$D$912="X",IF($E$158&gt;0,IF(AND(CH92&gt;=$E$161,CH92&lt;$E$162+1),10,0),IF(AND(CH92&gt;=$E$161-1,CH92&lt;$E$162-1),10,0)),IF($E$158&gt;0,IF(AND(CH92&gt;=$E$161,CH92&lt;$E$162+2),10,0),IF(AND(CH92&gt;=$E$161-1,CH92&lt;$E$162-1),10,0)))</f>
        <v>10</v>
      </c>
      <c r="CI156" s="348">
        <f ca="1">IF(ENTRADAS!$D$912="X",IF($E$158&gt;0,IF(AND(CI92&gt;=$E$161,CI92&lt;$E$162+1),10,0),IF(AND(CI92&gt;=$E$161-1,CI92&lt;$E$162-1),10,0)),IF($E$158&gt;0,IF(AND(CI92&gt;=$E$161,CI92&lt;$E$162+2),10,0),IF(AND(CI92&gt;=$E$161-1,CI92&lt;$E$162-1),10,0)))</f>
        <v>10</v>
      </c>
      <c r="CJ156" s="348">
        <f ca="1">IF(ENTRADAS!$D$912="X",IF($E$158&gt;0,IF(AND(CJ92&gt;=$E$161,CJ92&lt;$E$162+1),10,0),IF(AND(CJ92&gt;=$E$161-1,CJ92&lt;$E$162-1),10,0)),IF($E$158&gt;0,IF(AND(CJ92&gt;=$E$161,CJ92&lt;$E$162+2),10,0),IF(AND(CJ92&gt;=$E$161-1,CJ92&lt;$E$162-1),10,0)))</f>
        <v>10</v>
      </c>
      <c r="CK156" s="348">
        <f ca="1">IF(ENTRADAS!$D$912="X",IF($E$158&gt;0,IF(AND(CK92&gt;=$E$161,CK92&lt;$E$162+1),10,0),IF(AND(CK92&gt;=$E$161-1,CK92&lt;$E$162-1),10,0)),IF($E$158&gt;0,IF(AND(CK92&gt;=$E$161,CK92&lt;$E$162+2),10,0),IF(AND(CK92&gt;=$E$161-1,CK92&lt;$E$162-1),10,0)))</f>
        <v>10</v>
      </c>
      <c r="CL156" s="348">
        <f ca="1">IF(ENTRADAS!$D$912="X",IF($E$158&gt;0,IF(AND(CL92&gt;=$E$161,CL92&lt;$E$162+1),10,0),IF(AND(CL92&gt;=$E$161-1,CL92&lt;$E$162-1),10,0)),IF($E$158&gt;0,IF(AND(CL92&gt;=$E$161,CL92&lt;$E$162+2),10,0),IF(AND(CL92&gt;=$E$161-1,CL92&lt;$E$162-1),10,0)))</f>
        <v>10</v>
      </c>
      <c r="CM156" s="348">
        <f ca="1">IF(ENTRADAS!$D$912="X",IF($E$158&gt;0,IF(AND(CM92&gt;=$E$161,CM92&lt;$E$162+1),10,0),IF(AND(CM92&gt;=$E$161-1,CM92&lt;$E$162-1),10,0)),IF($E$158&gt;0,IF(AND(CM92&gt;=$E$161,CM92&lt;$E$162+2),10,0),IF(AND(CM92&gt;=$E$161-1,CM92&lt;$E$162-1),10,0)))</f>
        <v>0</v>
      </c>
      <c r="CN156" s="348">
        <f ca="1">IF(ENTRADAS!$D$912="X",IF($E$158&gt;0,IF(AND(CN92&gt;=$E$161,CN92&lt;$E$162+1),10,0),IF(AND(CN92&gt;=$E$161-1,CN92&lt;$E$162-1),10,0)),IF($E$158&gt;0,IF(AND(CN92&gt;=$E$161,CN92&lt;$E$162+2),10,0),IF(AND(CN92&gt;=$E$161-1,CN92&lt;$E$162-1),10,0)))</f>
        <v>0</v>
      </c>
      <c r="CO156" s="348">
        <f ca="1">IF(ENTRADAS!$D$912="X",IF($E$158&gt;0,IF(AND(CO92&gt;=$E$161,CO92&lt;$E$162+1),10,0),IF(AND(CO92&gt;=$E$161-1,CO92&lt;$E$162-1),10,0)),IF($E$158&gt;0,IF(AND(CO92&gt;=$E$161,CO92&lt;$E$162+2),10,0),IF(AND(CO92&gt;=$E$161-1,CO92&lt;$E$162-1),10,0)))</f>
        <v>0</v>
      </c>
      <c r="CP156" s="348">
        <f ca="1">IF(ENTRADAS!$D$912="X",IF($E$158&gt;0,IF(AND(CP92&gt;=$E$161,CP92&lt;$E$162+1),10,0),IF(AND(CP92&gt;=$E$161-1,CP92&lt;$E$162-1),10,0)),IF($E$158&gt;0,IF(AND(CP92&gt;=$E$161,CP92&lt;$E$162+2),10,0),IF(AND(CP92&gt;=$E$161-1,CP92&lt;$E$162-1),10,0)))</f>
        <v>0</v>
      </c>
      <c r="CQ156" s="348">
        <f ca="1">IF(ENTRADAS!$D$912="X",IF($E$158&gt;0,IF(AND(CQ92&gt;=$E$161,CQ92&lt;$E$162+1),10,0),IF(AND(CQ92&gt;=$E$161-1,CQ92&lt;$E$162-1),10,0)),IF($E$158&gt;0,IF(AND(CQ92&gt;=$E$161,CQ92&lt;$E$162+2),10,0),IF(AND(CQ92&gt;=$E$161-1,CQ92&lt;$E$162-1),10,0)))</f>
        <v>0</v>
      </c>
      <c r="CR156" s="348">
        <f ca="1">IF(ENTRADAS!$D$912="X",IF($E$158&gt;0,IF(AND(CR92&gt;=$E$161,CR92&lt;$E$162+1),10,0),IF(AND(CR92&gt;=$E$161-1,CR92&lt;$E$162-1),10,0)),IF($E$158&gt;0,IF(AND(CR92&gt;=$E$161,CR92&lt;$E$162+2),10,0),IF(AND(CR92&gt;=$E$161-1,CR92&lt;$E$162-1),10,0)))</f>
        <v>0</v>
      </c>
      <c r="CS156" s="348">
        <f ca="1">IF(ENTRADAS!$D$912="X",IF($E$158&gt;0,IF(AND(CS92&gt;=$E$161,CS92&lt;$E$162+1),10,0),IF(AND(CS92&gt;=$E$161-1,CS92&lt;$E$162-1),10,0)),IF($E$158&gt;0,IF(AND(CS92&gt;=$E$161,CS92&lt;$E$162+2),10,0),IF(AND(CS92&gt;=$E$161-1,CS92&lt;$E$162-1),10,0)))</f>
        <v>0</v>
      </c>
      <c r="CT156" s="348">
        <f ca="1">IF(ENTRADAS!$D$912="X",IF($E$158&gt;0,IF(AND(CT92&gt;=$E$161,CT92&lt;$E$162+1),10,0),IF(AND(CT92&gt;=$E$161-1,CT92&lt;$E$162-1),10,0)),IF($E$158&gt;0,IF(AND(CT92&gt;=$E$161,CT92&lt;$E$162+2),10,0),IF(AND(CT92&gt;=$E$161-1,CT92&lt;$E$162-1),10,0)))</f>
        <v>0</v>
      </c>
      <c r="CU156" s="348">
        <f ca="1">IF(ENTRADAS!$D$912="X",IF($E$158&gt;0,IF(AND(CU92&gt;=$E$161,CU92&lt;$E$162+1),10,0),IF(AND(CU92&gt;=$E$161-1,CU92&lt;$E$162-1),10,0)),IF($E$158&gt;0,IF(AND(CU92&gt;=$E$161,CU92&lt;$E$162+2),10,0),IF(AND(CU92&gt;=$E$161-1,CU92&lt;$E$162-1),10,0)))</f>
        <v>0</v>
      </c>
      <c r="CV156" s="348">
        <f ca="1">IF(ENTRADAS!$D$912="X",IF($E$158&gt;0,IF(AND(CV92&gt;=$E$161,CV92&lt;$E$162+1),10,0),IF(AND(CV92&gt;=$E$161-1,CV92&lt;$E$162-1),10,0)),IF($E$158&gt;0,IF(AND(CV92&gt;=$E$161,CV92&lt;$E$162+2),10,0),IF(AND(CV92&gt;=$E$161-1,CV92&lt;$E$162-1),10,0)))</f>
        <v>0</v>
      </c>
      <c r="CW156" s="348">
        <f ca="1">IF(ENTRADAS!$D$912="X",IF($E$158&gt;0,IF(AND(CW92&gt;=$E$161,CW92&lt;$E$162+1),10,0),IF(AND(CW92&gt;=$E$161-1,CW92&lt;$E$162-1),10,0)),IF($E$158&gt;0,IF(AND(CW92&gt;=$E$161,CW92&lt;$E$162+2),10,0),IF(AND(CW92&gt;=$E$161-1,CW92&lt;$E$162-1),10,0)))</f>
        <v>0</v>
      </c>
      <c r="CX156" s="348">
        <f ca="1">IF(ENTRADAS!$D$912="X",IF($E$158&gt;0,IF(AND(CX92&gt;=$E$161,CX92&lt;$E$162+1),10,0),IF(AND(CX92&gt;=$E$161-1,CX92&lt;$E$162-1),10,0)),IF($E$158&gt;0,IF(AND(CX92&gt;=$E$161,CX92&lt;$E$162+2),10,0),IF(AND(CX92&gt;=$E$161-1,CX92&lt;$E$162-1),10,0)))</f>
        <v>0</v>
      </c>
      <c r="CY156" s="348">
        <f ca="1">IF(ENTRADAS!$D$912="X",IF($E$158&gt;0,IF(AND(CY92&gt;=$E$161,CY92&lt;$E$162+1),10,0),IF(AND(CY92&gt;=$E$161-1,CY92&lt;$E$162-1),10,0)),IF($E$158&gt;0,IF(AND(CY92&gt;=$E$161,CY92&lt;$E$162+2),10,0),IF(AND(CY92&gt;=$E$161-1,CY92&lt;$E$162-1),10,0)))</f>
        <v>0</v>
      </c>
      <c r="CZ156" s="348">
        <f ca="1">IF(ENTRADAS!$D$912="X",IF($E$158&gt;0,IF(AND(CZ92&gt;=$E$161,CZ92&lt;$E$162+1),10,0),IF(AND(CZ92&gt;=$E$161-1,CZ92&lt;$E$162-1),10,0)),IF($E$158&gt;0,IF(AND(CZ92&gt;=$E$161,CZ92&lt;$E$162+2),10,0),IF(AND(CZ92&gt;=$E$161-1,CZ92&lt;$E$162-1),10,0)))</f>
        <v>0</v>
      </c>
      <c r="DA156" s="348">
        <f ca="1">IF(ENTRADAS!$D$912="X",IF($E$158&gt;0,IF(AND(DA92&gt;=$E$161,DA92&lt;$E$162+1),10,0),IF(AND(DA92&gt;=$E$161-1,DA92&lt;$E$162-1),10,0)),IF($E$158&gt;0,IF(AND(DA92&gt;=$E$161,DA92&lt;$E$162+2),10,0),IF(AND(DA92&gt;=$E$161-1,DA92&lt;$E$162-1),10,0)))</f>
        <v>0</v>
      </c>
      <c r="DB156" s="348">
        <f ca="1">IF(ENTRADAS!$D$912="X",IF($E$158&gt;0,IF(AND(DB92&gt;=$E$161,DB92&lt;$E$162+1),10,0),IF(AND(DB92&gt;=$E$161-1,DB92&lt;$E$162-1),10,0)),IF($E$158&gt;0,IF(AND(DB92&gt;=$E$161,DB92&lt;$E$162+2),10,0),IF(AND(DB92&gt;=$E$161-1,DB92&lt;$E$162-1),10,0)))</f>
        <v>0</v>
      </c>
      <c r="DC156" s="348">
        <f ca="1">IF(ENTRADAS!$D$912="X",IF($E$158&gt;0,IF(AND(DC92&gt;=$E$161,DC92&lt;$E$162+1),10,0),IF(AND(DC92&gt;=$E$161-1,DC92&lt;$E$162-1),10,0)),IF($E$158&gt;0,IF(AND(DC92&gt;=$E$161,DC92&lt;$E$162+2),10,0),IF(AND(DC92&gt;=$E$161-1,DC92&lt;$E$162-1),10,0)))</f>
        <v>0</v>
      </c>
      <c r="DD156" s="348">
        <f ca="1">IF(ENTRADAS!$D$912="X",IF($E$158&gt;0,IF(AND(DD92&gt;=$E$161,DD92&lt;$E$162+1),10,0),IF(AND(DD92&gt;=$E$161-1,DD92&lt;$E$162-1),10,0)),IF($E$158&gt;0,IF(AND(DD92&gt;=$E$161,DD92&lt;$E$162+2),10,0),IF(AND(DD92&gt;=$E$161-1,DD92&lt;$E$162-1),10,0)))</f>
        <v>0</v>
      </c>
      <c r="DE156" s="348">
        <f ca="1">IF(ENTRADAS!$D$912="X",IF($E$158&gt;0,IF(AND(DE92&gt;=$E$161,DE92&lt;$E$162+1),10,0),IF(AND(DE92&gt;=$E$161-1,DE92&lt;$E$162-1),10,0)),IF($E$158&gt;0,IF(AND(DE92&gt;=$E$161,DE92&lt;$E$162+2),10,0),IF(AND(DE92&gt;=$E$161-1,DE92&lt;$E$162-1),10,0)))</f>
        <v>0</v>
      </c>
      <c r="DF156" s="348">
        <f ca="1">IF(ENTRADAS!$D$912="X",IF($E$158&gt;0,IF(AND(DF92&gt;=$E$161,DF92&lt;$E$162+1),10,0),IF(AND(DF92&gt;=$E$161-1,DF92&lt;$E$162-1),10,0)),IF($E$158&gt;0,IF(AND(DF92&gt;=$E$161,DF92&lt;$E$162+2),10,0),IF(AND(DF92&gt;=$E$161-1,DF92&lt;$E$162-1),10,0)))</f>
        <v>0</v>
      </c>
      <c r="DG156" s="348">
        <f ca="1">IF(ENTRADAS!$D$912="X",IF($E$158&gt;0,IF(AND(DG92&gt;=$E$161,DG92&lt;$E$162+1),10,0),IF(AND(DG92&gt;=$E$161-1,DG92&lt;$E$162-1),10,0)),IF($E$158&gt;0,IF(AND(DG92&gt;=$E$161,DG92&lt;$E$162+2),10,0),IF(AND(DG92&gt;=$E$161-1,DG92&lt;$E$162-1),10,0)))</f>
        <v>0</v>
      </c>
      <c r="DH156" s="348">
        <f ca="1">IF(ENTRADAS!$D$912="X",IF($E$158&gt;0,IF(AND(DH92&gt;=$E$161,DH92&lt;$E$162+1),10,0),IF(AND(DH92&gt;=$E$161-1,DH92&lt;$E$162-1),10,0)),IF($E$158&gt;0,IF(AND(DH92&gt;=$E$161,DH92&lt;$E$162+2),10,0),IF(AND(DH92&gt;=$E$161-1,DH92&lt;$E$162-1),10,0)))</f>
        <v>0</v>
      </c>
      <c r="DI156" s="348">
        <f ca="1">IF(ENTRADAS!$D$912="X",IF($E$158&gt;0,IF(AND(DI92&gt;=$E$161,DI92&lt;$E$162+1),10,0),IF(AND(DI92&gt;=$E$161-1,DI92&lt;$E$162-1),10,0)),IF($E$158&gt;0,IF(AND(DI92&gt;=$E$161,DI92&lt;$E$162+2),10,0),IF(AND(DI92&gt;=$E$161-1,DI92&lt;$E$162-1),10,0)))</f>
        <v>0</v>
      </c>
      <c r="DJ156" s="348">
        <f ca="1">IF(ENTRADAS!$D$912="X",IF($E$158&gt;0,IF(AND(DJ92&gt;=$E$161,DJ92&lt;$E$162+1),10,0),IF(AND(DJ92&gt;=$E$161-1,DJ92&lt;$E$162-1),10,0)),IF($E$158&gt;0,IF(AND(DJ92&gt;=$E$161,DJ92&lt;$E$162+2),10,0),IF(AND(DJ92&gt;=$E$161-1,DJ92&lt;$E$162-1),10,0)))</f>
        <v>0</v>
      </c>
      <c r="DK156" s="348">
        <f ca="1">IF(ENTRADAS!$D$912="X",IF($E$158&gt;0,IF(AND(DK92&gt;=$E$161,DK92&lt;$E$162+1),10,0),IF(AND(DK92&gt;=$E$161-1,DK92&lt;$E$162-1),10,0)),IF($E$158&gt;0,IF(AND(DK92&gt;=$E$161,DK92&lt;$E$162+2),10,0),IF(AND(DK92&gt;=$E$161-1,DK92&lt;$E$162-1),10,0)))</f>
        <v>0</v>
      </c>
      <c r="DL156" s="348">
        <f ca="1">IF(ENTRADAS!$D$912="X",IF($E$158&gt;0,IF(AND(DL92&gt;=$E$161,DL92&lt;$E$162+1),10,0),IF(AND(DL92&gt;=$E$161-1,DL92&lt;$E$162-1),10,0)),IF($E$158&gt;0,IF(AND(DL92&gt;=$E$161,DL92&lt;$E$162+2),10,0),IF(AND(DL92&gt;=$E$161-1,DL92&lt;$E$162-1),10,0)))</f>
        <v>0</v>
      </c>
      <c r="DM156" s="348">
        <f ca="1">IF(ENTRADAS!$D$912="X",IF($E$158&gt;0,IF(AND(DM92&gt;=$E$161,DM92&lt;$E$162+1),10,0),IF(AND(DM92&gt;=$E$161-1,DM92&lt;$E$162-1),10,0)),IF($E$158&gt;0,IF(AND(DM92&gt;=$E$161,DM92&lt;$E$162+2),10,0),IF(AND(DM92&gt;=$E$161-1,DM92&lt;$E$162-1),10,0)))</f>
        <v>0</v>
      </c>
      <c r="DN156" s="348">
        <f ca="1">IF(ENTRADAS!$D$912="X",IF($E$158&gt;0,IF(AND(DN92&gt;=$E$161,DN92&lt;$E$162+1),10,0),IF(AND(DN92&gt;=$E$161-1,DN92&lt;$E$162-1),10,0)),IF($E$158&gt;0,IF(AND(DN92&gt;=$E$161,DN92&lt;$E$162+2),10,0),IF(AND(DN92&gt;=$E$161-1,DN92&lt;$E$162-1),10,0)))</f>
        <v>0</v>
      </c>
      <c r="DO156" s="348">
        <f ca="1">IF(ENTRADAS!$D$912="X",IF($E$158&gt;0,IF(AND(DO92&gt;=$E$161,DO92&lt;$E$162+1),10,0),IF(AND(DO92&gt;=$E$161-1,DO92&lt;$E$162-1),10,0)),IF($E$158&gt;0,IF(AND(DO92&gt;=$E$161,DO92&lt;$E$162+2),10,0),IF(AND(DO92&gt;=$E$161-1,DO92&lt;$E$162-1),10,0)))</f>
        <v>0</v>
      </c>
      <c r="DP156" s="348">
        <f ca="1">IF(ENTRADAS!$D$912="X",IF($E$158&gt;0,IF(AND(DP92&gt;=$E$161,DP92&lt;$E$162+1),10,0),IF(AND(DP92&gt;=$E$161-1,DP92&lt;$E$162-1),10,0)),IF($E$158&gt;0,IF(AND(DP92&gt;=$E$161,DP92&lt;$E$162+2),10,0),IF(AND(DP92&gt;=$E$161-1,DP92&lt;$E$162-1),10,0)))</f>
        <v>0</v>
      </c>
      <c r="DQ156" s="348">
        <f ca="1">IF(ENTRADAS!$D$912="X",IF($E$158&gt;0,IF(AND(DQ92&gt;=$E$161,DQ92&lt;$E$162+1),10,0),IF(AND(DQ92&gt;=$E$161-1,DQ92&lt;$E$162-1),10,0)),IF($E$158&gt;0,IF(AND(DQ92&gt;=$E$161,DQ92&lt;$E$162+2),10,0),IF(AND(DQ92&gt;=$E$161-1,DQ92&lt;$E$162-1),10,0)))</f>
        <v>0</v>
      </c>
      <c r="DR156" s="348">
        <f ca="1">IF(ENTRADAS!$D$912="X",IF($E$158&gt;0,IF(AND(DR92&gt;=$E$161,DR92&lt;$E$162+1),10,0),IF(AND(DR92&gt;=$E$161-1,DR92&lt;$E$162-1),10,0)),IF($E$158&gt;0,IF(AND(DR92&gt;=$E$161,DR92&lt;$E$162+2),10,0),IF(AND(DR92&gt;=$E$161-1,DR92&lt;$E$162-1),10,0)))</f>
        <v>0</v>
      </c>
      <c r="DS156" s="348">
        <f ca="1">IF(ENTRADAS!$D$912="X",IF($E$158&gt;0,IF(AND(DS92&gt;=$E$161,DS92&lt;$E$162+1),10,0),IF(AND(DS92&gt;=$E$161-1,DS92&lt;$E$162-1),10,0)),IF($E$158&gt;0,IF(AND(DS92&gt;=$E$161,DS92&lt;$E$162+2),10,0),IF(AND(DS92&gt;=$E$161-1,DS92&lt;$E$162-1),10,0)))</f>
        <v>0</v>
      </c>
      <c r="DT156" s="348">
        <f ca="1">IF(ENTRADAS!$D$912="X",IF($E$158&gt;0,IF(AND(DT92&gt;=$E$161,DT92&lt;$E$162+1),10,0),IF(AND(DT92&gt;=$E$161-1,DT92&lt;$E$162-1),10,0)),IF($E$158&gt;0,IF(AND(DT92&gt;=$E$161,DT92&lt;$E$162+2),10,0),IF(AND(DT92&gt;=$E$161-1,DT92&lt;$E$162-1),10,0)))</f>
        <v>0</v>
      </c>
      <c r="DU156" s="348">
        <f ca="1">IF(ENTRADAS!$D$912="X",IF($E$158&gt;0,IF(AND(DU92&gt;=$E$161,DU92&lt;$E$162+1),10,0),IF(AND(DU92&gt;=$E$161-1,DU92&lt;$E$162-1),10,0)),IF($E$158&gt;0,IF(AND(DU92&gt;=$E$161,DU92&lt;$E$162+2),10,0),IF(AND(DU92&gt;=$E$161-1,DU92&lt;$E$162-1),10,0)))</f>
        <v>0</v>
      </c>
      <c r="DV156" s="348">
        <f ca="1">IF(ENTRADAS!$D$912="X",IF($E$158&gt;0,IF(AND(DV92&gt;=$E$161,DV92&lt;$E$162+1),10,0),IF(AND(DV92&gt;=$E$161-1,DV92&lt;$E$162-1),10,0)),IF($E$158&gt;0,IF(AND(DV92&gt;=$E$161,DV92&lt;$E$162+2),10,0),IF(AND(DV92&gt;=$E$161-1,DV92&lt;$E$162-1),10,0)))</f>
        <v>0</v>
      </c>
      <c r="DW156" s="348">
        <f ca="1">IF(ENTRADAS!$D$912="X",IF($E$158&gt;0,IF(AND(DW92&gt;=$E$161,DW92&lt;$E$162+1),10,0),IF(AND(DW92&gt;=$E$161-1,DW92&lt;$E$162-1),10,0)),IF($E$158&gt;0,IF(AND(DW92&gt;=$E$161,DW92&lt;$E$162+2),10,0),IF(AND(DW92&gt;=$E$161-1,DW92&lt;$E$162-1),10,0)))</f>
        <v>0</v>
      </c>
      <c r="DX156" s="348">
        <f ca="1">IF(ENTRADAS!$D$912="X",IF($E$158&gt;0,IF(AND(DX92&gt;=$E$161,DX92&lt;$E$162+1),10,0),IF(AND(DX92&gt;=$E$161-1,DX92&lt;$E$162-1),10,0)),IF($E$158&gt;0,IF(AND(DX92&gt;=$E$161,DX92&lt;$E$162+2),10,0),IF(AND(DX92&gt;=$E$161-1,DX92&lt;$E$162-1),10,0)))</f>
        <v>0</v>
      </c>
      <c r="DY156" s="348">
        <f ca="1">IF(ENTRADAS!$D$912="X",IF($E$158&gt;0,IF(AND(DY92&gt;=$E$161,DY92&lt;$E$162+1),10,0),IF(AND(DY92&gt;=$E$161-1,DY92&lt;$E$162-1),10,0)),IF($E$158&gt;0,IF(AND(DY92&gt;=$E$161,DY92&lt;$E$162+2),10,0),IF(AND(DY92&gt;=$E$161-1,DY92&lt;$E$162-1),10,0)))</f>
        <v>0</v>
      </c>
      <c r="DZ156" s="348">
        <f ca="1">IF(ENTRADAS!$D$912="X",IF($E$158&gt;0,IF(AND(DZ92&gt;=$E$161,DZ92&lt;$E$162+1),10,0),IF(AND(DZ92&gt;=$E$161-1,DZ92&lt;$E$162-1),10,0)),IF($E$158&gt;0,IF(AND(DZ92&gt;=$E$161,DZ92&lt;$E$162+2),10,0),IF(AND(DZ92&gt;=$E$161-1,DZ92&lt;$E$162-1),10,0)))</f>
        <v>0</v>
      </c>
      <c r="EA156" s="348">
        <f ca="1">IF(ENTRADAS!$D$912="X",IF($E$158&gt;0,IF(AND(EA92&gt;=$E$161,EA92&lt;$E$162+1),10,0),IF(AND(EA92&gt;=$E$161-1,EA92&lt;$E$162-1),10,0)),IF($E$158&gt;0,IF(AND(EA92&gt;=$E$161,EA92&lt;$E$162+2),10,0),IF(AND(EA92&gt;=$E$161-1,EA92&lt;$E$162-1),10,0)))</f>
        <v>0</v>
      </c>
      <c r="EB156" s="348">
        <f ca="1">IF(ENTRADAS!$D$912="X",IF($E$158&gt;0,IF(AND(EB92&gt;=$E$161,EB92&lt;$E$162+1),10,0),IF(AND(EB92&gt;=$E$161-1,EB92&lt;$E$162-1),10,0)),IF($E$158&gt;0,IF(AND(EB92&gt;=$E$161,EB92&lt;$E$162+2),10,0),IF(AND(EB92&gt;=$E$161-1,EB92&lt;$E$162-1),10,0)))</f>
        <v>0</v>
      </c>
      <c r="EC156" s="348">
        <f ca="1">IF(ENTRADAS!$D$912="X",IF($E$158&gt;0,IF(AND(EC92&gt;=$E$161,EC92&lt;$E$162+1),10,0),IF(AND(EC92&gt;=$E$161-1,EC92&lt;$E$162-1),10,0)),IF($E$158&gt;0,IF(AND(EC92&gt;=$E$161,EC92&lt;$E$162+2),10,0),IF(AND(EC92&gt;=$E$161-1,EC92&lt;$E$162-1),10,0)))</f>
        <v>0</v>
      </c>
      <c r="ED156" s="348">
        <f ca="1">IF(ENTRADAS!$D$912="X",IF($E$158&gt;0,IF(AND(ED92&gt;=$E$161,ED92&lt;$E$162+1),10,0),IF(AND(ED92&gt;=$E$161-1,ED92&lt;$E$162-1),10,0)),IF($E$158&gt;0,IF(AND(ED92&gt;=$E$161,ED92&lt;$E$162+2),10,0),IF(AND(ED92&gt;=$E$161-1,ED92&lt;$E$162-1),10,0)))</f>
        <v>0</v>
      </c>
      <c r="EE156" s="348">
        <f ca="1">IF(ENTRADAS!$D$912="X",IF($E$158&gt;0,IF(AND(EE92&gt;=$E$161,EE92&lt;$E$162+1),10,0),IF(AND(EE92&gt;=$E$161-1,EE92&lt;$E$162-1),10,0)),IF($E$158&gt;0,IF(AND(EE92&gt;=$E$161,EE92&lt;$E$162+2),10,0),IF(AND(EE92&gt;=$E$161-1,EE92&lt;$E$162-1),10,0)))</f>
        <v>0</v>
      </c>
      <c r="EF156" s="348">
        <f ca="1">IF(ENTRADAS!$D$912="X",IF($E$158&gt;0,IF(AND(EF92&gt;=$E$161,EF92&lt;$E$162+1),10,0),IF(AND(EF92&gt;=$E$161-1,EF92&lt;$E$162-1),10,0)),IF($E$158&gt;0,IF(AND(EF92&gt;=$E$161,EF92&lt;$E$162+2),10,0),IF(AND(EF92&gt;=$E$161-1,EF92&lt;$E$162-1),10,0)))</f>
        <v>0</v>
      </c>
      <c r="EG156" s="348">
        <f ca="1">IF(ENTRADAS!$D$912="X",IF($E$158&gt;0,IF(AND(EG92&gt;=$E$161,EG92&lt;$E$162+1),10,0),IF(AND(EG92&gt;=$E$161-1,EG92&lt;$E$162-1),10,0)),IF($E$158&gt;0,IF(AND(EG92&gt;=$E$161,EG92&lt;$E$162+2),10,0),IF(AND(EG92&gt;=$E$161-1,EG92&lt;$E$162-1),10,0)))</f>
        <v>0</v>
      </c>
      <c r="EH156" s="348">
        <f ca="1">IF(ENTRADAS!$D$912="X",IF($E$158&gt;0,IF(AND(EH92&gt;=$E$161,EH92&lt;$E$162+1),10,0),IF(AND(EH92&gt;=$E$161-1,EH92&lt;$E$162-1),10,0)),IF($E$158&gt;0,IF(AND(EH92&gt;=$E$161,EH92&lt;$E$162+2),10,0),IF(AND(EH92&gt;=$E$161-1,EH92&lt;$E$162-1),10,0)))</f>
        <v>0</v>
      </c>
      <c r="EI156" s="348">
        <f ca="1">IF(ENTRADAS!$D$912="X",IF($E$158&gt;0,IF(AND(EI92&gt;=$E$161,EI92&lt;$E$162+1),10,0),IF(AND(EI92&gt;=$E$161-1,EI92&lt;$E$162-1),10,0)),IF($E$158&gt;0,IF(AND(EI92&gt;=$E$161,EI92&lt;$E$162+2),10,0),IF(AND(EI92&gt;=$E$161-1,EI92&lt;$E$162-1),10,0)))</f>
        <v>0</v>
      </c>
      <c r="EJ156" s="348">
        <f ca="1">IF(ENTRADAS!$D$912="X",IF($E$158&gt;0,IF(AND(EJ92&gt;=$E$161,EJ92&lt;$E$162+1),10,0),IF(AND(EJ92&gt;=$E$161-1,EJ92&lt;$E$162-1),10,0)),IF($E$158&gt;0,IF(AND(EJ92&gt;=$E$161,EJ92&lt;$E$162+2),10,0),IF(AND(EJ92&gt;=$E$161-1,EJ92&lt;$E$162-1),10,0)))</f>
        <v>0</v>
      </c>
      <c r="EK156" s="348">
        <f ca="1">IF(ENTRADAS!$D$912="X",IF($E$158&gt;0,IF(AND(EK92&gt;=$E$161,EK92&lt;$E$162+1),10,0),IF(AND(EK92&gt;=$E$161-1,EK92&lt;$E$162-1),10,0)),IF($E$158&gt;0,IF(AND(EK92&gt;=$E$161,EK92&lt;$E$162+2),10,0),IF(AND(EK92&gt;=$E$161-1,EK92&lt;$E$162-1),10,0)))</f>
        <v>0</v>
      </c>
      <c r="EL156" s="348">
        <f ca="1">IF(ENTRADAS!$D$912="X",IF($E$158&gt;0,IF(AND(EL92&gt;=$E$161,EL92&lt;$E$162+1),10,0),IF(AND(EL92&gt;=$E$161-1,EL92&lt;$E$162-1),10,0)),IF($E$158&gt;0,IF(AND(EL92&gt;=$E$161,EL92&lt;$E$162+2),10,0),IF(AND(EL92&gt;=$E$161-1,EL92&lt;$E$162-1),10,0)))</f>
        <v>0</v>
      </c>
      <c r="EM156" s="348">
        <f ca="1">IF(ENTRADAS!$D$912="X",IF($E$158&gt;0,IF(AND(EM92&gt;=$E$161,EM92&lt;$E$162+1),10,0),IF(AND(EM92&gt;=$E$161-1,EM92&lt;$E$162-1),10,0)),IF($E$158&gt;0,IF(AND(EM92&gt;=$E$161,EM92&lt;$E$162+2),10,0),IF(AND(EM92&gt;=$E$161-1,EM92&lt;$E$162-1),10,0)))</f>
        <v>0</v>
      </c>
      <c r="EN156" s="348">
        <f ca="1">IF(ENTRADAS!$D$912="X",IF($E$158&gt;0,IF(AND(EN92&gt;=$E$161,EN92&lt;$E$162+1),10,0),IF(AND(EN92&gt;=$E$161-1,EN92&lt;$E$162-1),10,0)),IF($E$158&gt;0,IF(AND(EN92&gt;=$E$161,EN92&lt;$E$162+2),10,0),IF(AND(EN92&gt;=$E$161-1,EN92&lt;$E$162-1),10,0)))</f>
        <v>0</v>
      </c>
      <c r="EO156" s="348">
        <f ca="1">IF(ENTRADAS!$D$912="X",IF($E$158&gt;0,IF(AND(EO92&gt;=$E$161,EO92&lt;$E$162+1),10,0),IF(AND(EO92&gt;=$E$161-1,EO92&lt;$E$162-1),10,0)),IF($E$158&gt;0,IF(AND(EO92&gt;=$E$161,EO92&lt;$E$162+2),10,0),IF(AND(EO92&gt;=$E$161-1,EO92&lt;$E$162-1),10,0)))</f>
        <v>0</v>
      </c>
      <c r="EP156" s="348">
        <f ca="1">IF(ENTRADAS!$D$912="X",IF($E$158&gt;0,IF(AND(EP92&gt;=$E$161,EP92&lt;$E$162+1),10,0),IF(AND(EP92&gt;=$E$161-1,EP92&lt;$E$162-1),10,0)),IF($E$158&gt;0,IF(AND(EP92&gt;=$E$161,EP92&lt;$E$162+2),10,0),IF(AND(EP92&gt;=$E$161-1,EP92&lt;$E$162-1),10,0)))</f>
        <v>0</v>
      </c>
      <c r="EQ156" s="348">
        <f ca="1">IF(ENTRADAS!$D$912="X",IF($E$158&gt;0,IF(AND(EQ92&gt;=$E$161,EQ92&lt;$E$162+1),10,0),IF(AND(EQ92&gt;=$E$161-1,EQ92&lt;$E$162-1),10,0)),IF($E$158&gt;0,IF(AND(EQ92&gt;=$E$161,EQ92&lt;$E$162+2),10,0),IF(AND(EQ92&gt;=$E$161-1,EQ92&lt;$E$162-1),10,0)))</f>
        <v>0</v>
      </c>
      <c r="ER156" s="348">
        <f ca="1">IF(ENTRADAS!$D$912="X",IF($E$158&gt;0,IF(AND(ER92&gt;=$E$161,ER92&lt;$E$162+1),10,0),IF(AND(ER92&gt;=$E$161-1,ER92&lt;$E$162-1),10,0)),IF($E$158&gt;0,IF(AND(ER92&gt;=$E$161,ER92&lt;$E$162+2),10,0),IF(AND(ER92&gt;=$E$161-1,ER92&lt;$E$162-1),10,0)))</f>
        <v>0</v>
      </c>
      <c r="ES156" s="348">
        <f ca="1">IF(ENTRADAS!$D$912="X",IF($E$158&gt;0,IF(AND(ES92&gt;=$E$161,ES92&lt;$E$162+1),10,0),IF(AND(ES92&gt;=$E$161-1,ES92&lt;$E$162-1),10,0)),IF($E$158&gt;0,IF(AND(ES92&gt;=$E$161,ES92&lt;$E$162+2),10,0),IF(AND(ES92&gt;=$E$161-1,ES92&lt;$E$162-1),10,0)))</f>
        <v>0</v>
      </c>
      <c r="ET156" s="348">
        <f ca="1">IF(ENTRADAS!$D$912="X",IF($E$158&gt;0,IF(AND(ET92&gt;=$E$161,ET92&lt;$E$162+1),10,0),IF(AND(ET92&gt;=$E$161-1,ET92&lt;$E$162-1),10,0)),IF($E$158&gt;0,IF(AND(ET92&gt;=$E$161,ET92&lt;$E$162+2),10,0),IF(AND(ET92&gt;=$E$161-1,ET92&lt;$E$162-1),10,0)))</f>
        <v>0</v>
      </c>
      <c r="EU156" s="348">
        <f ca="1">IF(ENTRADAS!$D$912="X",IF($E$158&gt;0,IF(AND(EU92&gt;=$E$161,EU92&lt;$E$162+1),10,0),IF(AND(EU92&gt;=$E$161-1,EU92&lt;$E$162-1),10,0)),IF($E$158&gt;0,IF(AND(EU92&gt;=$E$161,EU92&lt;$E$162+2),10,0),IF(AND(EU92&gt;=$E$161-1,EU92&lt;$E$162-1),10,0)))</f>
        <v>0</v>
      </c>
      <c r="EV156" s="348">
        <f ca="1">IF(ENTRADAS!$D$912="X",IF($E$158&gt;0,IF(AND(EV92&gt;=$E$161,EV92&lt;$E$162+1),10,0),IF(AND(EV92&gt;=$E$161-1,EV92&lt;$E$162-1),10,0)),IF($E$158&gt;0,IF(AND(EV92&gt;=$E$161,EV92&lt;$E$162+2),10,0),IF(AND(EV92&gt;=$E$161-1,EV92&lt;$E$162-1),10,0)))</f>
        <v>0</v>
      </c>
      <c r="EW156" s="348">
        <f ca="1">IF(ENTRADAS!$D$912="X",IF($E$158&gt;0,IF(AND(EW92&gt;=$E$161,EW92&lt;$E$162+1),10,0),IF(AND(EW92&gt;=$E$161-1,EW92&lt;$E$162-1),10,0)),IF($E$158&gt;0,IF(AND(EW92&gt;=$E$161,EW92&lt;$E$162+2),10,0),IF(AND(EW92&gt;=$E$161-1,EW92&lt;$E$162-1),10,0)))</f>
        <v>0</v>
      </c>
      <c r="EX156" s="348">
        <f ca="1">IF(ENTRADAS!$D$912="X",IF($E$158&gt;0,IF(AND(EX92&gt;=$E$161,EX92&lt;$E$162+1),10,0),IF(AND(EX92&gt;=$E$161-1,EX92&lt;$E$162-1),10,0)),IF($E$158&gt;0,IF(AND(EX92&gt;=$E$161,EX92&lt;$E$162+2),10,0),IF(AND(EX92&gt;=$E$161-1,EX92&lt;$E$162-1),10,0)))</f>
        <v>0</v>
      </c>
      <c r="EY156" s="348">
        <f ca="1">IF(ENTRADAS!$D$912="X",IF($E$158&gt;0,IF(AND(EY92&gt;=$E$161,EY92&lt;$E$162+1),10,0),IF(AND(EY92&gt;=$E$161-1,EY92&lt;$E$162-1),10,0)),IF($E$158&gt;0,IF(AND(EY92&gt;=$E$161,EY92&lt;$E$162+2),10,0),IF(AND(EY92&gt;=$E$161-1,EY92&lt;$E$162-1),10,0)))</f>
        <v>0</v>
      </c>
      <c r="EZ156" s="348">
        <f ca="1">IF(ENTRADAS!$D$912="X",IF($E$158&gt;0,IF(AND(EZ92&gt;=$E$161,EZ92&lt;$E$162+1),10,0),IF(AND(EZ92&gt;=$E$161-1,EZ92&lt;$E$162-1),10,0)),IF($E$158&gt;0,IF(AND(EZ92&gt;=$E$161,EZ92&lt;$E$162+2),10,0),IF(AND(EZ92&gt;=$E$161-1,EZ92&lt;$E$162-1),10,0)))</f>
        <v>0</v>
      </c>
      <c r="FA156" s="348">
        <f ca="1">IF(ENTRADAS!$D$912="X",IF($E$158&gt;0,IF(AND(FA92&gt;=$E$161,FA92&lt;$E$162+1),10,0),IF(AND(FA92&gt;=$E$161-1,FA92&lt;$E$162-1),10,0)),IF($E$158&gt;0,IF(AND(FA92&gt;=$E$161,FA92&lt;$E$162+2),10,0),IF(AND(FA92&gt;=$E$161-1,FA92&lt;$E$162-1),10,0)))</f>
        <v>0</v>
      </c>
      <c r="FB156" s="348">
        <f ca="1">IF(ENTRADAS!$D$912="X",IF($E$158&gt;0,IF(AND(FB92&gt;=$E$161,FB92&lt;$E$162+1),10,0),IF(AND(FB92&gt;=$E$161-1,FB92&lt;$E$162-1),10,0)),IF($E$158&gt;0,IF(AND(FB92&gt;=$E$161,FB92&lt;$E$162+2),10,0),IF(AND(FB92&gt;=$E$161-1,FB92&lt;$E$162-1),10,0)))</f>
        <v>0</v>
      </c>
      <c r="FC156" s="348">
        <f ca="1">IF(ENTRADAS!$D$912="X",IF($E$158&gt;0,IF(AND(FC92&gt;=$E$161,FC92&lt;$E$162+1),10,0),IF(AND(FC92&gt;=$E$161-1,FC92&lt;$E$162-1),10,0)),IF($E$158&gt;0,IF(AND(FC92&gt;=$E$161,FC92&lt;$E$162+2),10,0),IF(AND(FC92&gt;=$E$161-1,FC92&lt;$E$162-1),10,0)))</f>
        <v>0</v>
      </c>
      <c r="FD156" s="348">
        <f ca="1">IF(ENTRADAS!$D$912="X",IF($E$158&gt;0,IF(AND(FD92&gt;=$E$161,FD92&lt;$E$162+1),10,0),IF(AND(FD92&gt;=$E$161-1,FD92&lt;$E$162-1),10,0)),IF($E$158&gt;0,IF(AND(FD92&gt;=$E$161,FD92&lt;$E$162+2),10,0),IF(AND(FD92&gt;=$E$161-1,FD92&lt;$E$162-1),10,0)))</f>
        <v>0</v>
      </c>
      <c r="FE156" s="348">
        <f ca="1">IF(ENTRADAS!$D$912="X",IF($E$158&gt;0,IF(AND(FE92&gt;=$E$161,FE92&lt;$E$162+1),10,0),IF(AND(FE92&gt;=$E$161-1,FE92&lt;$E$162-1),10,0)),IF($E$158&gt;0,IF(AND(FE92&gt;=$E$161,FE92&lt;$E$162+2),10,0),IF(AND(FE92&gt;=$E$161-1,FE92&lt;$E$162-1),10,0)))</f>
        <v>0</v>
      </c>
      <c r="FF156" s="348">
        <f ca="1">IF(ENTRADAS!$D$912="X",IF($E$158&gt;0,IF(AND(FF92&gt;=$E$161,FF92&lt;$E$162+1),10,0),IF(AND(FF92&gt;=$E$161-1,FF92&lt;$E$162-1),10,0)),IF($E$158&gt;0,IF(AND(FF92&gt;=$E$161,FF92&lt;$E$162+2),10,0),IF(AND(FF92&gt;=$E$161-1,FF92&lt;$E$162-1),10,0)))</f>
        <v>0</v>
      </c>
      <c r="FG156" s="348">
        <f ca="1">IF(ENTRADAS!$D$912="X",IF($E$158&gt;0,IF(AND(FG92&gt;=$E$161,FG92&lt;$E$162+1),10,0),IF(AND(FG92&gt;=$E$161-1,FG92&lt;$E$162-1),10,0)),IF($E$158&gt;0,IF(AND(FG92&gt;=$E$161,FG92&lt;$E$162+2),10,0),IF(AND(FG92&gt;=$E$161-1,FG92&lt;$E$162-1),10,0)))</f>
        <v>0</v>
      </c>
      <c r="FH156" s="348">
        <f ca="1">IF(ENTRADAS!$D$912="X",IF($E$158&gt;0,IF(AND(FH92&gt;=$E$161,FH92&lt;$E$162+1),10,0),IF(AND(FH92&gt;=$E$161-1,FH92&lt;$E$162-1),10,0)),IF($E$158&gt;0,IF(AND(FH92&gt;=$E$161,FH92&lt;$E$162+2),10,0),IF(AND(FH92&gt;=$E$161-1,FH92&lt;$E$162-1),10,0)))</f>
        <v>0</v>
      </c>
      <c r="FI156" s="348">
        <f ca="1">IF(ENTRADAS!$D$912="X",IF($E$158&gt;0,IF(AND(FI92&gt;=$E$161,FI92&lt;$E$162+1),10,0),IF(AND(FI92&gt;=$E$161-1,FI92&lt;$E$162-1),10,0)),IF($E$158&gt;0,IF(AND(FI92&gt;=$E$161,FI92&lt;$E$162+2),10,0),IF(AND(FI92&gt;=$E$161-1,FI92&lt;$E$162-1),10,0)))</f>
        <v>0</v>
      </c>
      <c r="FJ156" s="348">
        <f ca="1">IF(ENTRADAS!$D$912="X",IF($E$158&gt;0,IF(AND(FJ92&gt;=$E$161,FJ92&lt;$E$162+1),10,0),IF(AND(FJ92&gt;=$E$161-1,FJ92&lt;$E$162-1),10,0)),IF($E$158&gt;0,IF(AND(FJ92&gt;=$E$161,FJ92&lt;$E$162+2),10,0),IF(AND(FJ92&gt;=$E$161-1,FJ92&lt;$E$162-1),10,0)))</f>
        <v>0</v>
      </c>
      <c r="FK156" s="348">
        <f ca="1">IF(ENTRADAS!$D$912="X",IF($E$158&gt;0,IF(AND(FK92&gt;=$E$161,FK92&lt;$E$162+1),10,0),IF(AND(FK92&gt;=$E$161-1,FK92&lt;$E$162-1),10,0)),IF($E$158&gt;0,IF(AND(FK92&gt;=$E$161,FK92&lt;$E$162+2),10,0),IF(AND(FK92&gt;=$E$161-1,FK92&lt;$E$162-1),10,0)))</f>
        <v>0</v>
      </c>
      <c r="FL156" s="348">
        <f ca="1">IF(ENTRADAS!$D$912="X",IF($E$158&gt;0,IF(AND(FL92&gt;=$E$161,FL92&lt;$E$162+1),10,0),IF(AND(FL92&gt;=$E$161-1,FL92&lt;$E$162-1),10,0)),IF($E$158&gt;0,IF(AND(FL92&gt;=$E$161,FL92&lt;$E$162+2),10,0),IF(AND(FL92&gt;=$E$161-1,FL92&lt;$E$162-1),10,0)))</f>
        <v>0</v>
      </c>
      <c r="FM156" s="348">
        <f ca="1">IF(ENTRADAS!$D$912="X",IF($E$158&gt;0,IF(AND(FM92&gt;=$E$161,FM92&lt;$E$162+1),10,0),IF(AND(FM92&gt;=$E$161-1,FM92&lt;$E$162-1),10,0)),IF($E$158&gt;0,IF(AND(FM92&gt;=$E$161,FM92&lt;$E$162+2),10,0),IF(AND(FM92&gt;=$E$161-1,FM92&lt;$E$162-1),10,0)))</f>
        <v>0</v>
      </c>
      <c r="FN156" s="348">
        <f ca="1">IF(ENTRADAS!$D$912="X",IF($E$158&gt;0,IF(AND(FN92&gt;=$E$161,FN92&lt;$E$162+1),10,0),IF(AND(FN92&gt;=$E$161-1,FN92&lt;$E$162-1),10,0)),IF($E$158&gt;0,IF(AND(FN92&gt;=$E$161,FN92&lt;$E$162+2),10,0),IF(AND(FN92&gt;=$E$161-1,FN92&lt;$E$162-1),10,0)))</f>
        <v>0</v>
      </c>
      <c r="FO156" s="348">
        <f ca="1">IF(ENTRADAS!$D$912="X",IF($E$158&gt;0,IF(AND(FO92&gt;=$E$161,FO92&lt;$E$162+1),10,0),IF(AND(FO92&gt;=$E$161-1,FO92&lt;$E$162-1),10,0)),IF($E$158&gt;0,IF(AND(FO92&gt;=$E$161,FO92&lt;$E$162+2),10,0),IF(AND(FO92&gt;=$E$161-1,FO92&lt;$E$162-1),10,0)))</f>
        <v>0</v>
      </c>
      <c r="FP156" s="348">
        <f ca="1">IF(ENTRADAS!$D$912="X",IF($E$158&gt;0,IF(AND(FP92&gt;=$E$161,FP92&lt;$E$162+1),10,0),IF(AND(FP92&gt;=$E$161-1,FP92&lt;$E$162-1),10,0)),IF($E$158&gt;0,IF(AND(FP92&gt;=$E$161,FP92&lt;$E$162+2),10,0),IF(AND(FP92&gt;=$E$161-1,FP92&lt;$E$162-1),10,0)))</f>
        <v>0</v>
      </c>
      <c r="FQ156" s="348">
        <f ca="1">IF(ENTRADAS!$D$912="X",IF($E$158&gt;0,IF(AND(FQ92&gt;=$E$161,FQ92&lt;$E$162+1),10,0),IF(AND(FQ92&gt;=$E$161-1,FQ92&lt;$E$162-1),10,0)),IF($E$158&gt;0,IF(AND(FQ92&gt;=$E$161,FQ92&lt;$E$162+2),10,0),IF(AND(FQ92&gt;=$E$161-1,FQ92&lt;$E$162-1),10,0)))</f>
        <v>0</v>
      </c>
      <c r="FR156" s="348">
        <f ca="1">IF(ENTRADAS!$D$912="X",IF($E$158&gt;0,IF(AND(FR92&gt;=$E$161,FR92&lt;$E$162+1),10,0),IF(AND(FR92&gt;=$E$161-1,FR92&lt;$E$162-1),10,0)),IF($E$158&gt;0,IF(AND(FR92&gt;=$E$161,FR92&lt;$E$162+2),10,0),IF(AND(FR92&gt;=$E$161-1,FR92&lt;$E$162-1),10,0)))</f>
        <v>0</v>
      </c>
      <c r="FS156" s="348">
        <f ca="1">IF(ENTRADAS!$D$912="X",IF($E$158&gt;0,IF(AND(FS92&gt;=$E$161,FS92&lt;$E$162+1),10,0),IF(AND(FS92&gt;=$E$161-1,FS92&lt;$E$162-1),10,0)),IF($E$158&gt;0,IF(AND(FS92&gt;=$E$161,FS92&lt;$E$162+2),10,0),IF(AND(FS92&gt;=$E$161-1,FS92&lt;$E$162-1),10,0)))</f>
        <v>0</v>
      </c>
      <c r="FT156" s="348">
        <f ca="1">IF(ENTRADAS!$D$912="X",IF($E$158&gt;0,IF(AND(FT92&gt;=$E$161,FT92&lt;$E$162+1),10,0),IF(AND(FT92&gt;=$E$161-1,FT92&lt;$E$162-1),10,0)),IF($E$158&gt;0,IF(AND(FT92&gt;=$E$161,FT92&lt;$E$162+2),10,0),IF(AND(FT92&gt;=$E$161-1,FT92&lt;$E$162-1),10,0)))</f>
        <v>0</v>
      </c>
      <c r="FU156" s="348">
        <f ca="1">IF(ENTRADAS!$D$912="X",IF($E$158&gt;0,IF(AND(FU92&gt;=$E$161,FU92&lt;$E$162+1),10,0),IF(AND(FU92&gt;=$E$161-1,FU92&lt;$E$162-1),10,0)),IF($E$158&gt;0,IF(AND(FU92&gt;=$E$161,FU92&lt;$E$162+2),10,0),IF(AND(FU92&gt;=$E$161-1,FU92&lt;$E$162-1),10,0)))</f>
        <v>0</v>
      </c>
      <c r="FV156" s="348">
        <f ca="1">IF(ENTRADAS!$D$912="X",IF($E$158&gt;0,IF(AND(FV92&gt;=$E$161,FV92&lt;$E$162+1),10,0),IF(AND(FV92&gt;=$E$161-1,FV92&lt;$E$162-1),10,0)),IF($E$158&gt;0,IF(AND(FV92&gt;=$E$161,FV92&lt;$E$162+2),10,0),IF(AND(FV92&gt;=$E$161-1,FV92&lt;$E$162-1),10,0)))</f>
        <v>0</v>
      </c>
      <c r="FW156" s="348">
        <f ca="1">IF(ENTRADAS!$D$912="X",IF($E$158&gt;0,IF(AND(FW92&gt;=$E$161,FW92&lt;$E$162+1),10,0),IF(AND(FW92&gt;=$E$161-1,FW92&lt;$E$162-1),10,0)),IF($E$158&gt;0,IF(AND(FW92&gt;=$E$161,FW92&lt;$E$162+2),10,0),IF(AND(FW92&gt;=$E$161-1,FW92&lt;$E$162-1),10,0)))</f>
        <v>0</v>
      </c>
      <c r="FX156" s="348">
        <f ca="1">IF(ENTRADAS!$D$912="X",IF($E$158&gt;0,IF(AND(FX92&gt;=$E$161,FX92&lt;$E$162+1),10,0),IF(AND(FX92&gt;=$E$161-1,FX92&lt;$E$162-1),10,0)),IF($E$158&gt;0,IF(AND(FX92&gt;=$E$161,FX92&lt;$E$162+2),10,0),IF(AND(FX92&gt;=$E$161-1,FX92&lt;$E$162-1),10,0)))</f>
        <v>0</v>
      </c>
      <c r="FY156" s="348">
        <f ca="1">IF(ENTRADAS!$D$912="X",IF($E$158&gt;0,IF(AND(FY92&gt;=$E$161,FY92&lt;$E$162+1),10,0),IF(AND(FY92&gt;=$E$161-1,FY92&lt;$E$162-1),10,0)),IF($E$158&gt;0,IF(AND(FY92&gt;=$E$161,FY92&lt;$E$162+2),10,0),IF(AND(FY92&gt;=$E$161-1,FY92&lt;$E$162-1),10,0)))</f>
        <v>0</v>
      </c>
      <c r="FZ156" s="348">
        <f ca="1">IF(ENTRADAS!$D$912="X",IF($E$158&gt;0,IF(AND(FZ92&gt;=$E$161,FZ92&lt;$E$162+1),10,0),IF(AND(FZ92&gt;=$E$161-1,FZ92&lt;$E$162-1),10,0)),IF($E$158&gt;0,IF(AND(FZ92&gt;=$E$161,FZ92&lt;$E$162+2),10,0),IF(AND(FZ92&gt;=$E$161-1,FZ92&lt;$E$162-1),10,0)))</f>
        <v>0</v>
      </c>
      <c r="GA156" s="348">
        <f ca="1">IF(ENTRADAS!$D$912="X",IF($E$158&gt;0,IF(AND(GA92&gt;=$E$161,GA92&lt;$E$162+1),10,0),IF(AND(GA92&gt;=$E$161-1,GA92&lt;$E$162-1),10,0)),IF($E$158&gt;0,IF(AND(GA92&gt;=$E$161,GA92&lt;$E$162+2),10,0),IF(AND(GA92&gt;=$E$161-1,GA92&lt;$E$162-1),10,0)))</f>
        <v>0</v>
      </c>
      <c r="GB156" s="348">
        <f ca="1">IF(ENTRADAS!$D$912="X",IF($E$158&gt;0,IF(AND(GB92&gt;=$E$161,GB92&lt;$E$162+1),10,0),IF(AND(GB92&gt;=$E$161-1,GB92&lt;$E$162-1),10,0)),IF($E$158&gt;0,IF(AND(GB92&gt;=$E$161,GB92&lt;$E$162+2),10,0),IF(AND(GB92&gt;=$E$161-1,GB92&lt;$E$162-1),10,0)))</f>
        <v>0</v>
      </c>
      <c r="GC156" s="348">
        <f ca="1">IF(ENTRADAS!$D$912="X",IF($E$158&gt;0,IF(AND(GC92&gt;=$E$161,GC92&lt;$E$162+1),10,0),IF(AND(GC92&gt;=$E$161-1,GC92&lt;$E$162-1),10,0)),IF($E$158&gt;0,IF(AND(GC92&gt;=$E$161,GC92&lt;$E$162+2),10,0),IF(AND(GC92&gt;=$E$161-1,GC92&lt;$E$162-1),10,0)))</f>
        <v>0</v>
      </c>
      <c r="GD156" s="348">
        <f ca="1">IF(ENTRADAS!$D$912="X",IF($E$158&gt;0,IF(AND(GD92&gt;=$E$161,GD92&lt;$E$162+1),10,0),IF(AND(GD92&gt;=$E$161-1,GD92&lt;$E$162-1),10,0)),IF($E$158&gt;0,IF(AND(GD92&gt;=$E$161,GD92&lt;$E$162+2),10,0),IF(AND(GD92&gt;=$E$161-1,GD92&lt;$E$162-1),10,0)))</f>
        <v>0</v>
      </c>
      <c r="GE156" s="348">
        <f ca="1">IF(ENTRADAS!$D$912="X",IF($E$158&gt;0,IF(AND(GE92&gt;=$E$161,GE92&lt;$E$162+1),10,0),IF(AND(GE92&gt;=$E$161-1,GE92&lt;$E$162-1),10,0)),IF($E$158&gt;0,IF(AND(GE92&gt;=$E$161,GE92&lt;$E$162+2),10,0),IF(AND(GE92&gt;=$E$161-1,GE92&lt;$E$162-1),10,0)))</f>
        <v>0</v>
      </c>
      <c r="GF156" s="348">
        <f ca="1">IF(ENTRADAS!$D$912="X",IF($E$158&gt;0,IF(AND(GF92&gt;=$E$161,GF92&lt;$E$162+1),10,0),IF(AND(GF92&gt;=$E$161-1,GF92&lt;$E$162-1),10,0)),IF($E$158&gt;0,IF(AND(GF92&gt;=$E$161,GF92&lt;$E$162+2),10,0),IF(AND(GF92&gt;=$E$161-1,GF92&lt;$E$162-1),10,0)))</f>
        <v>0</v>
      </c>
      <c r="GG156" s="348">
        <f ca="1">IF(ENTRADAS!$D$912="X",IF($E$158&gt;0,IF(AND(GG92&gt;=$E$161,GG92&lt;$E$162+1),10,0),IF(AND(GG92&gt;=$E$161-1,GG92&lt;$E$162-1),10,0)),IF($E$158&gt;0,IF(AND(GG92&gt;=$E$161,GG92&lt;$E$162+2),10,0),IF(AND(GG92&gt;=$E$161-1,GG92&lt;$E$162-1),10,0)))</f>
        <v>0</v>
      </c>
      <c r="GH156" s="348">
        <f ca="1">IF(ENTRADAS!$D$912="X",IF($E$158&gt;0,IF(AND(GH92&gt;=$E$161,GH92&lt;$E$162+1),10,0),IF(AND(GH92&gt;=$E$161-1,GH92&lt;$E$162-1),10,0)),IF($E$158&gt;0,IF(AND(GH92&gt;=$E$161,GH92&lt;$E$162+2),10,0),IF(AND(GH92&gt;=$E$161-1,GH92&lt;$E$162-1),10,0)))</f>
        <v>0</v>
      </c>
      <c r="GI156" s="348">
        <f ca="1">IF(ENTRADAS!$D$912="X",IF($E$158&gt;0,IF(AND(GI92&gt;=$E$161,GI92&lt;$E$162+1),10,0),IF(AND(GI92&gt;=$E$161-1,GI92&lt;$E$162-1),10,0)),IF($E$158&gt;0,IF(AND(GI92&gt;=$E$161,GI92&lt;$E$162+2),10,0),IF(AND(GI92&gt;=$E$161-1,GI92&lt;$E$162-1),10,0)))</f>
        <v>0</v>
      </c>
      <c r="GJ156" s="348">
        <f ca="1">IF(ENTRADAS!$D$912="X",IF($E$158&gt;0,IF(AND(GJ92&gt;=$E$161,GJ92&lt;$E$162+1),10,0),IF(AND(GJ92&gt;=$E$161-1,GJ92&lt;$E$162-1),10,0)),IF($E$158&gt;0,IF(AND(GJ92&gt;=$E$161,GJ92&lt;$E$162+2),10,0),IF(AND(GJ92&gt;=$E$161-1,GJ92&lt;$E$162-1),10,0)))</f>
        <v>0</v>
      </c>
      <c r="GK156" s="348">
        <f ca="1">IF(ENTRADAS!$D$912="X",IF($E$158&gt;0,IF(AND(GK92&gt;=$E$161,GK92&lt;$E$162+1),10,0),IF(AND(GK92&gt;=$E$161-1,GK92&lt;$E$162-1),10,0)),IF($E$158&gt;0,IF(AND(GK92&gt;=$E$161,GK92&lt;$E$162+2),10,0),IF(AND(GK92&gt;=$E$161-1,GK92&lt;$E$162-1),10,0)))</f>
        <v>0</v>
      </c>
      <c r="GL156" s="348">
        <f ca="1">IF(ENTRADAS!$D$912="X",IF($E$158&gt;0,IF(AND(GL92&gt;=$E$161,GL92&lt;$E$162+1),10,0),IF(AND(GL92&gt;=$E$161-1,GL92&lt;$E$162-1),10,0)),IF($E$158&gt;0,IF(AND(GL92&gt;=$E$161,GL92&lt;$E$162+2),10,0),IF(AND(GL92&gt;=$E$161-1,GL92&lt;$E$162-1),10,0)))</f>
        <v>0</v>
      </c>
      <c r="GM156" s="348">
        <f ca="1">IF(ENTRADAS!$D$912="X",IF($E$158&gt;0,IF(AND(GM92&gt;=$E$161,GM92&lt;$E$162+1),10,0),IF(AND(GM92&gt;=$E$161-1,GM92&lt;$E$162-1),10,0)),IF($E$158&gt;0,IF(AND(GM92&gt;=$E$161,GM92&lt;$E$162+2),10,0),IF(AND(GM92&gt;=$E$161-1,GM92&lt;$E$162-1),10,0)))</f>
        <v>0</v>
      </c>
      <c r="GN156" s="348">
        <f ca="1">IF(ENTRADAS!$D$912="X",IF($E$158&gt;0,IF(AND(GN92&gt;=$E$161,GN92&lt;$E$162+1),10,0),IF(AND(GN92&gt;=$E$161-1,GN92&lt;$E$162-1),10,0)),IF($E$158&gt;0,IF(AND(GN92&gt;=$E$161,GN92&lt;$E$162+2),10,0),IF(AND(GN92&gt;=$E$161-1,GN92&lt;$E$162-1),10,0)))</f>
        <v>0</v>
      </c>
      <c r="GO156" s="348">
        <f ca="1">IF(ENTRADAS!$D$912="X",IF($E$158&gt;0,IF(AND(GO92&gt;=$E$161,GO92&lt;$E$162+1),10,0),IF(AND(GO92&gt;=$E$161-1,GO92&lt;$E$162-1),10,0)),IF($E$158&gt;0,IF(AND(GO92&gt;=$E$161,GO92&lt;$E$162+2),10,0),IF(AND(GO92&gt;=$E$161-1,GO92&lt;$E$162-1),10,0)))</f>
        <v>0</v>
      </c>
      <c r="GP156" s="348">
        <f ca="1">IF(ENTRADAS!$D$912="X",IF($E$158&gt;0,IF(AND(GP92&gt;=$E$161,GP92&lt;$E$162+1),10,0),IF(AND(GP92&gt;=$E$161-1,GP92&lt;$E$162-1),10,0)),IF($E$158&gt;0,IF(AND(GP92&gt;=$E$161,GP92&lt;$E$162+2),10,0),IF(AND(GP92&gt;=$E$161-1,GP92&lt;$E$162-1),10,0)))</f>
        <v>0</v>
      </c>
      <c r="GQ156" s="348">
        <f ca="1">IF(ENTRADAS!$D$912="X",IF($E$158&gt;0,IF(AND(GQ92&gt;=$E$161,GQ92&lt;$E$162+1),10,0),IF(AND(GQ92&gt;=$E$161-1,GQ92&lt;$E$162-1),10,0)),IF($E$158&gt;0,IF(AND(GQ92&gt;=$E$161,GQ92&lt;$E$162+2),10,0),IF(AND(GQ92&gt;=$E$161-1,GQ92&lt;$E$162-1),10,0)))</f>
        <v>0</v>
      </c>
      <c r="GR156" s="348">
        <f ca="1">IF(ENTRADAS!$D$912="X",IF($E$158&gt;0,IF(AND(GR92&gt;=$E$161,GR92&lt;$E$162+1),10,0),IF(AND(GR92&gt;=$E$161-1,GR92&lt;$E$162-1),10,0)),IF($E$158&gt;0,IF(AND(GR92&gt;=$E$161,GR92&lt;$E$162+2),10,0),IF(AND(GR92&gt;=$E$161-1,GR92&lt;$E$162-1),10,0)))</f>
        <v>0</v>
      </c>
      <c r="GS156" s="348">
        <f ca="1">IF(ENTRADAS!$D$912="X",IF($E$158&gt;0,IF(AND(GS92&gt;=$E$161,GS92&lt;$E$162+1),10,0),IF(AND(GS92&gt;=$E$161-1,GS92&lt;$E$162-1),10,0)),IF($E$158&gt;0,IF(AND(GS92&gt;=$E$161,GS92&lt;$E$162+2),10,0),IF(AND(GS92&gt;=$E$161-1,GS92&lt;$E$162-1),10,0)))</f>
        <v>0</v>
      </c>
      <c r="GT156" s="348">
        <f ca="1">IF(ENTRADAS!$D$912="X",IF($E$158&gt;0,IF(AND(GT92&gt;=$E$161,GT92&lt;$E$162+1),10,0),IF(AND(GT92&gt;=$E$161-1,GT92&lt;$E$162-1),10,0)),IF($E$158&gt;0,IF(AND(GT92&gt;=$E$161,GT92&lt;$E$162+2),10,0),IF(AND(GT92&gt;=$E$161-1,GT92&lt;$E$162-1),10,0)))</f>
        <v>0</v>
      </c>
      <c r="GU156" s="348">
        <f ca="1">IF(ENTRADAS!$D$912="X",IF($E$158&gt;0,IF(AND(GU92&gt;=$E$161,GU92&lt;$E$162+1),10,0),IF(AND(GU92&gt;=$E$161-1,GU92&lt;$E$162-1),10,0)),IF($E$158&gt;0,IF(AND(GU92&gt;=$E$161,GU92&lt;$E$162+2),10,0),IF(AND(GU92&gt;=$E$161-1,GU92&lt;$E$162-1),10,0)))</f>
        <v>0</v>
      </c>
      <c r="GV156" s="348">
        <f ca="1">IF(ENTRADAS!$D$912="X",IF($E$158&gt;0,IF(AND(GV92&gt;=$E$161,GV92&lt;$E$162+1),10,0),IF(AND(GV92&gt;=$E$161-1,GV92&lt;$E$162-1),10,0)),IF($E$158&gt;0,IF(AND(GV92&gt;=$E$161,GV92&lt;$E$162+2),10,0),IF(AND(GV92&gt;=$E$161-1,GV92&lt;$E$162-1),10,0)))</f>
        <v>0</v>
      </c>
      <c r="GW156" s="348">
        <f ca="1">IF(ENTRADAS!$D$912="X",IF($E$158&gt;0,IF(AND(GW92&gt;=$E$161,GW92&lt;$E$162+1),10,0),IF(AND(GW92&gt;=$E$161-1,GW92&lt;$E$162-1),10,0)),IF($E$158&gt;0,IF(AND(GW92&gt;=$E$161,GW92&lt;$E$162+2),10,0),IF(AND(GW92&gt;=$E$161-1,GW92&lt;$E$162-1),10,0)))</f>
        <v>0</v>
      </c>
      <c r="GX156" s="348">
        <f ca="1">IF(ENTRADAS!$D$912="X",IF($E$158&gt;0,IF(AND(GX92&gt;=$E$161,GX92&lt;$E$162+1),10,0),IF(AND(GX92&gt;=$E$161-1,GX92&lt;$E$162-1),10,0)),IF($E$158&gt;0,IF(AND(GX92&gt;=$E$161,GX92&lt;$E$162+2),10,0),IF(AND(GX92&gt;=$E$161-1,GX92&lt;$E$162-1),10,0)))</f>
        <v>0</v>
      </c>
      <c r="GY156" s="348">
        <f ca="1">IF(ENTRADAS!$D$912="X",IF($E$158&gt;0,IF(AND(GY92&gt;=$E$161,GY92&lt;$E$162+1),10,0),IF(AND(GY92&gt;=$E$161-1,GY92&lt;$E$162-1),10,0)),IF($E$158&gt;0,IF(AND(GY92&gt;=$E$161,GY92&lt;$E$162+2),10,0),IF(AND(GY92&gt;=$E$161-1,GY92&lt;$E$162-1),10,0)))</f>
        <v>0</v>
      </c>
      <c r="GZ156" s="348">
        <f ca="1">IF(ENTRADAS!$D$912="X",IF($E$158&gt;0,IF(AND(GZ92&gt;=$E$161,GZ92&lt;$E$162+1),10,0),IF(AND(GZ92&gt;=$E$161-1,GZ92&lt;$E$162-1),10,0)),IF($E$158&gt;0,IF(AND(GZ92&gt;=$E$161,GZ92&lt;$E$162+2),10,0),IF(AND(GZ92&gt;=$E$161-1,GZ92&lt;$E$162-1),10,0)))</f>
        <v>0</v>
      </c>
      <c r="HA156" s="348">
        <f ca="1">IF(ENTRADAS!$D$912="X",IF($E$158&gt;0,IF(AND(HA92&gt;=$E$161,HA92&lt;$E$162+1),10,0),IF(AND(HA92&gt;=$E$161-1,HA92&lt;$E$162-1),10,0)),IF($E$158&gt;0,IF(AND(HA92&gt;=$E$161,HA92&lt;$E$162+2),10,0),IF(AND(HA92&gt;=$E$161-1,HA92&lt;$E$162-1),10,0)))</f>
        <v>0</v>
      </c>
      <c r="HB156" s="348">
        <f ca="1">IF(ENTRADAS!$D$912="X",IF($E$158&gt;0,IF(AND(HB92&gt;=$E$161,HB92&lt;$E$162+1),10,0),IF(AND(HB92&gt;=$E$161-1,HB92&lt;$E$162-1),10,0)),IF($E$158&gt;0,IF(AND(HB92&gt;=$E$161,HB92&lt;$E$162+2),10,0),IF(AND(HB92&gt;=$E$161-1,HB92&lt;$E$162-1),10,0)))</f>
        <v>0</v>
      </c>
      <c r="HC156" s="348">
        <f ca="1">IF(ENTRADAS!$D$912="X",IF($E$158&gt;0,IF(AND(HC92&gt;=$E$161,HC92&lt;$E$162+1),10,0),IF(AND(HC92&gt;=$E$161-1,HC92&lt;$E$162-1),10,0)),IF($E$158&gt;0,IF(AND(HC92&gt;=$E$161,HC92&lt;$E$162+2),10,0),IF(AND(HC92&gt;=$E$161-1,HC92&lt;$E$162-1),10,0)))</f>
        <v>0</v>
      </c>
      <c r="HD156" s="348">
        <f ca="1">IF(ENTRADAS!$D$912="X",IF($E$158&gt;0,IF(AND(HD92&gt;=$E$161,HD92&lt;$E$162+1),10,0),IF(AND(HD92&gt;=$E$161-1,HD92&lt;$E$162-1),10,0)),IF($E$158&gt;0,IF(AND(HD92&gt;=$E$161,HD92&lt;$E$162+2),10,0),IF(AND(HD92&gt;=$E$161-1,HD92&lt;$E$162-1),10,0)))</f>
        <v>0</v>
      </c>
      <c r="HE156" s="348">
        <f ca="1">IF(ENTRADAS!$D$912="X",IF($E$158&gt;0,IF(AND(HE92&gt;=$E$161,HE92&lt;$E$162+1),10,0),IF(AND(HE92&gt;=$E$161-1,HE92&lt;$E$162-1),10,0)),IF($E$158&gt;0,IF(AND(HE92&gt;=$E$161,HE92&lt;$E$162+2),10,0),IF(AND(HE92&gt;=$E$161-1,HE92&lt;$E$162-1),10,0)))</f>
        <v>0</v>
      </c>
      <c r="HF156" s="348">
        <f ca="1">IF(ENTRADAS!$D$912="X",IF($E$158&gt;0,IF(AND(HF92&gt;=$E$161,HF92&lt;$E$162+1),10,0),IF(AND(HF92&gt;=$E$161-1,HF92&lt;$E$162-1),10,0)),IF($E$158&gt;0,IF(AND(HF92&gt;=$E$161,HF92&lt;$E$162+2),10,0),IF(AND(HF92&gt;=$E$161-1,HF92&lt;$E$162-1),10,0)))</f>
        <v>0</v>
      </c>
      <c r="HG156" s="348">
        <f ca="1">IF(ENTRADAS!$D$912="X",IF($E$158&gt;0,IF(AND(HG92&gt;=$E$161,HG92&lt;$E$162+1),10,0),IF(AND(HG92&gt;=$E$161-1,HG92&lt;$E$162-1),10,0)),IF($E$158&gt;0,IF(AND(HG92&gt;=$E$161,HG92&lt;$E$162+2),10,0),IF(AND(HG92&gt;=$E$161-1,HG92&lt;$E$162-1),10,0)))</f>
        <v>0</v>
      </c>
      <c r="HH156" s="348">
        <f ca="1">IF(ENTRADAS!$D$912="X",IF($E$158&gt;0,IF(AND(HH92&gt;=$E$161,HH92&lt;$E$162+1),10,0),IF(AND(HH92&gt;=$E$161-1,HH92&lt;$E$162-1),10,0)),IF($E$158&gt;0,IF(AND(HH92&gt;=$E$161,HH92&lt;$E$162+2),10,0),IF(AND(HH92&gt;=$E$161-1,HH92&lt;$E$162-1),10,0)))</f>
        <v>0</v>
      </c>
      <c r="HI156" s="348">
        <f ca="1">IF(ENTRADAS!$D$912="X",IF($E$158&gt;0,IF(AND(HI92&gt;=$E$161,HI92&lt;$E$162+1),10,0),IF(AND(HI92&gt;=$E$161-1,HI92&lt;$E$162-1),10,0)),IF($E$158&gt;0,IF(AND(HI92&gt;=$E$161,HI92&lt;$E$162+2),10,0),IF(AND(HI92&gt;=$E$161-1,HI92&lt;$E$162-1),10,0)))</f>
        <v>0</v>
      </c>
      <c r="HJ156" s="348">
        <f ca="1">IF(ENTRADAS!$D$912="X",IF($E$158&gt;0,IF(AND(HJ92&gt;=$E$161,HJ92&lt;$E$162+1),10,0),IF(AND(HJ92&gt;=$E$161-1,HJ92&lt;$E$162-1),10,0)),IF($E$158&gt;0,IF(AND(HJ92&gt;=$E$161,HJ92&lt;$E$162+2),10,0),IF(AND(HJ92&gt;=$E$161-1,HJ92&lt;$E$162-1),10,0)))</f>
        <v>0</v>
      </c>
      <c r="HK156" s="348">
        <f ca="1">IF(ENTRADAS!$D$912="X",IF($E$158&gt;0,IF(AND(HK92&gt;=$E$161,HK92&lt;$E$162+1),10,0),IF(AND(HK92&gt;=$E$161-1,HK92&lt;$E$162-1),10,0)),IF($E$158&gt;0,IF(AND(HK92&gt;=$E$161,HK92&lt;$E$162+2),10,0),IF(AND(HK92&gt;=$E$161-1,HK92&lt;$E$162-1),10,0)))</f>
        <v>0</v>
      </c>
      <c r="HL156" s="348">
        <f ca="1">IF(ENTRADAS!$D$912="X",IF($E$158&gt;0,IF(AND(HL92&gt;=$E$161,HL92&lt;$E$162+1),10,0),IF(AND(HL92&gt;=$E$161-1,HL92&lt;$E$162-1),10,0)),IF($E$158&gt;0,IF(AND(HL92&gt;=$E$161,HL92&lt;$E$162+2),10,0),IF(AND(HL92&gt;=$E$161-1,HL92&lt;$E$162-1),10,0)))</f>
        <v>0</v>
      </c>
      <c r="HM156" s="348">
        <f ca="1">IF(ENTRADAS!$D$912="X",IF($E$158&gt;0,IF(AND(HM92&gt;=$E$161,HM92&lt;$E$162+1),10,0),IF(AND(HM92&gt;=$E$161-1,HM92&lt;$E$162-1),10,0)),IF($E$158&gt;0,IF(AND(HM92&gt;=$E$161,HM92&lt;$E$162+2),10,0),IF(AND(HM92&gt;=$E$161-1,HM92&lt;$E$162-1),10,0)))</f>
        <v>0</v>
      </c>
      <c r="HN156" s="348">
        <f ca="1">IF(ENTRADAS!$D$912="X",IF($E$158&gt;0,IF(AND(HN92&gt;=$E$161,HN92&lt;$E$162+1),10,0),IF(AND(HN92&gt;=$E$161-1,HN92&lt;$E$162-1),10,0)),IF($E$158&gt;0,IF(AND(HN92&gt;=$E$161,HN92&lt;$E$162+2),10,0),IF(AND(HN92&gt;=$E$161-1,HN92&lt;$E$162-1),10,0)))</f>
        <v>0</v>
      </c>
      <c r="HO156" s="348">
        <f ca="1">IF(ENTRADAS!$D$912="X",IF($E$158&gt;0,IF(AND(HO92&gt;=$E$161,HO92&lt;$E$162+1),10,0),IF(AND(HO92&gt;=$E$161-1,HO92&lt;$E$162-1),10,0)),IF($E$158&gt;0,IF(AND(HO92&gt;=$E$161,HO92&lt;$E$162+2),10,0),IF(AND(HO92&gt;=$E$161-1,HO92&lt;$E$162-1),10,0)))</f>
        <v>0</v>
      </c>
      <c r="HP156" s="348">
        <f ca="1">IF(ENTRADAS!$D$912="X",IF($E$158&gt;0,IF(AND(HP92&gt;=$E$161,HP92&lt;$E$162+1),10,0),IF(AND(HP92&gt;=$E$161-1,HP92&lt;$E$162-1),10,0)),IF($E$158&gt;0,IF(AND(HP92&gt;=$E$161,HP92&lt;$E$162+2),10,0),IF(AND(HP92&gt;=$E$161-1,HP92&lt;$E$162-1),10,0)))</f>
        <v>0</v>
      </c>
      <c r="HQ156" s="348">
        <f ca="1">IF(ENTRADAS!$D$912="X",IF($E$158&gt;0,IF(AND(HQ92&gt;=$E$161,HQ92&lt;$E$162+1),10,0),IF(AND(HQ92&gt;=$E$161-1,HQ92&lt;$E$162-1),10,0)),IF($E$158&gt;0,IF(AND(HQ92&gt;=$E$161,HQ92&lt;$E$162+2),10,0),IF(AND(HQ92&gt;=$E$161-1,HQ92&lt;$E$162-1),10,0)))</f>
        <v>0</v>
      </c>
      <c r="HR156" s="348">
        <f ca="1">IF(ENTRADAS!$D$912="X",IF($E$158&gt;0,IF(AND(HR92&gt;=$E$161,HR92&lt;$E$162+1),10,0),IF(AND(HR92&gt;=$E$161-1,HR92&lt;$E$162-1),10,0)),IF($E$158&gt;0,IF(AND(HR92&gt;=$E$161,HR92&lt;$E$162+2),10,0),IF(AND(HR92&gt;=$E$161-1,HR92&lt;$E$162-1),10,0)))</f>
        <v>0</v>
      </c>
      <c r="HS156" s="348">
        <f ca="1">IF(ENTRADAS!$D$912="X",IF($E$158&gt;0,IF(AND(HS92&gt;=$E$161,HS92&lt;$E$162+1),10,0),IF(AND(HS92&gt;=$E$161-1,HS92&lt;$E$162-1),10,0)),IF($E$158&gt;0,IF(AND(HS92&gt;=$E$161,HS92&lt;$E$162+2),10,0),IF(AND(HS92&gt;=$E$161-1,HS92&lt;$E$162-1),10,0)))</f>
        <v>0</v>
      </c>
      <c r="HT156" s="348">
        <f ca="1">IF(ENTRADAS!$D$912="X",IF($E$158&gt;0,IF(AND(HT92&gt;=$E$161,HT92&lt;$E$162+1),10,0),IF(AND(HT92&gt;=$E$161-1,HT92&lt;$E$162-1),10,0)),IF($E$158&gt;0,IF(AND(HT92&gt;=$E$161,HT92&lt;$E$162+2),10,0),IF(AND(HT92&gt;=$E$161-1,HT92&lt;$E$162-1),10,0)))</f>
        <v>0</v>
      </c>
      <c r="HU156" s="348">
        <f ca="1">IF(ENTRADAS!$D$912="X",IF($E$158&gt;0,IF(AND(HU92&gt;=$E$161,HU92&lt;$E$162+1),10,0),IF(AND(HU92&gt;=$E$161-1,HU92&lt;$E$162-1),10,0)),IF($E$158&gt;0,IF(AND(HU92&gt;=$E$161,HU92&lt;$E$162+2),10,0),IF(AND(HU92&gt;=$E$161-1,HU92&lt;$E$162-1),10,0)))</f>
        <v>0</v>
      </c>
      <c r="HV156" s="348">
        <f ca="1">IF(ENTRADAS!$D$912="X",IF($E$158&gt;0,IF(AND(HV92&gt;=$E$161,HV92&lt;$E$162+1),10,0),IF(AND(HV92&gt;=$E$161-1,HV92&lt;$E$162-1),10,0)),IF($E$158&gt;0,IF(AND(HV92&gt;=$E$161,HV92&lt;$E$162+2),10,0),IF(AND(HV92&gt;=$E$161-1,HV92&lt;$E$162-1),10,0)))</f>
        <v>0</v>
      </c>
      <c r="HW156" s="348">
        <f ca="1">IF(ENTRADAS!$D$912="X",IF($E$158&gt;0,IF(AND(HW92&gt;=$E$161,HW92&lt;$E$162+1),10,0),IF(AND(HW92&gt;=$E$161-1,HW92&lt;$E$162-1),10,0)),IF($E$158&gt;0,IF(AND(HW92&gt;=$E$161,HW92&lt;$E$162+2),10,0),IF(AND(HW92&gt;=$E$161-1,HW92&lt;$E$162-1),10,0)))</f>
        <v>0</v>
      </c>
      <c r="HX156" s="348">
        <f ca="1">IF(ENTRADAS!$D$912="X",IF($E$158&gt;0,IF(AND(HX92&gt;=$E$161,HX92&lt;$E$162+1),10,0),IF(AND(HX92&gt;=$E$161-1,HX92&lt;$E$162-1),10,0)),IF($E$158&gt;0,IF(AND(HX92&gt;=$E$161,HX92&lt;$E$162+2),10,0),IF(AND(HX92&gt;=$E$161-1,HX92&lt;$E$162-1),10,0)))</f>
        <v>0</v>
      </c>
      <c r="HY156" s="348">
        <f ca="1">IF(ENTRADAS!$D$912="X",IF($E$158&gt;0,IF(AND(HY92&gt;=$E$161,HY92&lt;$E$162+1),10,0),IF(AND(HY92&gt;=$E$161-1,HY92&lt;$E$162-1),10,0)),IF($E$158&gt;0,IF(AND(HY92&gt;=$E$161,HY92&lt;$E$162+2),10,0),IF(AND(HY92&gt;=$E$161-1,HY92&lt;$E$162-1),10,0)))</f>
        <v>0</v>
      </c>
      <c r="HZ156" s="348">
        <f ca="1">IF(ENTRADAS!$D$912="X",IF($E$158&gt;0,IF(AND(HZ92&gt;=$E$161,HZ92&lt;$E$162+1),10,0),IF(AND(HZ92&gt;=$E$161-1,HZ92&lt;$E$162-1),10,0)),IF($E$158&gt;0,IF(AND(HZ92&gt;=$E$161,HZ92&lt;$E$162+2),10,0),IF(AND(HZ92&gt;=$E$161-1,HZ92&lt;$E$162-1),10,0)))</f>
        <v>0</v>
      </c>
      <c r="IA156" s="348">
        <f ca="1">IF(ENTRADAS!$D$912="X",IF($E$158&gt;0,IF(AND(IA92&gt;=$E$161,IA92&lt;$E$162+1),10,0),IF(AND(IA92&gt;=$E$161-1,IA92&lt;$E$162-1),10,0)),IF($E$158&gt;0,IF(AND(IA92&gt;=$E$161,IA92&lt;$E$162+2),10,0),IF(AND(IA92&gt;=$E$161-1,IA92&lt;$E$162-1),10,0)))</f>
        <v>0</v>
      </c>
      <c r="IB156" s="348">
        <f ca="1">IF(ENTRADAS!$D$912="X",IF($E$158&gt;0,IF(AND(IB92&gt;=$E$161,IB92&lt;$E$162+1),10,0),IF(AND(IB92&gt;=$E$161-1,IB92&lt;$E$162-1),10,0)),IF($E$158&gt;0,IF(AND(IB92&gt;=$E$161,IB92&lt;$E$162+2),10,0),IF(AND(IB92&gt;=$E$161-1,IB92&lt;$E$162-1),10,0)))</f>
        <v>0</v>
      </c>
      <c r="IC156" s="348">
        <f ca="1">IF(ENTRADAS!$D$912="X",IF($E$158&gt;0,IF(AND(IC92&gt;=$E$161,IC92&lt;$E$162+1),10,0),IF(AND(IC92&gt;=$E$161-1,IC92&lt;$E$162-1),10,0)),IF($E$158&gt;0,IF(AND(IC92&gt;=$E$161,IC92&lt;$E$162+2),10,0),IF(AND(IC92&gt;=$E$161-1,IC92&lt;$E$162-1),10,0)))</f>
        <v>0</v>
      </c>
      <c r="ID156" s="348">
        <f ca="1">IF(ENTRADAS!$D$912="X",IF($E$158&gt;0,IF(AND(ID92&gt;=$E$161,ID92&lt;$E$162+1),10,0),IF(AND(ID92&gt;=$E$161-1,ID92&lt;$E$162-1),10,0)),IF($E$158&gt;0,IF(AND(ID92&gt;=$E$161,ID92&lt;$E$162+2),10,0),IF(AND(ID92&gt;=$E$161-1,ID92&lt;$E$162-1),10,0)))</f>
        <v>0</v>
      </c>
      <c r="IE156" s="348">
        <f ca="1">IF(ENTRADAS!$D$912="X",IF($E$158&gt;0,IF(AND(IE92&gt;=$E$161,IE92&lt;$E$162+1),10,0),IF(AND(IE92&gt;=$E$161-1,IE92&lt;$E$162-1),10,0)),IF($E$158&gt;0,IF(AND(IE92&gt;=$E$161,IE92&lt;$E$162+2),10,0),IF(AND(IE92&gt;=$E$161-1,IE92&lt;$E$162-1),10,0)))</f>
        <v>0</v>
      </c>
      <c r="IF156" s="348">
        <f ca="1">IF(ENTRADAS!$D$912="X",IF($E$158&gt;0,IF(AND(IF92&gt;=$E$161,IF92&lt;$E$162+1),10,0),IF(AND(IF92&gt;=$E$161-1,IF92&lt;$E$162-1),10,0)),IF($E$158&gt;0,IF(AND(IF92&gt;=$E$161,IF92&lt;$E$162+2),10,0),IF(AND(IF92&gt;=$E$161-1,IF92&lt;$E$162-1),10,0)))</f>
        <v>0</v>
      </c>
      <c r="IG156" s="348">
        <f ca="1">IF(ENTRADAS!$D$912="X",IF($E$158&gt;0,IF(AND(IG92&gt;=$E$161,IG92&lt;$E$162+1),10,0),IF(AND(IG92&gt;=$E$161-1,IG92&lt;$E$162-1),10,0)),IF($E$158&gt;0,IF(AND(IG92&gt;=$E$161,IG92&lt;$E$162+2),10,0),IF(AND(IG92&gt;=$E$161-1,IG92&lt;$E$162-1),10,0)))</f>
        <v>0</v>
      </c>
      <c r="IH156" s="348">
        <f ca="1">IF(ENTRADAS!$D$912="X",IF($E$158&gt;0,IF(AND(IH92&gt;=$E$161,IH92&lt;$E$162+1),10,0),IF(AND(IH92&gt;=$E$161-1,IH92&lt;$E$162-1),10,0)),IF($E$158&gt;0,IF(AND(IH92&gt;=$E$161,IH92&lt;$E$162+2),10,0),IF(AND(IH92&gt;=$E$161-1,IH92&lt;$E$162-1),10,0)))</f>
        <v>0</v>
      </c>
      <c r="II156" s="348">
        <f ca="1">IF(ENTRADAS!$D$912="X",IF($E$158&gt;0,IF(AND(II92&gt;=$E$161,II92&lt;$E$162+1),10,0),IF(AND(II92&gt;=$E$161-1,II92&lt;$E$162-1),10,0)),IF($E$158&gt;0,IF(AND(II92&gt;=$E$161,II92&lt;$E$162+2),10,0),IF(AND(II92&gt;=$E$161-1,II92&lt;$E$162-1),10,0)))</f>
        <v>0</v>
      </c>
      <c r="IJ156" s="348">
        <f ca="1">IF(ENTRADAS!$D$912="X",IF($E$158&gt;0,IF(AND(IJ92&gt;=$E$161,IJ92&lt;$E$162+1),10,0),IF(AND(IJ92&gt;=$E$161-1,IJ92&lt;$E$162-1),10,0)),IF($E$158&gt;0,IF(AND(IJ92&gt;=$E$161,IJ92&lt;$E$162+2),10,0),IF(AND(IJ92&gt;=$E$161-1,IJ92&lt;$E$162-1),10,0)))</f>
        <v>0</v>
      </c>
      <c r="IK156" s="348">
        <f ca="1">IF(ENTRADAS!$D$912="X",IF($E$158&gt;0,IF(AND(IK92&gt;=$E$161,IK92&lt;$E$162+1),10,0),IF(AND(IK92&gt;=$E$161-1,IK92&lt;$E$162-1),10,0)),IF($E$158&gt;0,IF(AND(IK92&gt;=$E$161,IK92&lt;$E$162+2),10,0),IF(AND(IK92&gt;=$E$161-1,IK92&lt;$E$162-1),10,0)))</f>
        <v>0</v>
      </c>
    </row>
    <row r="157" spans="1:245" hidden="1" x14ac:dyDescent="0.35">
      <c r="A157" s="195"/>
      <c r="B157" s="5"/>
      <c r="C157" s="630" t="s">
        <v>1588</v>
      </c>
      <c r="D157" s="467">
        <f ca="1">IF(AND(ENTRADAS!$C$397="X",F114=0),IF($CV$5=1,IF((E30-D129+ENTRADAS!BS401)&gt;0,0,IF(D128&lt;D127,0,IF($J$3=0,0,D134+1))),IF($CV$5=2,IF((E30-D129+ENTRADAS!BS401)&gt;0,0,IF(D128&lt;D127,0,IF($J$3=0,0,IF(D75-D90&lt;D134-(D126/100*D132),D134-(D126/100*D132),D75-D90)))),IF($CV$5=3,IF((E30-D129+ENTRADAS!BS401)&gt;0,0,IF(D128&lt;D127,0,IF($J$3=0,0,D75-D90))),IF($CV$5=4,IF(D127=D128,D134+1-D174,IF(D128&gt;D127,D241-D156+D174,0)))))),IF($CV$5=1,IF(F114&gt;0,0,IF(D128&lt;D127,0,IF($J$3=0,0,D134+1))),IF($CV$5=2,IF(F114&gt;0,0,IF(D128&lt;D127,0,IF($J$3=0,0,IF(D75-D90&lt;D134-(D126/100*D132),D134-(D126/100*D132),D75-D90)))),IF($CV$5=3,IF(F114&gt;0,0,IF(D128&lt;D127,0,IF($J$3=0,0,D75-D90))),IF($CV$5=4,IF(D127=D128,D134+1-D174,IF(D128&gt;D127,D241-D156+D174,0)))))))</f>
        <v>45967.237500000003</v>
      </c>
      <c r="E157" s="32">
        <f ca="1">IF($CV$5=1,IF(D157=0,0,E134+1),IF($CV$5=2,IF(D157=0,0,IF(E75-D90&lt;E134-(D126/100*D132),E134-(D126/100*D132),E75-D90)),IF($CV$5=3,IF(D157=0,0,E75-D90),IF($CV$5=4,IF(D127=D128,E134+1,IF(D128&gt;D127,E241-D156+D174,0))))))</f>
        <v>50.237499999999997</v>
      </c>
    </row>
    <row r="158" spans="1:245" hidden="1" x14ac:dyDescent="0.35">
      <c r="A158" s="195"/>
      <c r="B158" s="5"/>
      <c r="C158" s="630" t="s">
        <v>1589</v>
      </c>
      <c r="D158" s="467">
        <f>IF(ENTRADAS!$D$912="X",IF(AND(ENTRADAS!$C$397="X",F114=0),IF((E32-D129+ENTRADAS!BS401)=0,0,IF(ENTRADAS!$F$22=0,0,IF($J$3=0,0,$J$3+(E32-D129+ENTRADAS!BS401)-1))),IF(F114=0,0,IF(ENTRADAS!$F$22=0,0,IF($J$3=0,0,$J$3+F114-1)))),IF(AND(ENTRADAS!$C$397="X",F114=0),IF((E30-D129+ENTRADAS!BS401)=0,0,IF(ENTRADAS!$F$22=0,0,IF($J$3=0,0,$J$3+(E30-D129+ENTRADAS!BS401)-1))),IF(F114=0,0,IF(ENTRADAS!$F$22=0,0,IF($J$3=0,0,$J$3+F114-1)))))</f>
        <v>0</v>
      </c>
      <c r="E158" s="631">
        <f>IF(ENTRADAS!D912="X",IF(AND(ENTRADAS!$C$397="X",F114=0),(E32-D129+ENTRADAS!BS401-1),F114),IF(AND(ENTRADAS!$C$397="X",F114=0),(E30-D129+ENTRADAS!BS401),F114))</f>
        <v>0</v>
      </c>
      <c r="G158" s="471">
        <f ca="1">IF(D146=0,1000+D129,D146)</f>
        <v>46919</v>
      </c>
    </row>
    <row r="159" spans="1:245" hidden="1" x14ac:dyDescent="0.35">
      <c r="A159" s="195"/>
      <c r="B159" s="5"/>
      <c r="C159" s="630" t="s">
        <v>1590</v>
      </c>
      <c r="D159" s="467">
        <f ca="1">IF(D157=0,0,D157+D156-1)</f>
        <v>45995.237500000003</v>
      </c>
      <c r="E159" s="630">
        <f ca="1">IF(AND(ENTRADAS!$C$397="X",F114=0),IF((E30-D129+ENTRADAS!BS401)&gt;0,0,D156+E157),IF(F114&gt;0,0,D156+E157))</f>
        <v>79.237499999999997</v>
      </c>
      <c r="G159" s="471">
        <f ca="1">IF(D138+D139=0,1000+D129,LARGE(D138:D139,1))</f>
        <v>46919</v>
      </c>
    </row>
    <row r="160" spans="1:245" hidden="1" x14ac:dyDescent="0.35">
      <c r="A160" s="195"/>
      <c r="B160" s="5"/>
      <c r="C160" s="630" t="s">
        <v>1591</v>
      </c>
      <c r="D160" s="467">
        <f>IF(ENTRADAS!$D$912="X",IF(AND(ENTRADAS!$C$397="X",F114=0),IF((E32-D129+ENTRADAS!BS401)=0,0,IF(ENTRADAS!$F$22=0,0,IF($J$3=0,0,$J$3+(E32-D129+ENTRADAS!BS401)+D156-2))),IF(F114=0,0,IF(ENTRADAS!$F$22=0,0,IF($J$3=0,0,$J$3+F114+D156-2)))),IF(AND(ENTRADAS!$C$397="X",F114=0),IF((E30-D129+ENTRADAS!BS401)=0,0,IF(ENTRADAS!$F$22=0,0,IF($J$3=0,0,$J$3+(E30-D129+ENTRADAS!BS401)+D156-2))),IF(F114=0,0,IF(ENTRADAS!$F$22=0,0,IF($J$3=0,0,$J$3+F114+D156-2)))))</f>
        <v>0</v>
      </c>
      <c r="E160" s="631">
        <f>IF(ENTRADAS!$D$912="X",IF(AND(ENTRADAS!$C$397="X",F114=0),IF((E32-D129+ENTRADAS!BS401)=0,0,(E32-D129+ENTRADAS!BS401-1)+D156-1),IF(F114=0,0,F114+D156-1)),IF(AND(ENTRADAS!$C$397="X",F114=0),IF((E30-D129+ENTRADAS!BS401)=0,0,(E30-D129+ENTRADAS!BS401-1)+D156-1),IF(F114=0,0,F114+D156-1)))</f>
        <v>0</v>
      </c>
      <c r="G160" s="471">
        <f ca="1">IF(D150=0,1000+D129,D150)</f>
        <v>46919</v>
      </c>
    </row>
    <row r="161" spans="1:245" hidden="1" x14ac:dyDescent="0.35">
      <c r="A161" s="195"/>
      <c r="B161" s="5"/>
      <c r="C161" s="630" t="s">
        <v>1592</v>
      </c>
      <c r="D161" s="467">
        <f ca="1">D157+D158</f>
        <v>45967.237500000003</v>
      </c>
      <c r="E161" s="385">
        <f ca="1">E157+E158</f>
        <v>50.237499999999997</v>
      </c>
      <c r="G161" s="471">
        <f ca="1">SMALL(G158:G160,1)</f>
        <v>46919</v>
      </c>
    </row>
    <row r="162" spans="1:245" hidden="1" x14ac:dyDescent="0.35">
      <c r="A162" s="195"/>
      <c r="B162" s="5"/>
      <c r="C162" s="630" t="s">
        <v>1594</v>
      </c>
      <c r="D162" s="467">
        <f ca="1">D159+D160</f>
        <v>45995.237500000003</v>
      </c>
      <c r="E162" s="385">
        <f ca="1">E159+E160</f>
        <v>79.237499999999997</v>
      </c>
    </row>
    <row r="163" spans="1:245" ht="4.5" hidden="1" customHeight="1" x14ac:dyDescent="0.35">
      <c r="A163" s="195"/>
      <c r="B163" s="5"/>
      <c r="C163" s="627"/>
      <c r="D163" s="474"/>
      <c r="E163" s="450"/>
    </row>
    <row r="164" spans="1:245" ht="4.5" hidden="1" customHeight="1" x14ac:dyDescent="0.35">
      <c r="A164" s="195"/>
      <c r="B164" s="5"/>
      <c r="C164" s="627"/>
      <c r="D164" s="474"/>
      <c r="E164" s="450"/>
    </row>
    <row r="165" spans="1:245" ht="4.5" hidden="1" customHeight="1" x14ac:dyDescent="0.35">
      <c r="A165" s="195"/>
      <c r="B165" s="5"/>
    </row>
    <row r="166" spans="1:245" ht="4.5" hidden="1" customHeight="1" x14ac:dyDescent="0.35">
      <c r="A166" s="195"/>
      <c r="B166" s="5"/>
    </row>
    <row r="167" spans="1:245" hidden="1" x14ac:dyDescent="0.35">
      <c r="A167" s="195"/>
      <c r="B167" s="5"/>
      <c r="C167" s="630" t="s">
        <v>1595</v>
      </c>
      <c r="D167" s="468">
        <f ca="1">IF(ENTRADAS!$F$22=0,0,LAJES!$H$116/D128)</f>
        <v>0</v>
      </c>
      <c r="E167" s="32"/>
      <c r="G167" s="471">
        <f>D147</f>
        <v>0</v>
      </c>
      <c r="H167" s="348">
        <f t="shared" ref="H167:AM167" ca="1" si="185">IF(AND(H92&gt;=$E$172,H92&lt;$E$173+1),10,0)</f>
        <v>0</v>
      </c>
      <c r="I167" s="348">
        <f t="shared" ca="1" si="185"/>
        <v>0</v>
      </c>
      <c r="J167" s="348">
        <f t="shared" ca="1" si="185"/>
        <v>0</v>
      </c>
      <c r="K167" s="348">
        <f t="shared" ca="1" si="185"/>
        <v>0</v>
      </c>
      <c r="L167" s="348">
        <f t="shared" ca="1" si="185"/>
        <v>0</v>
      </c>
      <c r="M167" s="348">
        <f t="shared" ca="1" si="185"/>
        <v>0</v>
      </c>
      <c r="N167" s="348">
        <f t="shared" ca="1" si="185"/>
        <v>0</v>
      </c>
      <c r="O167" s="348">
        <f t="shared" ca="1" si="185"/>
        <v>0</v>
      </c>
      <c r="P167" s="348">
        <f t="shared" ca="1" si="185"/>
        <v>0</v>
      </c>
      <c r="Q167" s="348">
        <f t="shared" ca="1" si="185"/>
        <v>0</v>
      </c>
      <c r="R167" s="348">
        <f t="shared" ca="1" si="185"/>
        <v>0</v>
      </c>
      <c r="S167" s="348">
        <f t="shared" ca="1" si="185"/>
        <v>0</v>
      </c>
      <c r="T167" s="348">
        <f t="shared" ca="1" si="185"/>
        <v>0</v>
      </c>
      <c r="U167" s="348">
        <f t="shared" ca="1" si="185"/>
        <v>0</v>
      </c>
      <c r="V167" s="348">
        <f t="shared" ca="1" si="185"/>
        <v>0</v>
      </c>
      <c r="W167" s="348">
        <f t="shared" ca="1" si="185"/>
        <v>0</v>
      </c>
      <c r="X167" s="348">
        <f t="shared" ca="1" si="185"/>
        <v>0</v>
      </c>
      <c r="Y167" s="348">
        <f t="shared" ca="1" si="185"/>
        <v>0</v>
      </c>
      <c r="Z167" s="348">
        <f t="shared" ca="1" si="185"/>
        <v>0</v>
      </c>
      <c r="AA167" s="348">
        <f t="shared" ca="1" si="185"/>
        <v>0</v>
      </c>
      <c r="AB167" s="348">
        <f t="shared" ca="1" si="185"/>
        <v>0</v>
      </c>
      <c r="AC167" s="348">
        <f t="shared" ca="1" si="185"/>
        <v>0</v>
      </c>
      <c r="AD167" s="348">
        <f t="shared" ca="1" si="185"/>
        <v>0</v>
      </c>
      <c r="AE167" s="348">
        <f t="shared" ca="1" si="185"/>
        <v>0</v>
      </c>
      <c r="AF167" s="348">
        <f t="shared" ca="1" si="185"/>
        <v>0</v>
      </c>
      <c r="AG167" s="348">
        <f t="shared" ca="1" si="185"/>
        <v>0</v>
      </c>
      <c r="AH167" s="348">
        <f t="shared" ca="1" si="185"/>
        <v>0</v>
      </c>
      <c r="AI167" s="348">
        <f t="shared" ca="1" si="185"/>
        <v>0</v>
      </c>
      <c r="AJ167" s="348">
        <f t="shared" ca="1" si="185"/>
        <v>0</v>
      </c>
      <c r="AK167" s="348">
        <f t="shared" ca="1" si="185"/>
        <v>0</v>
      </c>
      <c r="AL167" s="348">
        <f t="shared" ca="1" si="185"/>
        <v>0</v>
      </c>
      <c r="AM167" s="348">
        <f t="shared" ca="1" si="185"/>
        <v>0</v>
      </c>
      <c r="AN167" s="348">
        <f t="shared" ref="AN167:BT167" ca="1" si="186">IF(AND(AN92&gt;=$E$172,AN92&lt;$E$173+1),10,0)</f>
        <v>0</v>
      </c>
      <c r="AO167" s="348">
        <f t="shared" ca="1" si="186"/>
        <v>0</v>
      </c>
      <c r="AP167" s="348">
        <f t="shared" ca="1" si="186"/>
        <v>0</v>
      </c>
      <c r="AQ167" s="348">
        <f t="shared" ca="1" si="186"/>
        <v>0</v>
      </c>
      <c r="AR167" s="348">
        <f t="shared" ca="1" si="186"/>
        <v>0</v>
      </c>
      <c r="AS167" s="348">
        <f t="shared" ca="1" si="186"/>
        <v>0</v>
      </c>
      <c r="AT167" s="348">
        <f t="shared" ca="1" si="186"/>
        <v>0</v>
      </c>
      <c r="AU167" s="348">
        <f t="shared" ca="1" si="186"/>
        <v>0</v>
      </c>
      <c r="AV167" s="348">
        <f t="shared" ca="1" si="186"/>
        <v>0</v>
      </c>
      <c r="AW167" s="348">
        <f t="shared" ca="1" si="186"/>
        <v>0</v>
      </c>
      <c r="AX167" s="348">
        <f t="shared" ca="1" si="186"/>
        <v>0</v>
      </c>
      <c r="AY167" s="348">
        <f t="shared" ca="1" si="186"/>
        <v>0</v>
      </c>
      <c r="AZ167" s="348">
        <f t="shared" ca="1" si="186"/>
        <v>0</v>
      </c>
      <c r="BA167" s="348">
        <f t="shared" ca="1" si="186"/>
        <v>0</v>
      </c>
      <c r="BB167" s="348">
        <f t="shared" ca="1" si="186"/>
        <v>0</v>
      </c>
      <c r="BC167" s="348">
        <f t="shared" ca="1" si="186"/>
        <v>0</v>
      </c>
      <c r="BD167" s="348">
        <f t="shared" ca="1" si="186"/>
        <v>0</v>
      </c>
      <c r="BE167" s="348">
        <f t="shared" ca="1" si="186"/>
        <v>0</v>
      </c>
      <c r="BF167" s="348">
        <f t="shared" ca="1" si="186"/>
        <v>0</v>
      </c>
      <c r="BG167" s="348">
        <f t="shared" ca="1" si="186"/>
        <v>0</v>
      </c>
      <c r="BH167" s="348">
        <f t="shared" ca="1" si="186"/>
        <v>0</v>
      </c>
      <c r="BI167" s="348">
        <f t="shared" ca="1" si="186"/>
        <v>0</v>
      </c>
      <c r="BJ167" s="348">
        <f t="shared" ca="1" si="186"/>
        <v>0</v>
      </c>
      <c r="BK167" s="348">
        <f t="shared" ca="1" si="186"/>
        <v>0</v>
      </c>
      <c r="BL167" s="348">
        <f t="shared" ca="1" si="186"/>
        <v>0</v>
      </c>
      <c r="BM167" s="348">
        <f t="shared" ca="1" si="186"/>
        <v>0</v>
      </c>
      <c r="BN167" s="348">
        <f t="shared" ca="1" si="186"/>
        <v>0</v>
      </c>
      <c r="BO167" s="348">
        <f t="shared" ca="1" si="186"/>
        <v>0</v>
      </c>
      <c r="BP167" s="348">
        <f t="shared" ca="1" si="186"/>
        <v>0</v>
      </c>
      <c r="BQ167" s="348">
        <f t="shared" ca="1" si="186"/>
        <v>0</v>
      </c>
      <c r="BR167" s="348">
        <f t="shared" ca="1" si="186"/>
        <v>0</v>
      </c>
      <c r="BS167" s="348">
        <f t="shared" ca="1" si="186"/>
        <v>0</v>
      </c>
      <c r="BT167" s="348">
        <f t="shared" ca="1" si="186"/>
        <v>0</v>
      </c>
      <c r="BU167" s="348">
        <f t="shared" ref="BU167:EF167" ca="1" si="187">IF(AND(BU92&gt;=$E$172,BU92&lt;$E$173+1),10,0)</f>
        <v>0</v>
      </c>
      <c r="BV167" s="348">
        <f t="shared" ca="1" si="187"/>
        <v>0</v>
      </c>
      <c r="BW167" s="348">
        <f t="shared" ca="1" si="187"/>
        <v>0</v>
      </c>
      <c r="BX167" s="348">
        <f t="shared" ca="1" si="187"/>
        <v>0</v>
      </c>
      <c r="BY167" s="348">
        <f t="shared" ca="1" si="187"/>
        <v>0</v>
      </c>
      <c r="BZ167" s="348">
        <f t="shared" ca="1" si="187"/>
        <v>0</v>
      </c>
      <c r="CA167" s="348">
        <f t="shared" ca="1" si="187"/>
        <v>0</v>
      </c>
      <c r="CB167" s="348">
        <f t="shared" ca="1" si="187"/>
        <v>0</v>
      </c>
      <c r="CC167" s="348">
        <f t="shared" ca="1" si="187"/>
        <v>0</v>
      </c>
      <c r="CD167" s="348">
        <f t="shared" ca="1" si="187"/>
        <v>0</v>
      </c>
      <c r="CE167" s="348">
        <f t="shared" ca="1" si="187"/>
        <v>0</v>
      </c>
      <c r="CF167" s="348">
        <f t="shared" ca="1" si="187"/>
        <v>0</v>
      </c>
      <c r="CG167" s="348">
        <f t="shared" ca="1" si="187"/>
        <v>0</v>
      </c>
      <c r="CH167" s="348">
        <f t="shared" ca="1" si="187"/>
        <v>0</v>
      </c>
      <c r="CI167" s="348">
        <f t="shared" ca="1" si="187"/>
        <v>0</v>
      </c>
      <c r="CJ167" s="348">
        <f t="shared" ca="1" si="187"/>
        <v>0</v>
      </c>
      <c r="CK167" s="348">
        <f t="shared" ca="1" si="187"/>
        <v>0</v>
      </c>
      <c r="CL167" s="348">
        <f t="shared" ca="1" si="187"/>
        <v>0</v>
      </c>
      <c r="CM167" s="348">
        <f t="shared" ca="1" si="187"/>
        <v>0</v>
      </c>
      <c r="CN167" s="348">
        <f t="shared" ca="1" si="187"/>
        <v>0</v>
      </c>
      <c r="CO167" s="348">
        <f t="shared" ca="1" si="187"/>
        <v>0</v>
      </c>
      <c r="CP167" s="348">
        <f t="shared" ca="1" si="187"/>
        <v>0</v>
      </c>
      <c r="CQ167" s="348">
        <f t="shared" ca="1" si="187"/>
        <v>0</v>
      </c>
      <c r="CR167" s="348">
        <f t="shared" ca="1" si="187"/>
        <v>0</v>
      </c>
      <c r="CS167" s="348">
        <f t="shared" ca="1" si="187"/>
        <v>0</v>
      </c>
      <c r="CT167" s="348">
        <f t="shared" ca="1" si="187"/>
        <v>0</v>
      </c>
      <c r="CU167" s="348">
        <f t="shared" ca="1" si="187"/>
        <v>0</v>
      </c>
      <c r="CV167" s="348">
        <f t="shared" ca="1" si="187"/>
        <v>0</v>
      </c>
      <c r="CW167" s="348">
        <f t="shared" ca="1" si="187"/>
        <v>0</v>
      </c>
      <c r="CX167" s="348">
        <f t="shared" ca="1" si="187"/>
        <v>0</v>
      </c>
      <c r="CY167" s="348">
        <f t="shared" ca="1" si="187"/>
        <v>0</v>
      </c>
      <c r="CZ167" s="348">
        <f t="shared" ca="1" si="187"/>
        <v>0</v>
      </c>
      <c r="DA167" s="348">
        <f t="shared" ca="1" si="187"/>
        <v>0</v>
      </c>
      <c r="DB167" s="348">
        <f t="shared" ca="1" si="187"/>
        <v>0</v>
      </c>
      <c r="DC167" s="348">
        <f t="shared" ca="1" si="187"/>
        <v>0</v>
      </c>
      <c r="DD167" s="348">
        <f t="shared" ca="1" si="187"/>
        <v>0</v>
      </c>
      <c r="DE167" s="348">
        <f t="shared" ca="1" si="187"/>
        <v>0</v>
      </c>
      <c r="DF167" s="348">
        <f t="shared" ca="1" si="187"/>
        <v>0</v>
      </c>
      <c r="DG167" s="348">
        <f t="shared" ca="1" si="187"/>
        <v>0</v>
      </c>
      <c r="DH167" s="348">
        <f t="shared" ca="1" si="187"/>
        <v>0</v>
      </c>
      <c r="DI167" s="348">
        <f t="shared" ca="1" si="187"/>
        <v>0</v>
      </c>
      <c r="DJ167" s="348">
        <f t="shared" ca="1" si="187"/>
        <v>0</v>
      </c>
      <c r="DK167" s="348">
        <f t="shared" ca="1" si="187"/>
        <v>0</v>
      </c>
      <c r="DL167" s="348">
        <f t="shared" ca="1" si="187"/>
        <v>0</v>
      </c>
      <c r="DM167" s="348">
        <f t="shared" ca="1" si="187"/>
        <v>0</v>
      </c>
      <c r="DN167" s="348">
        <f t="shared" ca="1" si="187"/>
        <v>0</v>
      </c>
      <c r="DO167" s="348">
        <f t="shared" ca="1" si="187"/>
        <v>0</v>
      </c>
      <c r="DP167" s="348">
        <f t="shared" ca="1" si="187"/>
        <v>0</v>
      </c>
      <c r="DQ167" s="348">
        <f t="shared" ca="1" si="187"/>
        <v>0</v>
      </c>
      <c r="DR167" s="348">
        <f t="shared" ca="1" si="187"/>
        <v>0</v>
      </c>
      <c r="DS167" s="348">
        <f t="shared" ca="1" si="187"/>
        <v>0</v>
      </c>
      <c r="DT167" s="348">
        <f t="shared" ca="1" si="187"/>
        <v>0</v>
      </c>
      <c r="DU167" s="348">
        <f t="shared" ca="1" si="187"/>
        <v>0</v>
      </c>
      <c r="DV167" s="348">
        <f t="shared" ca="1" si="187"/>
        <v>0</v>
      </c>
      <c r="DW167" s="348">
        <f t="shared" ca="1" si="187"/>
        <v>0</v>
      </c>
      <c r="DX167" s="348">
        <f t="shared" ca="1" si="187"/>
        <v>0</v>
      </c>
      <c r="DY167" s="348">
        <f t="shared" ca="1" si="187"/>
        <v>0</v>
      </c>
      <c r="DZ167" s="348">
        <f t="shared" ca="1" si="187"/>
        <v>0</v>
      </c>
      <c r="EA167" s="348">
        <f t="shared" ca="1" si="187"/>
        <v>0</v>
      </c>
      <c r="EB167" s="348">
        <f t="shared" ca="1" si="187"/>
        <v>0</v>
      </c>
      <c r="EC167" s="348">
        <f t="shared" ca="1" si="187"/>
        <v>0</v>
      </c>
      <c r="ED167" s="348">
        <f t="shared" ca="1" si="187"/>
        <v>0</v>
      </c>
      <c r="EE167" s="348">
        <f t="shared" ca="1" si="187"/>
        <v>0</v>
      </c>
      <c r="EF167" s="348">
        <f t="shared" ca="1" si="187"/>
        <v>0</v>
      </c>
      <c r="EG167" s="348">
        <f t="shared" ref="EG167:GR167" ca="1" si="188">IF(AND(EG92&gt;=$E$172,EG92&lt;$E$173+1),10,0)</f>
        <v>0</v>
      </c>
      <c r="EH167" s="348">
        <f t="shared" ca="1" si="188"/>
        <v>0</v>
      </c>
      <c r="EI167" s="348">
        <f t="shared" ca="1" si="188"/>
        <v>0</v>
      </c>
      <c r="EJ167" s="348">
        <f t="shared" ca="1" si="188"/>
        <v>0</v>
      </c>
      <c r="EK167" s="348">
        <f t="shared" ca="1" si="188"/>
        <v>0</v>
      </c>
      <c r="EL167" s="348">
        <f t="shared" ca="1" si="188"/>
        <v>0</v>
      </c>
      <c r="EM167" s="348">
        <f t="shared" ca="1" si="188"/>
        <v>0</v>
      </c>
      <c r="EN167" s="348">
        <f t="shared" ca="1" si="188"/>
        <v>0</v>
      </c>
      <c r="EO167" s="348">
        <f t="shared" ca="1" si="188"/>
        <v>0</v>
      </c>
      <c r="EP167" s="348">
        <f t="shared" ca="1" si="188"/>
        <v>0</v>
      </c>
      <c r="EQ167" s="348">
        <f t="shared" ca="1" si="188"/>
        <v>0</v>
      </c>
      <c r="ER167" s="348">
        <f t="shared" ca="1" si="188"/>
        <v>0</v>
      </c>
      <c r="ES167" s="348">
        <f t="shared" ca="1" si="188"/>
        <v>0</v>
      </c>
      <c r="ET167" s="348">
        <f t="shared" ca="1" si="188"/>
        <v>0</v>
      </c>
      <c r="EU167" s="348">
        <f t="shared" ca="1" si="188"/>
        <v>0</v>
      </c>
      <c r="EV167" s="348">
        <f t="shared" ca="1" si="188"/>
        <v>0</v>
      </c>
      <c r="EW167" s="348">
        <f t="shared" ca="1" si="188"/>
        <v>0</v>
      </c>
      <c r="EX167" s="348">
        <f t="shared" ca="1" si="188"/>
        <v>0</v>
      </c>
      <c r="EY167" s="348">
        <f t="shared" ca="1" si="188"/>
        <v>0</v>
      </c>
      <c r="EZ167" s="348">
        <f t="shared" ca="1" si="188"/>
        <v>0</v>
      </c>
      <c r="FA167" s="348">
        <f t="shared" ca="1" si="188"/>
        <v>0</v>
      </c>
      <c r="FB167" s="348">
        <f t="shared" ca="1" si="188"/>
        <v>0</v>
      </c>
      <c r="FC167" s="348">
        <f t="shared" ca="1" si="188"/>
        <v>0</v>
      </c>
      <c r="FD167" s="348">
        <f t="shared" ca="1" si="188"/>
        <v>0</v>
      </c>
      <c r="FE167" s="348">
        <f t="shared" ca="1" si="188"/>
        <v>0</v>
      </c>
      <c r="FF167" s="348">
        <f t="shared" ca="1" si="188"/>
        <v>0</v>
      </c>
      <c r="FG167" s="348">
        <f t="shared" ca="1" si="188"/>
        <v>0</v>
      </c>
      <c r="FH167" s="348">
        <f t="shared" ca="1" si="188"/>
        <v>0</v>
      </c>
      <c r="FI167" s="348">
        <f t="shared" ca="1" si="188"/>
        <v>0</v>
      </c>
      <c r="FJ167" s="348">
        <f t="shared" ca="1" si="188"/>
        <v>0</v>
      </c>
      <c r="FK167" s="348">
        <f t="shared" ca="1" si="188"/>
        <v>0</v>
      </c>
      <c r="FL167" s="348">
        <f t="shared" ca="1" si="188"/>
        <v>0</v>
      </c>
      <c r="FM167" s="348">
        <f t="shared" ca="1" si="188"/>
        <v>0</v>
      </c>
      <c r="FN167" s="348">
        <f t="shared" ca="1" si="188"/>
        <v>0</v>
      </c>
      <c r="FO167" s="348">
        <f t="shared" ca="1" si="188"/>
        <v>0</v>
      </c>
      <c r="FP167" s="348">
        <f t="shared" ca="1" si="188"/>
        <v>0</v>
      </c>
      <c r="FQ167" s="348">
        <f t="shared" ca="1" si="188"/>
        <v>0</v>
      </c>
      <c r="FR167" s="348">
        <f t="shared" ca="1" si="188"/>
        <v>0</v>
      </c>
      <c r="FS167" s="348">
        <f t="shared" ca="1" si="188"/>
        <v>0</v>
      </c>
      <c r="FT167" s="348">
        <f t="shared" ca="1" si="188"/>
        <v>0</v>
      </c>
      <c r="FU167" s="348">
        <f t="shared" ca="1" si="188"/>
        <v>0</v>
      </c>
      <c r="FV167" s="348">
        <f t="shared" ca="1" si="188"/>
        <v>0</v>
      </c>
      <c r="FW167" s="348">
        <f t="shared" ca="1" si="188"/>
        <v>0</v>
      </c>
      <c r="FX167" s="348">
        <f t="shared" ca="1" si="188"/>
        <v>0</v>
      </c>
      <c r="FY167" s="348">
        <f t="shared" ca="1" si="188"/>
        <v>0</v>
      </c>
      <c r="FZ167" s="348">
        <f t="shared" ca="1" si="188"/>
        <v>0</v>
      </c>
      <c r="GA167" s="348">
        <f t="shared" ca="1" si="188"/>
        <v>0</v>
      </c>
      <c r="GB167" s="348">
        <f t="shared" ca="1" si="188"/>
        <v>0</v>
      </c>
      <c r="GC167" s="348">
        <f t="shared" ca="1" si="188"/>
        <v>0</v>
      </c>
      <c r="GD167" s="348">
        <f t="shared" ca="1" si="188"/>
        <v>0</v>
      </c>
      <c r="GE167" s="348">
        <f t="shared" ca="1" si="188"/>
        <v>0</v>
      </c>
      <c r="GF167" s="348">
        <f t="shared" ca="1" si="188"/>
        <v>0</v>
      </c>
      <c r="GG167" s="348">
        <f t="shared" ca="1" si="188"/>
        <v>0</v>
      </c>
      <c r="GH167" s="348">
        <f t="shared" ca="1" si="188"/>
        <v>0</v>
      </c>
      <c r="GI167" s="348">
        <f t="shared" ca="1" si="188"/>
        <v>0</v>
      </c>
      <c r="GJ167" s="348">
        <f t="shared" ca="1" si="188"/>
        <v>0</v>
      </c>
      <c r="GK167" s="348">
        <f t="shared" ca="1" si="188"/>
        <v>0</v>
      </c>
      <c r="GL167" s="348">
        <f t="shared" ca="1" si="188"/>
        <v>0</v>
      </c>
      <c r="GM167" s="348">
        <f t="shared" ca="1" si="188"/>
        <v>0</v>
      </c>
      <c r="GN167" s="348">
        <f t="shared" ca="1" si="188"/>
        <v>0</v>
      </c>
      <c r="GO167" s="348">
        <f t="shared" ca="1" si="188"/>
        <v>0</v>
      </c>
      <c r="GP167" s="348">
        <f t="shared" ca="1" si="188"/>
        <v>0</v>
      </c>
      <c r="GQ167" s="348">
        <f t="shared" ca="1" si="188"/>
        <v>0</v>
      </c>
      <c r="GR167" s="348">
        <f t="shared" ca="1" si="188"/>
        <v>0</v>
      </c>
      <c r="GS167" s="348">
        <f t="shared" ref="GS167:IK167" ca="1" si="189">IF(AND(GS92&gt;=$E$172,GS92&lt;$E$173+1),10,0)</f>
        <v>0</v>
      </c>
      <c r="GT167" s="348">
        <f t="shared" ca="1" si="189"/>
        <v>0</v>
      </c>
      <c r="GU167" s="348">
        <f t="shared" ca="1" si="189"/>
        <v>0</v>
      </c>
      <c r="GV167" s="348">
        <f t="shared" ca="1" si="189"/>
        <v>0</v>
      </c>
      <c r="GW167" s="348">
        <f t="shared" ca="1" si="189"/>
        <v>0</v>
      </c>
      <c r="GX167" s="348">
        <f t="shared" ca="1" si="189"/>
        <v>0</v>
      </c>
      <c r="GY167" s="348">
        <f t="shared" ca="1" si="189"/>
        <v>0</v>
      </c>
      <c r="GZ167" s="348">
        <f t="shared" ca="1" si="189"/>
        <v>0</v>
      </c>
      <c r="HA167" s="348">
        <f t="shared" ca="1" si="189"/>
        <v>0</v>
      </c>
      <c r="HB167" s="348">
        <f t="shared" ca="1" si="189"/>
        <v>0</v>
      </c>
      <c r="HC167" s="348">
        <f t="shared" ca="1" si="189"/>
        <v>0</v>
      </c>
      <c r="HD167" s="348">
        <f t="shared" ca="1" si="189"/>
        <v>0</v>
      </c>
      <c r="HE167" s="348">
        <f t="shared" ca="1" si="189"/>
        <v>0</v>
      </c>
      <c r="HF167" s="348">
        <f t="shared" ca="1" si="189"/>
        <v>0</v>
      </c>
      <c r="HG167" s="348">
        <f t="shared" ca="1" si="189"/>
        <v>0</v>
      </c>
      <c r="HH167" s="348">
        <f t="shared" ca="1" si="189"/>
        <v>0</v>
      </c>
      <c r="HI167" s="348">
        <f t="shared" ca="1" si="189"/>
        <v>0</v>
      </c>
      <c r="HJ167" s="348">
        <f t="shared" ca="1" si="189"/>
        <v>0</v>
      </c>
      <c r="HK167" s="348">
        <f t="shared" ca="1" si="189"/>
        <v>0</v>
      </c>
      <c r="HL167" s="348">
        <f t="shared" ca="1" si="189"/>
        <v>0</v>
      </c>
      <c r="HM167" s="348">
        <f t="shared" ca="1" si="189"/>
        <v>0</v>
      </c>
      <c r="HN167" s="348">
        <f t="shared" ca="1" si="189"/>
        <v>0</v>
      </c>
      <c r="HO167" s="348">
        <f t="shared" ca="1" si="189"/>
        <v>0</v>
      </c>
      <c r="HP167" s="348">
        <f t="shared" ca="1" si="189"/>
        <v>0</v>
      </c>
      <c r="HQ167" s="348">
        <f t="shared" ca="1" si="189"/>
        <v>0</v>
      </c>
      <c r="HR167" s="348">
        <f t="shared" ca="1" si="189"/>
        <v>0</v>
      </c>
      <c r="HS167" s="348">
        <f t="shared" ca="1" si="189"/>
        <v>0</v>
      </c>
      <c r="HT167" s="348">
        <f t="shared" ca="1" si="189"/>
        <v>0</v>
      </c>
      <c r="HU167" s="348">
        <f t="shared" ca="1" si="189"/>
        <v>0</v>
      </c>
      <c r="HV167" s="348">
        <f t="shared" ca="1" si="189"/>
        <v>0</v>
      </c>
      <c r="HW167" s="348">
        <f t="shared" ca="1" si="189"/>
        <v>0</v>
      </c>
      <c r="HX167" s="348">
        <f t="shared" ca="1" si="189"/>
        <v>0</v>
      </c>
      <c r="HY167" s="348">
        <f t="shared" ca="1" si="189"/>
        <v>0</v>
      </c>
      <c r="HZ167" s="348">
        <f t="shared" ca="1" si="189"/>
        <v>0</v>
      </c>
      <c r="IA167" s="348">
        <f t="shared" ca="1" si="189"/>
        <v>0</v>
      </c>
      <c r="IB167" s="348">
        <f t="shared" ca="1" si="189"/>
        <v>0</v>
      </c>
      <c r="IC167" s="348">
        <f t="shared" ca="1" si="189"/>
        <v>0</v>
      </c>
      <c r="ID167" s="348">
        <f t="shared" ca="1" si="189"/>
        <v>0</v>
      </c>
      <c r="IE167" s="348">
        <f t="shared" ca="1" si="189"/>
        <v>0</v>
      </c>
      <c r="IF167" s="348">
        <f t="shared" ca="1" si="189"/>
        <v>0</v>
      </c>
      <c r="IG167" s="348">
        <f t="shared" ca="1" si="189"/>
        <v>0</v>
      </c>
      <c r="IH167" s="348">
        <f t="shared" ca="1" si="189"/>
        <v>0</v>
      </c>
      <c r="II167" s="348">
        <f t="shared" ca="1" si="189"/>
        <v>0</v>
      </c>
      <c r="IJ167" s="348">
        <f t="shared" ca="1" si="189"/>
        <v>0</v>
      </c>
      <c r="IK167" s="348">
        <f t="shared" ca="1" si="189"/>
        <v>0</v>
      </c>
    </row>
    <row r="168" spans="1:245" hidden="1" x14ac:dyDescent="0.35">
      <c r="A168" s="195"/>
      <c r="B168" s="5"/>
      <c r="C168" s="630" t="s">
        <v>1596</v>
      </c>
      <c r="D168" s="467">
        <f ca="1">IF($CV$5=1,IF(F116&gt;0,0,G171),IF($CV$5=2,IF(F116&gt;0,0,IF(G171+D167&lt;LARGE(G167:G169,1),LARGE(G167:G169,1)-30/100*D132,G171)),IF($CV$5=3,LARGE(G167:G169,1)-20/100*E135,IF($CV$5=4,IF(D127=D128,G152-50/100*D167,IF(D127&lt;D128,D252-D167,0)),0))))</f>
        <v>45992.337500000001</v>
      </c>
      <c r="E168" s="630">
        <f ca="1">IF(ENTRADAS!$D$912="X",IF(AND(ENTRADAS!$C$397="X",F114=0),IF($CV$5=1,IF(D168=0,0,IF((E32-D129+ENTRADAS!BS401)&gt;0,IF(D140&gt;D162,E151,E162+1),G171-D129)),IF($CV$5=2,IF(F116&gt;0,0,IF(G171-D129+D167&lt;LARGE(G167:G169,1)-D129,LARGE(G167:G169,1)-D129-30/100*D132,G171-D129)),IF($CV$5=3,LARGE(G167:G169,1)-20/100*E135-D129,IF($CV$5=4,IF(D127=D128,G152-50/100*D167-D129,IF(D127&lt;D128,E252-D167,0)),0)))),IF($CV$5=1,IF(D168=0,0,IF(F114&gt;0,IF(D140&gt;D162,E151,E162+1),G171-D129)),IF($CV$5=2,IF(F116&gt;0,0,IF(G171-D129+D167&lt;LARGE(G167:G169,1)-D129,LARGE(G167:G169,1)-D129-30/100*D132,G171-D129)),IF($CV$5=3,LARGE(G167:G169,1)-20/100*E135-D129,IF($CV$5=4,IF(D127=D128,G152-50/100*D167-D129,IF(D127&lt;D128,E252-D167,0)),0))))),IF(AND(ENTRADAS!$C$397="X",F114=0),IF($CV$5=1,IF(D168=0,0,IF((E30-D129+ENTRADAS!BS401)&gt;0,IF(D140&gt;D162,E151,E162+1),G171-D129)),IF($CV$5=2,IF(F116&gt;0,0,IF(G171-D129+D167&lt;LARGE(G167:G169,1)-D129,LARGE(G167:G169,1)-D129-30/100*D132,G171-D129)),IF($CV$5=3,LARGE(G167:G169,1)-20/100*E135-D129,IF($CV$5=4,IF(D127=D128,G152-50/100*D167-D129,IF(D127&lt;D128,E252-D167,0)),0)))),IF($CV$5=1,IF(D168=0,0,IF(F114&gt;0,IF(D140&gt;D162,E151,E162+1),G171-D129)),IF($CV$5=2,IF(F116&gt;0,0,IF(G171-D129+D167&lt;LARGE(G167:G169,1)-D129,LARGE(G167:G169,1)-D129-30/100*D132,G171-D129)),IF($CV$5=3,LARGE(G167:G169,1)-20/100*E135-D129,IF($CV$5=4,IF(D127=D128,G152-50/100*D167-D129,IF(D127&lt;D128,E252-D167,0)),0))))))</f>
        <v>73.337500000001455</v>
      </c>
      <c r="G168" s="471">
        <f ca="1">D140</f>
        <v>0</v>
      </c>
    </row>
    <row r="169" spans="1:245" hidden="1" x14ac:dyDescent="0.35">
      <c r="A169" s="195"/>
      <c r="B169" s="5"/>
      <c r="C169" s="630" t="s">
        <v>1597</v>
      </c>
      <c r="D169" s="467">
        <f>IF(F116&gt;0,$J$3+F116,0)</f>
        <v>0</v>
      </c>
      <c r="E169" s="385">
        <f>IF(F116&gt;0,F116+1,0)</f>
        <v>0</v>
      </c>
      <c r="G169" s="471">
        <f>D151</f>
        <v>0</v>
      </c>
    </row>
    <row r="170" spans="1:245" hidden="1" x14ac:dyDescent="0.35">
      <c r="A170" s="195"/>
      <c r="B170" s="5"/>
      <c r="C170" s="630" t="s">
        <v>1598</v>
      </c>
      <c r="D170" s="467">
        <f ca="1">IF(D168=0,0,D168+D167-1)</f>
        <v>45991.337500000001</v>
      </c>
      <c r="E170" s="32">
        <f ca="1">IF(D170=0,0,E168+D167-1)</f>
        <v>72.337500000001455</v>
      </c>
      <c r="G170" s="471">
        <f ca="1">IF(ENTRADAS!$D$912="X",D162,D162)</f>
        <v>45995.237500000003</v>
      </c>
    </row>
    <row r="171" spans="1:245" hidden="1" x14ac:dyDescent="0.35">
      <c r="A171" s="195"/>
      <c r="B171" s="5"/>
      <c r="C171" s="630" t="s">
        <v>1599</v>
      </c>
      <c r="D171" s="467">
        <f>IF(D169=0,0,D169+D167-1)</f>
        <v>0</v>
      </c>
      <c r="E171" s="385">
        <f>IF(D171=0,0,E169+D167-1)</f>
        <v>0</v>
      </c>
      <c r="G171" s="471">
        <f ca="1">IF(ENTRADAS!D912="X",IF(ENTRADAS!$C$397="X",IF(OR(G170&lt;G167,G170&lt;G168,G170&lt;G169),G170+1,LARGE(G167:G170,1)+1),IF(OR(G170&lt;G167,G170&lt;G168,G170&lt;G169),G170-10/100*D156,LARGE(G167:G170,1)-10/100*D156)),IF(ENTRADAS!$C$397="X",IF(OR(G170&lt;G167,G170&lt;G168,G170&lt;G169),G170+ENTRADAS!$D$401,LARGE(G167:G170,1)+ENTRADAS!$D$401),IF(OR(G170&lt;G167,G170&lt;G168,G170&lt;G169),G170-10/100*D156,LARGE(G167:G170,1)-10/100*D156)))</f>
        <v>45992.337500000001</v>
      </c>
    </row>
    <row r="172" spans="1:245" hidden="1" x14ac:dyDescent="0.35">
      <c r="A172" s="195"/>
      <c r="B172" s="5"/>
      <c r="C172" s="630" t="s">
        <v>1600</v>
      </c>
      <c r="D172" s="467">
        <f ca="1">D168+D169</f>
        <v>45992.337500000001</v>
      </c>
      <c r="E172" s="385">
        <f ca="1">E168+E169</f>
        <v>73.337500000001455</v>
      </c>
      <c r="G172" s="480">
        <f ca="1">IF(D128&lt;D127,0,IF(AND(H92&gt;=E133,H92&lt;=LARGE(H173:IK173,1)),1000,0))</f>
        <v>0</v>
      </c>
      <c r="H172" s="32">
        <f ca="1">IF($D$128&lt;$D$127,0,IF(AND(H92&gt;=$E$133,H92&lt;=LARGE($H$173:$IK$173,1)),1000,0))</f>
        <v>0</v>
      </c>
      <c r="I172" s="32">
        <f t="shared" ref="I172:BT172" ca="1" si="190">IF($D$128&lt;$D$127,0,IF(AND(I92&gt;=$E$133,I92&lt;=LARGE($H$173:$IK$173,1)),1000,0))</f>
        <v>0</v>
      </c>
      <c r="J172" s="32">
        <f t="shared" ca="1" si="190"/>
        <v>0</v>
      </c>
      <c r="K172" s="32">
        <f t="shared" ca="1" si="190"/>
        <v>0</v>
      </c>
      <c r="L172" s="32">
        <f t="shared" ca="1" si="190"/>
        <v>0</v>
      </c>
      <c r="M172" s="32">
        <f t="shared" ca="1" si="190"/>
        <v>0</v>
      </c>
      <c r="N172" s="32">
        <f t="shared" ca="1" si="190"/>
        <v>0</v>
      </c>
      <c r="O172" s="32">
        <f t="shared" ca="1" si="190"/>
        <v>0</v>
      </c>
      <c r="P172" s="32">
        <f t="shared" ca="1" si="190"/>
        <v>0</v>
      </c>
      <c r="Q172" s="32">
        <f t="shared" ca="1" si="190"/>
        <v>0</v>
      </c>
      <c r="R172" s="32">
        <f t="shared" ca="1" si="190"/>
        <v>0</v>
      </c>
      <c r="S172" s="32">
        <f t="shared" ca="1" si="190"/>
        <v>0</v>
      </c>
      <c r="T172" s="32">
        <f t="shared" ca="1" si="190"/>
        <v>0</v>
      </c>
      <c r="U172" s="32">
        <f t="shared" ca="1" si="190"/>
        <v>0</v>
      </c>
      <c r="V172" s="32">
        <f t="shared" ca="1" si="190"/>
        <v>0</v>
      </c>
      <c r="W172" s="32">
        <f t="shared" ca="1" si="190"/>
        <v>0</v>
      </c>
      <c r="X172" s="32">
        <f t="shared" ca="1" si="190"/>
        <v>0</v>
      </c>
      <c r="Y172" s="32">
        <f t="shared" ca="1" si="190"/>
        <v>0</v>
      </c>
      <c r="Z172" s="32">
        <f t="shared" ca="1" si="190"/>
        <v>0</v>
      </c>
      <c r="AA172" s="32">
        <f t="shared" ca="1" si="190"/>
        <v>0</v>
      </c>
      <c r="AB172" s="32">
        <f t="shared" ca="1" si="190"/>
        <v>0</v>
      </c>
      <c r="AC172" s="32">
        <f t="shared" ca="1" si="190"/>
        <v>0</v>
      </c>
      <c r="AD172" s="32">
        <f t="shared" ca="1" si="190"/>
        <v>0</v>
      </c>
      <c r="AE172" s="32">
        <f t="shared" ca="1" si="190"/>
        <v>0</v>
      </c>
      <c r="AF172" s="32">
        <f t="shared" ca="1" si="190"/>
        <v>0</v>
      </c>
      <c r="AG172" s="32">
        <f t="shared" ca="1" si="190"/>
        <v>0</v>
      </c>
      <c r="AH172" s="32">
        <f t="shared" ca="1" si="190"/>
        <v>0</v>
      </c>
      <c r="AI172" s="32">
        <f t="shared" ca="1" si="190"/>
        <v>0</v>
      </c>
      <c r="AJ172" s="32">
        <f t="shared" ca="1" si="190"/>
        <v>0</v>
      </c>
      <c r="AK172" s="32">
        <f t="shared" ca="1" si="190"/>
        <v>0</v>
      </c>
      <c r="AL172" s="32">
        <f t="shared" ca="1" si="190"/>
        <v>0</v>
      </c>
      <c r="AM172" s="32">
        <f t="shared" ca="1" si="190"/>
        <v>1000</v>
      </c>
      <c r="AN172" s="32">
        <f t="shared" ca="1" si="190"/>
        <v>1000</v>
      </c>
      <c r="AO172" s="32">
        <f t="shared" ca="1" si="190"/>
        <v>1000</v>
      </c>
      <c r="AP172" s="32">
        <f t="shared" ca="1" si="190"/>
        <v>1000</v>
      </c>
      <c r="AQ172" s="32">
        <f t="shared" ca="1" si="190"/>
        <v>1000</v>
      </c>
      <c r="AR172" s="32">
        <f t="shared" ca="1" si="190"/>
        <v>1000</v>
      </c>
      <c r="AS172" s="32">
        <f t="shared" ca="1" si="190"/>
        <v>1000</v>
      </c>
      <c r="AT172" s="32">
        <f t="shared" ca="1" si="190"/>
        <v>1000</v>
      </c>
      <c r="AU172" s="32">
        <f t="shared" ca="1" si="190"/>
        <v>1000</v>
      </c>
      <c r="AV172" s="32">
        <f t="shared" ca="1" si="190"/>
        <v>1000</v>
      </c>
      <c r="AW172" s="32">
        <f t="shared" ca="1" si="190"/>
        <v>1000</v>
      </c>
      <c r="AX172" s="32">
        <f t="shared" ca="1" si="190"/>
        <v>1000</v>
      </c>
      <c r="AY172" s="32">
        <f t="shared" ca="1" si="190"/>
        <v>1000</v>
      </c>
      <c r="AZ172" s="32">
        <f t="shared" ca="1" si="190"/>
        <v>1000</v>
      </c>
      <c r="BA172" s="32">
        <f t="shared" ca="1" si="190"/>
        <v>1000</v>
      </c>
      <c r="BB172" s="32">
        <f t="shared" ca="1" si="190"/>
        <v>1000</v>
      </c>
      <c r="BC172" s="32">
        <f t="shared" ca="1" si="190"/>
        <v>1000</v>
      </c>
      <c r="BD172" s="32">
        <f t="shared" ca="1" si="190"/>
        <v>1000</v>
      </c>
      <c r="BE172" s="32">
        <f t="shared" ca="1" si="190"/>
        <v>1000</v>
      </c>
      <c r="BF172" s="32">
        <f t="shared" ca="1" si="190"/>
        <v>1000</v>
      </c>
      <c r="BG172" s="32">
        <f t="shared" ca="1" si="190"/>
        <v>1000</v>
      </c>
      <c r="BH172" s="32">
        <f t="shared" ca="1" si="190"/>
        <v>1000</v>
      </c>
      <c r="BI172" s="32">
        <f t="shared" ca="1" si="190"/>
        <v>1000</v>
      </c>
      <c r="BJ172" s="32">
        <f t="shared" ca="1" si="190"/>
        <v>1000</v>
      </c>
      <c r="BK172" s="32">
        <f t="shared" ca="1" si="190"/>
        <v>1000</v>
      </c>
      <c r="BL172" s="32">
        <f t="shared" ca="1" si="190"/>
        <v>1000</v>
      </c>
      <c r="BM172" s="32">
        <f t="shared" ca="1" si="190"/>
        <v>1000</v>
      </c>
      <c r="BN172" s="32">
        <f t="shared" ca="1" si="190"/>
        <v>1000</v>
      </c>
      <c r="BO172" s="32">
        <f t="shared" ca="1" si="190"/>
        <v>1000</v>
      </c>
      <c r="BP172" s="32">
        <f t="shared" ca="1" si="190"/>
        <v>1000</v>
      </c>
      <c r="BQ172" s="32">
        <f t="shared" ca="1" si="190"/>
        <v>1000</v>
      </c>
      <c r="BR172" s="32">
        <f t="shared" ca="1" si="190"/>
        <v>1000</v>
      </c>
      <c r="BS172" s="32">
        <f t="shared" ca="1" si="190"/>
        <v>1000</v>
      </c>
      <c r="BT172" s="32">
        <f t="shared" ca="1" si="190"/>
        <v>1000</v>
      </c>
      <c r="BU172" s="32">
        <f t="shared" ref="BU172:EF172" ca="1" si="191">IF($D$128&lt;$D$127,0,IF(AND(BU92&gt;=$E$133,BU92&lt;=LARGE($H$173:$IK$173,1)),1000,0))</f>
        <v>1000</v>
      </c>
      <c r="BV172" s="32">
        <f t="shared" ca="1" si="191"/>
        <v>1000</v>
      </c>
      <c r="BW172" s="32">
        <f t="shared" ca="1" si="191"/>
        <v>1000</v>
      </c>
      <c r="BX172" s="32">
        <f t="shared" ca="1" si="191"/>
        <v>1000</v>
      </c>
      <c r="BY172" s="32">
        <f t="shared" ca="1" si="191"/>
        <v>1000</v>
      </c>
      <c r="BZ172" s="32">
        <f t="shared" ca="1" si="191"/>
        <v>1000</v>
      </c>
      <c r="CA172" s="32">
        <f t="shared" ca="1" si="191"/>
        <v>1000</v>
      </c>
      <c r="CB172" s="32">
        <f t="shared" ca="1" si="191"/>
        <v>1000</v>
      </c>
      <c r="CC172" s="32">
        <f t="shared" ca="1" si="191"/>
        <v>1000</v>
      </c>
      <c r="CD172" s="32">
        <f t="shared" ca="1" si="191"/>
        <v>1000</v>
      </c>
      <c r="CE172" s="32">
        <f t="shared" ca="1" si="191"/>
        <v>1000</v>
      </c>
      <c r="CF172" s="32">
        <f t="shared" ca="1" si="191"/>
        <v>1000</v>
      </c>
      <c r="CG172" s="32">
        <f t="shared" ca="1" si="191"/>
        <v>1000</v>
      </c>
      <c r="CH172" s="32">
        <f t="shared" ca="1" si="191"/>
        <v>1000</v>
      </c>
      <c r="CI172" s="32">
        <f t="shared" ca="1" si="191"/>
        <v>1000</v>
      </c>
      <c r="CJ172" s="32">
        <f t="shared" ca="1" si="191"/>
        <v>1000</v>
      </c>
      <c r="CK172" s="32">
        <f t="shared" ca="1" si="191"/>
        <v>1000</v>
      </c>
      <c r="CL172" s="32">
        <f t="shared" ca="1" si="191"/>
        <v>1000</v>
      </c>
      <c r="CM172" s="32">
        <f t="shared" ca="1" si="191"/>
        <v>0</v>
      </c>
      <c r="CN172" s="32">
        <f t="shared" ca="1" si="191"/>
        <v>0</v>
      </c>
      <c r="CO172" s="32">
        <f t="shared" ca="1" si="191"/>
        <v>0</v>
      </c>
      <c r="CP172" s="32">
        <f t="shared" ca="1" si="191"/>
        <v>0</v>
      </c>
      <c r="CQ172" s="32">
        <f t="shared" ca="1" si="191"/>
        <v>0</v>
      </c>
      <c r="CR172" s="32">
        <f t="shared" ca="1" si="191"/>
        <v>0</v>
      </c>
      <c r="CS172" s="32">
        <f t="shared" ca="1" si="191"/>
        <v>0</v>
      </c>
      <c r="CT172" s="32">
        <f t="shared" ca="1" si="191"/>
        <v>0</v>
      </c>
      <c r="CU172" s="32">
        <f t="shared" ca="1" si="191"/>
        <v>0</v>
      </c>
      <c r="CV172" s="32">
        <f t="shared" ca="1" si="191"/>
        <v>0</v>
      </c>
      <c r="CW172" s="32">
        <f t="shared" ca="1" si="191"/>
        <v>0</v>
      </c>
      <c r="CX172" s="32">
        <f t="shared" ca="1" si="191"/>
        <v>0</v>
      </c>
      <c r="CY172" s="32">
        <f t="shared" ca="1" si="191"/>
        <v>0</v>
      </c>
      <c r="CZ172" s="32">
        <f t="shared" ca="1" si="191"/>
        <v>0</v>
      </c>
      <c r="DA172" s="32">
        <f t="shared" ca="1" si="191"/>
        <v>0</v>
      </c>
      <c r="DB172" s="32">
        <f t="shared" ca="1" si="191"/>
        <v>0</v>
      </c>
      <c r="DC172" s="32">
        <f t="shared" ca="1" si="191"/>
        <v>0</v>
      </c>
      <c r="DD172" s="32">
        <f t="shared" ca="1" si="191"/>
        <v>0</v>
      </c>
      <c r="DE172" s="32">
        <f t="shared" ca="1" si="191"/>
        <v>0</v>
      </c>
      <c r="DF172" s="32">
        <f t="shared" ca="1" si="191"/>
        <v>0</v>
      </c>
      <c r="DG172" s="32">
        <f t="shared" ca="1" si="191"/>
        <v>0</v>
      </c>
      <c r="DH172" s="32">
        <f t="shared" ca="1" si="191"/>
        <v>0</v>
      </c>
      <c r="DI172" s="32">
        <f t="shared" ca="1" si="191"/>
        <v>0</v>
      </c>
      <c r="DJ172" s="32">
        <f t="shared" ca="1" si="191"/>
        <v>0</v>
      </c>
      <c r="DK172" s="32">
        <f t="shared" ca="1" si="191"/>
        <v>0</v>
      </c>
      <c r="DL172" s="32">
        <f t="shared" ca="1" si="191"/>
        <v>0</v>
      </c>
      <c r="DM172" s="32">
        <f t="shared" ca="1" si="191"/>
        <v>0</v>
      </c>
      <c r="DN172" s="32">
        <f t="shared" ca="1" si="191"/>
        <v>0</v>
      </c>
      <c r="DO172" s="32">
        <f t="shared" ca="1" si="191"/>
        <v>0</v>
      </c>
      <c r="DP172" s="32">
        <f t="shared" ca="1" si="191"/>
        <v>0</v>
      </c>
      <c r="DQ172" s="32">
        <f t="shared" ca="1" si="191"/>
        <v>0</v>
      </c>
      <c r="DR172" s="32">
        <f t="shared" ca="1" si="191"/>
        <v>0</v>
      </c>
      <c r="DS172" s="32">
        <f t="shared" ca="1" si="191"/>
        <v>0</v>
      </c>
      <c r="DT172" s="32">
        <f t="shared" ca="1" si="191"/>
        <v>0</v>
      </c>
      <c r="DU172" s="32">
        <f t="shared" ca="1" si="191"/>
        <v>0</v>
      </c>
      <c r="DV172" s="32">
        <f t="shared" ca="1" si="191"/>
        <v>0</v>
      </c>
      <c r="DW172" s="32">
        <f t="shared" ca="1" si="191"/>
        <v>0</v>
      </c>
      <c r="DX172" s="32">
        <f t="shared" ca="1" si="191"/>
        <v>0</v>
      </c>
      <c r="DY172" s="32">
        <f t="shared" ca="1" si="191"/>
        <v>0</v>
      </c>
      <c r="DZ172" s="32">
        <f t="shared" ca="1" si="191"/>
        <v>0</v>
      </c>
      <c r="EA172" s="32">
        <f t="shared" ca="1" si="191"/>
        <v>0</v>
      </c>
      <c r="EB172" s="32">
        <f t="shared" ca="1" si="191"/>
        <v>0</v>
      </c>
      <c r="EC172" s="32">
        <f t="shared" ca="1" si="191"/>
        <v>0</v>
      </c>
      <c r="ED172" s="32">
        <f t="shared" ca="1" si="191"/>
        <v>0</v>
      </c>
      <c r="EE172" s="32">
        <f t="shared" ca="1" si="191"/>
        <v>0</v>
      </c>
      <c r="EF172" s="32">
        <f t="shared" ca="1" si="191"/>
        <v>0</v>
      </c>
      <c r="EG172" s="32">
        <f t="shared" ref="EG172:GR172" ca="1" si="192">IF($D$128&lt;$D$127,0,IF(AND(EG92&gt;=$E$133,EG92&lt;=LARGE($H$173:$IK$173,1)),1000,0))</f>
        <v>0</v>
      </c>
      <c r="EH172" s="32">
        <f t="shared" ca="1" si="192"/>
        <v>0</v>
      </c>
      <c r="EI172" s="32">
        <f t="shared" ca="1" si="192"/>
        <v>0</v>
      </c>
      <c r="EJ172" s="32">
        <f t="shared" ca="1" si="192"/>
        <v>0</v>
      </c>
      <c r="EK172" s="32">
        <f t="shared" ca="1" si="192"/>
        <v>0</v>
      </c>
      <c r="EL172" s="32">
        <f t="shared" ca="1" si="192"/>
        <v>0</v>
      </c>
      <c r="EM172" s="32">
        <f t="shared" ca="1" si="192"/>
        <v>0</v>
      </c>
      <c r="EN172" s="32">
        <f t="shared" ca="1" si="192"/>
        <v>0</v>
      </c>
      <c r="EO172" s="32">
        <f t="shared" ca="1" si="192"/>
        <v>0</v>
      </c>
      <c r="EP172" s="32">
        <f t="shared" ca="1" si="192"/>
        <v>0</v>
      </c>
      <c r="EQ172" s="32">
        <f t="shared" ca="1" si="192"/>
        <v>0</v>
      </c>
      <c r="ER172" s="32">
        <f t="shared" ca="1" si="192"/>
        <v>0</v>
      </c>
      <c r="ES172" s="32">
        <f t="shared" ca="1" si="192"/>
        <v>0</v>
      </c>
      <c r="ET172" s="32">
        <f t="shared" ca="1" si="192"/>
        <v>0</v>
      </c>
      <c r="EU172" s="32">
        <f t="shared" ca="1" si="192"/>
        <v>0</v>
      </c>
      <c r="EV172" s="32">
        <f t="shared" ca="1" si="192"/>
        <v>0</v>
      </c>
      <c r="EW172" s="32">
        <f t="shared" ca="1" si="192"/>
        <v>0</v>
      </c>
      <c r="EX172" s="32">
        <f t="shared" ca="1" si="192"/>
        <v>0</v>
      </c>
      <c r="EY172" s="32">
        <f t="shared" ca="1" si="192"/>
        <v>0</v>
      </c>
      <c r="EZ172" s="32">
        <f t="shared" ca="1" si="192"/>
        <v>0</v>
      </c>
      <c r="FA172" s="32">
        <f t="shared" ca="1" si="192"/>
        <v>0</v>
      </c>
      <c r="FB172" s="32">
        <f t="shared" ca="1" si="192"/>
        <v>0</v>
      </c>
      <c r="FC172" s="32">
        <f t="shared" ca="1" si="192"/>
        <v>0</v>
      </c>
      <c r="FD172" s="32">
        <f t="shared" ca="1" si="192"/>
        <v>0</v>
      </c>
      <c r="FE172" s="32">
        <f t="shared" ca="1" si="192"/>
        <v>0</v>
      </c>
      <c r="FF172" s="32">
        <f t="shared" ca="1" si="192"/>
        <v>0</v>
      </c>
      <c r="FG172" s="32">
        <f t="shared" ca="1" si="192"/>
        <v>0</v>
      </c>
      <c r="FH172" s="32">
        <f t="shared" ca="1" si="192"/>
        <v>0</v>
      </c>
      <c r="FI172" s="32">
        <f t="shared" ca="1" si="192"/>
        <v>0</v>
      </c>
      <c r="FJ172" s="32">
        <f t="shared" ca="1" si="192"/>
        <v>0</v>
      </c>
      <c r="FK172" s="32">
        <f t="shared" ca="1" si="192"/>
        <v>0</v>
      </c>
      <c r="FL172" s="32">
        <f t="shared" ca="1" si="192"/>
        <v>0</v>
      </c>
      <c r="FM172" s="32">
        <f t="shared" ca="1" si="192"/>
        <v>0</v>
      </c>
      <c r="FN172" s="32">
        <f t="shared" ca="1" si="192"/>
        <v>0</v>
      </c>
      <c r="FO172" s="32">
        <f t="shared" ca="1" si="192"/>
        <v>0</v>
      </c>
      <c r="FP172" s="32">
        <f t="shared" ca="1" si="192"/>
        <v>0</v>
      </c>
      <c r="FQ172" s="32">
        <f t="shared" ca="1" si="192"/>
        <v>0</v>
      </c>
      <c r="FR172" s="32">
        <f t="shared" ca="1" si="192"/>
        <v>0</v>
      </c>
      <c r="FS172" s="32">
        <f t="shared" ca="1" si="192"/>
        <v>0</v>
      </c>
      <c r="FT172" s="32">
        <f t="shared" ca="1" si="192"/>
        <v>0</v>
      </c>
      <c r="FU172" s="32">
        <f t="shared" ca="1" si="192"/>
        <v>0</v>
      </c>
      <c r="FV172" s="32">
        <f t="shared" ca="1" si="192"/>
        <v>0</v>
      </c>
      <c r="FW172" s="32">
        <f t="shared" ca="1" si="192"/>
        <v>0</v>
      </c>
      <c r="FX172" s="32">
        <f t="shared" ca="1" si="192"/>
        <v>0</v>
      </c>
      <c r="FY172" s="32">
        <f t="shared" ca="1" si="192"/>
        <v>0</v>
      </c>
      <c r="FZ172" s="32">
        <f t="shared" ca="1" si="192"/>
        <v>0</v>
      </c>
      <c r="GA172" s="32">
        <f t="shared" ca="1" si="192"/>
        <v>0</v>
      </c>
      <c r="GB172" s="32">
        <f t="shared" ca="1" si="192"/>
        <v>0</v>
      </c>
      <c r="GC172" s="32">
        <f t="shared" ca="1" si="192"/>
        <v>0</v>
      </c>
      <c r="GD172" s="32">
        <f t="shared" ca="1" si="192"/>
        <v>0</v>
      </c>
      <c r="GE172" s="32">
        <f t="shared" ca="1" si="192"/>
        <v>0</v>
      </c>
      <c r="GF172" s="32">
        <f t="shared" ca="1" si="192"/>
        <v>0</v>
      </c>
      <c r="GG172" s="32">
        <f t="shared" ca="1" si="192"/>
        <v>0</v>
      </c>
      <c r="GH172" s="32">
        <f t="shared" ca="1" si="192"/>
        <v>0</v>
      </c>
      <c r="GI172" s="32">
        <f t="shared" ca="1" si="192"/>
        <v>0</v>
      </c>
      <c r="GJ172" s="32">
        <f t="shared" ca="1" si="192"/>
        <v>0</v>
      </c>
      <c r="GK172" s="32">
        <f t="shared" ca="1" si="192"/>
        <v>0</v>
      </c>
      <c r="GL172" s="32">
        <f t="shared" ca="1" si="192"/>
        <v>0</v>
      </c>
      <c r="GM172" s="32">
        <f t="shared" ca="1" si="192"/>
        <v>0</v>
      </c>
      <c r="GN172" s="32">
        <f t="shared" ca="1" si="192"/>
        <v>0</v>
      </c>
      <c r="GO172" s="32">
        <f t="shared" ca="1" si="192"/>
        <v>0</v>
      </c>
      <c r="GP172" s="32">
        <f t="shared" ca="1" si="192"/>
        <v>0</v>
      </c>
      <c r="GQ172" s="32">
        <f t="shared" ca="1" si="192"/>
        <v>0</v>
      </c>
      <c r="GR172" s="32">
        <f t="shared" ca="1" si="192"/>
        <v>0</v>
      </c>
      <c r="GS172" s="32">
        <f t="shared" ref="GS172:IK172" ca="1" si="193">IF($D$128&lt;$D$127,0,IF(AND(GS92&gt;=$E$133,GS92&lt;=LARGE($H$173:$IK$173,1)),1000,0))</f>
        <v>0</v>
      </c>
      <c r="GT172" s="32">
        <f t="shared" ca="1" si="193"/>
        <v>0</v>
      </c>
      <c r="GU172" s="32">
        <f t="shared" ca="1" si="193"/>
        <v>0</v>
      </c>
      <c r="GV172" s="32">
        <f t="shared" ca="1" si="193"/>
        <v>0</v>
      </c>
      <c r="GW172" s="32">
        <f t="shared" ca="1" si="193"/>
        <v>0</v>
      </c>
      <c r="GX172" s="32">
        <f t="shared" ca="1" si="193"/>
        <v>0</v>
      </c>
      <c r="GY172" s="32">
        <f t="shared" ca="1" si="193"/>
        <v>0</v>
      </c>
      <c r="GZ172" s="32">
        <f t="shared" ca="1" si="193"/>
        <v>0</v>
      </c>
      <c r="HA172" s="32">
        <f t="shared" ca="1" si="193"/>
        <v>0</v>
      </c>
      <c r="HB172" s="32">
        <f t="shared" ca="1" si="193"/>
        <v>0</v>
      </c>
      <c r="HC172" s="32">
        <f t="shared" ca="1" si="193"/>
        <v>0</v>
      </c>
      <c r="HD172" s="32">
        <f t="shared" ca="1" si="193"/>
        <v>0</v>
      </c>
      <c r="HE172" s="32">
        <f t="shared" ca="1" si="193"/>
        <v>0</v>
      </c>
      <c r="HF172" s="32">
        <f t="shared" ca="1" si="193"/>
        <v>0</v>
      </c>
      <c r="HG172" s="32">
        <f t="shared" ca="1" si="193"/>
        <v>0</v>
      </c>
      <c r="HH172" s="32">
        <f t="shared" ca="1" si="193"/>
        <v>0</v>
      </c>
      <c r="HI172" s="32">
        <f t="shared" ca="1" si="193"/>
        <v>0</v>
      </c>
      <c r="HJ172" s="32">
        <f t="shared" ca="1" si="193"/>
        <v>0</v>
      </c>
      <c r="HK172" s="32">
        <f t="shared" ca="1" si="193"/>
        <v>0</v>
      </c>
      <c r="HL172" s="32">
        <f t="shared" ca="1" si="193"/>
        <v>0</v>
      </c>
      <c r="HM172" s="32">
        <f t="shared" ca="1" si="193"/>
        <v>0</v>
      </c>
      <c r="HN172" s="32">
        <f t="shared" ca="1" si="193"/>
        <v>0</v>
      </c>
      <c r="HO172" s="32">
        <f t="shared" ca="1" si="193"/>
        <v>0</v>
      </c>
      <c r="HP172" s="32">
        <f t="shared" ca="1" si="193"/>
        <v>0</v>
      </c>
      <c r="HQ172" s="32">
        <f t="shared" ca="1" si="193"/>
        <v>0</v>
      </c>
      <c r="HR172" s="32">
        <f t="shared" ca="1" si="193"/>
        <v>0</v>
      </c>
      <c r="HS172" s="32">
        <f t="shared" ca="1" si="193"/>
        <v>0</v>
      </c>
      <c r="HT172" s="32">
        <f t="shared" ca="1" si="193"/>
        <v>0</v>
      </c>
      <c r="HU172" s="32">
        <f t="shared" ca="1" si="193"/>
        <v>0</v>
      </c>
      <c r="HV172" s="32">
        <f t="shared" ca="1" si="193"/>
        <v>0</v>
      </c>
      <c r="HW172" s="32">
        <f t="shared" ca="1" si="193"/>
        <v>0</v>
      </c>
      <c r="HX172" s="32">
        <f t="shared" ca="1" si="193"/>
        <v>0</v>
      </c>
      <c r="HY172" s="32">
        <f t="shared" ca="1" si="193"/>
        <v>0</v>
      </c>
      <c r="HZ172" s="32">
        <f t="shared" ca="1" si="193"/>
        <v>0</v>
      </c>
      <c r="IA172" s="32">
        <f t="shared" ca="1" si="193"/>
        <v>0</v>
      </c>
      <c r="IB172" s="32">
        <f t="shared" ca="1" si="193"/>
        <v>0</v>
      </c>
      <c r="IC172" s="32">
        <f t="shared" ca="1" si="193"/>
        <v>0</v>
      </c>
      <c r="ID172" s="32">
        <f t="shared" ca="1" si="193"/>
        <v>0</v>
      </c>
      <c r="IE172" s="32">
        <f t="shared" ca="1" si="193"/>
        <v>0</v>
      </c>
      <c r="IF172" s="32">
        <f t="shared" ca="1" si="193"/>
        <v>0</v>
      </c>
      <c r="IG172" s="32">
        <f t="shared" ca="1" si="193"/>
        <v>0</v>
      </c>
      <c r="IH172" s="32">
        <f t="shared" ca="1" si="193"/>
        <v>0</v>
      </c>
      <c r="II172" s="32">
        <f t="shared" ca="1" si="193"/>
        <v>0</v>
      </c>
      <c r="IJ172" s="32">
        <f t="shared" ca="1" si="193"/>
        <v>0</v>
      </c>
      <c r="IK172" s="32">
        <f t="shared" ca="1" si="193"/>
        <v>0</v>
      </c>
    </row>
    <row r="173" spans="1:245" hidden="1" x14ac:dyDescent="0.35">
      <c r="A173" s="195"/>
      <c r="B173" s="5"/>
      <c r="C173" s="630" t="s">
        <v>1601</v>
      </c>
      <c r="D173" s="467">
        <f ca="1">D170+D171</f>
        <v>45991.337500000001</v>
      </c>
      <c r="E173" s="385">
        <f ca="1">E170+E171</f>
        <v>72.337500000001455</v>
      </c>
      <c r="H173" s="32">
        <f ca="1">IF(H174&gt;0,H92,0)</f>
        <v>0</v>
      </c>
      <c r="I173" s="32">
        <f t="shared" ref="I173:BS173" ca="1" si="194">IF(I174&gt;0,I92,0)</f>
        <v>0</v>
      </c>
      <c r="J173" s="32">
        <f t="shared" ca="1" si="194"/>
        <v>0</v>
      </c>
      <c r="K173" s="32">
        <f t="shared" ca="1" si="194"/>
        <v>0</v>
      </c>
      <c r="L173" s="32">
        <f t="shared" ca="1" si="194"/>
        <v>0</v>
      </c>
      <c r="M173" s="32">
        <f t="shared" ca="1" si="194"/>
        <v>0</v>
      </c>
      <c r="N173" s="32">
        <f t="shared" ca="1" si="194"/>
        <v>0</v>
      </c>
      <c r="O173" s="32">
        <f t="shared" ca="1" si="194"/>
        <v>0</v>
      </c>
      <c r="P173" s="32">
        <f t="shared" ca="1" si="194"/>
        <v>0</v>
      </c>
      <c r="Q173" s="32">
        <f t="shared" ca="1" si="194"/>
        <v>0</v>
      </c>
      <c r="R173" s="32">
        <f t="shared" ca="1" si="194"/>
        <v>0</v>
      </c>
      <c r="S173" s="32">
        <f t="shared" ca="1" si="194"/>
        <v>0</v>
      </c>
      <c r="T173" s="32">
        <f t="shared" ca="1" si="194"/>
        <v>0</v>
      </c>
      <c r="U173" s="32">
        <f t="shared" ca="1" si="194"/>
        <v>0</v>
      </c>
      <c r="V173" s="32">
        <f t="shared" ca="1" si="194"/>
        <v>0</v>
      </c>
      <c r="W173" s="32">
        <f t="shared" ca="1" si="194"/>
        <v>0</v>
      </c>
      <c r="X173" s="32">
        <f t="shared" ca="1" si="194"/>
        <v>0</v>
      </c>
      <c r="Y173" s="32">
        <f t="shared" ca="1" si="194"/>
        <v>0</v>
      </c>
      <c r="Z173" s="32">
        <f t="shared" ca="1" si="194"/>
        <v>0</v>
      </c>
      <c r="AA173" s="32">
        <f t="shared" ca="1" si="194"/>
        <v>0</v>
      </c>
      <c r="AB173" s="32">
        <f t="shared" ca="1" si="194"/>
        <v>0</v>
      </c>
      <c r="AC173" s="32">
        <f t="shared" ca="1" si="194"/>
        <v>0</v>
      </c>
      <c r="AD173" s="32">
        <f t="shared" ca="1" si="194"/>
        <v>0</v>
      </c>
      <c r="AE173" s="32">
        <f t="shared" ca="1" si="194"/>
        <v>0</v>
      </c>
      <c r="AF173" s="32">
        <f t="shared" ca="1" si="194"/>
        <v>0</v>
      </c>
      <c r="AG173" s="32">
        <f t="shared" ca="1" si="194"/>
        <v>0</v>
      </c>
      <c r="AH173" s="32">
        <f t="shared" ca="1" si="194"/>
        <v>0</v>
      </c>
      <c r="AI173" s="32">
        <f t="shared" ca="1" si="194"/>
        <v>0</v>
      </c>
      <c r="AJ173" s="32">
        <f t="shared" ca="1" si="194"/>
        <v>0</v>
      </c>
      <c r="AK173" s="32">
        <f t="shared" ca="1" si="194"/>
        <v>0</v>
      </c>
      <c r="AL173" s="32">
        <f t="shared" ca="1" si="194"/>
        <v>0</v>
      </c>
      <c r="AM173" s="32">
        <f t="shared" ca="1" si="194"/>
        <v>27</v>
      </c>
      <c r="AN173" s="32">
        <f t="shared" ca="1" si="194"/>
        <v>28</v>
      </c>
      <c r="AO173" s="32">
        <f t="shared" ca="1" si="194"/>
        <v>29</v>
      </c>
      <c r="AP173" s="32">
        <f t="shared" ca="1" si="194"/>
        <v>30</v>
      </c>
      <c r="AQ173" s="32">
        <f t="shared" ca="1" si="194"/>
        <v>31</v>
      </c>
      <c r="AR173" s="32">
        <f t="shared" ca="1" si="194"/>
        <v>32</v>
      </c>
      <c r="AS173" s="32">
        <f t="shared" ca="1" si="194"/>
        <v>33</v>
      </c>
      <c r="AT173" s="32">
        <f t="shared" ca="1" si="194"/>
        <v>34</v>
      </c>
      <c r="AU173" s="32">
        <f t="shared" ca="1" si="194"/>
        <v>35</v>
      </c>
      <c r="AV173" s="32">
        <f t="shared" ca="1" si="194"/>
        <v>36</v>
      </c>
      <c r="AW173" s="32">
        <f t="shared" ca="1" si="194"/>
        <v>37</v>
      </c>
      <c r="AX173" s="32">
        <f t="shared" ca="1" si="194"/>
        <v>38</v>
      </c>
      <c r="AY173" s="32">
        <f t="shared" ca="1" si="194"/>
        <v>39</v>
      </c>
      <c r="AZ173" s="32">
        <f t="shared" ca="1" si="194"/>
        <v>40</v>
      </c>
      <c r="BA173" s="32">
        <f t="shared" ca="1" si="194"/>
        <v>41</v>
      </c>
      <c r="BB173" s="32">
        <f t="shared" ca="1" si="194"/>
        <v>42</v>
      </c>
      <c r="BC173" s="32">
        <f t="shared" ca="1" si="194"/>
        <v>43</v>
      </c>
      <c r="BD173" s="32">
        <f t="shared" ca="1" si="194"/>
        <v>44</v>
      </c>
      <c r="BE173" s="32">
        <f t="shared" ca="1" si="194"/>
        <v>45</v>
      </c>
      <c r="BF173" s="32">
        <f t="shared" ca="1" si="194"/>
        <v>46</v>
      </c>
      <c r="BG173" s="32">
        <f t="shared" ca="1" si="194"/>
        <v>47</v>
      </c>
      <c r="BH173" s="32">
        <f t="shared" ca="1" si="194"/>
        <v>48</v>
      </c>
      <c r="BI173" s="32">
        <f t="shared" ca="1" si="194"/>
        <v>49</v>
      </c>
      <c r="BJ173" s="32">
        <f t="shared" ca="1" si="194"/>
        <v>50</v>
      </c>
      <c r="BK173" s="32">
        <f t="shared" ca="1" si="194"/>
        <v>51</v>
      </c>
      <c r="BL173" s="32">
        <f t="shared" ca="1" si="194"/>
        <v>52</v>
      </c>
      <c r="BM173" s="32">
        <f t="shared" ca="1" si="194"/>
        <v>53</v>
      </c>
      <c r="BN173" s="32">
        <f t="shared" ca="1" si="194"/>
        <v>54</v>
      </c>
      <c r="BO173" s="32">
        <f t="shared" ca="1" si="194"/>
        <v>55</v>
      </c>
      <c r="BP173" s="32">
        <f t="shared" ca="1" si="194"/>
        <v>56</v>
      </c>
      <c r="BQ173" s="32">
        <f t="shared" ca="1" si="194"/>
        <v>57</v>
      </c>
      <c r="BR173" s="32">
        <f t="shared" ca="1" si="194"/>
        <v>58</v>
      </c>
      <c r="BS173" s="32">
        <f t="shared" ca="1" si="194"/>
        <v>59</v>
      </c>
      <c r="BT173" s="32">
        <f t="shared" ref="BT173:EE173" ca="1" si="195">IF(BT174&gt;0,BT92,0)</f>
        <v>60</v>
      </c>
      <c r="BU173" s="32">
        <f t="shared" ca="1" si="195"/>
        <v>61</v>
      </c>
      <c r="BV173" s="32">
        <f t="shared" ca="1" si="195"/>
        <v>62</v>
      </c>
      <c r="BW173" s="32">
        <f t="shared" ca="1" si="195"/>
        <v>63</v>
      </c>
      <c r="BX173" s="32">
        <f t="shared" ca="1" si="195"/>
        <v>64</v>
      </c>
      <c r="BY173" s="32">
        <f t="shared" ca="1" si="195"/>
        <v>65</v>
      </c>
      <c r="BZ173" s="32">
        <f t="shared" ca="1" si="195"/>
        <v>66</v>
      </c>
      <c r="CA173" s="32">
        <f t="shared" ca="1" si="195"/>
        <v>67</v>
      </c>
      <c r="CB173" s="32">
        <f t="shared" ca="1" si="195"/>
        <v>68</v>
      </c>
      <c r="CC173" s="32">
        <f t="shared" ca="1" si="195"/>
        <v>69</v>
      </c>
      <c r="CD173" s="32">
        <f t="shared" ca="1" si="195"/>
        <v>70</v>
      </c>
      <c r="CE173" s="32">
        <f t="shared" ca="1" si="195"/>
        <v>71</v>
      </c>
      <c r="CF173" s="32">
        <f t="shared" ca="1" si="195"/>
        <v>72</v>
      </c>
      <c r="CG173" s="32">
        <f t="shared" ca="1" si="195"/>
        <v>73</v>
      </c>
      <c r="CH173" s="32">
        <f t="shared" ca="1" si="195"/>
        <v>74</v>
      </c>
      <c r="CI173" s="32">
        <f t="shared" ca="1" si="195"/>
        <v>75</v>
      </c>
      <c r="CJ173" s="32">
        <f t="shared" ca="1" si="195"/>
        <v>76</v>
      </c>
      <c r="CK173" s="32">
        <f t="shared" ca="1" si="195"/>
        <v>77</v>
      </c>
      <c r="CL173" s="32">
        <f t="shared" ca="1" si="195"/>
        <v>78</v>
      </c>
      <c r="CM173" s="32">
        <f t="shared" ca="1" si="195"/>
        <v>0</v>
      </c>
      <c r="CN173" s="32">
        <f t="shared" ca="1" si="195"/>
        <v>0</v>
      </c>
      <c r="CO173" s="32">
        <f t="shared" ca="1" si="195"/>
        <v>0</v>
      </c>
      <c r="CP173" s="32">
        <f t="shared" ca="1" si="195"/>
        <v>0</v>
      </c>
      <c r="CQ173" s="32">
        <f t="shared" ca="1" si="195"/>
        <v>0</v>
      </c>
      <c r="CR173" s="32">
        <f t="shared" ca="1" si="195"/>
        <v>0</v>
      </c>
      <c r="CS173" s="32">
        <f t="shared" ca="1" si="195"/>
        <v>0</v>
      </c>
      <c r="CT173" s="32">
        <f t="shared" ca="1" si="195"/>
        <v>0</v>
      </c>
      <c r="CU173" s="32">
        <f t="shared" ca="1" si="195"/>
        <v>0</v>
      </c>
      <c r="CV173" s="32">
        <f t="shared" ca="1" si="195"/>
        <v>0</v>
      </c>
      <c r="CW173" s="32">
        <f t="shared" ca="1" si="195"/>
        <v>0</v>
      </c>
      <c r="CX173" s="32">
        <f t="shared" ca="1" si="195"/>
        <v>0</v>
      </c>
      <c r="CY173" s="32">
        <f t="shared" ca="1" si="195"/>
        <v>0</v>
      </c>
      <c r="CZ173" s="32">
        <f t="shared" ca="1" si="195"/>
        <v>0</v>
      </c>
      <c r="DA173" s="32">
        <f t="shared" ca="1" si="195"/>
        <v>0</v>
      </c>
      <c r="DB173" s="32">
        <f t="shared" ca="1" si="195"/>
        <v>0</v>
      </c>
      <c r="DC173" s="32">
        <f t="shared" ca="1" si="195"/>
        <v>0</v>
      </c>
      <c r="DD173" s="32">
        <f t="shared" ca="1" si="195"/>
        <v>0</v>
      </c>
      <c r="DE173" s="32">
        <f t="shared" ca="1" si="195"/>
        <v>0</v>
      </c>
      <c r="DF173" s="32">
        <f t="shared" ca="1" si="195"/>
        <v>0</v>
      </c>
      <c r="DG173" s="32">
        <f t="shared" ca="1" si="195"/>
        <v>0</v>
      </c>
      <c r="DH173" s="32">
        <f t="shared" ca="1" si="195"/>
        <v>0</v>
      </c>
      <c r="DI173" s="32">
        <f t="shared" ca="1" si="195"/>
        <v>0</v>
      </c>
      <c r="DJ173" s="32">
        <f t="shared" ca="1" si="195"/>
        <v>0</v>
      </c>
      <c r="DK173" s="32">
        <f t="shared" ca="1" si="195"/>
        <v>0</v>
      </c>
      <c r="DL173" s="32">
        <f t="shared" ca="1" si="195"/>
        <v>0</v>
      </c>
      <c r="DM173" s="32">
        <f t="shared" ca="1" si="195"/>
        <v>0</v>
      </c>
      <c r="DN173" s="32">
        <f t="shared" ca="1" si="195"/>
        <v>0</v>
      </c>
      <c r="DO173" s="32">
        <f t="shared" ca="1" si="195"/>
        <v>0</v>
      </c>
      <c r="DP173" s="32">
        <f t="shared" ca="1" si="195"/>
        <v>0</v>
      </c>
      <c r="DQ173" s="32">
        <f t="shared" ca="1" si="195"/>
        <v>0</v>
      </c>
      <c r="DR173" s="32">
        <f t="shared" ca="1" si="195"/>
        <v>0</v>
      </c>
      <c r="DS173" s="32">
        <f t="shared" ca="1" si="195"/>
        <v>0</v>
      </c>
      <c r="DT173" s="32">
        <f t="shared" ca="1" si="195"/>
        <v>0</v>
      </c>
      <c r="DU173" s="32">
        <f t="shared" ca="1" si="195"/>
        <v>0</v>
      </c>
      <c r="DV173" s="32">
        <f t="shared" ca="1" si="195"/>
        <v>0</v>
      </c>
      <c r="DW173" s="32">
        <f t="shared" ca="1" si="195"/>
        <v>0</v>
      </c>
      <c r="DX173" s="32">
        <f t="shared" ca="1" si="195"/>
        <v>0</v>
      </c>
      <c r="DY173" s="32">
        <f t="shared" ca="1" si="195"/>
        <v>0</v>
      </c>
      <c r="DZ173" s="32">
        <f t="shared" ca="1" si="195"/>
        <v>0</v>
      </c>
      <c r="EA173" s="32">
        <f t="shared" ca="1" si="195"/>
        <v>0</v>
      </c>
      <c r="EB173" s="32">
        <f t="shared" ca="1" si="195"/>
        <v>0</v>
      </c>
      <c r="EC173" s="32">
        <f t="shared" ca="1" si="195"/>
        <v>0</v>
      </c>
      <c r="ED173" s="32">
        <f t="shared" ca="1" si="195"/>
        <v>0</v>
      </c>
      <c r="EE173" s="32">
        <f t="shared" ca="1" si="195"/>
        <v>0</v>
      </c>
      <c r="EF173" s="32">
        <f t="shared" ref="EF173:GQ173" ca="1" si="196">IF(EF174&gt;0,EF92,0)</f>
        <v>0</v>
      </c>
      <c r="EG173" s="32">
        <f t="shared" ca="1" si="196"/>
        <v>0</v>
      </c>
      <c r="EH173" s="32">
        <f t="shared" ca="1" si="196"/>
        <v>0</v>
      </c>
      <c r="EI173" s="32">
        <f t="shared" ca="1" si="196"/>
        <v>0</v>
      </c>
      <c r="EJ173" s="32">
        <f t="shared" ca="1" si="196"/>
        <v>0</v>
      </c>
      <c r="EK173" s="32">
        <f t="shared" ca="1" si="196"/>
        <v>0</v>
      </c>
      <c r="EL173" s="32">
        <f t="shared" ca="1" si="196"/>
        <v>0</v>
      </c>
      <c r="EM173" s="32">
        <f t="shared" ca="1" si="196"/>
        <v>0</v>
      </c>
      <c r="EN173" s="32">
        <f t="shared" ca="1" si="196"/>
        <v>0</v>
      </c>
      <c r="EO173" s="32">
        <f t="shared" ca="1" si="196"/>
        <v>0</v>
      </c>
      <c r="EP173" s="32">
        <f t="shared" ca="1" si="196"/>
        <v>0</v>
      </c>
      <c r="EQ173" s="32">
        <f t="shared" ca="1" si="196"/>
        <v>0</v>
      </c>
      <c r="ER173" s="32">
        <f t="shared" ca="1" si="196"/>
        <v>0</v>
      </c>
      <c r="ES173" s="32">
        <f t="shared" ca="1" si="196"/>
        <v>0</v>
      </c>
      <c r="ET173" s="32">
        <f t="shared" ca="1" si="196"/>
        <v>0</v>
      </c>
      <c r="EU173" s="32">
        <f t="shared" ca="1" si="196"/>
        <v>0</v>
      </c>
      <c r="EV173" s="32">
        <f t="shared" ca="1" si="196"/>
        <v>0</v>
      </c>
      <c r="EW173" s="32">
        <f t="shared" ca="1" si="196"/>
        <v>0</v>
      </c>
      <c r="EX173" s="32">
        <f t="shared" ca="1" si="196"/>
        <v>0</v>
      </c>
      <c r="EY173" s="32">
        <f t="shared" ca="1" si="196"/>
        <v>0</v>
      </c>
      <c r="EZ173" s="32">
        <f t="shared" ca="1" si="196"/>
        <v>0</v>
      </c>
      <c r="FA173" s="32">
        <f t="shared" ca="1" si="196"/>
        <v>0</v>
      </c>
      <c r="FB173" s="32">
        <f t="shared" ca="1" si="196"/>
        <v>0</v>
      </c>
      <c r="FC173" s="32">
        <f t="shared" ca="1" si="196"/>
        <v>0</v>
      </c>
      <c r="FD173" s="32">
        <f t="shared" ca="1" si="196"/>
        <v>0</v>
      </c>
      <c r="FE173" s="32">
        <f t="shared" ca="1" si="196"/>
        <v>0</v>
      </c>
      <c r="FF173" s="32">
        <f t="shared" ca="1" si="196"/>
        <v>0</v>
      </c>
      <c r="FG173" s="32">
        <f t="shared" ca="1" si="196"/>
        <v>0</v>
      </c>
      <c r="FH173" s="32">
        <f t="shared" ca="1" si="196"/>
        <v>0</v>
      </c>
      <c r="FI173" s="32">
        <f t="shared" ca="1" si="196"/>
        <v>0</v>
      </c>
      <c r="FJ173" s="32">
        <f t="shared" ca="1" si="196"/>
        <v>0</v>
      </c>
      <c r="FK173" s="32">
        <f t="shared" ca="1" si="196"/>
        <v>0</v>
      </c>
      <c r="FL173" s="32">
        <f t="shared" ca="1" si="196"/>
        <v>0</v>
      </c>
      <c r="FM173" s="32">
        <f t="shared" ca="1" si="196"/>
        <v>0</v>
      </c>
      <c r="FN173" s="32">
        <f t="shared" ca="1" si="196"/>
        <v>0</v>
      </c>
      <c r="FO173" s="32">
        <f t="shared" ca="1" si="196"/>
        <v>0</v>
      </c>
      <c r="FP173" s="32">
        <f t="shared" ca="1" si="196"/>
        <v>0</v>
      </c>
      <c r="FQ173" s="32">
        <f t="shared" ca="1" si="196"/>
        <v>0</v>
      </c>
      <c r="FR173" s="32">
        <f t="shared" ca="1" si="196"/>
        <v>0</v>
      </c>
      <c r="FS173" s="32">
        <f t="shared" ca="1" si="196"/>
        <v>0</v>
      </c>
      <c r="FT173" s="32">
        <f t="shared" ca="1" si="196"/>
        <v>0</v>
      </c>
      <c r="FU173" s="32">
        <f t="shared" ca="1" si="196"/>
        <v>0</v>
      </c>
      <c r="FV173" s="32">
        <f t="shared" ca="1" si="196"/>
        <v>0</v>
      </c>
      <c r="FW173" s="32">
        <f t="shared" ca="1" si="196"/>
        <v>0</v>
      </c>
      <c r="FX173" s="32">
        <f t="shared" ca="1" si="196"/>
        <v>0</v>
      </c>
      <c r="FY173" s="32">
        <f t="shared" ca="1" si="196"/>
        <v>0</v>
      </c>
      <c r="FZ173" s="32">
        <f t="shared" ca="1" si="196"/>
        <v>0</v>
      </c>
      <c r="GA173" s="32">
        <f t="shared" ca="1" si="196"/>
        <v>0</v>
      </c>
      <c r="GB173" s="32">
        <f t="shared" ca="1" si="196"/>
        <v>0</v>
      </c>
      <c r="GC173" s="32">
        <f t="shared" ca="1" si="196"/>
        <v>0</v>
      </c>
      <c r="GD173" s="32">
        <f t="shared" ca="1" si="196"/>
        <v>0</v>
      </c>
      <c r="GE173" s="32">
        <f t="shared" ca="1" si="196"/>
        <v>0</v>
      </c>
      <c r="GF173" s="32">
        <f t="shared" ca="1" si="196"/>
        <v>0</v>
      </c>
      <c r="GG173" s="32">
        <f t="shared" ca="1" si="196"/>
        <v>0</v>
      </c>
      <c r="GH173" s="32">
        <f t="shared" ca="1" si="196"/>
        <v>0</v>
      </c>
      <c r="GI173" s="32">
        <f t="shared" ca="1" si="196"/>
        <v>0</v>
      </c>
      <c r="GJ173" s="32">
        <f t="shared" ca="1" si="196"/>
        <v>0</v>
      </c>
      <c r="GK173" s="32">
        <f t="shared" ca="1" si="196"/>
        <v>0</v>
      </c>
      <c r="GL173" s="32">
        <f t="shared" ca="1" si="196"/>
        <v>0</v>
      </c>
      <c r="GM173" s="32">
        <f t="shared" ca="1" si="196"/>
        <v>0</v>
      </c>
      <c r="GN173" s="32">
        <f t="shared" ca="1" si="196"/>
        <v>0</v>
      </c>
      <c r="GO173" s="32">
        <f t="shared" ca="1" si="196"/>
        <v>0</v>
      </c>
      <c r="GP173" s="32">
        <f t="shared" ca="1" si="196"/>
        <v>0</v>
      </c>
      <c r="GQ173" s="32">
        <f t="shared" ca="1" si="196"/>
        <v>0</v>
      </c>
      <c r="GR173" s="32">
        <f t="shared" ref="GR173:IK173" ca="1" si="197">IF(GR174&gt;0,GR92,0)</f>
        <v>0</v>
      </c>
      <c r="GS173" s="32">
        <f t="shared" ca="1" si="197"/>
        <v>0</v>
      </c>
      <c r="GT173" s="32">
        <f t="shared" ca="1" si="197"/>
        <v>0</v>
      </c>
      <c r="GU173" s="32">
        <f t="shared" ca="1" si="197"/>
        <v>0</v>
      </c>
      <c r="GV173" s="32">
        <f t="shared" ca="1" si="197"/>
        <v>0</v>
      </c>
      <c r="GW173" s="32">
        <f t="shared" ca="1" si="197"/>
        <v>0</v>
      </c>
      <c r="GX173" s="32">
        <f t="shared" ca="1" si="197"/>
        <v>0</v>
      </c>
      <c r="GY173" s="32">
        <f t="shared" ca="1" si="197"/>
        <v>0</v>
      </c>
      <c r="GZ173" s="32">
        <f t="shared" ca="1" si="197"/>
        <v>0</v>
      </c>
      <c r="HA173" s="32">
        <f t="shared" ca="1" si="197"/>
        <v>0</v>
      </c>
      <c r="HB173" s="32">
        <f t="shared" ca="1" si="197"/>
        <v>0</v>
      </c>
      <c r="HC173" s="32">
        <f t="shared" ca="1" si="197"/>
        <v>0</v>
      </c>
      <c r="HD173" s="32">
        <f t="shared" ca="1" si="197"/>
        <v>0</v>
      </c>
      <c r="HE173" s="32">
        <f t="shared" ca="1" si="197"/>
        <v>0</v>
      </c>
      <c r="HF173" s="32">
        <f t="shared" ca="1" si="197"/>
        <v>0</v>
      </c>
      <c r="HG173" s="32">
        <f t="shared" ca="1" si="197"/>
        <v>0</v>
      </c>
      <c r="HH173" s="32">
        <f t="shared" ca="1" si="197"/>
        <v>0</v>
      </c>
      <c r="HI173" s="32">
        <f t="shared" ca="1" si="197"/>
        <v>0</v>
      </c>
      <c r="HJ173" s="32">
        <f t="shared" ca="1" si="197"/>
        <v>0</v>
      </c>
      <c r="HK173" s="32">
        <f t="shared" ca="1" si="197"/>
        <v>0</v>
      </c>
      <c r="HL173" s="32">
        <f t="shared" ca="1" si="197"/>
        <v>0</v>
      </c>
      <c r="HM173" s="32">
        <f t="shared" ca="1" si="197"/>
        <v>0</v>
      </c>
      <c r="HN173" s="32">
        <f t="shared" ca="1" si="197"/>
        <v>0</v>
      </c>
      <c r="HO173" s="32">
        <f t="shared" ca="1" si="197"/>
        <v>0</v>
      </c>
      <c r="HP173" s="32">
        <f t="shared" ca="1" si="197"/>
        <v>0</v>
      </c>
      <c r="HQ173" s="32">
        <f t="shared" ca="1" si="197"/>
        <v>0</v>
      </c>
      <c r="HR173" s="32">
        <f t="shared" ca="1" si="197"/>
        <v>0</v>
      </c>
      <c r="HS173" s="32">
        <f t="shared" ca="1" si="197"/>
        <v>0</v>
      </c>
      <c r="HT173" s="32">
        <f t="shared" ca="1" si="197"/>
        <v>0</v>
      </c>
      <c r="HU173" s="32">
        <f t="shared" ca="1" si="197"/>
        <v>0</v>
      </c>
      <c r="HV173" s="32">
        <f t="shared" ca="1" si="197"/>
        <v>0</v>
      </c>
      <c r="HW173" s="32">
        <f t="shared" ca="1" si="197"/>
        <v>0</v>
      </c>
      <c r="HX173" s="32">
        <f t="shared" ca="1" si="197"/>
        <v>0</v>
      </c>
      <c r="HY173" s="32">
        <f t="shared" ca="1" si="197"/>
        <v>0</v>
      </c>
      <c r="HZ173" s="32">
        <f t="shared" ca="1" si="197"/>
        <v>0</v>
      </c>
      <c r="IA173" s="32">
        <f t="shared" ca="1" si="197"/>
        <v>0</v>
      </c>
      <c r="IB173" s="32">
        <f t="shared" ca="1" si="197"/>
        <v>0</v>
      </c>
      <c r="IC173" s="32">
        <f t="shared" ca="1" si="197"/>
        <v>0</v>
      </c>
      <c r="ID173" s="32">
        <f t="shared" ca="1" si="197"/>
        <v>0</v>
      </c>
      <c r="IE173" s="32">
        <f t="shared" ca="1" si="197"/>
        <v>0</v>
      </c>
      <c r="IF173" s="32">
        <f t="shared" ca="1" si="197"/>
        <v>0</v>
      </c>
      <c r="IG173" s="32">
        <f t="shared" ca="1" si="197"/>
        <v>0</v>
      </c>
      <c r="IH173" s="32">
        <f t="shared" ca="1" si="197"/>
        <v>0</v>
      </c>
      <c r="II173" s="32">
        <f t="shared" ca="1" si="197"/>
        <v>0</v>
      </c>
      <c r="IJ173" s="32">
        <f t="shared" ca="1" si="197"/>
        <v>0</v>
      </c>
      <c r="IK173" s="32">
        <f t="shared" ca="1" si="197"/>
        <v>0</v>
      </c>
    </row>
    <row r="174" spans="1:245" hidden="1" x14ac:dyDescent="0.35">
      <c r="A174" s="195">
        <f>IF(B174=0,0,"XXX")</f>
        <v>0</v>
      </c>
      <c r="B174" s="5"/>
      <c r="C174" s="627" t="s">
        <v>1604</v>
      </c>
      <c r="D174">
        <f ca="1">ROUNDDOWN(((CÁLCULOS!$J$362+CÁLCULOS!$J$363+CÁLCULOS!$J$364+CÁLCULOS!$J$412+CÁLCULOS!$J$413+CÁLCULOS!$J$414)/5.5*7)/ENTRADAS!$F$22,0)</f>
        <v>8</v>
      </c>
      <c r="H174" s="32">
        <f ca="1">IF(SUM(H132:H167)&gt;0,100,0)</f>
        <v>0</v>
      </c>
      <c r="I174" s="32">
        <f t="shared" ref="I174:BT174" ca="1" si="198">IF(SUM(I132:I167)&gt;0,100,0)</f>
        <v>0</v>
      </c>
      <c r="J174" s="32">
        <f t="shared" ca="1" si="198"/>
        <v>0</v>
      </c>
      <c r="K174" s="32">
        <f t="shared" ca="1" si="198"/>
        <v>0</v>
      </c>
      <c r="L174" s="32">
        <f t="shared" ca="1" si="198"/>
        <v>0</v>
      </c>
      <c r="M174" s="32">
        <f t="shared" ca="1" si="198"/>
        <v>0</v>
      </c>
      <c r="N174" s="32">
        <f t="shared" ca="1" si="198"/>
        <v>0</v>
      </c>
      <c r="O174" s="32">
        <f t="shared" ca="1" si="198"/>
        <v>0</v>
      </c>
      <c r="P174" s="32">
        <f t="shared" ca="1" si="198"/>
        <v>0</v>
      </c>
      <c r="Q174" s="32">
        <f t="shared" ca="1" si="198"/>
        <v>0</v>
      </c>
      <c r="R174" s="32">
        <f t="shared" ca="1" si="198"/>
        <v>0</v>
      </c>
      <c r="S174" s="32">
        <f t="shared" ca="1" si="198"/>
        <v>0</v>
      </c>
      <c r="T174" s="32">
        <f t="shared" ca="1" si="198"/>
        <v>0</v>
      </c>
      <c r="U174" s="32">
        <f t="shared" ca="1" si="198"/>
        <v>0</v>
      </c>
      <c r="V174" s="32">
        <f t="shared" ca="1" si="198"/>
        <v>0</v>
      </c>
      <c r="W174" s="32">
        <f t="shared" ca="1" si="198"/>
        <v>0</v>
      </c>
      <c r="X174" s="32">
        <f t="shared" ca="1" si="198"/>
        <v>0</v>
      </c>
      <c r="Y174" s="32">
        <f t="shared" ca="1" si="198"/>
        <v>0</v>
      </c>
      <c r="Z174" s="32">
        <f t="shared" ca="1" si="198"/>
        <v>0</v>
      </c>
      <c r="AA174" s="32">
        <f t="shared" ca="1" si="198"/>
        <v>0</v>
      </c>
      <c r="AB174" s="32">
        <f t="shared" ca="1" si="198"/>
        <v>0</v>
      </c>
      <c r="AC174" s="32">
        <f t="shared" ca="1" si="198"/>
        <v>0</v>
      </c>
      <c r="AD174" s="32">
        <f t="shared" ca="1" si="198"/>
        <v>0</v>
      </c>
      <c r="AE174" s="32">
        <f t="shared" ca="1" si="198"/>
        <v>0</v>
      </c>
      <c r="AF174" s="32">
        <f t="shared" ca="1" si="198"/>
        <v>0</v>
      </c>
      <c r="AG174" s="32">
        <f t="shared" ca="1" si="198"/>
        <v>0</v>
      </c>
      <c r="AH174" s="32">
        <f t="shared" ca="1" si="198"/>
        <v>0</v>
      </c>
      <c r="AI174" s="32">
        <f t="shared" ca="1" si="198"/>
        <v>0</v>
      </c>
      <c r="AJ174" s="32">
        <f t="shared" ca="1" si="198"/>
        <v>0</v>
      </c>
      <c r="AK174" s="32">
        <f t="shared" ca="1" si="198"/>
        <v>0</v>
      </c>
      <c r="AL174" s="32">
        <f t="shared" ca="1" si="198"/>
        <v>0</v>
      </c>
      <c r="AM174" s="32">
        <f t="shared" ca="1" si="198"/>
        <v>100</v>
      </c>
      <c r="AN174" s="32">
        <f t="shared" ca="1" si="198"/>
        <v>100</v>
      </c>
      <c r="AO174" s="32">
        <f t="shared" ca="1" si="198"/>
        <v>100</v>
      </c>
      <c r="AP174" s="32">
        <f t="shared" ca="1" si="198"/>
        <v>100</v>
      </c>
      <c r="AQ174" s="32">
        <f t="shared" ca="1" si="198"/>
        <v>100</v>
      </c>
      <c r="AR174" s="32">
        <f t="shared" ca="1" si="198"/>
        <v>100</v>
      </c>
      <c r="AS174" s="32">
        <f t="shared" ca="1" si="198"/>
        <v>100</v>
      </c>
      <c r="AT174" s="32">
        <f t="shared" ca="1" si="198"/>
        <v>100</v>
      </c>
      <c r="AU174" s="32">
        <f t="shared" ca="1" si="198"/>
        <v>100</v>
      </c>
      <c r="AV174" s="32">
        <f t="shared" ca="1" si="198"/>
        <v>100</v>
      </c>
      <c r="AW174" s="32">
        <f t="shared" ca="1" si="198"/>
        <v>100</v>
      </c>
      <c r="AX174" s="32">
        <f t="shared" ca="1" si="198"/>
        <v>100</v>
      </c>
      <c r="AY174" s="32">
        <f t="shared" ca="1" si="198"/>
        <v>100</v>
      </c>
      <c r="AZ174" s="32">
        <f t="shared" ca="1" si="198"/>
        <v>100</v>
      </c>
      <c r="BA174" s="32">
        <f t="shared" ca="1" si="198"/>
        <v>100</v>
      </c>
      <c r="BB174" s="32">
        <f t="shared" ca="1" si="198"/>
        <v>100</v>
      </c>
      <c r="BC174" s="32">
        <f t="shared" ca="1" si="198"/>
        <v>100</v>
      </c>
      <c r="BD174" s="32">
        <f t="shared" ca="1" si="198"/>
        <v>100</v>
      </c>
      <c r="BE174" s="32">
        <f t="shared" ca="1" si="198"/>
        <v>100</v>
      </c>
      <c r="BF174" s="32">
        <f t="shared" ca="1" si="198"/>
        <v>100</v>
      </c>
      <c r="BG174" s="32">
        <f t="shared" ca="1" si="198"/>
        <v>100</v>
      </c>
      <c r="BH174" s="32">
        <f t="shared" ca="1" si="198"/>
        <v>100</v>
      </c>
      <c r="BI174" s="32">
        <f t="shared" ca="1" si="198"/>
        <v>100</v>
      </c>
      <c r="BJ174" s="32">
        <f t="shared" ca="1" si="198"/>
        <v>100</v>
      </c>
      <c r="BK174" s="32">
        <f t="shared" ca="1" si="198"/>
        <v>100</v>
      </c>
      <c r="BL174" s="32">
        <f t="shared" ca="1" si="198"/>
        <v>100</v>
      </c>
      <c r="BM174" s="32">
        <f t="shared" ca="1" si="198"/>
        <v>100</v>
      </c>
      <c r="BN174" s="32">
        <f t="shared" ca="1" si="198"/>
        <v>100</v>
      </c>
      <c r="BO174" s="32">
        <f t="shared" ca="1" si="198"/>
        <v>100</v>
      </c>
      <c r="BP174" s="32">
        <f t="shared" ca="1" si="198"/>
        <v>100</v>
      </c>
      <c r="BQ174" s="32">
        <f t="shared" ca="1" si="198"/>
        <v>100</v>
      </c>
      <c r="BR174" s="32">
        <f t="shared" ca="1" si="198"/>
        <v>100</v>
      </c>
      <c r="BS174" s="32">
        <f t="shared" ca="1" si="198"/>
        <v>100</v>
      </c>
      <c r="BT174" s="32">
        <f t="shared" ca="1" si="198"/>
        <v>100</v>
      </c>
      <c r="BU174" s="32">
        <f t="shared" ref="BU174:EF174" ca="1" si="199">IF(SUM(BU132:BU167)&gt;0,100,0)</f>
        <v>100</v>
      </c>
      <c r="BV174" s="32">
        <f t="shared" ca="1" si="199"/>
        <v>100</v>
      </c>
      <c r="BW174" s="32">
        <f t="shared" ca="1" si="199"/>
        <v>100</v>
      </c>
      <c r="BX174" s="32">
        <f t="shared" ca="1" si="199"/>
        <v>100</v>
      </c>
      <c r="BY174" s="32">
        <f t="shared" ca="1" si="199"/>
        <v>100</v>
      </c>
      <c r="BZ174" s="32">
        <f t="shared" ca="1" si="199"/>
        <v>100</v>
      </c>
      <c r="CA174" s="32">
        <f t="shared" ca="1" si="199"/>
        <v>100</v>
      </c>
      <c r="CB174" s="32">
        <f t="shared" ca="1" si="199"/>
        <v>100</v>
      </c>
      <c r="CC174" s="32">
        <f t="shared" ca="1" si="199"/>
        <v>100</v>
      </c>
      <c r="CD174" s="32">
        <f t="shared" ca="1" si="199"/>
        <v>100</v>
      </c>
      <c r="CE174" s="32">
        <f t="shared" ca="1" si="199"/>
        <v>100</v>
      </c>
      <c r="CF174" s="32">
        <f t="shared" ca="1" si="199"/>
        <v>100</v>
      </c>
      <c r="CG174" s="32">
        <f t="shared" ca="1" si="199"/>
        <v>100</v>
      </c>
      <c r="CH174" s="32">
        <f t="shared" ca="1" si="199"/>
        <v>100</v>
      </c>
      <c r="CI174" s="32">
        <f t="shared" ca="1" si="199"/>
        <v>100</v>
      </c>
      <c r="CJ174" s="32">
        <f t="shared" ca="1" si="199"/>
        <v>100</v>
      </c>
      <c r="CK174" s="32">
        <f t="shared" ca="1" si="199"/>
        <v>100</v>
      </c>
      <c r="CL174" s="32">
        <f t="shared" ca="1" si="199"/>
        <v>100</v>
      </c>
      <c r="CM174" s="32">
        <f t="shared" ca="1" si="199"/>
        <v>0</v>
      </c>
      <c r="CN174" s="32">
        <f t="shared" ca="1" si="199"/>
        <v>0</v>
      </c>
      <c r="CO174" s="32">
        <f t="shared" ca="1" si="199"/>
        <v>0</v>
      </c>
      <c r="CP174" s="32">
        <f t="shared" ca="1" si="199"/>
        <v>0</v>
      </c>
      <c r="CQ174" s="32">
        <f t="shared" ca="1" si="199"/>
        <v>0</v>
      </c>
      <c r="CR174" s="32">
        <f t="shared" ca="1" si="199"/>
        <v>0</v>
      </c>
      <c r="CS174" s="32">
        <f t="shared" ca="1" si="199"/>
        <v>0</v>
      </c>
      <c r="CT174" s="32">
        <f t="shared" ca="1" si="199"/>
        <v>0</v>
      </c>
      <c r="CU174" s="32">
        <f t="shared" ca="1" si="199"/>
        <v>0</v>
      </c>
      <c r="CV174" s="32">
        <f t="shared" ca="1" si="199"/>
        <v>0</v>
      </c>
      <c r="CW174" s="32">
        <f t="shared" ca="1" si="199"/>
        <v>0</v>
      </c>
      <c r="CX174" s="32">
        <f t="shared" ca="1" si="199"/>
        <v>0</v>
      </c>
      <c r="CY174" s="32">
        <f t="shared" ca="1" si="199"/>
        <v>0</v>
      </c>
      <c r="CZ174" s="32">
        <f t="shared" ca="1" si="199"/>
        <v>0</v>
      </c>
      <c r="DA174" s="32">
        <f t="shared" ca="1" si="199"/>
        <v>0</v>
      </c>
      <c r="DB174" s="32">
        <f t="shared" ca="1" si="199"/>
        <v>0</v>
      </c>
      <c r="DC174" s="32">
        <f t="shared" ca="1" si="199"/>
        <v>0</v>
      </c>
      <c r="DD174" s="32">
        <f t="shared" ca="1" si="199"/>
        <v>0</v>
      </c>
      <c r="DE174" s="32">
        <f t="shared" ca="1" si="199"/>
        <v>0</v>
      </c>
      <c r="DF174" s="32">
        <f t="shared" ca="1" si="199"/>
        <v>0</v>
      </c>
      <c r="DG174" s="32">
        <f t="shared" ca="1" si="199"/>
        <v>0</v>
      </c>
      <c r="DH174" s="32">
        <f t="shared" ca="1" si="199"/>
        <v>0</v>
      </c>
      <c r="DI174" s="32">
        <f t="shared" ca="1" si="199"/>
        <v>0</v>
      </c>
      <c r="DJ174" s="32">
        <f t="shared" ca="1" si="199"/>
        <v>0</v>
      </c>
      <c r="DK174" s="32">
        <f t="shared" ca="1" si="199"/>
        <v>0</v>
      </c>
      <c r="DL174" s="32">
        <f t="shared" ca="1" si="199"/>
        <v>0</v>
      </c>
      <c r="DM174" s="32">
        <f t="shared" ca="1" si="199"/>
        <v>0</v>
      </c>
      <c r="DN174" s="32">
        <f t="shared" ca="1" si="199"/>
        <v>0</v>
      </c>
      <c r="DO174" s="32">
        <f t="shared" ca="1" si="199"/>
        <v>0</v>
      </c>
      <c r="DP174" s="32">
        <f t="shared" ca="1" si="199"/>
        <v>0</v>
      </c>
      <c r="DQ174" s="32">
        <f t="shared" ca="1" si="199"/>
        <v>0</v>
      </c>
      <c r="DR174" s="32">
        <f t="shared" ca="1" si="199"/>
        <v>0</v>
      </c>
      <c r="DS174" s="32">
        <f t="shared" ca="1" si="199"/>
        <v>0</v>
      </c>
      <c r="DT174" s="32">
        <f t="shared" ca="1" si="199"/>
        <v>0</v>
      </c>
      <c r="DU174" s="32">
        <f t="shared" ca="1" si="199"/>
        <v>0</v>
      </c>
      <c r="DV174" s="32">
        <f t="shared" ca="1" si="199"/>
        <v>0</v>
      </c>
      <c r="DW174" s="32">
        <f t="shared" ca="1" si="199"/>
        <v>0</v>
      </c>
      <c r="DX174" s="32">
        <f t="shared" ca="1" si="199"/>
        <v>0</v>
      </c>
      <c r="DY174" s="32">
        <f t="shared" ca="1" si="199"/>
        <v>0</v>
      </c>
      <c r="DZ174" s="32">
        <f t="shared" ca="1" si="199"/>
        <v>0</v>
      </c>
      <c r="EA174" s="32">
        <f t="shared" ca="1" si="199"/>
        <v>0</v>
      </c>
      <c r="EB174" s="32">
        <f t="shared" ca="1" si="199"/>
        <v>0</v>
      </c>
      <c r="EC174" s="32">
        <f t="shared" ca="1" si="199"/>
        <v>0</v>
      </c>
      <c r="ED174" s="32">
        <f t="shared" ca="1" si="199"/>
        <v>0</v>
      </c>
      <c r="EE174" s="32">
        <f t="shared" ca="1" si="199"/>
        <v>0</v>
      </c>
      <c r="EF174" s="32">
        <f t="shared" ca="1" si="199"/>
        <v>0</v>
      </c>
      <c r="EG174" s="32">
        <f t="shared" ref="EG174:GR174" ca="1" si="200">IF(SUM(EG132:EG167)&gt;0,100,0)</f>
        <v>0</v>
      </c>
      <c r="EH174" s="32">
        <f t="shared" ca="1" si="200"/>
        <v>0</v>
      </c>
      <c r="EI174" s="32">
        <f t="shared" ca="1" si="200"/>
        <v>0</v>
      </c>
      <c r="EJ174" s="32">
        <f t="shared" ca="1" si="200"/>
        <v>0</v>
      </c>
      <c r="EK174" s="32">
        <f t="shared" ca="1" si="200"/>
        <v>0</v>
      </c>
      <c r="EL174" s="32">
        <f t="shared" ca="1" si="200"/>
        <v>0</v>
      </c>
      <c r="EM174" s="32">
        <f t="shared" ca="1" si="200"/>
        <v>0</v>
      </c>
      <c r="EN174" s="32">
        <f t="shared" ca="1" si="200"/>
        <v>0</v>
      </c>
      <c r="EO174" s="32">
        <f t="shared" ca="1" si="200"/>
        <v>0</v>
      </c>
      <c r="EP174" s="32">
        <f t="shared" ca="1" si="200"/>
        <v>0</v>
      </c>
      <c r="EQ174" s="32">
        <f t="shared" ca="1" si="200"/>
        <v>0</v>
      </c>
      <c r="ER174" s="32">
        <f t="shared" ca="1" si="200"/>
        <v>0</v>
      </c>
      <c r="ES174" s="32">
        <f t="shared" ca="1" si="200"/>
        <v>0</v>
      </c>
      <c r="ET174" s="32">
        <f t="shared" ca="1" si="200"/>
        <v>0</v>
      </c>
      <c r="EU174" s="32">
        <f t="shared" ca="1" si="200"/>
        <v>0</v>
      </c>
      <c r="EV174" s="32">
        <f t="shared" ca="1" si="200"/>
        <v>0</v>
      </c>
      <c r="EW174" s="32">
        <f t="shared" ca="1" si="200"/>
        <v>0</v>
      </c>
      <c r="EX174" s="32">
        <f t="shared" ca="1" si="200"/>
        <v>0</v>
      </c>
      <c r="EY174" s="32">
        <f t="shared" ca="1" si="200"/>
        <v>0</v>
      </c>
      <c r="EZ174" s="32">
        <f t="shared" ca="1" si="200"/>
        <v>0</v>
      </c>
      <c r="FA174" s="32">
        <f t="shared" ca="1" si="200"/>
        <v>0</v>
      </c>
      <c r="FB174" s="32">
        <f t="shared" ca="1" si="200"/>
        <v>0</v>
      </c>
      <c r="FC174" s="32">
        <f t="shared" ca="1" si="200"/>
        <v>0</v>
      </c>
      <c r="FD174" s="32">
        <f t="shared" ca="1" si="200"/>
        <v>0</v>
      </c>
      <c r="FE174" s="32">
        <f t="shared" ca="1" si="200"/>
        <v>0</v>
      </c>
      <c r="FF174" s="32">
        <f t="shared" ca="1" si="200"/>
        <v>0</v>
      </c>
      <c r="FG174" s="32">
        <f t="shared" ca="1" si="200"/>
        <v>0</v>
      </c>
      <c r="FH174" s="32">
        <f t="shared" ca="1" si="200"/>
        <v>0</v>
      </c>
      <c r="FI174" s="32">
        <f t="shared" ca="1" si="200"/>
        <v>0</v>
      </c>
      <c r="FJ174" s="32">
        <f t="shared" ca="1" si="200"/>
        <v>0</v>
      </c>
      <c r="FK174" s="32">
        <f t="shared" ca="1" si="200"/>
        <v>0</v>
      </c>
      <c r="FL174" s="32">
        <f t="shared" ca="1" si="200"/>
        <v>0</v>
      </c>
      <c r="FM174" s="32">
        <f t="shared" ca="1" si="200"/>
        <v>0</v>
      </c>
      <c r="FN174" s="32">
        <f t="shared" ca="1" si="200"/>
        <v>0</v>
      </c>
      <c r="FO174" s="32">
        <f t="shared" ca="1" si="200"/>
        <v>0</v>
      </c>
      <c r="FP174" s="32">
        <f t="shared" ca="1" si="200"/>
        <v>0</v>
      </c>
      <c r="FQ174" s="32">
        <f t="shared" ca="1" si="200"/>
        <v>0</v>
      </c>
      <c r="FR174" s="32">
        <f t="shared" ca="1" si="200"/>
        <v>0</v>
      </c>
      <c r="FS174" s="32">
        <f t="shared" ca="1" si="200"/>
        <v>0</v>
      </c>
      <c r="FT174" s="32">
        <f t="shared" ca="1" si="200"/>
        <v>0</v>
      </c>
      <c r="FU174" s="32">
        <f t="shared" ca="1" si="200"/>
        <v>0</v>
      </c>
      <c r="FV174" s="32">
        <f t="shared" ca="1" si="200"/>
        <v>0</v>
      </c>
      <c r="FW174" s="32">
        <f t="shared" ca="1" si="200"/>
        <v>0</v>
      </c>
      <c r="FX174" s="32">
        <f t="shared" ca="1" si="200"/>
        <v>0</v>
      </c>
      <c r="FY174" s="32">
        <f t="shared" ca="1" si="200"/>
        <v>0</v>
      </c>
      <c r="FZ174" s="32">
        <f t="shared" ca="1" si="200"/>
        <v>0</v>
      </c>
      <c r="GA174" s="32">
        <f t="shared" ca="1" si="200"/>
        <v>0</v>
      </c>
      <c r="GB174" s="32">
        <f t="shared" ca="1" si="200"/>
        <v>0</v>
      </c>
      <c r="GC174" s="32">
        <f t="shared" ca="1" si="200"/>
        <v>0</v>
      </c>
      <c r="GD174" s="32">
        <f t="shared" ca="1" si="200"/>
        <v>0</v>
      </c>
      <c r="GE174" s="32">
        <f t="shared" ca="1" si="200"/>
        <v>0</v>
      </c>
      <c r="GF174" s="32">
        <f t="shared" ca="1" si="200"/>
        <v>0</v>
      </c>
      <c r="GG174" s="32">
        <f t="shared" ca="1" si="200"/>
        <v>0</v>
      </c>
      <c r="GH174" s="32">
        <f t="shared" ca="1" si="200"/>
        <v>0</v>
      </c>
      <c r="GI174" s="32">
        <f t="shared" ca="1" si="200"/>
        <v>0</v>
      </c>
      <c r="GJ174" s="32">
        <f t="shared" ca="1" si="200"/>
        <v>0</v>
      </c>
      <c r="GK174" s="32">
        <f t="shared" ca="1" si="200"/>
        <v>0</v>
      </c>
      <c r="GL174" s="32">
        <f t="shared" ca="1" si="200"/>
        <v>0</v>
      </c>
      <c r="GM174" s="32">
        <f t="shared" ca="1" si="200"/>
        <v>0</v>
      </c>
      <c r="GN174" s="32">
        <f t="shared" ca="1" si="200"/>
        <v>0</v>
      </c>
      <c r="GO174" s="32">
        <f t="shared" ca="1" si="200"/>
        <v>0</v>
      </c>
      <c r="GP174" s="32">
        <f t="shared" ca="1" si="200"/>
        <v>0</v>
      </c>
      <c r="GQ174" s="32">
        <f t="shared" ca="1" si="200"/>
        <v>0</v>
      </c>
      <c r="GR174" s="32">
        <f t="shared" ca="1" si="200"/>
        <v>0</v>
      </c>
      <c r="GS174" s="32">
        <f t="shared" ref="GS174:IK174" ca="1" si="201">IF(SUM(GS132:GS167)&gt;0,100,0)</f>
        <v>0</v>
      </c>
      <c r="GT174" s="32">
        <f t="shared" ca="1" si="201"/>
        <v>0</v>
      </c>
      <c r="GU174" s="32">
        <f t="shared" ca="1" si="201"/>
        <v>0</v>
      </c>
      <c r="GV174" s="32">
        <f t="shared" ca="1" si="201"/>
        <v>0</v>
      </c>
      <c r="GW174" s="32">
        <f t="shared" ca="1" si="201"/>
        <v>0</v>
      </c>
      <c r="GX174" s="32">
        <f t="shared" ca="1" si="201"/>
        <v>0</v>
      </c>
      <c r="GY174" s="32">
        <f t="shared" ca="1" si="201"/>
        <v>0</v>
      </c>
      <c r="GZ174" s="32">
        <f t="shared" ca="1" si="201"/>
        <v>0</v>
      </c>
      <c r="HA174" s="32">
        <f t="shared" ca="1" si="201"/>
        <v>0</v>
      </c>
      <c r="HB174" s="32">
        <f t="shared" ca="1" si="201"/>
        <v>0</v>
      </c>
      <c r="HC174" s="32">
        <f t="shared" ca="1" si="201"/>
        <v>0</v>
      </c>
      <c r="HD174" s="32">
        <f t="shared" ca="1" si="201"/>
        <v>0</v>
      </c>
      <c r="HE174" s="32">
        <f t="shared" ca="1" si="201"/>
        <v>0</v>
      </c>
      <c r="HF174" s="32">
        <f t="shared" ca="1" si="201"/>
        <v>0</v>
      </c>
      <c r="HG174" s="32">
        <f t="shared" ca="1" si="201"/>
        <v>0</v>
      </c>
      <c r="HH174" s="32">
        <f t="shared" ca="1" si="201"/>
        <v>0</v>
      </c>
      <c r="HI174" s="32">
        <f t="shared" ca="1" si="201"/>
        <v>0</v>
      </c>
      <c r="HJ174" s="32">
        <f t="shared" ca="1" si="201"/>
        <v>0</v>
      </c>
      <c r="HK174" s="32">
        <f t="shared" ca="1" si="201"/>
        <v>0</v>
      </c>
      <c r="HL174" s="32">
        <f t="shared" ca="1" si="201"/>
        <v>0</v>
      </c>
      <c r="HM174" s="32">
        <f t="shared" ca="1" si="201"/>
        <v>0</v>
      </c>
      <c r="HN174" s="32">
        <f t="shared" ca="1" si="201"/>
        <v>0</v>
      </c>
      <c r="HO174" s="32">
        <f t="shared" ca="1" si="201"/>
        <v>0</v>
      </c>
      <c r="HP174" s="32">
        <f t="shared" ca="1" si="201"/>
        <v>0</v>
      </c>
      <c r="HQ174" s="32">
        <f t="shared" ca="1" si="201"/>
        <v>0</v>
      </c>
      <c r="HR174" s="32">
        <f t="shared" ca="1" si="201"/>
        <v>0</v>
      </c>
      <c r="HS174" s="32">
        <f t="shared" ca="1" si="201"/>
        <v>0</v>
      </c>
      <c r="HT174" s="32">
        <f t="shared" ca="1" si="201"/>
        <v>0</v>
      </c>
      <c r="HU174" s="32">
        <f t="shared" ca="1" si="201"/>
        <v>0</v>
      </c>
      <c r="HV174" s="32">
        <f t="shared" ca="1" si="201"/>
        <v>0</v>
      </c>
      <c r="HW174" s="32">
        <f t="shared" ca="1" si="201"/>
        <v>0</v>
      </c>
      <c r="HX174" s="32">
        <f t="shared" ca="1" si="201"/>
        <v>0</v>
      </c>
      <c r="HY174" s="32">
        <f t="shared" ca="1" si="201"/>
        <v>0</v>
      </c>
      <c r="HZ174" s="32">
        <f t="shared" ca="1" si="201"/>
        <v>0</v>
      </c>
      <c r="IA174" s="32">
        <f t="shared" ca="1" si="201"/>
        <v>0</v>
      </c>
      <c r="IB174" s="32">
        <f t="shared" ca="1" si="201"/>
        <v>0</v>
      </c>
      <c r="IC174" s="32">
        <f t="shared" ca="1" si="201"/>
        <v>0</v>
      </c>
      <c r="ID174" s="32">
        <f t="shared" ca="1" si="201"/>
        <v>0</v>
      </c>
      <c r="IE174" s="32">
        <f t="shared" ca="1" si="201"/>
        <v>0</v>
      </c>
      <c r="IF174" s="32">
        <f t="shared" ca="1" si="201"/>
        <v>0</v>
      </c>
      <c r="IG174" s="32">
        <f t="shared" ca="1" si="201"/>
        <v>0</v>
      </c>
      <c r="IH174" s="32">
        <f t="shared" ca="1" si="201"/>
        <v>0</v>
      </c>
      <c r="II174" s="32">
        <f t="shared" ca="1" si="201"/>
        <v>0</v>
      </c>
      <c r="IJ174" s="32">
        <f t="shared" ca="1" si="201"/>
        <v>0</v>
      </c>
      <c r="IK174" s="32">
        <f t="shared" ca="1" si="201"/>
        <v>0</v>
      </c>
    </row>
    <row r="175" spans="1:245" hidden="1" x14ac:dyDescent="0.35">
      <c r="A175" s="195">
        <f>IF(B175=0,0,"XXX")</f>
        <v>0</v>
      </c>
      <c r="B175" s="463"/>
      <c r="G175" s="450"/>
    </row>
    <row r="176" spans="1:245" s="195" customFormat="1" hidden="1" x14ac:dyDescent="0.35">
      <c r="B176" s="463"/>
      <c r="C176"/>
      <c r="D176" s="461"/>
      <c r="E176" s="462"/>
      <c r="F176" s="362"/>
      <c r="G176" s="363"/>
      <c r="H176" s="350">
        <f>H6</f>
        <v>1000</v>
      </c>
      <c r="I176" s="350">
        <f t="shared" ref="I176:BT176" si="202">I6</f>
        <v>1000</v>
      </c>
      <c r="J176" s="350">
        <f t="shared" si="202"/>
        <v>1000</v>
      </c>
      <c r="K176" s="350">
        <f t="shared" si="202"/>
        <v>1000</v>
      </c>
      <c r="L176" s="350">
        <f t="shared" si="202"/>
        <v>1000</v>
      </c>
      <c r="M176" s="350">
        <f t="shared" si="202"/>
        <v>1</v>
      </c>
      <c r="N176" s="350">
        <f t="shared" si="202"/>
        <v>2</v>
      </c>
      <c r="O176" s="350">
        <f t="shared" si="202"/>
        <v>3</v>
      </c>
      <c r="P176" s="350">
        <f t="shared" si="202"/>
        <v>4</v>
      </c>
      <c r="Q176" s="350">
        <f t="shared" si="202"/>
        <v>5</v>
      </c>
      <c r="R176" s="350">
        <f t="shared" si="202"/>
        <v>6</v>
      </c>
      <c r="S176" s="350">
        <f t="shared" si="202"/>
        <v>7</v>
      </c>
      <c r="T176" s="350">
        <f t="shared" si="202"/>
        <v>8</v>
      </c>
      <c r="U176" s="350">
        <f t="shared" si="202"/>
        <v>9</v>
      </c>
      <c r="V176" s="350">
        <f t="shared" si="202"/>
        <v>10</v>
      </c>
      <c r="W176" s="350">
        <f t="shared" si="202"/>
        <v>11</v>
      </c>
      <c r="X176" s="350">
        <f t="shared" si="202"/>
        <v>12</v>
      </c>
      <c r="Y176" s="350">
        <f t="shared" si="202"/>
        <v>13</v>
      </c>
      <c r="Z176" s="350">
        <f t="shared" si="202"/>
        <v>14</v>
      </c>
      <c r="AA176" s="350">
        <f t="shared" si="202"/>
        <v>15</v>
      </c>
      <c r="AB176" s="350">
        <f t="shared" si="202"/>
        <v>16</v>
      </c>
      <c r="AC176" s="350">
        <f t="shared" si="202"/>
        <v>17</v>
      </c>
      <c r="AD176" s="350">
        <f t="shared" si="202"/>
        <v>18</v>
      </c>
      <c r="AE176" s="350">
        <f t="shared" si="202"/>
        <v>19</v>
      </c>
      <c r="AF176" s="350">
        <f t="shared" si="202"/>
        <v>20</v>
      </c>
      <c r="AG176" s="350">
        <f t="shared" si="202"/>
        <v>21</v>
      </c>
      <c r="AH176" s="350">
        <f t="shared" si="202"/>
        <v>22</v>
      </c>
      <c r="AI176" s="350">
        <f t="shared" si="202"/>
        <v>23</v>
      </c>
      <c r="AJ176" s="350">
        <f t="shared" si="202"/>
        <v>24</v>
      </c>
      <c r="AK176" s="350">
        <f t="shared" si="202"/>
        <v>25</v>
      </c>
      <c r="AL176" s="350">
        <f t="shared" si="202"/>
        <v>26</v>
      </c>
      <c r="AM176" s="350">
        <f t="shared" si="202"/>
        <v>27</v>
      </c>
      <c r="AN176" s="350">
        <f t="shared" si="202"/>
        <v>28</v>
      </c>
      <c r="AO176" s="350">
        <f t="shared" si="202"/>
        <v>29</v>
      </c>
      <c r="AP176" s="350">
        <f t="shared" si="202"/>
        <v>30</v>
      </c>
      <c r="AQ176" s="350">
        <f t="shared" si="202"/>
        <v>31</v>
      </c>
      <c r="AR176" s="350">
        <f t="shared" si="202"/>
        <v>32</v>
      </c>
      <c r="AS176" s="350">
        <f t="shared" si="202"/>
        <v>33</v>
      </c>
      <c r="AT176" s="350">
        <f t="shared" si="202"/>
        <v>34</v>
      </c>
      <c r="AU176" s="350">
        <f t="shared" si="202"/>
        <v>35</v>
      </c>
      <c r="AV176" s="350">
        <f t="shared" si="202"/>
        <v>36</v>
      </c>
      <c r="AW176" s="350">
        <f t="shared" si="202"/>
        <v>37</v>
      </c>
      <c r="AX176" s="350">
        <f t="shared" si="202"/>
        <v>38</v>
      </c>
      <c r="AY176" s="350">
        <f t="shared" si="202"/>
        <v>39</v>
      </c>
      <c r="AZ176" s="350">
        <f t="shared" si="202"/>
        <v>40</v>
      </c>
      <c r="BA176" s="350">
        <f t="shared" si="202"/>
        <v>41</v>
      </c>
      <c r="BB176" s="350">
        <f t="shared" si="202"/>
        <v>42</v>
      </c>
      <c r="BC176" s="350">
        <f t="shared" si="202"/>
        <v>43</v>
      </c>
      <c r="BD176" s="350">
        <f t="shared" si="202"/>
        <v>44</v>
      </c>
      <c r="BE176" s="350">
        <f t="shared" si="202"/>
        <v>45</v>
      </c>
      <c r="BF176" s="350">
        <f t="shared" si="202"/>
        <v>46</v>
      </c>
      <c r="BG176" s="350">
        <f t="shared" si="202"/>
        <v>47</v>
      </c>
      <c r="BH176" s="350">
        <f t="shared" si="202"/>
        <v>48</v>
      </c>
      <c r="BI176" s="350">
        <f t="shared" si="202"/>
        <v>49</v>
      </c>
      <c r="BJ176" s="350">
        <f t="shared" si="202"/>
        <v>50</v>
      </c>
      <c r="BK176" s="350">
        <f t="shared" si="202"/>
        <v>51</v>
      </c>
      <c r="BL176" s="350">
        <f t="shared" si="202"/>
        <v>52</v>
      </c>
      <c r="BM176" s="350">
        <f t="shared" si="202"/>
        <v>53</v>
      </c>
      <c r="BN176" s="350">
        <f t="shared" si="202"/>
        <v>54</v>
      </c>
      <c r="BO176" s="350">
        <f t="shared" si="202"/>
        <v>55</v>
      </c>
      <c r="BP176" s="350">
        <f t="shared" si="202"/>
        <v>56</v>
      </c>
      <c r="BQ176" s="350">
        <f t="shared" si="202"/>
        <v>57</v>
      </c>
      <c r="BR176" s="350">
        <f t="shared" si="202"/>
        <v>58</v>
      </c>
      <c r="BS176" s="350">
        <f t="shared" si="202"/>
        <v>59</v>
      </c>
      <c r="BT176" s="350">
        <f t="shared" si="202"/>
        <v>60</v>
      </c>
      <c r="BU176" s="350">
        <f t="shared" ref="BU176:EF176" si="203">BU6</f>
        <v>61</v>
      </c>
      <c r="BV176" s="350">
        <f t="shared" si="203"/>
        <v>62</v>
      </c>
      <c r="BW176" s="350">
        <f t="shared" si="203"/>
        <v>63</v>
      </c>
      <c r="BX176" s="350">
        <f t="shared" si="203"/>
        <v>64</v>
      </c>
      <c r="BY176" s="350">
        <f t="shared" si="203"/>
        <v>65</v>
      </c>
      <c r="BZ176" s="350">
        <f t="shared" si="203"/>
        <v>66</v>
      </c>
      <c r="CA176" s="350">
        <f t="shared" si="203"/>
        <v>67</v>
      </c>
      <c r="CB176" s="350">
        <f t="shared" si="203"/>
        <v>68</v>
      </c>
      <c r="CC176" s="350">
        <f t="shared" si="203"/>
        <v>69</v>
      </c>
      <c r="CD176" s="350">
        <f t="shared" si="203"/>
        <v>70</v>
      </c>
      <c r="CE176" s="350">
        <f t="shared" si="203"/>
        <v>71</v>
      </c>
      <c r="CF176" s="350">
        <f t="shared" si="203"/>
        <v>72</v>
      </c>
      <c r="CG176" s="350">
        <f t="shared" si="203"/>
        <v>73</v>
      </c>
      <c r="CH176" s="350">
        <f t="shared" si="203"/>
        <v>74</v>
      </c>
      <c r="CI176" s="350">
        <f t="shared" si="203"/>
        <v>75</v>
      </c>
      <c r="CJ176" s="350">
        <f t="shared" si="203"/>
        <v>76</v>
      </c>
      <c r="CK176" s="350">
        <f t="shared" si="203"/>
        <v>77</v>
      </c>
      <c r="CL176" s="350">
        <f t="shared" si="203"/>
        <v>78</v>
      </c>
      <c r="CM176" s="350">
        <f t="shared" si="203"/>
        <v>79</v>
      </c>
      <c r="CN176" s="350">
        <f t="shared" si="203"/>
        <v>80</v>
      </c>
      <c r="CO176" s="350">
        <f t="shared" si="203"/>
        <v>81</v>
      </c>
      <c r="CP176" s="350">
        <f t="shared" si="203"/>
        <v>82</v>
      </c>
      <c r="CQ176" s="350">
        <f t="shared" si="203"/>
        <v>83</v>
      </c>
      <c r="CR176" s="350">
        <f t="shared" si="203"/>
        <v>84</v>
      </c>
      <c r="CS176" s="350">
        <f t="shared" si="203"/>
        <v>85</v>
      </c>
      <c r="CT176" s="350">
        <f t="shared" si="203"/>
        <v>86</v>
      </c>
      <c r="CU176" s="350">
        <f t="shared" si="203"/>
        <v>87</v>
      </c>
      <c r="CV176" s="350">
        <f t="shared" si="203"/>
        <v>88</v>
      </c>
      <c r="CW176" s="350">
        <f t="shared" si="203"/>
        <v>89</v>
      </c>
      <c r="CX176" s="350">
        <f t="shared" si="203"/>
        <v>90</v>
      </c>
      <c r="CY176" s="350">
        <f t="shared" si="203"/>
        <v>91</v>
      </c>
      <c r="CZ176" s="350">
        <f t="shared" si="203"/>
        <v>92</v>
      </c>
      <c r="DA176" s="350">
        <f t="shared" si="203"/>
        <v>93</v>
      </c>
      <c r="DB176" s="350">
        <f t="shared" si="203"/>
        <v>94</v>
      </c>
      <c r="DC176" s="350">
        <f t="shared" si="203"/>
        <v>95</v>
      </c>
      <c r="DD176" s="350">
        <f t="shared" si="203"/>
        <v>96</v>
      </c>
      <c r="DE176" s="350">
        <f t="shared" si="203"/>
        <v>97</v>
      </c>
      <c r="DF176" s="350">
        <f t="shared" si="203"/>
        <v>98</v>
      </c>
      <c r="DG176" s="350">
        <f t="shared" si="203"/>
        <v>99</v>
      </c>
      <c r="DH176" s="350">
        <f t="shared" si="203"/>
        <v>100</v>
      </c>
      <c r="DI176" s="350">
        <f t="shared" si="203"/>
        <v>101</v>
      </c>
      <c r="DJ176" s="350">
        <f t="shared" si="203"/>
        <v>102</v>
      </c>
      <c r="DK176" s="350">
        <f t="shared" si="203"/>
        <v>103</v>
      </c>
      <c r="DL176" s="350">
        <f t="shared" si="203"/>
        <v>104</v>
      </c>
      <c r="DM176" s="350">
        <f t="shared" si="203"/>
        <v>105</v>
      </c>
      <c r="DN176" s="350">
        <f t="shared" si="203"/>
        <v>106</v>
      </c>
      <c r="DO176" s="350">
        <f t="shared" si="203"/>
        <v>107</v>
      </c>
      <c r="DP176" s="350">
        <f t="shared" si="203"/>
        <v>108</v>
      </c>
      <c r="DQ176" s="350">
        <f t="shared" si="203"/>
        <v>109</v>
      </c>
      <c r="DR176" s="350">
        <f t="shared" si="203"/>
        <v>110</v>
      </c>
      <c r="DS176" s="350">
        <f t="shared" si="203"/>
        <v>111</v>
      </c>
      <c r="DT176" s="350">
        <f t="shared" si="203"/>
        <v>112</v>
      </c>
      <c r="DU176" s="350">
        <f t="shared" si="203"/>
        <v>113</v>
      </c>
      <c r="DV176" s="350">
        <f t="shared" si="203"/>
        <v>114</v>
      </c>
      <c r="DW176" s="350">
        <f t="shared" si="203"/>
        <v>115</v>
      </c>
      <c r="DX176" s="350">
        <f t="shared" si="203"/>
        <v>116</v>
      </c>
      <c r="DY176" s="350">
        <f t="shared" si="203"/>
        <v>117</v>
      </c>
      <c r="DZ176" s="350">
        <f t="shared" si="203"/>
        <v>118</v>
      </c>
      <c r="EA176" s="350">
        <f t="shared" si="203"/>
        <v>119</v>
      </c>
      <c r="EB176" s="350">
        <f t="shared" si="203"/>
        <v>120</v>
      </c>
      <c r="EC176" s="350">
        <f t="shared" si="203"/>
        <v>121</v>
      </c>
      <c r="ED176" s="350">
        <f t="shared" si="203"/>
        <v>122</v>
      </c>
      <c r="EE176" s="350">
        <f t="shared" si="203"/>
        <v>123</v>
      </c>
      <c r="EF176" s="350">
        <f t="shared" si="203"/>
        <v>124</v>
      </c>
      <c r="EG176" s="350">
        <f t="shared" ref="EG176:GR176" si="204">EG6</f>
        <v>125</v>
      </c>
      <c r="EH176" s="350">
        <f t="shared" si="204"/>
        <v>126</v>
      </c>
      <c r="EI176" s="350">
        <f t="shared" si="204"/>
        <v>127</v>
      </c>
      <c r="EJ176" s="350">
        <f t="shared" si="204"/>
        <v>128</v>
      </c>
      <c r="EK176" s="350">
        <f t="shared" si="204"/>
        <v>129</v>
      </c>
      <c r="EL176" s="350">
        <f t="shared" si="204"/>
        <v>130</v>
      </c>
      <c r="EM176" s="350">
        <f t="shared" si="204"/>
        <v>131</v>
      </c>
      <c r="EN176" s="350">
        <f t="shared" si="204"/>
        <v>132</v>
      </c>
      <c r="EO176" s="350">
        <f t="shared" si="204"/>
        <v>133</v>
      </c>
      <c r="EP176" s="350">
        <f t="shared" si="204"/>
        <v>134</v>
      </c>
      <c r="EQ176" s="350">
        <f t="shared" si="204"/>
        <v>135</v>
      </c>
      <c r="ER176" s="350">
        <f t="shared" si="204"/>
        <v>136</v>
      </c>
      <c r="ES176" s="350">
        <f t="shared" si="204"/>
        <v>137</v>
      </c>
      <c r="ET176" s="350">
        <f t="shared" si="204"/>
        <v>138</v>
      </c>
      <c r="EU176" s="350">
        <f t="shared" si="204"/>
        <v>139</v>
      </c>
      <c r="EV176" s="350">
        <f t="shared" si="204"/>
        <v>140</v>
      </c>
      <c r="EW176" s="350">
        <f t="shared" si="204"/>
        <v>141</v>
      </c>
      <c r="EX176" s="350">
        <f t="shared" si="204"/>
        <v>142</v>
      </c>
      <c r="EY176" s="350">
        <f t="shared" si="204"/>
        <v>143</v>
      </c>
      <c r="EZ176" s="350">
        <f t="shared" si="204"/>
        <v>144</v>
      </c>
      <c r="FA176" s="350">
        <f t="shared" si="204"/>
        <v>145</v>
      </c>
      <c r="FB176" s="350">
        <f t="shared" si="204"/>
        <v>146</v>
      </c>
      <c r="FC176" s="350">
        <f t="shared" si="204"/>
        <v>147</v>
      </c>
      <c r="FD176" s="350">
        <f t="shared" si="204"/>
        <v>148</v>
      </c>
      <c r="FE176" s="350">
        <f t="shared" si="204"/>
        <v>149</v>
      </c>
      <c r="FF176" s="350">
        <f t="shared" si="204"/>
        <v>150</v>
      </c>
      <c r="FG176" s="350">
        <f t="shared" si="204"/>
        <v>151</v>
      </c>
      <c r="FH176" s="350">
        <f t="shared" si="204"/>
        <v>152</v>
      </c>
      <c r="FI176" s="350">
        <f t="shared" si="204"/>
        <v>153</v>
      </c>
      <c r="FJ176" s="350">
        <f t="shared" si="204"/>
        <v>154</v>
      </c>
      <c r="FK176" s="350">
        <f t="shared" si="204"/>
        <v>155</v>
      </c>
      <c r="FL176" s="350">
        <f t="shared" si="204"/>
        <v>156</v>
      </c>
      <c r="FM176" s="350">
        <f t="shared" si="204"/>
        <v>157</v>
      </c>
      <c r="FN176" s="350">
        <f t="shared" si="204"/>
        <v>158</v>
      </c>
      <c r="FO176" s="350">
        <f t="shared" si="204"/>
        <v>159</v>
      </c>
      <c r="FP176" s="350">
        <f t="shared" si="204"/>
        <v>160</v>
      </c>
      <c r="FQ176" s="350">
        <f t="shared" si="204"/>
        <v>161</v>
      </c>
      <c r="FR176" s="350">
        <f t="shared" si="204"/>
        <v>162</v>
      </c>
      <c r="FS176" s="350">
        <f t="shared" si="204"/>
        <v>163</v>
      </c>
      <c r="FT176" s="350">
        <f t="shared" si="204"/>
        <v>164</v>
      </c>
      <c r="FU176" s="350">
        <f t="shared" si="204"/>
        <v>165</v>
      </c>
      <c r="FV176" s="350">
        <f t="shared" si="204"/>
        <v>166</v>
      </c>
      <c r="FW176" s="350">
        <f t="shared" si="204"/>
        <v>167</v>
      </c>
      <c r="FX176" s="350">
        <f t="shared" si="204"/>
        <v>168</v>
      </c>
      <c r="FY176" s="350">
        <f t="shared" si="204"/>
        <v>169</v>
      </c>
      <c r="FZ176" s="350">
        <f t="shared" si="204"/>
        <v>170</v>
      </c>
      <c r="GA176" s="350">
        <f t="shared" si="204"/>
        <v>171</v>
      </c>
      <c r="GB176" s="350">
        <f t="shared" si="204"/>
        <v>172</v>
      </c>
      <c r="GC176" s="350">
        <f t="shared" si="204"/>
        <v>173</v>
      </c>
      <c r="GD176" s="350">
        <f t="shared" si="204"/>
        <v>174</v>
      </c>
      <c r="GE176" s="350">
        <f t="shared" si="204"/>
        <v>175</v>
      </c>
      <c r="GF176" s="350">
        <f t="shared" si="204"/>
        <v>176</v>
      </c>
      <c r="GG176" s="350">
        <f t="shared" si="204"/>
        <v>177</v>
      </c>
      <c r="GH176" s="350">
        <f t="shared" si="204"/>
        <v>178</v>
      </c>
      <c r="GI176" s="350">
        <f t="shared" si="204"/>
        <v>179</v>
      </c>
      <c r="GJ176" s="350">
        <f t="shared" si="204"/>
        <v>180</v>
      </c>
      <c r="GK176" s="350">
        <f t="shared" si="204"/>
        <v>181</v>
      </c>
      <c r="GL176" s="350">
        <f t="shared" si="204"/>
        <v>182</v>
      </c>
      <c r="GM176" s="350">
        <f t="shared" si="204"/>
        <v>183</v>
      </c>
      <c r="GN176" s="350">
        <f t="shared" si="204"/>
        <v>184</v>
      </c>
      <c r="GO176" s="350">
        <f t="shared" si="204"/>
        <v>185</v>
      </c>
      <c r="GP176" s="350">
        <f t="shared" si="204"/>
        <v>186</v>
      </c>
      <c r="GQ176" s="350">
        <f t="shared" si="204"/>
        <v>187</v>
      </c>
      <c r="GR176" s="350">
        <f t="shared" si="204"/>
        <v>188</v>
      </c>
      <c r="GS176" s="350">
        <f t="shared" ref="GS176:IK176" si="205">GS6</f>
        <v>189</v>
      </c>
      <c r="GT176" s="350">
        <f t="shared" si="205"/>
        <v>190</v>
      </c>
      <c r="GU176" s="350">
        <f t="shared" si="205"/>
        <v>191</v>
      </c>
      <c r="GV176" s="350">
        <f t="shared" si="205"/>
        <v>192</v>
      </c>
      <c r="GW176" s="350">
        <f t="shared" si="205"/>
        <v>193</v>
      </c>
      <c r="GX176" s="350">
        <f t="shared" si="205"/>
        <v>194</v>
      </c>
      <c r="GY176" s="350">
        <f t="shared" si="205"/>
        <v>195</v>
      </c>
      <c r="GZ176" s="350">
        <f t="shared" si="205"/>
        <v>196</v>
      </c>
      <c r="HA176" s="350">
        <f t="shared" si="205"/>
        <v>197</v>
      </c>
      <c r="HB176" s="350">
        <f t="shared" si="205"/>
        <v>198</v>
      </c>
      <c r="HC176" s="350">
        <f t="shared" si="205"/>
        <v>199</v>
      </c>
      <c r="HD176" s="350">
        <f t="shared" si="205"/>
        <v>200</v>
      </c>
      <c r="HE176" s="350">
        <f t="shared" si="205"/>
        <v>201</v>
      </c>
      <c r="HF176" s="350">
        <f t="shared" si="205"/>
        <v>202</v>
      </c>
      <c r="HG176" s="350">
        <f t="shared" si="205"/>
        <v>203</v>
      </c>
      <c r="HH176" s="350">
        <f t="shared" si="205"/>
        <v>204</v>
      </c>
      <c r="HI176" s="350">
        <f t="shared" si="205"/>
        <v>205</v>
      </c>
      <c r="HJ176" s="350">
        <f t="shared" si="205"/>
        <v>206</v>
      </c>
      <c r="HK176" s="350">
        <f t="shared" si="205"/>
        <v>207</v>
      </c>
      <c r="HL176" s="350">
        <f t="shared" si="205"/>
        <v>208</v>
      </c>
      <c r="HM176" s="350">
        <f t="shared" si="205"/>
        <v>209</v>
      </c>
      <c r="HN176" s="350">
        <f t="shared" si="205"/>
        <v>210</v>
      </c>
      <c r="HO176" s="350">
        <f t="shared" si="205"/>
        <v>211</v>
      </c>
      <c r="HP176" s="350">
        <f t="shared" si="205"/>
        <v>212</v>
      </c>
      <c r="HQ176" s="350">
        <f t="shared" si="205"/>
        <v>213</v>
      </c>
      <c r="HR176" s="350">
        <f t="shared" si="205"/>
        <v>214</v>
      </c>
      <c r="HS176" s="350">
        <f t="shared" si="205"/>
        <v>215</v>
      </c>
      <c r="HT176" s="350">
        <f t="shared" si="205"/>
        <v>216</v>
      </c>
      <c r="HU176" s="350">
        <f t="shared" si="205"/>
        <v>217</v>
      </c>
      <c r="HV176" s="350">
        <f t="shared" si="205"/>
        <v>218</v>
      </c>
      <c r="HW176" s="350">
        <f t="shared" si="205"/>
        <v>219</v>
      </c>
      <c r="HX176" s="350">
        <f t="shared" si="205"/>
        <v>220</v>
      </c>
      <c r="HY176" s="350">
        <f t="shared" si="205"/>
        <v>221</v>
      </c>
      <c r="HZ176" s="350">
        <f t="shared" si="205"/>
        <v>222</v>
      </c>
      <c r="IA176" s="350">
        <f t="shared" si="205"/>
        <v>223</v>
      </c>
      <c r="IB176" s="350">
        <f t="shared" si="205"/>
        <v>224</v>
      </c>
      <c r="IC176" s="350">
        <f t="shared" si="205"/>
        <v>225</v>
      </c>
      <c r="ID176" s="350">
        <f t="shared" si="205"/>
        <v>226</v>
      </c>
      <c r="IE176" s="350">
        <f t="shared" si="205"/>
        <v>227</v>
      </c>
      <c r="IF176" s="350">
        <f t="shared" si="205"/>
        <v>228</v>
      </c>
      <c r="IG176" s="350">
        <f t="shared" si="205"/>
        <v>229</v>
      </c>
      <c r="IH176" s="350">
        <f t="shared" si="205"/>
        <v>230</v>
      </c>
      <c r="II176" s="350">
        <f t="shared" si="205"/>
        <v>231</v>
      </c>
      <c r="IJ176" s="350">
        <f t="shared" si="205"/>
        <v>232</v>
      </c>
      <c r="IK176" s="350">
        <f t="shared" si="205"/>
        <v>233</v>
      </c>
    </row>
    <row r="177" spans="1:245" hidden="1" x14ac:dyDescent="0.35">
      <c r="A177" s="205"/>
      <c r="B177" s="32"/>
      <c r="C177" s="32"/>
      <c r="D177" s="32"/>
      <c r="E177" s="32"/>
      <c r="F177" s="32"/>
      <c r="G177" s="32"/>
      <c r="H177" s="343"/>
      <c r="I177" s="343"/>
      <c r="J177" s="343"/>
      <c r="K177" s="343"/>
      <c r="L177" s="343"/>
      <c r="M177" s="343"/>
      <c r="N177" s="343"/>
      <c r="O177" s="343"/>
      <c r="P177" s="343"/>
      <c r="Q177" s="343"/>
      <c r="R177" s="343"/>
      <c r="S177" s="343"/>
      <c r="T177" s="343"/>
      <c r="U177" s="343"/>
      <c r="V177" s="343"/>
      <c r="W177" s="343"/>
      <c r="X177" s="343"/>
      <c r="Y177" s="343"/>
      <c r="Z177" s="343"/>
      <c r="AA177" s="343"/>
      <c r="AB177" s="343"/>
      <c r="AC177" s="343"/>
      <c r="AD177" s="343"/>
      <c r="AE177" s="343"/>
      <c r="AF177" s="343"/>
      <c r="AG177" s="343"/>
      <c r="AH177" s="343"/>
      <c r="AI177" s="343"/>
      <c r="AJ177" s="343"/>
      <c r="AK177" s="343"/>
      <c r="AL177" s="343"/>
      <c r="AM177" s="343"/>
      <c r="AN177" s="343"/>
      <c r="AO177" s="343"/>
      <c r="AP177" s="343"/>
      <c r="AQ177" s="343"/>
      <c r="AR177" s="343"/>
      <c r="AS177" s="343"/>
      <c r="AT177" s="343"/>
      <c r="AU177" s="343"/>
      <c r="AV177" s="343"/>
      <c r="AW177" s="343"/>
      <c r="AX177" s="343"/>
      <c r="AY177" s="343"/>
      <c r="AZ177" s="343"/>
      <c r="BA177" s="343"/>
      <c r="BB177" s="343"/>
      <c r="BC177" s="343"/>
      <c r="BD177" s="343"/>
      <c r="BE177" s="343"/>
      <c r="BF177" s="343"/>
      <c r="BG177" s="343"/>
      <c r="BH177" s="343"/>
      <c r="BI177" s="343"/>
      <c r="BJ177" s="343"/>
      <c r="BK177" s="343"/>
      <c r="BL177" s="343"/>
      <c r="BM177" s="343"/>
      <c r="BN177" s="343"/>
      <c r="BO177" s="343"/>
      <c r="BP177" s="343"/>
      <c r="BQ177" s="343"/>
      <c r="BR177" s="343"/>
      <c r="BS177" s="343"/>
      <c r="BT177" s="343"/>
      <c r="BU177" s="343"/>
      <c r="BV177" s="343"/>
      <c r="BW177" s="343"/>
      <c r="BX177" s="343"/>
      <c r="BY177" s="343"/>
      <c r="BZ177" s="343"/>
      <c r="CA177" s="343"/>
      <c r="CB177" s="343"/>
      <c r="CC177" s="343"/>
      <c r="CD177" s="343"/>
      <c r="CE177" s="343"/>
      <c r="CF177" s="343"/>
      <c r="CG177" s="343"/>
      <c r="CH177" s="343"/>
      <c r="CI177" s="343"/>
      <c r="CJ177" s="343"/>
      <c r="CK177" s="343"/>
      <c r="CL177" s="343"/>
      <c r="CM177" s="343"/>
      <c r="CN177" s="343"/>
      <c r="CO177" s="343"/>
      <c r="CP177" s="343"/>
      <c r="CQ177" s="343"/>
      <c r="CR177" s="343"/>
      <c r="CS177" s="343"/>
      <c r="CT177" s="343"/>
      <c r="CU177" s="343"/>
      <c r="CV177" s="343"/>
      <c r="CW177" s="343"/>
      <c r="CX177" s="343"/>
      <c r="CY177" s="343"/>
      <c r="CZ177" s="343"/>
      <c r="DA177" s="343"/>
      <c r="DB177" s="343"/>
      <c r="DC177" s="343"/>
      <c r="DD177" s="343"/>
      <c r="DE177" s="343"/>
      <c r="DF177" s="343"/>
      <c r="DG177" s="343"/>
      <c r="DH177" s="343"/>
      <c r="DI177" s="343"/>
      <c r="DJ177" s="343"/>
      <c r="DK177" s="343"/>
      <c r="DL177" s="343"/>
      <c r="DM177" s="343"/>
      <c r="DN177" s="343"/>
      <c r="DO177" s="343"/>
      <c r="DP177" s="343"/>
      <c r="DQ177" s="343"/>
      <c r="DR177" s="343"/>
      <c r="DS177" s="343"/>
      <c r="DT177" s="343"/>
      <c r="DU177" s="343"/>
      <c r="DV177" s="347"/>
      <c r="DW177" s="343"/>
      <c r="DX177" s="343"/>
      <c r="DY177" s="343"/>
      <c r="DZ177" s="343"/>
      <c r="EA177" s="343"/>
      <c r="EB177" s="343"/>
      <c r="EC177" s="347"/>
      <c r="ED177" s="343"/>
      <c r="EE177" s="343"/>
      <c r="EF177" s="343"/>
      <c r="EG177" s="343"/>
      <c r="EH177" s="343"/>
      <c r="EI177" s="343"/>
      <c r="EJ177" s="347"/>
      <c r="EK177" s="343"/>
      <c r="EL177" s="343"/>
      <c r="EM177" s="343"/>
      <c r="EN177" s="343"/>
      <c r="EO177" s="343"/>
      <c r="EP177" s="343"/>
      <c r="EQ177" s="347"/>
      <c r="ER177" s="343"/>
      <c r="ES177" s="343"/>
      <c r="ET177" s="343"/>
      <c r="EU177" s="343"/>
      <c r="EV177" s="343"/>
      <c r="EW177" s="343"/>
      <c r="EX177" s="343"/>
      <c r="EY177" s="343"/>
      <c r="EZ177" s="343"/>
      <c r="FA177" s="343"/>
      <c r="FB177" s="343"/>
      <c r="FC177" s="343"/>
      <c r="FD177" s="343"/>
      <c r="FE177" s="343"/>
      <c r="FF177" s="343"/>
      <c r="FG177" s="343"/>
      <c r="FH177" s="343"/>
      <c r="FI177" s="343"/>
      <c r="FJ177" s="343"/>
      <c r="FK177" s="343"/>
      <c r="FL177" s="343"/>
      <c r="FM177" s="343"/>
      <c r="FN177" s="343"/>
      <c r="FO177" s="343"/>
      <c r="FP177" s="343"/>
      <c r="FQ177" s="343"/>
      <c r="FR177" s="343"/>
      <c r="FS177" s="343"/>
      <c r="FT177" s="343"/>
      <c r="FU177" s="343"/>
      <c r="FV177" s="343"/>
      <c r="FW177" s="343"/>
      <c r="FX177" s="343"/>
      <c r="FY177" s="343"/>
      <c r="FZ177" s="343"/>
      <c r="GA177" s="343"/>
      <c r="GB177" s="343"/>
      <c r="GC177" s="343"/>
      <c r="GD177" s="343"/>
      <c r="GE177" s="343"/>
      <c r="GF177" s="343"/>
      <c r="GG177" s="343"/>
      <c r="GH177" s="343"/>
      <c r="GI177" s="343"/>
      <c r="GJ177" s="343"/>
      <c r="GK177" s="343"/>
      <c r="GL177" s="343"/>
      <c r="GM177" s="343"/>
      <c r="GN177" s="343"/>
      <c r="GO177" s="343"/>
      <c r="GP177" s="343"/>
      <c r="GQ177" s="343"/>
      <c r="GR177" s="343"/>
      <c r="GS177" s="343"/>
      <c r="GT177" s="343"/>
      <c r="GU177" s="343"/>
      <c r="GV177" s="343"/>
      <c r="GW177" s="343"/>
      <c r="GX177" s="343"/>
      <c r="GY177" s="343"/>
      <c r="GZ177" s="343"/>
      <c r="HA177" s="343"/>
      <c r="HB177" s="343"/>
      <c r="HC177" s="343"/>
      <c r="HD177" s="343"/>
      <c r="HE177" s="343"/>
      <c r="HF177" s="343"/>
      <c r="HG177" s="343"/>
      <c r="HH177" s="343"/>
      <c r="HI177" s="343"/>
      <c r="HJ177" s="343"/>
      <c r="HK177" s="343"/>
      <c r="HL177" s="343"/>
      <c r="HM177" s="343"/>
      <c r="HN177" s="343"/>
      <c r="HO177" s="343"/>
      <c r="HP177" s="343"/>
      <c r="HQ177" s="343"/>
      <c r="HR177" s="343"/>
      <c r="HS177" s="343"/>
      <c r="HT177" s="343"/>
      <c r="HU177" s="343"/>
      <c r="HV177" s="343"/>
      <c r="HW177" s="343"/>
      <c r="HX177" s="343"/>
      <c r="HY177" s="343"/>
      <c r="HZ177" s="343"/>
      <c r="IA177" s="343"/>
      <c r="IB177" s="343"/>
      <c r="IC177" s="343"/>
      <c r="ID177" s="343"/>
      <c r="IE177" s="343"/>
      <c r="IF177" s="343"/>
      <c r="IG177" s="343"/>
      <c r="IH177" s="343"/>
      <c r="II177" s="343"/>
      <c r="IJ177" s="343"/>
      <c r="IK177" s="343"/>
    </row>
    <row r="178" spans="1:245" hidden="1" x14ac:dyDescent="0.35">
      <c r="A178" s="205"/>
      <c r="B178" s="32"/>
      <c r="C178" s="32"/>
      <c r="D178" s="32"/>
      <c r="E178" s="32"/>
      <c r="F178" s="32"/>
      <c r="G178" s="32"/>
      <c r="H178" s="1915">
        <f ca="1">$J$2</f>
        <v>45914</v>
      </c>
      <c r="I178" s="1915">
        <f t="shared" ref="I178:BT178" ca="1" si="206">IF($J$2=0,0,H178+1)</f>
        <v>45915</v>
      </c>
      <c r="J178" s="1915">
        <f t="shared" ca="1" si="206"/>
        <v>45916</v>
      </c>
      <c r="K178" s="1915">
        <f t="shared" ca="1" si="206"/>
        <v>45917</v>
      </c>
      <c r="L178" s="1915">
        <f t="shared" ca="1" si="206"/>
        <v>45918</v>
      </c>
      <c r="M178" s="1915">
        <f t="shared" ca="1" si="206"/>
        <v>45919</v>
      </c>
      <c r="N178" s="1915">
        <f t="shared" ca="1" si="206"/>
        <v>45920</v>
      </c>
      <c r="O178" s="1915">
        <f t="shared" ca="1" si="206"/>
        <v>45921</v>
      </c>
      <c r="P178" s="1915">
        <f t="shared" ca="1" si="206"/>
        <v>45922</v>
      </c>
      <c r="Q178" s="1915">
        <f t="shared" ca="1" si="206"/>
        <v>45923</v>
      </c>
      <c r="R178" s="1915">
        <f t="shared" ca="1" si="206"/>
        <v>45924</v>
      </c>
      <c r="S178" s="1915">
        <f t="shared" ca="1" si="206"/>
        <v>45925</v>
      </c>
      <c r="T178" s="1915">
        <f t="shared" ca="1" si="206"/>
        <v>45926</v>
      </c>
      <c r="U178" s="1915">
        <f t="shared" ca="1" si="206"/>
        <v>45927</v>
      </c>
      <c r="V178" s="1915">
        <f t="shared" ca="1" si="206"/>
        <v>45928</v>
      </c>
      <c r="W178" s="1915">
        <f t="shared" ca="1" si="206"/>
        <v>45929</v>
      </c>
      <c r="X178" s="1915">
        <f t="shared" ca="1" si="206"/>
        <v>45930</v>
      </c>
      <c r="Y178" s="1915">
        <f t="shared" ca="1" si="206"/>
        <v>45931</v>
      </c>
      <c r="Z178" s="1915">
        <f t="shared" ca="1" si="206"/>
        <v>45932</v>
      </c>
      <c r="AA178" s="1915">
        <f t="shared" ca="1" si="206"/>
        <v>45933</v>
      </c>
      <c r="AB178" s="1915">
        <f t="shared" ca="1" si="206"/>
        <v>45934</v>
      </c>
      <c r="AC178" s="1915">
        <f t="shared" ca="1" si="206"/>
        <v>45935</v>
      </c>
      <c r="AD178" s="1915">
        <f t="shared" ca="1" si="206"/>
        <v>45936</v>
      </c>
      <c r="AE178" s="1915">
        <f t="shared" ca="1" si="206"/>
        <v>45937</v>
      </c>
      <c r="AF178" s="1915">
        <f t="shared" ca="1" si="206"/>
        <v>45938</v>
      </c>
      <c r="AG178" s="1915">
        <f t="shared" ca="1" si="206"/>
        <v>45939</v>
      </c>
      <c r="AH178" s="1915">
        <f t="shared" ca="1" si="206"/>
        <v>45940</v>
      </c>
      <c r="AI178" s="1915">
        <f t="shared" ca="1" si="206"/>
        <v>45941</v>
      </c>
      <c r="AJ178" s="1915">
        <f t="shared" ca="1" si="206"/>
        <v>45942</v>
      </c>
      <c r="AK178" s="1915">
        <f t="shared" ca="1" si="206"/>
        <v>45943</v>
      </c>
      <c r="AL178" s="1915">
        <f t="shared" ca="1" si="206"/>
        <v>45944</v>
      </c>
      <c r="AM178" s="1915">
        <f t="shared" ca="1" si="206"/>
        <v>45945</v>
      </c>
      <c r="AN178" s="1915">
        <f t="shared" ca="1" si="206"/>
        <v>45946</v>
      </c>
      <c r="AO178" s="1915">
        <f t="shared" ca="1" si="206"/>
        <v>45947</v>
      </c>
      <c r="AP178" s="1915">
        <f t="shared" ca="1" si="206"/>
        <v>45948</v>
      </c>
      <c r="AQ178" s="1915">
        <f t="shared" ca="1" si="206"/>
        <v>45949</v>
      </c>
      <c r="AR178" s="1915">
        <f t="shared" ca="1" si="206"/>
        <v>45950</v>
      </c>
      <c r="AS178" s="1915">
        <f t="shared" ca="1" si="206"/>
        <v>45951</v>
      </c>
      <c r="AT178" s="1915">
        <f t="shared" ca="1" si="206"/>
        <v>45952</v>
      </c>
      <c r="AU178" s="1915">
        <f t="shared" ca="1" si="206"/>
        <v>45953</v>
      </c>
      <c r="AV178" s="1915">
        <f t="shared" ca="1" si="206"/>
        <v>45954</v>
      </c>
      <c r="AW178" s="1915">
        <f t="shared" ca="1" si="206"/>
        <v>45955</v>
      </c>
      <c r="AX178" s="1915">
        <f t="shared" ca="1" si="206"/>
        <v>45956</v>
      </c>
      <c r="AY178" s="1915">
        <f t="shared" ca="1" si="206"/>
        <v>45957</v>
      </c>
      <c r="AZ178" s="1915">
        <f t="shared" ca="1" si="206"/>
        <v>45958</v>
      </c>
      <c r="BA178" s="1915">
        <f t="shared" ca="1" si="206"/>
        <v>45959</v>
      </c>
      <c r="BB178" s="1915">
        <f t="shared" ca="1" si="206"/>
        <v>45960</v>
      </c>
      <c r="BC178" s="1915">
        <f t="shared" ca="1" si="206"/>
        <v>45961</v>
      </c>
      <c r="BD178" s="1915">
        <f t="shared" ca="1" si="206"/>
        <v>45962</v>
      </c>
      <c r="BE178" s="1915">
        <f t="shared" ca="1" si="206"/>
        <v>45963</v>
      </c>
      <c r="BF178" s="1915">
        <f t="shared" ca="1" si="206"/>
        <v>45964</v>
      </c>
      <c r="BG178" s="1915">
        <f t="shared" ca="1" si="206"/>
        <v>45965</v>
      </c>
      <c r="BH178" s="1915">
        <f t="shared" ca="1" si="206"/>
        <v>45966</v>
      </c>
      <c r="BI178" s="1915">
        <f t="shared" ca="1" si="206"/>
        <v>45967</v>
      </c>
      <c r="BJ178" s="1915">
        <f t="shared" ca="1" si="206"/>
        <v>45968</v>
      </c>
      <c r="BK178" s="1915">
        <f t="shared" ca="1" si="206"/>
        <v>45969</v>
      </c>
      <c r="BL178" s="1915">
        <f t="shared" ca="1" si="206"/>
        <v>45970</v>
      </c>
      <c r="BM178" s="1915">
        <f t="shared" ca="1" si="206"/>
        <v>45971</v>
      </c>
      <c r="BN178" s="1915">
        <f t="shared" ca="1" si="206"/>
        <v>45972</v>
      </c>
      <c r="BO178" s="1915">
        <f t="shared" ca="1" si="206"/>
        <v>45973</v>
      </c>
      <c r="BP178" s="1915">
        <f t="shared" ca="1" si="206"/>
        <v>45974</v>
      </c>
      <c r="BQ178" s="1915">
        <f t="shared" ca="1" si="206"/>
        <v>45975</v>
      </c>
      <c r="BR178" s="1915">
        <f t="shared" ca="1" si="206"/>
        <v>45976</v>
      </c>
      <c r="BS178" s="1915">
        <f t="shared" ca="1" si="206"/>
        <v>45977</v>
      </c>
      <c r="BT178" s="1915">
        <f t="shared" ca="1" si="206"/>
        <v>45978</v>
      </c>
      <c r="BU178" s="1915">
        <f t="shared" ref="BU178:EF178" ca="1" si="207">IF($J$2=0,0,BT178+1)</f>
        <v>45979</v>
      </c>
      <c r="BV178" s="1915">
        <f t="shared" ca="1" si="207"/>
        <v>45980</v>
      </c>
      <c r="BW178" s="1915">
        <f t="shared" ca="1" si="207"/>
        <v>45981</v>
      </c>
      <c r="BX178" s="1915">
        <f t="shared" ca="1" si="207"/>
        <v>45982</v>
      </c>
      <c r="BY178" s="1915">
        <f t="shared" ca="1" si="207"/>
        <v>45983</v>
      </c>
      <c r="BZ178" s="1915">
        <f t="shared" ca="1" si="207"/>
        <v>45984</v>
      </c>
      <c r="CA178" s="1915">
        <f t="shared" ca="1" si="207"/>
        <v>45985</v>
      </c>
      <c r="CB178" s="1915">
        <f t="shared" ca="1" si="207"/>
        <v>45986</v>
      </c>
      <c r="CC178" s="1915">
        <f t="shared" ca="1" si="207"/>
        <v>45987</v>
      </c>
      <c r="CD178" s="1915">
        <f t="shared" ca="1" si="207"/>
        <v>45988</v>
      </c>
      <c r="CE178" s="1915">
        <f t="shared" ca="1" si="207"/>
        <v>45989</v>
      </c>
      <c r="CF178" s="1915">
        <f t="shared" ca="1" si="207"/>
        <v>45990</v>
      </c>
      <c r="CG178" s="1915">
        <f t="shared" ca="1" si="207"/>
        <v>45991</v>
      </c>
      <c r="CH178" s="1915">
        <f t="shared" ca="1" si="207"/>
        <v>45992</v>
      </c>
      <c r="CI178" s="1915">
        <f t="shared" ca="1" si="207"/>
        <v>45993</v>
      </c>
      <c r="CJ178" s="1915">
        <f t="shared" ca="1" si="207"/>
        <v>45994</v>
      </c>
      <c r="CK178" s="1915">
        <f t="shared" ca="1" si="207"/>
        <v>45995</v>
      </c>
      <c r="CL178" s="1915">
        <f t="shared" ca="1" si="207"/>
        <v>45996</v>
      </c>
      <c r="CM178" s="1915">
        <f t="shared" ca="1" si="207"/>
        <v>45997</v>
      </c>
      <c r="CN178" s="1915">
        <f t="shared" ca="1" si="207"/>
        <v>45998</v>
      </c>
      <c r="CO178" s="1915">
        <f t="shared" ca="1" si="207"/>
        <v>45999</v>
      </c>
      <c r="CP178" s="1915">
        <f t="shared" ca="1" si="207"/>
        <v>46000</v>
      </c>
      <c r="CQ178" s="1915">
        <f t="shared" ca="1" si="207"/>
        <v>46001</v>
      </c>
      <c r="CR178" s="1915">
        <f t="shared" ca="1" si="207"/>
        <v>46002</v>
      </c>
      <c r="CS178" s="1915">
        <f t="shared" ca="1" si="207"/>
        <v>46003</v>
      </c>
      <c r="CT178" s="1915">
        <f t="shared" ca="1" si="207"/>
        <v>46004</v>
      </c>
      <c r="CU178" s="1915">
        <f t="shared" ca="1" si="207"/>
        <v>46005</v>
      </c>
      <c r="CV178" s="1915">
        <f t="shared" ca="1" si="207"/>
        <v>46006</v>
      </c>
      <c r="CW178" s="1915">
        <f t="shared" ca="1" si="207"/>
        <v>46007</v>
      </c>
      <c r="CX178" s="1915">
        <f t="shared" ca="1" si="207"/>
        <v>46008</v>
      </c>
      <c r="CY178" s="1915">
        <f t="shared" ca="1" si="207"/>
        <v>46009</v>
      </c>
      <c r="CZ178" s="1915">
        <f t="shared" ca="1" si="207"/>
        <v>46010</v>
      </c>
      <c r="DA178" s="1915">
        <f t="shared" ca="1" si="207"/>
        <v>46011</v>
      </c>
      <c r="DB178" s="1915">
        <f t="shared" ca="1" si="207"/>
        <v>46012</v>
      </c>
      <c r="DC178" s="1915">
        <f t="shared" ca="1" si="207"/>
        <v>46013</v>
      </c>
      <c r="DD178" s="1915">
        <f t="shared" ca="1" si="207"/>
        <v>46014</v>
      </c>
      <c r="DE178" s="1915">
        <f t="shared" ca="1" si="207"/>
        <v>46015</v>
      </c>
      <c r="DF178" s="1915">
        <f t="shared" ca="1" si="207"/>
        <v>46016</v>
      </c>
      <c r="DG178" s="1915">
        <f t="shared" ca="1" si="207"/>
        <v>46017</v>
      </c>
      <c r="DH178" s="1915">
        <f t="shared" ca="1" si="207"/>
        <v>46018</v>
      </c>
      <c r="DI178" s="1915">
        <f t="shared" ca="1" si="207"/>
        <v>46019</v>
      </c>
      <c r="DJ178" s="1915">
        <f t="shared" ca="1" si="207"/>
        <v>46020</v>
      </c>
      <c r="DK178" s="1915">
        <f t="shared" ca="1" si="207"/>
        <v>46021</v>
      </c>
      <c r="DL178" s="1915">
        <f t="shared" ca="1" si="207"/>
        <v>46022</v>
      </c>
      <c r="DM178" s="1915">
        <f t="shared" ca="1" si="207"/>
        <v>46023</v>
      </c>
      <c r="DN178" s="1915">
        <f t="shared" ca="1" si="207"/>
        <v>46024</v>
      </c>
      <c r="DO178" s="1915">
        <f t="shared" ca="1" si="207"/>
        <v>46025</v>
      </c>
      <c r="DP178" s="1915">
        <f t="shared" ca="1" si="207"/>
        <v>46026</v>
      </c>
      <c r="DQ178" s="1915">
        <f t="shared" ca="1" si="207"/>
        <v>46027</v>
      </c>
      <c r="DR178" s="1915">
        <f t="shared" ca="1" si="207"/>
        <v>46028</v>
      </c>
      <c r="DS178" s="1915">
        <f t="shared" ca="1" si="207"/>
        <v>46029</v>
      </c>
      <c r="DT178" s="1915">
        <f t="shared" ca="1" si="207"/>
        <v>46030</v>
      </c>
      <c r="DU178" s="1915">
        <f t="shared" ca="1" si="207"/>
        <v>46031</v>
      </c>
      <c r="DV178" s="1957">
        <f t="shared" ca="1" si="207"/>
        <v>46032</v>
      </c>
      <c r="DW178" s="1915">
        <f t="shared" ca="1" si="207"/>
        <v>46033</v>
      </c>
      <c r="DX178" s="1915">
        <f t="shared" ca="1" si="207"/>
        <v>46034</v>
      </c>
      <c r="DY178" s="1915">
        <f t="shared" ca="1" si="207"/>
        <v>46035</v>
      </c>
      <c r="DZ178" s="1915">
        <f t="shared" ca="1" si="207"/>
        <v>46036</v>
      </c>
      <c r="EA178" s="1915">
        <f t="shared" ca="1" si="207"/>
        <v>46037</v>
      </c>
      <c r="EB178" s="1915">
        <f t="shared" ca="1" si="207"/>
        <v>46038</v>
      </c>
      <c r="EC178" s="1957">
        <f t="shared" ca="1" si="207"/>
        <v>46039</v>
      </c>
      <c r="ED178" s="1915">
        <f t="shared" ca="1" si="207"/>
        <v>46040</v>
      </c>
      <c r="EE178" s="1915">
        <f t="shared" ca="1" si="207"/>
        <v>46041</v>
      </c>
      <c r="EF178" s="1915">
        <f t="shared" ca="1" si="207"/>
        <v>46042</v>
      </c>
      <c r="EG178" s="1915">
        <f t="shared" ref="EG178:GR178" ca="1" si="208">IF($J$2=0,0,EF178+1)</f>
        <v>46043</v>
      </c>
      <c r="EH178" s="1915">
        <f t="shared" ca="1" si="208"/>
        <v>46044</v>
      </c>
      <c r="EI178" s="1915">
        <f t="shared" ca="1" si="208"/>
        <v>46045</v>
      </c>
      <c r="EJ178" s="1957">
        <f t="shared" ca="1" si="208"/>
        <v>46046</v>
      </c>
      <c r="EK178" s="1915">
        <f t="shared" ca="1" si="208"/>
        <v>46047</v>
      </c>
      <c r="EL178" s="1915">
        <f t="shared" ca="1" si="208"/>
        <v>46048</v>
      </c>
      <c r="EM178" s="1915">
        <f t="shared" ca="1" si="208"/>
        <v>46049</v>
      </c>
      <c r="EN178" s="1915">
        <f t="shared" ca="1" si="208"/>
        <v>46050</v>
      </c>
      <c r="EO178" s="1915">
        <f t="shared" ca="1" si="208"/>
        <v>46051</v>
      </c>
      <c r="EP178" s="1915">
        <f t="shared" ca="1" si="208"/>
        <v>46052</v>
      </c>
      <c r="EQ178" s="1957">
        <f t="shared" ca="1" si="208"/>
        <v>46053</v>
      </c>
      <c r="ER178" s="1915">
        <f t="shared" ca="1" si="208"/>
        <v>46054</v>
      </c>
      <c r="ES178" s="1915">
        <f t="shared" ca="1" si="208"/>
        <v>46055</v>
      </c>
      <c r="ET178" s="1915">
        <f t="shared" ca="1" si="208"/>
        <v>46056</v>
      </c>
      <c r="EU178" s="1915">
        <f t="shared" ca="1" si="208"/>
        <v>46057</v>
      </c>
      <c r="EV178" s="1915">
        <f t="shared" ca="1" si="208"/>
        <v>46058</v>
      </c>
      <c r="EW178" s="1915">
        <f t="shared" ca="1" si="208"/>
        <v>46059</v>
      </c>
      <c r="EX178" s="1915">
        <f t="shared" ca="1" si="208"/>
        <v>46060</v>
      </c>
      <c r="EY178" s="1915">
        <f t="shared" ca="1" si="208"/>
        <v>46061</v>
      </c>
      <c r="EZ178" s="1915">
        <f t="shared" ca="1" si="208"/>
        <v>46062</v>
      </c>
      <c r="FA178" s="1915">
        <f t="shared" ca="1" si="208"/>
        <v>46063</v>
      </c>
      <c r="FB178" s="1915">
        <f t="shared" ca="1" si="208"/>
        <v>46064</v>
      </c>
      <c r="FC178" s="1915">
        <f t="shared" ca="1" si="208"/>
        <v>46065</v>
      </c>
      <c r="FD178" s="1915">
        <f t="shared" ca="1" si="208"/>
        <v>46066</v>
      </c>
      <c r="FE178" s="1915">
        <f t="shared" ca="1" si="208"/>
        <v>46067</v>
      </c>
      <c r="FF178" s="1915">
        <f t="shared" ca="1" si="208"/>
        <v>46068</v>
      </c>
      <c r="FG178" s="1915">
        <f t="shared" ca="1" si="208"/>
        <v>46069</v>
      </c>
      <c r="FH178" s="1915">
        <f t="shared" ca="1" si="208"/>
        <v>46070</v>
      </c>
      <c r="FI178" s="1915">
        <f t="shared" ca="1" si="208"/>
        <v>46071</v>
      </c>
      <c r="FJ178" s="1915">
        <f t="shared" ca="1" si="208"/>
        <v>46072</v>
      </c>
      <c r="FK178" s="1915">
        <f t="shared" ca="1" si="208"/>
        <v>46073</v>
      </c>
      <c r="FL178" s="1915">
        <f t="shared" ca="1" si="208"/>
        <v>46074</v>
      </c>
      <c r="FM178" s="1915">
        <f t="shared" ca="1" si="208"/>
        <v>46075</v>
      </c>
      <c r="FN178" s="1915">
        <f t="shared" ca="1" si="208"/>
        <v>46076</v>
      </c>
      <c r="FO178" s="1915">
        <f t="shared" ca="1" si="208"/>
        <v>46077</v>
      </c>
      <c r="FP178" s="1915">
        <f t="shared" ca="1" si="208"/>
        <v>46078</v>
      </c>
      <c r="FQ178" s="1915">
        <f t="shared" ca="1" si="208"/>
        <v>46079</v>
      </c>
      <c r="FR178" s="1915">
        <f t="shared" ca="1" si="208"/>
        <v>46080</v>
      </c>
      <c r="FS178" s="1915">
        <f t="shared" ca="1" si="208"/>
        <v>46081</v>
      </c>
      <c r="FT178" s="1915">
        <f t="shared" ca="1" si="208"/>
        <v>46082</v>
      </c>
      <c r="FU178" s="1915">
        <f t="shared" ca="1" si="208"/>
        <v>46083</v>
      </c>
      <c r="FV178" s="1915">
        <f t="shared" ca="1" si="208"/>
        <v>46084</v>
      </c>
      <c r="FW178" s="1915">
        <f t="shared" ca="1" si="208"/>
        <v>46085</v>
      </c>
      <c r="FX178" s="1915">
        <f t="shared" ca="1" si="208"/>
        <v>46086</v>
      </c>
      <c r="FY178" s="1915">
        <f t="shared" ca="1" si="208"/>
        <v>46087</v>
      </c>
      <c r="FZ178" s="1915">
        <f t="shared" ca="1" si="208"/>
        <v>46088</v>
      </c>
      <c r="GA178" s="1915">
        <f t="shared" ca="1" si="208"/>
        <v>46089</v>
      </c>
      <c r="GB178" s="1915">
        <f t="shared" ca="1" si="208"/>
        <v>46090</v>
      </c>
      <c r="GC178" s="1915">
        <f t="shared" ca="1" si="208"/>
        <v>46091</v>
      </c>
      <c r="GD178" s="1915">
        <f t="shared" ca="1" si="208"/>
        <v>46092</v>
      </c>
      <c r="GE178" s="1915">
        <f t="shared" ca="1" si="208"/>
        <v>46093</v>
      </c>
      <c r="GF178" s="1915">
        <f t="shared" ca="1" si="208"/>
        <v>46094</v>
      </c>
      <c r="GG178" s="1915">
        <f t="shared" ca="1" si="208"/>
        <v>46095</v>
      </c>
      <c r="GH178" s="1915">
        <f t="shared" ca="1" si="208"/>
        <v>46096</v>
      </c>
      <c r="GI178" s="1915">
        <f t="shared" ca="1" si="208"/>
        <v>46097</v>
      </c>
      <c r="GJ178" s="1915">
        <f t="shared" ca="1" si="208"/>
        <v>46098</v>
      </c>
      <c r="GK178" s="1915">
        <f t="shared" ca="1" si="208"/>
        <v>46099</v>
      </c>
      <c r="GL178" s="1915">
        <f t="shared" ca="1" si="208"/>
        <v>46100</v>
      </c>
      <c r="GM178" s="1915">
        <f t="shared" ca="1" si="208"/>
        <v>46101</v>
      </c>
      <c r="GN178" s="1915">
        <f t="shared" ca="1" si="208"/>
        <v>46102</v>
      </c>
      <c r="GO178" s="1915">
        <f t="shared" ca="1" si="208"/>
        <v>46103</v>
      </c>
      <c r="GP178" s="1915">
        <f t="shared" ca="1" si="208"/>
        <v>46104</v>
      </c>
      <c r="GQ178" s="1915">
        <f t="shared" ca="1" si="208"/>
        <v>46105</v>
      </c>
      <c r="GR178" s="1915">
        <f t="shared" ca="1" si="208"/>
        <v>46106</v>
      </c>
      <c r="GS178" s="1915">
        <f t="shared" ref="GS178:IK178" ca="1" si="209">IF($J$2=0,0,GR178+1)</f>
        <v>46107</v>
      </c>
      <c r="GT178" s="1915">
        <f t="shared" ca="1" si="209"/>
        <v>46108</v>
      </c>
      <c r="GU178" s="1915">
        <f t="shared" ca="1" si="209"/>
        <v>46109</v>
      </c>
      <c r="GV178" s="1915">
        <f t="shared" ca="1" si="209"/>
        <v>46110</v>
      </c>
      <c r="GW178" s="1915">
        <f t="shared" ca="1" si="209"/>
        <v>46111</v>
      </c>
      <c r="GX178" s="1915">
        <f t="shared" ca="1" si="209"/>
        <v>46112</v>
      </c>
      <c r="GY178" s="1915">
        <f t="shared" ca="1" si="209"/>
        <v>46113</v>
      </c>
      <c r="GZ178" s="1915">
        <f t="shared" ca="1" si="209"/>
        <v>46114</v>
      </c>
      <c r="HA178" s="1915">
        <f t="shared" ca="1" si="209"/>
        <v>46115</v>
      </c>
      <c r="HB178" s="1915">
        <f t="shared" ca="1" si="209"/>
        <v>46116</v>
      </c>
      <c r="HC178" s="1915">
        <f t="shared" ca="1" si="209"/>
        <v>46117</v>
      </c>
      <c r="HD178" s="1915">
        <f t="shared" ca="1" si="209"/>
        <v>46118</v>
      </c>
      <c r="HE178" s="1915">
        <f t="shared" ca="1" si="209"/>
        <v>46119</v>
      </c>
      <c r="HF178" s="1915">
        <f t="shared" ca="1" si="209"/>
        <v>46120</v>
      </c>
      <c r="HG178" s="1915">
        <f t="shared" ca="1" si="209"/>
        <v>46121</v>
      </c>
      <c r="HH178" s="1915">
        <f t="shared" ca="1" si="209"/>
        <v>46122</v>
      </c>
      <c r="HI178" s="1915">
        <f t="shared" ca="1" si="209"/>
        <v>46123</v>
      </c>
      <c r="HJ178" s="1915">
        <f t="shared" ca="1" si="209"/>
        <v>46124</v>
      </c>
      <c r="HK178" s="1915">
        <f t="shared" ca="1" si="209"/>
        <v>46125</v>
      </c>
      <c r="HL178" s="1915">
        <f t="shared" ca="1" si="209"/>
        <v>46126</v>
      </c>
      <c r="HM178" s="1915">
        <f t="shared" ca="1" si="209"/>
        <v>46127</v>
      </c>
      <c r="HN178" s="1915">
        <f t="shared" ca="1" si="209"/>
        <v>46128</v>
      </c>
      <c r="HO178" s="1915">
        <f t="shared" ca="1" si="209"/>
        <v>46129</v>
      </c>
      <c r="HP178" s="1915">
        <f t="shared" ca="1" si="209"/>
        <v>46130</v>
      </c>
      <c r="HQ178" s="1915">
        <f t="shared" ca="1" si="209"/>
        <v>46131</v>
      </c>
      <c r="HR178" s="1915">
        <f t="shared" ca="1" si="209"/>
        <v>46132</v>
      </c>
      <c r="HS178" s="1915">
        <f t="shared" ca="1" si="209"/>
        <v>46133</v>
      </c>
      <c r="HT178" s="1915">
        <f t="shared" ca="1" si="209"/>
        <v>46134</v>
      </c>
      <c r="HU178" s="1915">
        <f t="shared" ca="1" si="209"/>
        <v>46135</v>
      </c>
      <c r="HV178" s="1915">
        <f t="shared" ca="1" si="209"/>
        <v>46136</v>
      </c>
      <c r="HW178" s="1915">
        <f t="shared" ca="1" si="209"/>
        <v>46137</v>
      </c>
      <c r="HX178" s="1915">
        <f t="shared" ca="1" si="209"/>
        <v>46138</v>
      </c>
      <c r="HY178" s="1915">
        <f t="shared" ca="1" si="209"/>
        <v>46139</v>
      </c>
      <c r="HZ178" s="1915">
        <f t="shared" ca="1" si="209"/>
        <v>46140</v>
      </c>
      <c r="IA178" s="1915">
        <f t="shared" ca="1" si="209"/>
        <v>46141</v>
      </c>
      <c r="IB178" s="1915">
        <f t="shared" ca="1" si="209"/>
        <v>46142</v>
      </c>
      <c r="IC178" s="1915">
        <f t="shared" ca="1" si="209"/>
        <v>46143</v>
      </c>
      <c r="ID178" s="1915">
        <f t="shared" ca="1" si="209"/>
        <v>46144</v>
      </c>
      <c r="IE178" s="1915">
        <f t="shared" ca="1" si="209"/>
        <v>46145</v>
      </c>
      <c r="IF178" s="1915">
        <f t="shared" ca="1" si="209"/>
        <v>46146</v>
      </c>
      <c r="IG178" s="1915">
        <f t="shared" ca="1" si="209"/>
        <v>46147</v>
      </c>
      <c r="IH178" s="1915">
        <f t="shared" ca="1" si="209"/>
        <v>46148</v>
      </c>
      <c r="II178" s="1915">
        <f t="shared" ca="1" si="209"/>
        <v>46149</v>
      </c>
      <c r="IJ178" s="1915">
        <f t="shared" ca="1" si="209"/>
        <v>46150</v>
      </c>
      <c r="IK178" s="1915">
        <f t="shared" ca="1" si="209"/>
        <v>46151</v>
      </c>
    </row>
    <row r="179" spans="1:245" hidden="1" x14ac:dyDescent="0.35">
      <c r="A179" s="205"/>
      <c r="B179" s="32"/>
      <c r="C179" s="32"/>
      <c r="D179" s="32"/>
      <c r="E179" s="32"/>
      <c r="F179" s="32"/>
      <c r="G179" s="32"/>
      <c r="H179" s="1915"/>
      <c r="I179" s="1915"/>
      <c r="J179" s="1915"/>
      <c r="K179" s="1915"/>
      <c r="L179" s="1915"/>
      <c r="M179" s="1915"/>
      <c r="N179" s="1915"/>
      <c r="O179" s="1915"/>
      <c r="P179" s="1915"/>
      <c r="Q179" s="1915"/>
      <c r="R179" s="1915"/>
      <c r="S179" s="1915"/>
      <c r="T179" s="1915"/>
      <c r="U179" s="1915"/>
      <c r="V179" s="1915"/>
      <c r="W179" s="1915"/>
      <c r="X179" s="1915"/>
      <c r="Y179" s="1915"/>
      <c r="Z179" s="1915"/>
      <c r="AA179" s="1915"/>
      <c r="AB179" s="1915"/>
      <c r="AC179" s="1915"/>
      <c r="AD179" s="1915"/>
      <c r="AE179" s="1915"/>
      <c r="AF179" s="1915"/>
      <c r="AG179" s="1915"/>
      <c r="AH179" s="1915"/>
      <c r="AI179" s="1915"/>
      <c r="AJ179" s="1915"/>
      <c r="AK179" s="1915"/>
      <c r="AL179" s="1915"/>
      <c r="AM179" s="1915"/>
      <c r="AN179" s="1915"/>
      <c r="AO179" s="1915"/>
      <c r="AP179" s="1915"/>
      <c r="AQ179" s="1915"/>
      <c r="AR179" s="1915"/>
      <c r="AS179" s="1915"/>
      <c r="AT179" s="1915"/>
      <c r="AU179" s="1915"/>
      <c r="AV179" s="1915"/>
      <c r="AW179" s="1915"/>
      <c r="AX179" s="1915"/>
      <c r="AY179" s="1915"/>
      <c r="AZ179" s="1915"/>
      <c r="BA179" s="1915"/>
      <c r="BB179" s="1915"/>
      <c r="BC179" s="1915"/>
      <c r="BD179" s="1915"/>
      <c r="BE179" s="1915"/>
      <c r="BF179" s="1915"/>
      <c r="BG179" s="1915"/>
      <c r="BH179" s="1915"/>
      <c r="BI179" s="1915"/>
      <c r="BJ179" s="1915"/>
      <c r="BK179" s="1915"/>
      <c r="BL179" s="1915"/>
      <c r="BM179" s="1915"/>
      <c r="BN179" s="1915"/>
      <c r="BO179" s="1915"/>
      <c r="BP179" s="1915"/>
      <c r="BQ179" s="1915"/>
      <c r="BR179" s="1915"/>
      <c r="BS179" s="1915"/>
      <c r="BT179" s="1915"/>
      <c r="BU179" s="1915"/>
      <c r="BV179" s="1915"/>
      <c r="BW179" s="1915"/>
      <c r="BX179" s="1915"/>
      <c r="BY179" s="1915"/>
      <c r="BZ179" s="1915"/>
      <c r="CA179" s="1915"/>
      <c r="CB179" s="1915"/>
      <c r="CC179" s="1915"/>
      <c r="CD179" s="1915"/>
      <c r="CE179" s="1915"/>
      <c r="CF179" s="1915"/>
      <c r="CG179" s="1915"/>
      <c r="CH179" s="1915"/>
      <c r="CI179" s="1915"/>
      <c r="CJ179" s="1915"/>
      <c r="CK179" s="1915"/>
      <c r="CL179" s="1915"/>
      <c r="CM179" s="1915"/>
      <c r="CN179" s="1915"/>
      <c r="CO179" s="1915"/>
      <c r="CP179" s="1915"/>
      <c r="CQ179" s="1915"/>
      <c r="CR179" s="1915"/>
      <c r="CS179" s="1915"/>
      <c r="CT179" s="1915"/>
      <c r="CU179" s="1915"/>
      <c r="CV179" s="1915"/>
      <c r="CW179" s="1915"/>
      <c r="CX179" s="1915"/>
      <c r="CY179" s="1915"/>
      <c r="CZ179" s="1915"/>
      <c r="DA179" s="1915"/>
      <c r="DB179" s="1915"/>
      <c r="DC179" s="1915"/>
      <c r="DD179" s="1915"/>
      <c r="DE179" s="1915"/>
      <c r="DF179" s="1915"/>
      <c r="DG179" s="1915"/>
      <c r="DH179" s="1915"/>
      <c r="DI179" s="1915"/>
      <c r="DJ179" s="1915"/>
      <c r="DK179" s="1915"/>
      <c r="DL179" s="1915"/>
      <c r="DM179" s="1915"/>
      <c r="DN179" s="1915"/>
      <c r="DO179" s="1915"/>
      <c r="DP179" s="1915"/>
      <c r="DQ179" s="1915"/>
      <c r="DR179" s="1915"/>
      <c r="DS179" s="1915"/>
      <c r="DT179" s="1915"/>
      <c r="DU179" s="1915"/>
      <c r="DV179" s="1957"/>
      <c r="DW179" s="1915"/>
      <c r="DX179" s="1915"/>
      <c r="DY179" s="1915"/>
      <c r="DZ179" s="1915"/>
      <c r="EA179" s="1915"/>
      <c r="EB179" s="1915"/>
      <c r="EC179" s="1957"/>
      <c r="ED179" s="1915"/>
      <c r="EE179" s="1915"/>
      <c r="EF179" s="1915"/>
      <c r="EG179" s="1915"/>
      <c r="EH179" s="1915"/>
      <c r="EI179" s="1915"/>
      <c r="EJ179" s="1957"/>
      <c r="EK179" s="1915"/>
      <c r="EL179" s="1915"/>
      <c r="EM179" s="1915"/>
      <c r="EN179" s="1915"/>
      <c r="EO179" s="1915"/>
      <c r="EP179" s="1915"/>
      <c r="EQ179" s="1957"/>
      <c r="ER179" s="1915"/>
      <c r="ES179" s="1915"/>
      <c r="ET179" s="1915"/>
      <c r="EU179" s="1915"/>
      <c r="EV179" s="1915"/>
      <c r="EW179" s="1915"/>
      <c r="EX179" s="1915"/>
      <c r="EY179" s="1915"/>
      <c r="EZ179" s="1915"/>
      <c r="FA179" s="1915"/>
      <c r="FB179" s="1915"/>
      <c r="FC179" s="1915"/>
      <c r="FD179" s="1915"/>
      <c r="FE179" s="1915"/>
      <c r="FF179" s="1915"/>
      <c r="FG179" s="1915"/>
      <c r="FH179" s="1915"/>
      <c r="FI179" s="1915"/>
      <c r="FJ179" s="1915"/>
      <c r="FK179" s="1915"/>
      <c r="FL179" s="1915"/>
      <c r="FM179" s="1915"/>
      <c r="FN179" s="1915"/>
      <c r="FO179" s="1915"/>
      <c r="FP179" s="1915"/>
      <c r="FQ179" s="1915"/>
      <c r="FR179" s="1915"/>
      <c r="FS179" s="1915"/>
      <c r="FT179" s="1915"/>
      <c r="FU179" s="1915"/>
      <c r="FV179" s="1915"/>
      <c r="FW179" s="1915"/>
      <c r="FX179" s="1915"/>
      <c r="FY179" s="1915"/>
      <c r="FZ179" s="1915"/>
      <c r="GA179" s="1915"/>
      <c r="GB179" s="1915"/>
      <c r="GC179" s="1915"/>
      <c r="GD179" s="1915"/>
      <c r="GE179" s="1915"/>
      <c r="GF179" s="1915"/>
      <c r="GG179" s="1915"/>
      <c r="GH179" s="1915"/>
      <c r="GI179" s="1915"/>
      <c r="GJ179" s="1915"/>
      <c r="GK179" s="1915"/>
      <c r="GL179" s="1915"/>
      <c r="GM179" s="1915"/>
      <c r="GN179" s="1915"/>
      <c r="GO179" s="1915"/>
      <c r="GP179" s="1915"/>
      <c r="GQ179" s="1915"/>
      <c r="GR179" s="1915"/>
      <c r="GS179" s="1915"/>
      <c r="GT179" s="1915"/>
      <c r="GU179" s="1915"/>
      <c r="GV179" s="1915"/>
      <c r="GW179" s="1915"/>
      <c r="GX179" s="1915"/>
      <c r="GY179" s="1915"/>
      <c r="GZ179" s="1915"/>
      <c r="HA179" s="1915"/>
      <c r="HB179" s="1915"/>
      <c r="HC179" s="1915"/>
      <c r="HD179" s="1915"/>
      <c r="HE179" s="1915"/>
      <c r="HF179" s="1915"/>
      <c r="HG179" s="1915"/>
      <c r="HH179" s="1915"/>
      <c r="HI179" s="1915"/>
      <c r="HJ179" s="1915"/>
      <c r="HK179" s="1915"/>
      <c r="HL179" s="1915"/>
      <c r="HM179" s="1915"/>
      <c r="HN179" s="1915"/>
      <c r="HO179" s="1915"/>
      <c r="HP179" s="1915"/>
      <c r="HQ179" s="1915"/>
      <c r="HR179" s="1915"/>
      <c r="HS179" s="1915"/>
      <c r="HT179" s="1915"/>
      <c r="HU179" s="1915"/>
      <c r="HV179" s="1915"/>
      <c r="HW179" s="1915"/>
      <c r="HX179" s="1915"/>
      <c r="HY179" s="1915"/>
      <c r="HZ179" s="1915"/>
      <c r="IA179" s="1915"/>
      <c r="IB179" s="1915"/>
      <c r="IC179" s="1915"/>
      <c r="ID179" s="1915"/>
      <c r="IE179" s="1915"/>
      <c r="IF179" s="1915"/>
      <c r="IG179" s="1915"/>
      <c r="IH179" s="1915"/>
      <c r="II179" s="1915"/>
      <c r="IJ179" s="1915"/>
      <c r="IK179" s="1915"/>
    </row>
    <row r="180" spans="1:245" hidden="1" x14ac:dyDescent="0.35">
      <c r="A180" s="205"/>
      <c r="B180" s="32"/>
      <c r="C180" s="32"/>
      <c r="D180" s="32"/>
      <c r="E180" s="32"/>
      <c r="F180" s="32"/>
      <c r="G180" s="32"/>
      <c r="H180" s="1916"/>
      <c r="I180" s="1916"/>
      <c r="J180" s="1916"/>
      <c r="K180" s="1916"/>
      <c r="L180" s="1916"/>
      <c r="M180" s="1916"/>
      <c r="N180" s="1916"/>
      <c r="O180" s="1916"/>
      <c r="P180" s="1916"/>
      <c r="Q180" s="1916"/>
      <c r="R180" s="1916"/>
      <c r="S180" s="1916"/>
      <c r="T180" s="1916"/>
      <c r="U180" s="1916"/>
      <c r="V180" s="1916"/>
      <c r="W180" s="1916"/>
      <c r="X180" s="1916"/>
      <c r="Y180" s="1916"/>
      <c r="Z180" s="1916"/>
      <c r="AA180" s="1916"/>
      <c r="AB180" s="1916"/>
      <c r="AC180" s="1916"/>
      <c r="AD180" s="1916"/>
      <c r="AE180" s="1916"/>
      <c r="AF180" s="1916"/>
      <c r="AG180" s="1916"/>
      <c r="AH180" s="1916"/>
      <c r="AI180" s="1916"/>
      <c r="AJ180" s="1916"/>
      <c r="AK180" s="1916"/>
      <c r="AL180" s="1916"/>
      <c r="AM180" s="1916"/>
      <c r="AN180" s="1916"/>
      <c r="AO180" s="1916"/>
      <c r="AP180" s="1916"/>
      <c r="AQ180" s="1916"/>
      <c r="AR180" s="1916"/>
      <c r="AS180" s="1916"/>
      <c r="AT180" s="1916"/>
      <c r="AU180" s="1916"/>
      <c r="AV180" s="1916"/>
      <c r="AW180" s="1916"/>
      <c r="AX180" s="1916"/>
      <c r="AY180" s="1916"/>
      <c r="AZ180" s="1916"/>
      <c r="BA180" s="1916"/>
      <c r="BB180" s="1916"/>
      <c r="BC180" s="1916"/>
      <c r="BD180" s="1916"/>
      <c r="BE180" s="1916"/>
      <c r="BF180" s="1916"/>
      <c r="BG180" s="1916"/>
      <c r="BH180" s="1916"/>
      <c r="BI180" s="1916"/>
      <c r="BJ180" s="1916"/>
      <c r="BK180" s="1916"/>
      <c r="BL180" s="1916"/>
      <c r="BM180" s="1916"/>
      <c r="BN180" s="1916"/>
      <c r="BO180" s="1916"/>
      <c r="BP180" s="1916"/>
      <c r="BQ180" s="1916"/>
      <c r="BR180" s="1916"/>
      <c r="BS180" s="1916"/>
      <c r="BT180" s="1916"/>
      <c r="BU180" s="1916"/>
      <c r="BV180" s="1916"/>
      <c r="BW180" s="1916"/>
      <c r="BX180" s="1916"/>
      <c r="BY180" s="1916"/>
      <c r="BZ180" s="1916"/>
      <c r="CA180" s="1916"/>
      <c r="CB180" s="1916"/>
      <c r="CC180" s="1916"/>
      <c r="CD180" s="1916"/>
      <c r="CE180" s="1916"/>
      <c r="CF180" s="1916"/>
      <c r="CG180" s="1916"/>
      <c r="CH180" s="1916"/>
      <c r="CI180" s="1916"/>
      <c r="CJ180" s="1916"/>
      <c r="CK180" s="1916"/>
      <c r="CL180" s="1916"/>
      <c r="CM180" s="1916"/>
      <c r="CN180" s="1916"/>
      <c r="CO180" s="1916"/>
      <c r="CP180" s="1916"/>
      <c r="CQ180" s="1916"/>
      <c r="CR180" s="1916"/>
      <c r="CS180" s="1916"/>
      <c r="CT180" s="1916"/>
      <c r="CU180" s="1916"/>
      <c r="CV180" s="1916"/>
      <c r="CW180" s="1916"/>
      <c r="CX180" s="1916"/>
      <c r="CY180" s="1916"/>
      <c r="CZ180" s="1916"/>
      <c r="DA180" s="1916"/>
      <c r="DB180" s="1916"/>
      <c r="DC180" s="1916"/>
      <c r="DD180" s="1916"/>
      <c r="DE180" s="1916"/>
      <c r="DF180" s="1916"/>
      <c r="DG180" s="1916"/>
      <c r="DH180" s="1916"/>
      <c r="DI180" s="1916"/>
      <c r="DJ180" s="1916"/>
      <c r="DK180" s="1916"/>
      <c r="DL180" s="1916"/>
      <c r="DM180" s="1916"/>
      <c r="DN180" s="1916"/>
      <c r="DO180" s="1916"/>
      <c r="DP180" s="1916"/>
      <c r="DQ180" s="1916"/>
      <c r="DR180" s="1916"/>
      <c r="DS180" s="1916"/>
      <c r="DT180" s="1916"/>
      <c r="DU180" s="1916"/>
      <c r="DV180" s="1958"/>
      <c r="DW180" s="1916"/>
      <c r="DX180" s="1916"/>
      <c r="DY180" s="1916"/>
      <c r="DZ180" s="1916"/>
      <c r="EA180" s="1916"/>
      <c r="EB180" s="1916"/>
      <c r="EC180" s="1958"/>
      <c r="ED180" s="1916"/>
      <c r="EE180" s="1916"/>
      <c r="EF180" s="1916"/>
      <c r="EG180" s="1916"/>
      <c r="EH180" s="1916"/>
      <c r="EI180" s="1916"/>
      <c r="EJ180" s="1958"/>
      <c r="EK180" s="1916"/>
      <c r="EL180" s="1916"/>
      <c r="EM180" s="1916"/>
      <c r="EN180" s="1916"/>
      <c r="EO180" s="1916"/>
      <c r="EP180" s="1916"/>
      <c r="EQ180" s="1958"/>
      <c r="ER180" s="1916"/>
      <c r="ES180" s="1916"/>
      <c r="ET180" s="1916"/>
      <c r="EU180" s="1916"/>
      <c r="EV180" s="1916"/>
      <c r="EW180" s="1916"/>
      <c r="EX180" s="1916"/>
      <c r="EY180" s="1916"/>
      <c r="EZ180" s="1916"/>
      <c r="FA180" s="1916"/>
      <c r="FB180" s="1916"/>
      <c r="FC180" s="1916"/>
      <c r="FD180" s="1916"/>
      <c r="FE180" s="1916"/>
      <c r="FF180" s="1916"/>
      <c r="FG180" s="1916"/>
      <c r="FH180" s="1916"/>
      <c r="FI180" s="1916"/>
      <c r="FJ180" s="1916"/>
      <c r="FK180" s="1916"/>
      <c r="FL180" s="1916"/>
      <c r="FM180" s="1916"/>
      <c r="FN180" s="1916"/>
      <c r="FO180" s="1916"/>
      <c r="FP180" s="1916"/>
      <c r="FQ180" s="1916"/>
      <c r="FR180" s="1916"/>
      <c r="FS180" s="1916"/>
      <c r="FT180" s="1916"/>
      <c r="FU180" s="1916"/>
      <c r="FV180" s="1916"/>
      <c r="FW180" s="1916"/>
      <c r="FX180" s="1916"/>
      <c r="FY180" s="1916"/>
      <c r="FZ180" s="1916"/>
      <c r="GA180" s="1916"/>
      <c r="GB180" s="1916"/>
      <c r="GC180" s="1916"/>
      <c r="GD180" s="1916"/>
      <c r="GE180" s="1916"/>
      <c r="GF180" s="1916"/>
      <c r="GG180" s="1916"/>
      <c r="GH180" s="1916"/>
      <c r="GI180" s="1916"/>
      <c r="GJ180" s="1916"/>
      <c r="GK180" s="1916"/>
      <c r="GL180" s="1916"/>
      <c r="GM180" s="1916"/>
      <c r="GN180" s="1916"/>
      <c r="GO180" s="1916"/>
      <c r="GP180" s="1916"/>
      <c r="GQ180" s="1916"/>
      <c r="GR180" s="1916"/>
      <c r="GS180" s="1916"/>
      <c r="GT180" s="1916"/>
      <c r="GU180" s="1916"/>
      <c r="GV180" s="1916"/>
      <c r="GW180" s="1916"/>
      <c r="GX180" s="1916"/>
      <c r="GY180" s="1916"/>
      <c r="GZ180" s="1916"/>
      <c r="HA180" s="1916"/>
      <c r="HB180" s="1916"/>
      <c r="HC180" s="1916"/>
      <c r="HD180" s="1916"/>
      <c r="HE180" s="1916"/>
      <c r="HF180" s="1916"/>
      <c r="HG180" s="1916"/>
      <c r="HH180" s="1916"/>
      <c r="HI180" s="1916"/>
      <c r="HJ180" s="1916"/>
      <c r="HK180" s="1916"/>
      <c r="HL180" s="1916"/>
      <c r="HM180" s="1916"/>
      <c r="HN180" s="1916"/>
      <c r="HO180" s="1916"/>
      <c r="HP180" s="1916"/>
      <c r="HQ180" s="1916"/>
      <c r="HR180" s="1916"/>
      <c r="HS180" s="1916"/>
      <c r="HT180" s="1916"/>
      <c r="HU180" s="1916"/>
      <c r="HV180" s="1916"/>
      <c r="HW180" s="1916"/>
      <c r="HX180" s="1916"/>
      <c r="HY180" s="1916"/>
      <c r="HZ180" s="1916"/>
      <c r="IA180" s="1916"/>
      <c r="IB180" s="1916"/>
      <c r="IC180" s="1916"/>
      <c r="ID180" s="1916"/>
      <c r="IE180" s="1916"/>
      <c r="IF180" s="1916"/>
      <c r="IG180" s="1916"/>
      <c r="IH180" s="1916"/>
      <c r="II180" s="1916"/>
      <c r="IJ180" s="1916"/>
      <c r="IK180" s="1916"/>
    </row>
    <row r="181" spans="1:245" s="195" customFormat="1" ht="19.5" hidden="1" customHeight="1" x14ac:dyDescent="0.35">
      <c r="B181" s="345" t="s">
        <v>35</v>
      </c>
      <c r="C181" s="1975">
        <f ca="1">IF(F208&lt;&gt;0,F208,IF(F258&lt;&gt;0,F258,IF(F209&lt;&gt;0,F209,IF(F210&lt;&gt;0,F210,IF(F210&lt;&gt;0,F211,IF(F212&lt;&gt;0,F212,0))))))</f>
        <v>0</v>
      </c>
      <c r="D181" s="1975"/>
      <c r="E181" s="1975"/>
      <c r="F181" s="1975"/>
      <c r="G181" s="1976"/>
      <c r="H181" s="1926" t="str">
        <f>"sem.
"&amp;N176/7</f>
        <v>sem.
0,285714285714286</v>
      </c>
      <c r="I181" s="1927"/>
      <c r="J181" s="1927"/>
      <c r="K181" s="1927"/>
      <c r="L181" s="1927"/>
      <c r="M181" s="1927"/>
      <c r="N181" s="1928"/>
      <c r="O181" s="1926" t="str">
        <f>"sem.
"&amp;U176/7</f>
        <v>sem.
1,28571428571429</v>
      </c>
      <c r="P181" s="1927"/>
      <c r="Q181" s="1927"/>
      <c r="R181" s="1927"/>
      <c r="S181" s="1927"/>
      <c r="T181" s="1927"/>
      <c r="U181" s="1928"/>
      <c r="V181" s="1926" t="str">
        <f>"sem.
"&amp;AB176/7</f>
        <v>sem.
2,28571428571429</v>
      </c>
      <c r="W181" s="1927"/>
      <c r="X181" s="1927"/>
      <c r="Y181" s="1927"/>
      <c r="Z181" s="1927"/>
      <c r="AA181" s="1927"/>
      <c r="AB181" s="1928"/>
      <c r="AC181" s="1926" t="str">
        <f>"sem.
"&amp;AI176/7</f>
        <v>sem.
3,28571428571429</v>
      </c>
      <c r="AD181" s="1927"/>
      <c r="AE181" s="1927"/>
      <c r="AF181" s="1927"/>
      <c r="AG181" s="1927"/>
      <c r="AH181" s="1927"/>
      <c r="AI181" s="1928"/>
      <c r="AJ181" s="1926" t="str">
        <f>"sem.
"&amp;AP176/7</f>
        <v>sem.
4,28571428571429</v>
      </c>
      <c r="AK181" s="1927"/>
      <c r="AL181" s="1927"/>
      <c r="AM181" s="1927"/>
      <c r="AN181" s="1927"/>
      <c r="AO181" s="1927"/>
      <c r="AP181" s="1928"/>
      <c r="AQ181" s="1926" t="str">
        <f>"sem.
"&amp;AW176/7</f>
        <v>sem.
5,28571428571429</v>
      </c>
      <c r="AR181" s="1927"/>
      <c r="AS181" s="1927"/>
      <c r="AT181" s="1927"/>
      <c r="AU181" s="1927"/>
      <c r="AV181" s="1927"/>
      <c r="AW181" s="1928"/>
      <c r="AX181" s="1926" t="str">
        <f>"sem.
"&amp;BD176/7</f>
        <v>sem.
6,28571428571429</v>
      </c>
      <c r="AY181" s="1927"/>
      <c r="AZ181" s="1927"/>
      <c r="BA181" s="1927"/>
      <c r="BB181" s="1927"/>
      <c r="BC181" s="1927"/>
      <c r="BD181" s="1928"/>
      <c r="BE181" s="1926" t="str">
        <f>"sem.
"&amp;BK176/7</f>
        <v>sem.
7,28571428571429</v>
      </c>
      <c r="BF181" s="1927"/>
      <c r="BG181" s="1927"/>
      <c r="BH181" s="1927"/>
      <c r="BI181" s="1927"/>
      <c r="BJ181" s="1927"/>
      <c r="BK181" s="1928"/>
      <c r="BL181" s="1926" t="str">
        <f>"sem.
"&amp;BR176/7</f>
        <v>sem.
8,28571428571429</v>
      </c>
      <c r="BM181" s="1927"/>
      <c r="BN181" s="1927"/>
      <c r="BO181" s="1927"/>
      <c r="BP181" s="1927"/>
      <c r="BQ181" s="1927"/>
      <c r="BR181" s="1928"/>
      <c r="BS181" s="1926" t="str">
        <f>"sem.
"&amp;BY176/7</f>
        <v>sem.
9,28571428571429</v>
      </c>
      <c r="BT181" s="1927"/>
      <c r="BU181" s="1927"/>
      <c r="BV181" s="1927"/>
      <c r="BW181" s="1927"/>
      <c r="BX181" s="1927"/>
      <c r="BY181" s="1928"/>
      <c r="BZ181" s="1926" t="str">
        <f>"sem.
"&amp;CF176/7</f>
        <v>sem.
10,2857142857143</v>
      </c>
      <c r="CA181" s="1927"/>
      <c r="CB181" s="1927"/>
      <c r="CC181" s="1927"/>
      <c r="CD181" s="1927"/>
      <c r="CE181" s="1927"/>
      <c r="CF181" s="1928"/>
      <c r="CG181" s="1926" t="str">
        <f>"sem.
"&amp;CM176/7</f>
        <v>sem.
11,2857142857143</v>
      </c>
      <c r="CH181" s="1927"/>
      <c r="CI181" s="1927"/>
      <c r="CJ181" s="1927"/>
      <c r="CK181" s="1927"/>
      <c r="CL181" s="1927"/>
      <c r="CM181" s="1928"/>
      <c r="CN181" s="1926" t="str">
        <f>"sem.
"&amp;CT176/7</f>
        <v>sem.
12,2857142857143</v>
      </c>
      <c r="CO181" s="1927"/>
      <c r="CP181" s="1927"/>
      <c r="CQ181" s="1927"/>
      <c r="CR181" s="1927"/>
      <c r="CS181" s="1927"/>
      <c r="CT181" s="1928"/>
      <c r="CU181" s="1926" t="str">
        <f>"sem.
"&amp;DA176/7</f>
        <v>sem.
13,2857142857143</v>
      </c>
      <c r="CV181" s="1927"/>
      <c r="CW181" s="1927"/>
      <c r="CX181" s="1927"/>
      <c r="CY181" s="1927"/>
      <c r="CZ181" s="1927"/>
      <c r="DA181" s="1928"/>
      <c r="DB181" s="1926" t="str">
        <f>"sem.
"&amp;DH176/7</f>
        <v>sem.
14,2857142857143</v>
      </c>
      <c r="DC181" s="1927"/>
      <c r="DD181" s="1927"/>
      <c r="DE181" s="1927"/>
      <c r="DF181" s="1927"/>
      <c r="DG181" s="1927"/>
      <c r="DH181" s="1928"/>
      <c r="DI181" s="1926" t="str">
        <f>"sem.
"&amp;DO176/7</f>
        <v>sem.
15,2857142857143</v>
      </c>
      <c r="DJ181" s="1927"/>
      <c r="DK181" s="1927"/>
      <c r="DL181" s="1927"/>
      <c r="DM181" s="1927"/>
      <c r="DN181" s="1927"/>
      <c r="DO181" s="1928"/>
      <c r="DP181" s="1926" t="str">
        <f>"sem.
"&amp;DV176/7</f>
        <v>sem.
16,2857142857143</v>
      </c>
      <c r="DQ181" s="1927"/>
      <c r="DR181" s="1927"/>
      <c r="DS181" s="1927"/>
      <c r="DT181" s="1927"/>
      <c r="DU181" s="1927"/>
      <c r="DV181" s="1928"/>
      <c r="DW181" s="1926" t="str">
        <f>"sem.
"&amp;EC176/7</f>
        <v>sem.
17,2857142857143</v>
      </c>
      <c r="DX181" s="1927"/>
      <c r="DY181" s="1927"/>
      <c r="DZ181" s="1927"/>
      <c r="EA181" s="1927"/>
      <c r="EB181" s="1927"/>
      <c r="EC181" s="1928"/>
      <c r="ED181" s="1926" t="str">
        <f>"sem.
"&amp;EJ176/7</f>
        <v>sem.
18,2857142857143</v>
      </c>
      <c r="EE181" s="1927"/>
      <c r="EF181" s="1927"/>
      <c r="EG181" s="1927"/>
      <c r="EH181" s="1927"/>
      <c r="EI181" s="1927"/>
      <c r="EJ181" s="1928"/>
      <c r="EK181" s="1926" t="str">
        <f>"sem.
"&amp;EQ176/7</f>
        <v>sem.
19,2857142857143</v>
      </c>
      <c r="EL181" s="1927"/>
      <c r="EM181" s="1927"/>
      <c r="EN181" s="1927"/>
      <c r="EO181" s="1927"/>
      <c r="EP181" s="1927"/>
      <c r="EQ181" s="1928"/>
      <c r="ER181" s="1926" t="str">
        <f>"sem.
"&amp;EX176/7</f>
        <v>sem.
20,2857142857143</v>
      </c>
      <c r="ES181" s="1927"/>
      <c r="ET181" s="1927"/>
      <c r="EU181" s="1927"/>
      <c r="EV181" s="1927"/>
      <c r="EW181" s="1927"/>
      <c r="EX181" s="1928"/>
      <c r="EY181" s="1926" t="str">
        <f>"sem.
"&amp;FE176/7</f>
        <v>sem.
21,2857142857143</v>
      </c>
      <c r="EZ181" s="1927"/>
      <c r="FA181" s="1927"/>
      <c r="FB181" s="1927"/>
      <c r="FC181" s="1927"/>
      <c r="FD181" s="1927"/>
      <c r="FE181" s="1928"/>
      <c r="FF181" s="1926" t="str">
        <f>"sem.
"&amp;FL176/7</f>
        <v>sem.
22,2857142857143</v>
      </c>
      <c r="FG181" s="1927"/>
      <c r="FH181" s="1927"/>
      <c r="FI181" s="1927"/>
      <c r="FJ181" s="1927"/>
      <c r="FK181" s="1927"/>
      <c r="FL181" s="1928"/>
      <c r="FM181" s="1926" t="str">
        <f>"sem.
"&amp;FS176/7</f>
        <v>sem.
23,2857142857143</v>
      </c>
      <c r="FN181" s="1927"/>
      <c r="FO181" s="1927"/>
      <c r="FP181" s="1927"/>
      <c r="FQ181" s="1927"/>
      <c r="FR181" s="1927"/>
      <c r="FS181" s="1928"/>
      <c r="FT181" s="1926" t="str">
        <f>"sem.
"&amp;FZ176/7</f>
        <v>sem.
24,2857142857143</v>
      </c>
      <c r="FU181" s="1927"/>
      <c r="FV181" s="1927"/>
      <c r="FW181" s="1927"/>
      <c r="FX181" s="1927"/>
      <c r="FY181" s="1927"/>
      <c r="FZ181" s="1928"/>
      <c r="GA181" s="1926" t="str">
        <f>"sem.
"&amp;GG176/7</f>
        <v>sem.
25,2857142857143</v>
      </c>
      <c r="GB181" s="1927"/>
      <c r="GC181" s="1927"/>
      <c r="GD181" s="1927"/>
      <c r="GE181" s="1927"/>
      <c r="GF181" s="1927"/>
      <c r="GG181" s="1928"/>
      <c r="GH181" s="1926" t="str">
        <f>"sem.
"&amp;GN176/7</f>
        <v>sem.
26,2857142857143</v>
      </c>
      <c r="GI181" s="1927"/>
      <c r="GJ181" s="1927"/>
      <c r="GK181" s="1927"/>
      <c r="GL181" s="1927"/>
      <c r="GM181" s="1927"/>
      <c r="GN181" s="1928"/>
      <c r="GO181" s="1926" t="str">
        <f>"sem.
"&amp;GU176/7</f>
        <v>sem.
27,2857142857143</v>
      </c>
      <c r="GP181" s="1927"/>
      <c r="GQ181" s="1927"/>
      <c r="GR181" s="1927"/>
      <c r="GS181" s="1927"/>
      <c r="GT181" s="1927"/>
      <c r="GU181" s="1928"/>
      <c r="GV181" s="1926" t="str">
        <f>"sem.
"&amp;HB176/7</f>
        <v>sem.
28,2857142857143</v>
      </c>
      <c r="GW181" s="1927"/>
      <c r="GX181" s="1927"/>
      <c r="GY181" s="1927"/>
      <c r="GZ181" s="1927"/>
      <c r="HA181" s="1927"/>
      <c r="HB181" s="1928"/>
      <c r="HC181" s="1926" t="str">
        <f>"sem.
"&amp;HI176/7</f>
        <v>sem.
29,2857142857143</v>
      </c>
      <c r="HD181" s="1927"/>
      <c r="HE181" s="1927"/>
      <c r="HF181" s="1927"/>
      <c r="HG181" s="1927"/>
      <c r="HH181" s="1927"/>
      <c r="HI181" s="1928"/>
      <c r="HJ181" s="1926" t="str">
        <f>"sem.
"&amp;HP176/7</f>
        <v>sem.
30,2857142857143</v>
      </c>
      <c r="HK181" s="1927"/>
      <c r="HL181" s="1927"/>
      <c r="HM181" s="1927"/>
      <c r="HN181" s="1927"/>
      <c r="HO181" s="1927"/>
      <c r="HP181" s="1928"/>
      <c r="HQ181" s="1926" t="str">
        <f>"sem.
"&amp;HW176/7</f>
        <v>sem.
31,2857142857143</v>
      </c>
      <c r="HR181" s="1927"/>
      <c r="HS181" s="1927"/>
      <c r="HT181" s="1927"/>
      <c r="HU181" s="1927"/>
      <c r="HV181" s="1927"/>
      <c r="HW181" s="1928"/>
      <c r="HX181" s="1926" t="str">
        <f>"sem.
"&amp;ID176/7</f>
        <v>sem.
32,2857142857143</v>
      </c>
      <c r="HY181" s="1927"/>
      <c r="HZ181" s="1927"/>
      <c r="IA181" s="1927"/>
      <c r="IB181" s="1927"/>
      <c r="IC181" s="1927"/>
      <c r="ID181" s="1928"/>
      <c r="IE181" s="1926" t="str">
        <f>"sem.
"&amp;IK176/7</f>
        <v>sem.
33,2857142857143</v>
      </c>
      <c r="IF181" s="1927"/>
      <c r="IG181" s="1927"/>
      <c r="IH181" s="1927"/>
      <c r="II181" s="1927"/>
      <c r="IJ181" s="1927"/>
      <c r="IK181" s="1928"/>
    </row>
    <row r="182" spans="1:245" s="195" customFormat="1" ht="9" hidden="1" customHeight="1" x14ac:dyDescent="0.35">
      <c r="A182" s="195">
        <f>IF(B182=0,0,"XXX")</f>
        <v>0</v>
      </c>
      <c r="B182" s="346"/>
      <c r="C182" s="1977" t="s">
        <v>1567</v>
      </c>
      <c r="D182" s="1988" t="s">
        <v>1568</v>
      </c>
      <c r="E182" s="1989"/>
      <c r="F182" s="1982" t="s">
        <v>1569</v>
      </c>
      <c r="G182" s="1983"/>
      <c r="H182" s="1929">
        <f ca="1">H178</f>
        <v>45914</v>
      </c>
      <c r="I182" s="1930"/>
      <c r="J182" s="1930"/>
      <c r="K182" s="1933" t="s">
        <v>896</v>
      </c>
      <c r="L182" s="1930">
        <f ca="1">LARGE(H178:N180,1)</f>
        <v>45920</v>
      </c>
      <c r="M182" s="1930"/>
      <c r="N182" s="1936"/>
      <c r="O182" s="1929">
        <f ca="1">O178</f>
        <v>45921</v>
      </c>
      <c r="P182" s="1930"/>
      <c r="Q182" s="1930"/>
      <c r="R182" s="1933" t="s">
        <v>896</v>
      </c>
      <c r="S182" s="1930">
        <f ca="1">LARGE(O178:U180,1)</f>
        <v>45927</v>
      </c>
      <c r="T182" s="1930"/>
      <c r="U182" s="1936"/>
      <c r="V182" s="1929">
        <f ca="1">V178</f>
        <v>45928</v>
      </c>
      <c r="W182" s="1930"/>
      <c r="X182" s="1930"/>
      <c r="Y182" s="1933" t="s">
        <v>896</v>
      </c>
      <c r="Z182" s="1930">
        <f ca="1">LARGE(V178:AB180,1)</f>
        <v>45934</v>
      </c>
      <c r="AA182" s="1930"/>
      <c r="AB182" s="1936"/>
      <c r="AC182" s="1929">
        <f ca="1">AC178</f>
        <v>45935</v>
      </c>
      <c r="AD182" s="1930"/>
      <c r="AE182" s="1930"/>
      <c r="AF182" s="1933" t="s">
        <v>896</v>
      </c>
      <c r="AG182" s="1930">
        <f ca="1">LARGE(AC178:AI180,1)</f>
        <v>45941</v>
      </c>
      <c r="AH182" s="1930"/>
      <c r="AI182" s="1936"/>
      <c r="AJ182" s="1929">
        <f ca="1">AJ178</f>
        <v>45942</v>
      </c>
      <c r="AK182" s="1930"/>
      <c r="AL182" s="1930"/>
      <c r="AM182" s="1933" t="s">
        <v>896</v>
      </c>
      <c r="AN182" s="1930">
        <f ca="1">LARGE(AJ178:AP180,1)</f>
        <v>45948</v>
      </c>
      <c r="AO182" s="1930"/>
      <c r="AP182" s="1936"/>
      <c r="AQ182" s="1929">
        <f ca="1">AQ178</f>
        <v>45949</v>
      </c>
      <c r="AR182" s="1930"/>
      <c r="AS182" s="1930"/>
      <c r="AT182" s="1933" t="s">
        <v>896</v>
      </c>
      <c r="AU182" s="1930">
        <f ca="1">LARGE(AQ178:AW180,1)</f>
        <v>45955</v>
      </c>
      <c r="AV182" s="1930"/>
      <c r="AW182" s="1936"/>
      <c r="AX182" s="1929">
        <f ca="1">AX178</f>
        <v>45956</v>
      </c>
      <c r="AY182" s="1930"/>
      <c r="AZ182" s="1930"/>
      <c r="BA182" s="1933" t="s">
        <v>896</v>
      </c>
      <c r="BB182" s="1930">
        <f ca="1">LARGE(AX178:BD180,1)</f>
        <v>45962</v>
      </c>
      <c r="BC182" s="1930"/>
      <c r="BD182" s="1936"/>
      <c r="BE182" s="1929">
        <f ca="1">BE178</f>
        <v>45963</v>
      </c>
      <c r="BF182" s="1930"/>
      <c r="BG182" s="1930"/>
      <c r="BH182" s="1933" t="s">
        <v>896</v>
      </c>
      <c r="BI182" s="1930">
        <f ca="1">LARGE(BE178:BK180,1)</f>
        <v>45969</v>
      </c>
      <c r="BJ182" s="1930"/>
      <c r="BK182" s="1936"/>
      <c r="BL182" s="1929">
        <f ca="1">BL178</f>
        <v>45970</v>
      </c>
      <c r="BM182" s="1930"/>
      <c r="BN182" s="1930"/>
      <c r="BO182" s="1933" t="s">
        <v>896</v>
      </c>
      <c r="BP182" s="1930">
        <f ca="1">LARGE(BL178:BR180,1)</f>
        <v>45976</v>
      </c>
      <c r="BQ182" s="1930"/>
      <c r="BR182" s="1936"/>
      <c r="BS182" s="1929">
        <f ca="1">BS178</f>
        <v>45977</v>
      </c>
      <c r="BT182" s="1930"/>
      <c r="BU182" s="1930"/>
      <c r="BV182" s="1933" t="s">
        <v>896</v>
      </c>
      <c r="BW182" s="1930">
        <f ca="1">LARGE(BS178:BY180,1)</f>
        <v>45983</v>
      </c>
      <c r="BX182" s="1930"/>
      <c r="BY182" s="1936"/>
      <c r="BZ182" s="1929">
        <f ca="1">BZ178</f>
        <v>45984</v>
      </c>
      <c r="CA182" s="1930"/>
      <c r="CB182" s="1930"/>
      <c r="CC182" s="1933" t="s">
        <v>896</v>
      </c>
      <c r="CD182" s="1930">
        <f ca="1">LARGE(BZ178:CF180,1)</f>
        <v>45990</v>
      </c>
      <c r="CE182" s="1930"/>
      <c r="CF182" s="1936"/>
      <c r="CG182" s="1929">
        <f ca="1">CG178</f>
        <v>45991</v>
      </c>
      <c r="CH182" s="1930"/>
      <c r="CI182" s="1930"/>
      <c r="CJ182" s="1933" t="s">
        <v>896</v>
      </c>
      <c r="CK182" s="1930">
        <f ca="1">LARGE(CG178:CM180,1)</f>
        <v>45997</v>
      </c>
      <c r="CL182" s="1930"/>
      <c r="CM182" s="1936"/>
      <c r="CN182" s="1929">
        <f ca="1">CN178</f>
        <v>45998</v>
      </c>
      <c r="CO182" s="1930"/>
      <c r="CP182" s="1930"/>
      <c r="CQ182" s="1933" t="s">
        <v>896</v>
      </c>
      <c r="CR182" s="1930">
        <f ca="1">LARGE(CN178:CT180,1)</f>
        <v>46004</v>
      </c>
      <c r="CS182" s="1930"/>
      <c r="CT182" s="1936"/>
      <c r="CU182" s="1929">
        <f ca="1">CU178</f>
        <v>46005</v>
      </c>
      <c r="CV182" s="1930"/>
      <c r="CW182" s="1930"/>
      <c r="CX182" s="1933" t="s">
        <v>896</v>
      </c>
      <c r="CY182" s="1930">
        <f ca="1">LARGE(CU178:DA180,1)</f>
        <v>46011</v>
      </c>
      <c r="CZ182" s="1930"/>
      <c r="DA182" s="1936"/>
      <c r="DB182" s="1929">
        <f ca="1">DB178</f>
        <v>46012</v>
      </c>
      <c r="DC182" s="1930"/>
      <c r="DD182" s="1930"/>
      <c r="DE182" s="1933" t="s">
        <v>896</v>
      </c>
      <c r="DF182" s="1930">
        <f ca="1">LARGE(DB178:DH180,1)</f>
        <v>46018</v>
      </c>
      <c r="DG182" s="1930"/>
      <c r="DH182" s="1936"/>
      <c r="DI182" s="1929">
        <f ca="1">DI178</f>
        <v>46019</v>
      </c>
      <c r="DJ182" s="1930"/>
      <c r="DK182" s="1930"/>
      <c r="DL182" s="1933" t="s">
        <v>896</v>
      </c>
      <c r="DM182" s="1930">
        <f ca="1">LARGE(DI178:DO180,1)</f>
        <v>46025</v>
      </c>
      <c r="DN182" s="1930"/>
      <c r="DO182" s="1936"/>
      <c r="DP182" s="1929">
        <f ca="1">DP178</f>
        <v>46026</v>
      </c>
      <c r="DQ182" s="1930"/>
      <c r="DR182" s="1930"/>
      <c r="DS182" s="1933" t="s">
        <v>896</v>
      </c>
      <c r="DT182" s="1930">
        <f ca="1">LARGE(DP178:DV180,1)</f>
        <v>46032</v>
      </c>
      <c r="DU182" s="1930"/>
      <c r="DV182" s="1936"/>
      <c r="DW182" s="1929">
        <f ca="1">DW178</f>
        <v>46033</v>
      </c>
      <c r="DX182" s="1930"/>
      <c r="DY182" s="1930"/>
      <c r="DZ182" s="1933" t="s">
        <v>896</v>
      </c>
      <c r="EA182" s="1930">
        <f ca="1">LARGE(DW178:EC180,1)</f>
        <v>46039</v>
      </c>
      <c r="EB182" s="1930"/>
      <c r="EC182" s="1936"/>
      <c r="ED182" s="1929">
        <f ca="1">ED178</f>
        <v>46040</v>
      </c>
      <c r="EE182" s="1930"/>
      <c r="EF182" s="1930"/>
      <c r="EG182" s="1933" t="s">
        <v>896</v>
      </c>
      <c r="EH182" s="1930">
        <f ca="1">LARGE(ED178:EJ180,1)</f>
        <v>46046</v>
      </c>
      <c r="EI182" s="1930"/>
      <c r="EJ182" s="1936"/>
      <c r="EK182" s="1929">
        <f ca="1">EK178</f>
        <v>46047</v>
      </c>
      <c r="EL182" s="1930"/>
      <c r="EM182" s="1930"/>
      <c r="EN182" s="1933" t="s">
        <v>896</v>
      </c>
      <c r="EO182" s="1930">
        <f ca="1">LARGE(EK178:EQ180,1)</f>
        <v>46053</v>
      </c>
      <c r="EP182" s="1930"/>
      <c r="EQ182" s="1936"/>
      <c r="ER182" s="1929">
        <f ca="1">ER178</f>
        <v>46054</v>
      </c>
      <c r="ES182" s="1930"/>
      <c r="ET182" s="1930"/>
      <c r="EU182" s="1933" t="s">
        <v>896</v>
      </c>
      <c r="EV182" s="1930">
        <f ca="1">LARGE(ER178:EX180,1)</f>
        <v>46060</v>
      </c>
      <c r="EW182" s="1930"/>
      <c r="EX182" s="1936"/>
      <c r="EY182" s="1929">
        <f ca="1">EY178</f>
        <v>46061</v>
      </c>
      <c r="EZ182" s="1930"/>
      <c r="FA182" s="1930"/>
      <c r="FB182" s="1933" t="s">
        <v>896</v>
      </c>
      <c r="FC182" s="1930">
        <f ca="1">LARGE(EY178:FE180,1)</f>
        <v>46067</v>
      </c>
      <c r="FD182" s="1930"/>
      <c r="FE182" s="1936"/>
      <c r="FF182" s="1929">
        <f ca="1">FF178</f>
        <v>46068</v>
      </c>
      <c r="FG182" s="1930"/>
      <c r="FH182" s="1930"/>
      <c r="FI182" s="1933" t="s">
        <v>896</v>
      </c>
      <c r="FJ182" s="1930">
        <f ca="1">LARGE(FF178:FL180,1)</f>
        <v>46074</v>
      </c>
      <c r="FK182" s="1930"/>
      <c r="FL182" s="1936"/>
      <c r="FM182" s="1929">
        <f ca="1">FM178</f>
        <v>46075</v>
      </c>
      <c r="FN182" s="1930"/>
      <c r="FO182" s="1930"/>
      <c r="FP182" s="1933" t="s">
        <v>896</v>
      </c>
      <c r="FQ182" s="1930">
        <f ca="1">LARGE(FM178:FS180,1)</f>
        <v>46081</v>
      </c>
      <c r="FR182" s="1930"/>
      <c r="FS182" s="1936"/>
      <c r="FT182" s="1929">
        <f ca="1">FT178</f>
        <v>46082</v>
      </c>
      <c r="FU182" s="1930"/>
      <c r="FV182" s="1930"/>
      <c r="FW182" s="1933" t="s">
        <v>896</v>
      </c>
      <c r="FX182" s="1930">
        <f ca="1">LARGE(FT178:FZ180,1)</f>
        <v>46088</v>
      </c>
      <c r="FY182" s="1930"/>
      <c r="FZ182" s="1936"/>
      <c r="GA182" s="1929">
        <f ca="1">GA178</f>
        <v>46089</v>
      </c>
      <c r="GB182" s="1930"/>
      <c r="GC182" s="1930"/>
      <c r="GD182" s="1933" t="s">
        <v>896</v>
      </c>
      <c r="GE182" s="1930">
        <f ca="1">LARGE(GA178:GG180,1)</f>
        <v>46095</v>
      </c>
      <c r="GF182" s="1930"/>
      <c r="GG182" s="1936"/>
      <c r="GH182" s="1929">
        <f ca="1">GH178</f>
        <v>46096</v>
      </c>
      <c r="GI182" s="1930"/>
      <c r="GJ182" s="1930"/>
      <c r="GK182" s="1933" t="s">
        <v>896</v>
      </c>
      <c r="GL182" s="1930">
        <f ca="1">LARGE(GH178:GN180,1)</f>
        <v>46102</v>
      </c>
      <c r="GM182" s="1930"/>
      <c r="GN182" s="1936"/>
      <c r="GO182" s="1929">
        <f ca="1">GO178</f>
        <v>46103</v>
      </c>
      <c r="GP182" s="1930"/>
      <c r="GQ182" s="1930"/>
      <c r="GR182" s="1933" t="s">
        <v>896</v>
      </c>
      <c r="GS182" s="1930">
        <f ca="1">LARGE(GO178:GU180,1)</f>
        <v>46109</v>
      </c>
      <c r="GT182" s="1930"/>
      <c r="GU182" s="1936"/>
      <c r="GV182" s="1929">
        <f ca="1">GV178</f>
        <v>46110</v>
      </c>
      <c r="GW182" s="1930"/>
      <c r="GX182" s="1930"/>
      <c r="GY182" s="1933" t="s">
        <v>896</v>
      </c>
      <c r="GZ182" s="1930">
        <f ca="1">LARGE(GV178:HB180,1)</f>
        <v>46116</v>
      </c>
      <c r="HA182" s="1930"/>
      <c r="HB182" s="1936"/>
      <c r="HC182" s="1929">
        <f ca="1">HC178</f>
        <v>46117</v>
      </c>
      <c r="HD182" s="1930"/>
      <c r="HE182" s="1930"/>
      <c r="HF182" s="1933" t="s">
        <v>896</v>
      </c>
      <c r="HG182" s="1930">
        <f ca="1">LARGE(HC178:HI180,1)</f>
        <v>46123</v>
      </c>
      <c r="HH182" s="1930"/>
      <c r="HI182" s="1936"/>
      <c r="HJ182" s="1929">
        <f ca="1">HJ178</f>
        <v>46124</v>
      </c>
      <c r="HK182" s="1930"/>
      <c r="HL182" s="1930"/>
      <c r="HM182" s="1933" t="s">
        <v>896</v>
      </c>
      <c r="HN182" s="1930">
        <f ca="1">LARGE(HJ178:HP180,1)</f>
        <v>46130</v>
      </c>
      <c r="HO182" s="1930"/>
      <c r="HP182" s="1936"/>
      <c r="HQ182" s="1929">
        <f ca="1">HQ178</f>
        <v>46131</v>
      </c>
      <c r="HR182" s="1930"/>
      <c r="HS182" s="1930"/>
      <c r="HT182" s="1933" t="s">
        <v>896</v>
      </c>
      <c r="HU182" s="1930">
        <f ca="1">LARGE(HQ178:HW180,1)</f>
        <v>46137</v>
      </c>
      <c r="HV182" s="1930"/>
      <c r="HW182" s="1936"/>
      <c r="HX182" s="1929">
        <f ca="1">HX178</f>
        <v>46138</v>
      </c>
      <c r="HY182" s="1930"/>
      <c r="HZ182" s="1930"/>
      <c r="IA182" s="1933" t="s">
        <v>896</v>
      </c>
      <c r="IB182" s="1930">
        <f ca="1">LARGE(HX178:ID180,1)</f>
        <v>46144</v>
      </c>
      <c r="IC182" s="1930"/>
      <c r="ID182" s="1936"/>
      <c r="IE182" s="1929">
        <f ca="1">IE178</f>
        <v>46145</v>
      </c>
      <c r="IF182" s="1930"/>
      <c r="IG182" s="1930"/>
      <c r="IH182" s="1933" t="s">
        <v>896</v>
      </c>
      <c r="II182" s="1930">
        <f ca="1">LARGE(IE178:IK180,1)</f>
        <v>46151</v>
      </c>
      <c r="IJ182" s="1930"/>
      <c r="IK182" s="1936"/>
    </row>
    <row r="183" spans="1:245" s="195" customFormat="1" ht="9" hidden="1" customHeight="1" x14ac:dyDescent="0.35">
      <c r="A183" s="195">
        <f>IF(B182=0,0,"XXX")</f>
        <v>0</v>
      </c>
      <c r="B183" s="2004" t="s">
        <v>737</v>
      </c>
      <c r="C183" s="1978"/>
      <c r="D183" s="1990"/>
      <c r="E183" s="1991"/>
      <c r="F183" s="1984"/>
      <c r="G183" s="1985"/>
      <c r="H183" s="1929"/>
      <c r="I183" s="1930"/>
      <c r="J183" s="1930"/>
      <c r="K183" s="1934"/>
      <c r="L183" s="1930"/>
      <c r="M183" s="1930"/>
      <c r="N183" s="1936"/>
      <c r="O183" s="1929"/>
      <c r="P183" s="1930"/>
      <c r="Q183" s="1930"/>
      <c r="R183" s="1934"/>
      <c r="S183" s="1930"/>
      <c r="T183" s="1930"/>
      <c r="U183" s="1936"/>
      <c r="V183" s="1929"/>
      <c r="W183" s="1930"/>
      <c r="X183" s="1930"/>
      <c r="Y183" s="1934"/>
      <c r="Z183" s="1930"/>
      <c r="AA183" s="1930"/>
      <c r="AB183" s="1936"/>
      <c r="AC183" s="1929"/>
      <c r="AD183" s="1930"/>
      <c r="AE183" s="1930"/>
      <c r="AF183" s="1934"/>
      <c r="AG183" s="1930"/>
      <c r="AH183" s="1930"/>
      <c r="AI183" s="1936"/>
      <c r="AJ183" s="1929"/>
      <c r="AK183" s="1930"/>
      <c r="AL183" s="1930"/>
      <c r="AM183" s="1934"/>
      <c r="AN183" s="1930"/>
      <c r="AO183" s="1930"/>
      <c r="AP183" s="1936"/>
      <c r="AQ183" s="1929"/>
      <c r="AR183" s="1930"/>
      <c r="AS183" s="1930"/>
      <c r="AT183" s="1934"/>
      <c r="AU183" s="1930"/>
      <c r="AV183" s="1930"/>
      <c r="AW183" s="1936"/>
      <c r="AX183" s="1929"/>
      <c r="AY183" s="1930"/>
      <c r="AZ183" s="1930"/>
      <c r="BA183" s="1934"/>
      <c r="BB183" s="1930"/>
      <c r="BC183" s="1930"/>
      <c r="BD183" s="1936"/>
      <c r="BE183" s="1929"/>
      <c r="BF183" s="1930"/>
      <c r="BG183" s="1930"/>
      <c r="BH183" s="1934"/>
      <c r="BI183" s="1930"/>
      <c r="BJ183" s="1930"/>
      <c r="BK183" s="1936"/>
      <c r="BL183" s="1929"/>
      <c r="BM183" s="1930"/>
      <c r="BN183" s="1930"/>
      <c r="BO183" s="1934"/>
      <c r="BP183" s="1930"/>
      <c r="BQ183" s="1930"/>
      <c r="BR183" s="1936"/>
      <c r="BS183" s="1929"/>
      <c r="BT183" s="1930"/>
      <c r="BU183" s="1930"/>
      <c r="BV183" s="1934"/>
      <c r="BW183" s="1930"/>
      <c r="BX183" s="1930"/>
      <c r="BY183" s="1936"/>
      <c r="BZ183" s="1929"/>
      <c r="CA183" s="1930"/>
      <c r="CB183" s="1930"/>
      <c r="CC183" s="1934"/>
      <c r="CD183" s="1930"/>
      <c r="CE183" s="1930"/>
      <c r="CF183" s="1936"/>
      <c r="CG183" s="1929"/>
      <c r="CH183" s="1930"/>
      <c r="CI183" s="1930"/>
      <c r="CJ183" s="1934"/>
      <c r="CK183" s="1930"/>
      <c r="CL183" s="1930"/>
      <c r="CM183" s="1936"/>
      <c r="CN183" s="1929"/>
      <c r="CO183" s="1930"/>
      <c r="CP183" s="1930"/>
      <c r="CQ183" s="1934"/>
      <c r="CR183" s="1930"/>
      <c r="CS183" s="1930"/>
      <c r="CT183" s="1936"/>
      <c r="CU183" s="1929"/>
      <c r="CV183" s="1930"/>
      <c r="CW183" s="1930"/>
      <c r="CX183" s="1934"/>
      <c r="CY183" s="1930"/>
      <c r="CZ183" s="1930"/>
      <c r="DA183" s="1936"/>
      <c r="DB183" s="1929"/>
      <c r="DC183" s="1930"/>
      <c r="DD183" s="1930"/>
      <c r="DE183" s="1934"/>
      <c r="DF183" s="1930"/>
      <c r="DG183" s="1930"/>
      <c r="DH183" s="1936"/>
      <c r="DI183" s="1929"/>
      <c r="DJ183" s="1930"/>
      <c r="DK183" s="1930"/>
      <c r="DL183" s="1934"/>
      <c r="DM183" s="1930"/>
      <c r="DN183" s="1930"/>
      <c r="DO183" s="1936"/>
      <c r="DP183" s="1929"/>
      <c r="DQ183" s="1930"/>
      <c r="DR183" s="1930"/>
      <c r="DS183" s="1934"/>
      <c r="DT183" s="1930"/>
      <c r="DU183" s="1930"/>
      <c r="DV183" s="1936"/>
      <c r="DW183" s="1929"/>
      <c r="DX183" s="1930"/>
      <c r="DY183" s="1930"/>
      <c r="DZ183" s="1934"/>
      <c r="EA183" s="1930"/>
      <c r="EB183" s="1930"/>
      <c r="EC183" s="1936"/>
      <c r="ED183" s="1929"/>
      <c r="EE183" s="1930"/>
      <c r="EF183" s="1930"/>
      <c r="EG183" s="1934"/>
      <c r="EH183" s="1930"/>
      <c r="EI183" s="1930"/>
      <c r="EJ183" s="1936"/>
      <c r="EK183" s="1929"/>
      <c r="EL183" s="1930"/>
      <c r="EM183" s="1930"/>
      <c r="EN183" s="1934"/>
      <c r="EO183" s="1930"/>
      <c r="EP183" s="1930"/>
      <c r="EQ183" s="1936"/>
      <c r="ER183" s="1929"/>
      <c r="ES183" s="1930"/>
      <c r="ET183" s="1930"/>
      <c r="EU183" s="1934"/>
      <c r="EV183" s="1930"/>
      <c r="EW183" s="1930"/>
      <c r="EX183" s="1936"/>
      <c r="EY183" s="1929"/>
      <c r="EZ183" s="1930"/>
      <c r="FA183" s="1930"/>
      <c r="FB183" s="1934"/>
      <c r="FC183" s="1930"/>
      <c r="FD183" s="1930"/>
      <c r="FE183" s="1936"/>
      <c r="FF183" s="1929"/>
      <c r="FG183" s="1930"/>
      <c r="FH183" s="1930"/>
      <c r="FI183" s="1934"/>
      <c r="FJ183" s="1930"/>
      <c r="FK183" s="1930"/>
      <c r="FL183" s="1936"/>
      <c r="FM183" s="1929"/>
      <c r="FN183" s="1930"/>
      <c r="FO183" s="1930"/>
      <c r="FP183" s="1934"/>
      <c r="FQ183" s="1930"/>
      <c r="FR183" s="1930"/>
      <c r="FS183" s="1936"/>
      <c r="FT183" s="1929"/>
      <c r="FU183" s="1930"/>
      <c r="FV183" s="1930"/>
      <c r="FW183" s="1934"/>
      <c r="FX183" s="1930"/>
      <c r="FY183" s="1930"/>
      <c r="FZ183" s="1936"/>
      <c r="GA183" s="1929"/>
      <c r="GB183" s="1930"/>
      <c r="GC183" s="1930"/>
      <c r="GD183" s="1934"/>
      <c r="GE183" s="1930"/>
      <c r="GF183" s="1930"/>
      <c r="GG183" s="1936"/>
      <c r="GH183" s="1929"/>
      <c r="GI183" s="1930"/>
      <c r="GJ183" s="1930"/>
      <c r="GK183" s="1934"/>
      <c r="GL183" s="1930"/>
      <c r="GM183" s="1930"/>
      <c r="GN183" s="1936"/>
      <c r="GO183" s="1929"/>
      <c r="GP183" s="1930"/>
      <c r="GQ183" s="1930"/>
      <c r="GR183" s="1934"/>
      <c r="GS183" s="1930"/>
      <c r="GT183" s="1930"/>
      <c r="GU183" s="1936"/>
      <c r="GV183" s="1929"/>
      <c r="GW183" s="1930"/>
      <c r="GX183" s="1930"/>
      <c r="GY183" s="1934"/>
      <c r="GZ183" s="1930"/>
      <c r="HA183" s="1930"/>
      <c r="HB183" s="1936"/>
      <c r="HC183" s="1929"/>
      <c r="HD183" s="1930"/>
      <c r="HE183" s="1930"/>
      <c r="HF183" s="1934"/>
      <c r="HG183" s="1930"/>
      <c r="HH183" s="1930"/>
      <c r="HI183" s="1936"/>
      <c r="HJ183" s="1929"/>
      <c r="HK183" s="1930"/>
      <c r="HL183" s="1930"/>
      <c r="HM183" s="1934"/>
      <c r="HN183" s="1930"/>
      <c r="HO183" s="1930"/>
      <c r="HP183" s="1936"/>
      <c r="HQ183" s="1929"/>
      <c r="HR183" s="1930"/>
      <c r="HS183" s="1930"/>
      <c r="HT183" s="1934"/>
      <c r="HU183" s="1930"/>
      <c r="HV183" s="1930"/>
      <c r="HW183" s="1936"/>
      <c r="HX183" s="1929"/>
      <c r="HY183" s="1930"/>
      <c r="HZ183" s="1930"/>
      <c r="IA183" s="1934"/>
      <c r="IB183" s="1930"/>
      <c r="IC183" s="1930"/>
      <c r="ID183" s="1936"/>
      <c r="IE183" s="1929"/>
      <c r="IF183" s="1930"/>
      <c r="IG183" s="1930"/>
      <c r="IH183" s="1934"/>
      <c r="II183" s="1930"/>
      <c r="IJ183" s="1930"/>
      <c r="IK183" s="1936"/>
    </row>
    <row r="184" spans="1:245" s="195" customFormat="1" ht="9" hidden="1" customHeight="1" x14ac:dyDescent="0.35">
      <c r="A184" s="195">
        <f>IF(B182=0,0,"XXX")</f>
        <v>0</v>
      </c>
      <c r="B184" s="2004"/>
      <c r="C184" s="1978"/>
      <c r="D184" s="1990"/>
      <c r="E184" s="1991"/>
      <c r="F184" s="1984"/>
      <c r="G184" s="1985"/>
      <c r="H184" s="1929"/>
      <c r="I184" s="1930"/>
      <c r="J184" s="1930"/>
      <c r="K184" s="1934"/>
      <c r="L184" s="1930"/>
      <c r="M184" s="1930"/>
      <c r="N184" s="1936"/>
      <c r="O184" s="1929"/>
      <c r="P184" s="1930"/>
      <c r="Q184" s="1930"/>
      <c r="R184" s="1934"/>
      <c r="S184" s="1930"/>
      <c r="T184" s="1930"/>
      <c r="U184" s="1936"/>
      <c r="V184" s="1929"/>
      <c r="W184" s="1930"/>
      <c r="X184" s="1930"/>
      <c r="Y184" s="1934"/>
      <c r="Z184" s="1930"/>
      <c r="AA184" s="1930"/>
      <c r="AB184" s="1936"/>
      <c r="AC184" s="1929"/>
      <c r="AD184" s="1930"/>
      <c r="AE184" s="1930"/>
      <c r="AF184" s="1934"/>
      <c r="AG184" s="1930"/>
      <c r="AH184" s="1930"/>
      <c r="AI184" s="1936"/>
      <c r="AJ184" s="1929"/>
      <c r="AK184" s="1930"/>
      <c r="AL184" s="1930"/>
      <c r="AM184" s="1934"/>
      <c r="AN184" s="1930"/>
      <c r="AO184" s="1930"/>
      <c r="AP184" s="1936"/>
      <c r="AQ184" s="1929"/>
      <c r="AR184" s="1930"/>
      <c r="AS184" s="1930"/>
      <c r="AT184" s="1934"/>
      <c r="AU184" s="1930"/>
      <c r="AV184" s="1930"/>
      <c r="AW184" s="1936"/>
      <c r="AX184" s="1929"/>
      <c r="AY184" s="1930"/>
      <c r="AZ184" s="1930"/>
      <c r="BA184" s="1934"/>
      <c r="BB184" s="1930"/>
      <c r="BC184" s="1930"/>
      <c r="BD184" s="1936"/>
      <c r="BE184" s="1929"/>
      <c r="BF184" s="1930"/>
      <c r="BG184" s="1930"/>
      <c r="BH184" s="1934"/>
      <c r="BI184" s="1930"/>
      <c r="BJ184" s="1930"/>
      <c r="BK184" s="1936"/>
      <c r="BL184" s="1929"/>
      <c r="BM184" s="1930"/>
      <c r="BN184" s="1930"/>
      <c r="BO184" s="1934"/>
      <c r="BP184" s="1930"/>
      <c r="BQ184" s="1930"/>
      <c r="BR184" s="1936"/>
      <c r="BS184" s="1929"/>
      <c r="BT184" s="1930"/>
      <c r="BU184" s="1930"/>
      <c r="BV184" s="1934"/>
      <c r="BW184" s="1930"/>
      <c r="BX184" s="1930"/>
      <c r="BY184" s="1936"/>
      <c r="BZ184" s="1929"/>
      <c r="CA184" s="1930"/>
      <c r="CB184" s="1930"/>
      <c r="CC184" s="1934"/>
      <c r="CD184" s="1930"/>
      <c r="CE184" s="1930"/>
      <c r="CF184" s="1936"/>
      <c r="CG184" s="1929"/>
      <c r="CH184" s="1930"/>
      <c r="CI184" s="1930"/>
      <c r="CJ184" s="1934"/>
      <c r="CK184" s="1930"/>
      <c r="CL184" s="1930"/>
      <c r="CM184" s="1936"/>
      <c r="CN184" s="1929"/>
      <c r="CO184" s="1930"/>
      <c r="CP184" s="1930"/>
      <c r="CQ184" s="1934"/>
      <c r="CR184" s="1930"/>
      <c r="CS184" s="1930"/>
      <c r="CT184" s="1936"/>
      <c r="CU184" s="1929"/>
      <c r="CV184" s="1930"/>
      <c r="CW184" s="1930"/>
      <c r="CX184" s="1934"/>
      <c r="CY184" s="1930"/>
      <c r="CZ184" s="1930"/>
      <c r="DA184" s="1936"/>
      <c r="DB184" s="1929"/>
      <c r="DC184" s="1930"/>
      <c r="DD184" s="1930"/>
      <c r="DE184" s="1934"/>
      <c r="DF184" s="1930"/>
      <c r="DG184" s="1930"/>
      <c r="DH184" s="1936"/>
      <c r="DI184" s="1929"/>
      <c r="DJ184" s="1930"/>
      <c r="DK184" s="1930"/>
      <c r="DL184" s="1934"/>
      <c r="DM184" s="1930"/>
      <c r="DN184" s="1930"/>
      <c r="DO184" s="1936"/>
      <c r="DP184" s="1929"/>
      <c r="DQ184" s="1930"/>
      <c r="DR184" s="1930"/>
      <c r="DS184" s="1934"/>
      <c r="DT184" s="1930"/>
      <c r="DU184" s="1930"/>
      <c r="DV184" s="1936"/>
      <c r="DW184" s="1929"/>
      <c r="DX184" s="1930"/>
      <c r="DY184" s="1930"/>
      <c r="DZ184" s="1934"/>
      <c r="EA184" s="1930"/>
      <c r="EB184" s="1930"/>
      <c r="EC184" s="1936"/>
      <c r="ED184" s="1929"/>
      <c r="EE184" s="1930"/>
      <c r="EF184" s="1930"/>
      <c r="EG184" s="1934"/>
      <c r="EH184" s="1930"/>
      <c r="EI184" s="1930"/>
      <c r="EJ184" s="1936"/>
      <c r="EK184" s="1929"/>
      <c r="EL184" s="1930"/>
      <c r="EM184" s="1930"/>
      <c r="EN184" s="1934"/>
      <c r="EO184" s="1930"/>
      <c r="EP184" s="1930"/>
      <c r="EQ184" s="1936"/>
      <c r="ER184" s="1929"/>
      <c r="ES184" s="1930"/>
      <c r="ET184" s="1930"/>
      <c r="EU184" s="1934"/>
      <c r="EV184" s="1930"/>
      <c r="EW184" s="1930"/>
      <c r="EX184" s="1936"/>
      <c r="EY184" s="1929"/>
      <c r="EZ184" s="1930"/>
      <c r="FA184" s="1930"/>
      <c r="FB184" s="1934"/>
      <c r="FC184" s="1930"/>
      <c r="FD184" s="1930"/>
      <c r="FE184" s="1936"/>
      <c r="FF184" s="1929"/>
      <c r="FG184" s="1930"/>
      <c r="FH184" s="1930"/>
      <c r="FI184" s="1934"/>
      <c r="FJ184" s="1930"/>
      <c r="FK184" s="1930"/>
      <c r="FL184" s="1936"/>
      <c r="FM184" s="1929"/>
      <c r="FN184" s="1930"/>
      <c r="FO184" s="1930"/>
      <c r="FP184" s="1934"/>
      <c r="FQ184" s="1930"/>
      <c r="FR184" s="1930"/>
      <c r="FS184" s="1936"/>
      <c r="FT184" s="1929"/>
      <c r="FU184" s="1930"/>
      <c r="FV184" s="1930"/>
      <c r="FW184" s="1934"/>
      <c r="FX184" s="1930"/>
      <c r="FY184" s="1930"/>
      <c r="FZ184" s="1936"/>
      <c r="GA184" s="1929"/>
      <c r="GB184" s="1930"/>
      <c r="GC184" s="1930"/>
      <c r="GD184" s="1934"/>
      <c r="GE184" s="1930"/>
      <c r="GF184" s="1930"/>
      <c r="GG184" s="1936"/>
      <c r="GH184" s="1929"/>
      <c r="GI184" s="1930"/>
      <c r="GJ184" s="1930"/>
      <c r="GK184" s="1934"/>
      <c r="GL184" s="1930"/>
      <c r="GM184" s="1930"/>
      <c r="GN184" s="1936"/>
      <c r="GO184" s="1929"/>
      <c r="GP184" s="1930"/>
      <c r="GQ184" s="1930"/>
      <c r="GR184" s="1934"/>
      <c r="GS184" s="1930"/>
      <c r="GT184" s="1930"/>
      <c r="GU184" s="1936"/>
      <c r="GV184" s="1929"/>
      <c r="GW184" s="1930"/>
      <c r="GX184" s="1930"/>
      <c r="GY184" s="1934"/>
      <c r="GZ184" s="1930"/>
      <c r="HA184" s="1930"/>
      <c r="HB184" s="1936"/>
      <c r="HC184" s="1929"/>
      <c r="HD184" s="1930"/>
      <c r="HE184" s="1930"/>
      <c r="HF184" s="1934"/>
      <c r="HG184" s="1930"/>
      <c r="HH184" s="1930"/>
      <c r="HI184" s="1936"/>
      <c r="HJ184" s="1929"/>
      <c r="HK184" s="1930"/>
      <c r="HL184" s="1930"/>
      <c r="HM184" s="1934"/>
      <c r="HN184" s="1930"/>
      <c r="HO184" s="1930"/>
      <c r="HP184" s="1936"/>
      <c r="HQ184" s="1929"/>
      <c r="HR184" s="1930"/>
      <c r="HS184" s="1930"/>
      <c r="HT184" s="1934"/>
      <c r="HU184" s="1930"/>
      <c r="HV184" s="1930"/>
      <c r="HW184" s="1936"/>
      <c r="HX184" s="1929"/>
      <c r="HY184" s="1930"/>
      <c r="HZ184" s="1930"/>
      <c r="IA184" s="1934"/>
      <c r="IB184" s="1930"/>
      <c r="IC184" s="1930"/>
      <c r="ID184" s="1936"/>
      <c r="IE184" s="1929"/>
      <c r="IF184" s="1930"/>
      <c r="IG184" s="1930"/>
      <c r="IH184" s="1934"/>
      <c r="II184" s="1930"/>
      <c r="IJ184" s="1930"/>
      <c r="IK184" s="1936"/>
    </row>
    <row r="185" spans="1:245" s="195" customFormat="1" ht="9" hidden="1" customHeight="1" x14ac:dyDescent="0.35">
      <c r="A185" s="195">
        <f>IF(B182=0,0,"XXX")</f>
        <v>0</v>
      </c>
      <c r="B185" s="2004"/>
      <c r="C185" s="1979"/>
      <c r="D185" s="1992"/>
      <c r="E185" s="1993"/>
      <c r="F185" s="1986"/>
      <c r="G185" s="1987"/>
      <c r="H185" s="1931"/>
      <c r="I185" s="1932"/>
      <c r="J185" s="1932"/>
      <c r="K185" s="1935"/>
      <c r="L185" s="1932"/>
      <c r="M185" s="1932"/>
      <c r="N185" s="1937"/>
      <c r="O185" s="1931"/>
      <c r="P185" s="1932"/>
      <c r="Q185" s="1932"/>
      <c r="R185" s="1935"/>
      <c r="S185" s="1932"/>
      <c r="T185" s="1932"/>
      <c r="U185" s="1937"/>
      <c r="V185" s="1931"/>
      <c r="W185" s="1932"/>
      <c r="X185" s="1932"/>
      <c r="Y185" s="1935"/>
      <c r="Z185" s="1932"/>
      <c r="AA185" s="1932"/>
      <c r="AB185" s="1937"/>
      <c r="AC185" s="1931"/>
      <c r="AD185" s="1932"/>
      <c r="AE185" s="1932"/>
      <c r="AF185" s="1935"/>
      <c r="AG185" s="1932"/>
      <c r="AH185" s="1932"/>
      <c r="AI185" s="1937"/>
      <c r="AJ185" s="1931"/>
      <c r="AK185" s="1932"/>
      <c r="AL185" s="1932"/>
      <c r="AM185" s="1935"/>
      <c r="AN185" s="1932"/>
      <c r="AO185" s="1932"/>
      <c r="AP185" s="1937"/>
      <c r="AQ185" s="1931"/>
      <c r="AR185" s="1932"/>
      <c r="AS185" s="1932"/>
      <c r="AT185" s="1935"/>
      <c r="AU185" s="1932"/>
      <c r="AV185" s="1932"/>
      <c r="AW185" s="1937"/>
      <c r="AX185" s="1931"/>
      <c r="AY185" s="1932"/>
      <c r="AZ185" s="1932"/>
      <c r="BA185" s="1935"/>
      <c r="BB185" s="1932"/>
      <c r="BC185" s="1932"/>
      <c r="BD185" s="1937"/>
      <c r="BE185" s="1931"/>
      <c r="BF185" s="1932"/>
      <c r="BG185" s="1932"/>
      <c r="BH185" s="1935"/>
      <c r="BI185" s="1932"/>
      <c r="BJ185" s="1932"/>
      <c r="BK185" s="1937"/>
      <c r="BL185" s="1931"/>
      <c r="BM185" s="1932"/>
      <c r="BN185" s="1932"/>
      <c r="BO185" s="1935"/>
      <c r="BP185" s="1932"/>
      <c r="BQ185" s="1932"/>
      <c r="BR185" s="1937"/>
      <c r="BS185" s="1931"/>
      <c r="BT185" s="1932"/>
      <c r="BU185" s="1932"/>
      <c r="BV185" s="1935"/>
      <c r="BW185" s="1932"/>
      <c r="BX185" s="1932"/>
      <c r="BY185" s="1937"/>
      <c r="BZ185" s="1931"/>
      <c r="CA185" s="1932"/>
      <c r="CB185" s="1932"/>
      <c r="CC185" s="1935"/>
      <c r="CD185" s="1932"/>
      <c r="CE185" s="1932"/>
      <c r="CF185" s="1937"/>
      <c r="CG185" s="1931"/>
      <c r="CH185" s="1932"/>
      <c r="CI185" s="1932"/>
      <c r="CJ185" s="1935"/>
      <c r="CK185" s="1932"/>
      <c r="CL185" s="1932"/>
      <c r="CM185" s="1937"/>
      <c r="CN185" s="1931"/>
      <c r="CO185" s="1932"/>
      <c r="CP185" s="1932"/>
      <c r="CQ185" s="1935"/>
      <c r="CR185" s="1932"/>
      <c r="CS185" s="1932"/>
      <c r="CT185" s="1937"/>
      <c r="CU185" s="1931"/>
      <c r="CV185" s="1932"/>
      <c r="CW185" s="1932"/>
      <c r="CX185" s="1935"/>
      <c r="CY185" s="1932"/>
      <c r="CZ185" s="1932"/>
      <c r="DA185" s="1937"/>
      <c r="DB185" s="1931"/>
      <c r="DC185" s="1932"/>
      <c r="DD185" s="1932"/>
      <c r="DE185" s="1935"/>
      <c r="DF185" s="1932"/>
      <c r="DG185" s="1932"/>
      <c r="DH185" s="1937"/>
      <c r="DI185" s="1931"/>
      <c r="DJ185" s="1932"/>
      <c r="DK185" s="1932"/>
      <c r="DL185" s="1935"/>
      <c r="DM185" s="1932"/>
      <c r="DN185" s="1932"/>
      <c r="DO185" s="1937"/>
      <c r="DP185" s="1931"/>
      <c r="DQ185" s="1932"/>
      <c r="DR185" s="1932"/>
      <c r="DS185" s="1935"/>
      <c r="DT185" s="1932"/>
      <c r="DU185" s="1932"/>
      <c r="DV185" s="1937"/>
      <c r="DW185" s="1931"/>
      <c r="DX185" s="1932"/>
      <c r="DY185" s="1932"/>
      <c r="DZ185" s="1935"/>
      <c r="EA185" s="1932"/>
      <c r="EB185" s="1932"/>
      <c r="EC185" s="1937"/>
      <c r="ED185" s="1931"/>
      <c r="EE185" s="1932"/>
      <c r="EF185" s="1932"/>
      <c r="EG185" s="1935"/>
      <c r="EH185" s="1932"/>
      <c r="EI185" s="1932"/>
      <c r="EJ185" s="1937"/>
      <c r="EK185" s="1931"/>
      <c r="EL185" s="1932"/>
      <c r="EM185" s="1932"/>
      <c r="EN185" s="1935"/>
      <c r="EO185" s="1932"/>
      <c r="EP185" s="1932"/>
      <c r="EQ185" s="1937"/>
      <c r="ER185" s="1931"/>
      <c r="ES185" s="1932"/>
      <c r="ET185" s="1932"/>
      <c r="EU185" s="1935"/>
      <c r="EV185" s="1932"/>
      <c r="EW185" s="1932"/>
      <c r="EX185" s="1937"/>
      <c r="EY185" s="1931"/>
      <c r="EZ185" s="1932"/>
      <c r="FA185" s="1932"/>
      <c r="FB185" s="1935"/>
      <c r="FC185" s="1932"/>
      <c r="FD185" s="1932"/>
      <c r="FE185" s="1937"/>
      <c r="FF185" s="1931"/>
      <c r="FG185" s="1932"/>
      <c r="FH185" s="1932"/>
      <c r="FI185" s="1935"/>
      <c r="FJ185" s="1932"/>
      <c r="FK185" s="1932"/>
      <c r="FL185" s="1937"/>
      <c r="FM185" s="1931"/>
      <c r="FN185" s="1932"/>
      <c r="FO185" s="1932"/>
      <c r="FP185" s="1935"/>
      <c r="FQ185" s="1932"/>
      <c r="FR185" s="1932"/>
      <c r="FS185" s="1937"/>
      <c r="FT185" s="1931"/>
      <c r="FU185" s="1932"/>
      <c r="FV185" s="1932"/>
      <c r="FW185" s="1935"/>
      <c r="FX185" s="1932"/>
      <c r="FY185" s="1932"/>
      <c r="FZ185" s="1937"/>
      <c r="GA185" s="1931"/>
      <c r="GB185" s="1932"/>
      <c r="GC185" s="1932"/>
      <c r="GD185" s="1935"/>
      <c r="GE185" s="1932"/>
      <c r="GF185" s="1932"/>
      <c r="GG185" s="1937"/>
      <c r="GH185" s="1931"/>
      <c r="GI185" s="1932"/>
      <c r="GJ185" s="1932"/>
      <c r="GK185" s="1935"/>
      <c r="GL185" s="1932"/>
      <c r="GM185" s="1932"/>
      <c r="GN185" s="1937"/>
      <c r="GO185" s="1931"/>
      <c r="GP185" s="1932"/>
      <c r="GQ185" s="1932"/>
      <c r="GR185" s="1935"/>
      <c r="GS185" s="1932"/>
      <c r="GT185" s="1932"/>
      <c r="GU185" s="1937"/>
      <c r="GV185" s="1931"/>
      <c r="GW185" s="1932"/>
      <c r="GX185" s="1932"/>
      <c r="GY185" s="1935"/>
      <c r="GZ185" s="1932"/>
      <c r="HA185" s="1932"/>
      <c r="HB185" s="1937"/>
      <c r="HC185" s="1931"/>
      <c r="HD185" s="1932"/>
      <c r="HE185" s="1932"/>
      <c r="HF185" s="1935"/>
      <c r="HG185" s="1932"/>
      <c r="HH185" s="1932"/>
      <c r="HI185" s="1937"/>
      <c r="HJ185" s="1931"/>
      <c r="HK185" s="1932"/>
      <c r="HL185" s="1932"/>
      <c r="HM185" s="1935"/>
      <c r="HN185" s="1932"/>
      <c r="HO185" s="1932"/>
      <c r="HP185" s="1937"/>
      <c r="HQ185" s="1931"/>
      <c r="HR185" s="1932"/>
      <c r="HS185" s="1932"/>
      <c r="HT185" s="1935"/>
      <c r="HU185" s="1932"/>
      <c r="HV185" s="1932"/>
      <c r="HW185" s="1937"/>
      <c r="HX185" s="1931"/>
      <c r="HY185" s="1932"/>
      <c r="HZ185" s="1932"/>
      <c r="IA185" s="1935"/>
      <c r="IB185" s="1932"/>
      <c r="IC185" s="1932"/>
      <c r="ID185" s="1937"/>
      <c r="IE185" s="1931"/>
      <c r="IF185" s="1932"/>
      <c r="IG185" s="1932"/>
      <c r="IH185" s="1935"/>
      <c r="II185" s="1932"/>
      <c r="IJ185" s="1932"/>
      <c r="IK185" s="1937"/>
    </row>
    <row r="186" spans="1:245" s="195" customFormat="1" ht="9" hidden="1" customHeight="1" x14ac:dyDescent="0.35">
      <c r="A186" s="195">
        <f>IF(B186=0,0,"XXX")</f>
        <v>0</v>
      </c>
      <c r="B186" s="1967"/>
      <c r="C186" s="1969"/>
      <c r="D186" s="358"/>
      <c r="E186" s="359"/>
      <c r="F186" s="1971"/>
      <c r="G186" s="1973"/>
      <c r="H186" s="1924"/>
      <c r="I186" s="1920"/>
      <c r="J186" s="1920"/>
      <c r="K186" s="1920"/>
      <c r="L186" s="1920"/>
      <c r="M186" s="1920"/>
      <c r="N186" s="1922"/>
      <c r="O186" s="1924"/>
      <c r="P186" s="1920"/>
      <c r="Q186" s="1920"/>
      <c r="R186" s="1920"/>
      <c r="S186" s="1920"/>
      <c r="T186" s="1920"/>
      <c r="U186" s="1922"/>
      <c r="V186" s="1924"/>
      <c r="W186" s="1920"/>
      <c r="X186" s="1920"/>
      <c r="Y186" s="1920"/>
      <c r="Z186" s="1920"/>
      <c r="AA186" s="1920"/>
      <c r="AB186" s="1922"/>
      <c r="AC186" s="1924"/>
      <c r="AD186" s="1920"/>
      <c r="AE186" s="1920"/>
      <c r="AF186" s="1920"/>
      <c r="AG186" s="1920"/>
      <c r="AH186" s="1920"/>
      <c r="AI186" s="1922"/>
      <c r="AJ186" s="1924"/>
      <c r="AK186" s="1920"/>
      <c r="AL186" s="1920"/>
      <c r="AM186" s="1920"/>
      <c r="AN186" s="1920"/>
      <c r="AO186" s="1920"/>
      <c r="AP186" s="1922"/>
      <c r="AQ186" s="1924"/>
      <c r="AR186" s="1920"/>
      <c r="AS186" s="1920"/>
      <c r="AT186" s="1920"/>
      <c r="AU186" s="1920"/>
      <c r="AV186" s="1920"/>
      <c r="AW186" s="1922"/>
      <c r="AX186" s="1924"/>
      <c r="AY186" s="1920"/>
      <c r="AZ186" s="1920"/>
      <c r="BA186" s="1920"/>
      <c r="BB186" s="1920"/>
      <c r="BC186" s="1920"/>
      <c r="BD186" s="1922"/>
      <c r="BE186" s="1924"/>
      <c r="BF186" s="1920"/>
      <c r="BG186" s="1920"/>
      <c r="BH186" s="1920"/>
      <c r="BI186" s="1920"/>
      <c r="BJ186" s="1920"/>
      <c r="BK186" s="1922"/>
      <c r="BL186" s="1924"/>
      <c r="BM186" s="1920"/>
      <c r="BN186" s="1920"/>
      <c r="BO186" s="1920"/>
      <c r="BP186" s="1920"/>
      <c r="BQ186" s="1920"/>
      <c r="BR186" s="1922"/>
      <c r="BS186" s="1924"/>
      <c r="BT186" s="1920"/>
      <c r="BU186" s="1920"/>
      <c r="BV186" s="1920"/>
      <c r="BW186" s="1920"/>
      <c r="BX186" s="1920"/>
      <c r="BY186" s="1922"/>
      <c r="BZ186" s="1924"/>
      <c r="CA186" s="1920"/>
      <c r="CB186" s="1920"/>
      <c r="CC186" s="1920"/>
      <c r="CD186" s="1920"/>
      <c r="CE186" s="1920"/>
      <c r="CF186" s="1922"/>
      <c r="CG186" s="1924"/>
      <c r="CH186" s="1920"/>
      <c r="CI186" s="1920"/>
      <c r="CJ186" s="1920"/>
      <c r="CK186" s="1920"/>
      <c r="CL186" s="1920"/>
      <c r="CM186" s="1922"/>
      <c r="CN186" s="1924"/>
      <c r="CO186" s="1920"/>
      <c r="CP186" s="1920"/>
      <c r="CQ186" s="1920"/>
      <c r="CR186" s="1920"/>
      <c r="CS186" s="1920"/>
      <c r="CT186" s="1922"/>
      <c r="CU186" s="1924"/>
      <c r="CV186" s="1920"/>
      <c r="CW186" s="1920"/>
      <c r="CX186" s="1920"/>
      <c r="CY186" s="1920"/>
      <c r="CZ186" s="1920"/>
      <c r="DA186" s="1922"/>
      <c r="DB186" s="1924"/>
      <c r="DC186" s="1920"/>
      <c r="DD186" s="1920"/>
      <c r="DE186" s="1920"/>
      <c r="DF186" s="1920"/>
      <c r="DG186" s="1920"/>
      <c r="DH186" s="1922"/>
      <c r="DI186" s="1924"/>
      <c r="DJ186" s="1920"/>
      <c r="DK186" s="1920"/>
      <c r="DL186" s="1920"/>
      <c r="DM186" s="1920"/>
      <c r="DN186" s="1920"/>
      <c r="DO186" s="1922"/>
      <c r="DP186" s="1924"/>
      <c r="DQ186" s="1920"/>
      <c r="DR186" s="1920"/>
      <c r="DS186" s="1920"/>
      <c r="DT186" s="1920"/>
      <c r="DU186" s="1920"/>
      <c r="DV186" s="1922"/>
      <c r="DW186" s="1924"/>
      <c r="DX186" s="1920"/>
      <c r="DY186" s="1920"/>
      <c r="DZ186" s="1920"/>
      <c r="EA186" s="1920"/>
      <c r="EB186" s="1920"/>
      <c r="EC186" s="1922"/>
      <c r="ED186" s="1924"/>
      <c r="EE186" s="1920"/>
      <c r="EF186" s="1920"/>
      <c r="EG186" s="1920"/>
      <c r="EH186" s="1920"/>
      <c r="EI186" s="1920"/>
      <c r="EJ186" s="1922"/>
      <c r="EK186" s="1924"/>
      <c r="EL186" s="1920"/>
      <c r="EM186" s="1920"/>
      <c r="EN186" s="1920"/>
      <c r="EO186" s="1920"/>
      <c r="EP186" s="1920"/>
      <c r="EQ186" s="1922"/>
      <c r="ER186" s="1924"/>
      <c r="ES186" s="1920"/>
      <c r="ET186" s="1920"/>
      <c r="EU186" s="1920"/>
      <c r="EV186" s="1920"/>
      <c r="EW186" s="1920"/>
      <c r="EX186" s="1922"/>
      <c r="EY186" s="1924"/>
      <c r="EZ186" s="1920"/>
      <c r="FA186" s="1920"/>
      <c r="FB186" s="1920"/>
      <c r="FC186" s="1920"/>
      <c r="FD186" s="1920"/>
      <c r="FE186" s="1922"/>
      <c r="FF186" s="1924"/>
      <c r="FG186" s="1920"/>
      <c r="FH186" s="1920"/>
      <c r="FI186" s="1920"/>
      <c r="FJ186" s="1920"/>
      <c r="FK186" s="1920"/>
      <c r="FL186" s="1922"/>
      <c r="FM186" s="1924"/>
      <c r="FN186" s="1920"/>
      <c r="FO186" s="1920"/>
      <c r="FP186" s="1920"/>
      <c r="FQ186" s="1920"/>
      <c r="FR186" s="1920"/>
      <c r="FS186" s="1922"/>
      <c r="FT186" s="1924"/>
      <c r="FU186" s="1920"/>
      <c r="FV186" s="1920"/>
      <c r="FW186" s="1920"/>
      <c r="FX186" s="1920"/>
      <c r="FY186" s="1920"/>
      <c r="FZ186" s="1922"/>
      <c r="GA186" s="1924"/>
      <c r="GB186" s="1920"/>
      <c r="GC186" s="1920"/>
      <c r="GD186" s="1920"/>
      <c r="GE186" s="1920"/>
      <c r="GF186" s="1920"/>
      <c r="GG186" s="1922"/>
      <c r="GH186" s="1924"/>
      <c r="GI186" s="1920"/>
      <c r="GJ186" s="1920"/>
      <c r="GK186" s="1920"/>
      <c r="GL186" s="1920"/>
      <c r="GM186" s="1920"/>
      <c r="GN186" s="1922"/>
      <c r="GO186" s="1924"/>
      <c r="GP186" s="1920"/>
      <c r="GQ186" s="1920"/>
      <c r="GR186" s="1920"/>
      <c r="GS186" s="1920"/>
      <c r="GT186" s="1920"/>
      <c r="GU186" s="1922"/>
      <c r="GV186" s="1924"/>
      <c r="GW186" s="1920"/>
      <c r="GX186" s="1920"/>
      <c r="GY186" s="1920"/>
      <c r="GZ186" s="1920"/>
      <c r="HA186" s="1920"/>
      <c r="HB186" s="1922"/>
      <c r="HC186" s="1924"/>
      <c r="HD186" s="1920"/>
      <c r="HE186" s="1920"/>
      <c r="HF186" s="1920"/>
      <c r="HG186" s="1920"/>
      <c r="HH186" s="1920"/>
      <c r="HI186" s="1922"/>
      <c r="HJ186" s="1924"/>
      <c r="HK186" s="1920"/>
      <c r="HL186" s="1920"/>
      <c r="HM186" s="1920"/>
      <c r="HN186" s="1920"/>
      <c r="HO186" s="1920"/>
      <c r="HP186" s="1922"/>
      <c r="HQ186" s="1924"/>
      <c r="HR186" s="1920"/>
      <c r="HS186" s="1920"/>
      <c r="HT186" s="1920"/>
      <c r="HU186" s="1920"/>
      <c r="HV186" s="1920"/>
      <c r="HW186" s="1922"/>
      <c r="HX186" s="1924"/>
      <c r="HY186" s="1920"/>
      <c r="HZ186" s="1920"/>
      <c r="IA186" s="1920"/>
      <c r="IB186" s="1920"/>
      <c r="IC186" s="1920"/>
      <c r="ID186" s="1922"/>
      <c r="IE186" s="1924"/>
      <c r="IF186" s="1920"/>
      <c r="IG186" s="1920"/>
      <c r="IH186" s="1920"/>
      <c r="II186" s="1920"/>
      <c r="IJ186" s="1920"/>
      <c r="IK186" s="1922"/>
    </row>
    <row r="187" spans="1:245" s="195" customFormat="1" ht="9" hidden="1" customHeight="1" x14ac:dyDescent="0.35">
      <c r="A187" s="195">
        <f>IF(B186=0,0,"XXX")</f>
        <v>0</v>
      </c>
      <c r="B187" s="1968"/>
      <c r="C187" s="1970"/>
      <c r="D187" s="360"/>
      <c r="E187" s="361"/>
      <c r="F187" s="1972"/>
      <c r="G187" s="1974"/>
      <c r="H187" s="1925"/>
      <c r="I187" s="1921"/>
      <c r="J187" s="1921"/>
      <c r="K187" s="1921"/>
      <c r="L187" s="1921"/>
      <c r="M187" s="1921"/>
      <c r="N187" s="1923"/>
      <c r="O187" s="1925"/>
      <c r="P187" s="1921"/>
      <c r="Q187" s="1921"/>
      <c r="R187" s="1921"/>
      <c r="S187" s="1921"/>
      <c r="T187" s="1921"/>
      <c r="U187" s="1923"/>
      <c r="V187" s="1925"/>
      <c r="W187" s="1921"/>
      <c r="X187" s="1921"/>
      <c r="Y187" s="1921"/>
      <c r="Z187" s="1921"/>
      <c r="AA187" s="1921"/>
      <c r="AB187" s="1923"/>
      <c r="AC187" s="1925"/>
      <c r="AD187" s="1921"/>
      <c r="AE187" s="1921"/>
      <c r="AF187" s="1921"/>
      <c r="AG187" s="1921"/>
      <c r="AH187" s="1921"/>
      <c r="AI187" s="1923"/>
      <c r="AJ187" s="1925"/>
      <c r="AK187" s="1921"/>
      <c r="AL187" s="1921"/>
      <c r="AM187" s="1921"/>
      <c r="AN187" s="1921"/>
      <c r="AO187" s="1921"/>
      <c r="AP187" s="1923"/>
      <c r="AQ187" s="1925"/>
      <c r="AR187" s="1921"/>
      <c r="AS187" s="1921"/>
      <c r="AT187" s="1921"/>
      <c r="AU187" s="1921"/>
      <c r="AV187" s="1921"/>
      <c r="AW187" s="1923"/>
      <c r="AX187" s="1925"/>
      <c r="AY187" s="1921"/>
      <c r="AZ187" s="1921"/>
      <c r="BA187" s="1921"/>
      <c r="BB187" s="1921"/>
      <c r="BC187" s="1921"/>
      <c r="BD187" s="1923"/>
      <c r="BE187" s="1925"/>
      <c r="BF187" s="1921"/>
      <c r="BG187" s="1921"/>
      <c r="BH187" s="1921"/>
      <c r="BI187" s="1921"/>
      <c r="BJ187" s="1921"/>
      <c r="BK187" s="1923"/>
      <c r="BL187" s="1925"/>
      <c r="BM187" s="1921"/>
      <c r="BN187" s="1921"/>
      <c r="BO187" s="1921"/>
      <c r="BP187" s="1921"/>
      <c r="BQ187" s="1921"/>
      <c r="BR187" s="1923"/>
      <c r="BS187" s="1925"/>
      <c r="BT187" s="1921"/>
      <c r="BU187" s="1921"/>
      <c r="BV187" s="1921"/>
      <c r="BW187" s="1921"/>
      <c r="BX187" s="1921"/>
      <c r="BY187" s="1923"/>
      <c r="BZ187" s="1925"/>
      <c r="CA187" s="1921"/>
      <c r="CB187" s="1921"/>
      <c r="CC187" s="1921"/>
      <c r="CD187" s="1921"/>
      <c r="CE187" s="1921"/>
      <c r="CF187" s="1923"/>
      <c r="CG187" s="1925"/>
      <c r="CH187" s="1921"/>
      <c r="CI187" s="1921"/>
      <c r="CJ187" s="1921"/>
      <c r="CK187" s="1921"/>
      <c r="CL187" s="1921"/>
      <c r="CM187" s="1923"/>
      <c r="CN187" s="1925"/>
      <c r="CO187" s="1921"/>
      <c r="CP187" s="1921"/>
      <c r="CQ187" s="1921"/>
      <c r="CR187" s="1921"/>
      <c r="CS187" s="1921"/>
      <c r="CT187" s="1923"/>
      <c r="CU187" s="1925"/>
      <c r="CV187" s="1921"/>
      <c r="CW187" s="1921"/>
      <c r="CX187" s="1921"/>
      <c r="CY187" s="1921"/>
      <c r="CZ187" s="1921"/>
      <c r="DA187" s="1923"/>
      <c r="DB187" s="1925"/>
      <c r="DC187" s="1921"/>
      <c r="DD187" s="1921"/>
      <c r="DE187" s="1921"/>
      <c r="DF187" s="1921"/>
      <c r="DG187" s="1921"/>
      <c r="DH187" s="1923"/>
      <c r="DI187" s="1925"/>
      <c r="DJ187" s="1921"/>
      <c r="DK187" s="1921"/>
      <c r="DL187" s="1921"/>
      <c r="DM187" s="1921"/>
      <c r="DN187" s="1921"/>
      <c r="DO187" s="1923"/>
      <c r="DP187" s="1925"/>
      <c r="DQ187" s="1921"/>
      <c r="DR187" s="1921"/>
      <c r="DS187" s="1921"/>
      <c r="DT187" s="1921"/>
      <c r="DU187" s="1921"/>
      <c r="DV187" s="1923"/>
      <c r="DW187" s="1925"/>
      <c r="DX187" s="1921"/>
      <c r="DY187" s="1921"/>
      <c r="DZ187" s="1921"/>
      <c r="EA187" s="1921"/>
      <c r="EB187" s="1921"/>
      <c r="EC187" s="1923"/>
      <c r="ED187" s="1925"/>
      <c r="EE187" s="1921"/>
      <c r="EF187" s="1921"/>
      <c r="EG187" s="1921"/>
      <c r="EH187" s="1921"/>
      <c r="EI187" s="1921"/>
      <c r="EJ187" s="1923"/>
      <c r="EK187" s="1925"/>
      <c r="EL187" s="1921"/>
      <c r="EM187" s="1921"/>
      <c r="EN187" s="1921"/>
      <c r="EO187" s="1921"/>
      <c r="EP187" s="1921"/>
      <c r="EQ187" s="1923"/>
      <c r="ER187" s="1925"/>
      <c r="ES187" s="1921"/>
      <c r="ET187" s="1921"/>
      <c r="EU187" s="1921"/>
      <c r="EV187" s="1921"/>
      <c r="EW187" s="1921"/>
      <c r="EX187" s="1923"/>
      <c r="EY187" s="1925"/>
      <c r="EZ187" s="1921"/>
      <c r="FA187" s="1921"/>
      <c r="FB187" s="1921"/>
      <c r="FC187" s="1921"/>
      <c r="FD187" s="1921"/>
      <c r="FE187" s="1923"/>
      <c r="FF187" s="1925"/>
      <c r="FG187" s="1921"/>
      <c r="FH187" s="1921"/>
      <c r="FI187" s="1921"/>
      <c r="FJ187" s="1921"/>
      <c r="FK187" s="1921"/>
      <c r="FL187" s="1923"/>
      <c r="FM187" s="1925"/>
      <c r="FN187" s="1921"/>
      <c r="FO187" s="1921"/>
      <c r="FP187" s="1921"/>
      <c r="FQ187" s="1921"/>
      <c r="FR187" s="1921"/>
      <c r="FS187" s="1923"/>
      <c r="FT187" s="1925"/>
      <c r="FU187" s="1921"/>
      <c r="FV187" s="1921"/>
      <c r="FW187" s="1921"/>
      <c r="FX187" s="1921"/>
      <c r="FY187" s="1921"/>
      <c r="FZ187" s="1923"/>
      <c r="GA187" s="1925"/>
      <c r="GB187" s="1921"/>
      <c r="GC187" s="1921"/>
      <c r="GD187" s="1921"/>
      <c r="GE187" s="1921"/>
      <c r="GF187" s="1921"/>
      <c r="GG187" s="1923"/>
      <c r="GH187" s="1925"/>
      <c r="GI187" s="1921"/>
      <c r="GJ187" s="1921"/>
      <c r="GK187" s="1921"/>
      <c r="GL187" s="1921"/>
      <c r="GM187" s="1921"/>
      <c r="GN187" s="1923"/>
      <c r="GO187" s="1925"/>
      <c r="GP187" s="1921"/>
      <c r="GQ187" s="1921"/>
      <c r="GR187" s="1921"/>
      <c r="GS187" s="1921"/>
      <c r="GT187" s="1921"/>
      <c r="GU187" s="1923"/>
      <c r="GV187" s="1925"/>
      <c r="GW187" s="1921"/>
      <c r="GX187" s="1921"/>
      <c r="GY187" s="1921"/>
      <c r="GZ187" s="1921"/>
      <c r="HA187" s="1921"/>
      <c r="HB187" s="1923"/>
      <c r="HC187" s="1925"/>
      <c r="HD187" s="1921"/>
      <c r="HE187" s="1921"/>
      <c r="HF187" s="1921"/>
      <c r="HG187" s="1921"/>
      <c r="HH187" s="1921"/>
      <c r="HI187" s="1923"/>
      <c r="HJ187" s="1925"/>
      <c r="HK187" s="1921"/>
      <c r="HL187" s="1921"/>
      <c r="HM187" s="1921"/>
      <c r="HN187" s="1921"/>
      <c r="HO187" s="1921"/>
      <c r="HP187" s="1923"/>
      <c r="HQ187" s="1925"/>
      <c r="HR187" s="1921"/>
      <c r="HS187" s="1921"/>
      <c r="HT187" s="1921"/>
      <c r="HU187" s="1921"/>
      <c r="HV187" s="1921"/>
      <c r="HW187" s="1923"/>
      <c r="HX187" s="1925"/>
      <c r="HY187" s="1921"/>
      <c r="HZ187" s="1921"/>
      <c r="IA187" s="1921"/>
      <c r="IB187" s="1921"/>
      <c r="IC187" s="1921"/>
      <c r="ID187" s="1923"/>
      <c r="IE187" s="1925"/>
      <c r="IF187" s="1921"/>
      <c r="IG187" s="1921"/>
      <c r="IH187" s="1921"/>
      <c r="II187" s="1921"/>
      <c r="IJ187" s="1921"/>
      <c r="IK187" s="1923"/>
    </row>
    <row r="188" spans="1:245" s="195" customFormat="1" ht="5.0999999999999996" hidden="1" customHeight="1" x14ac:dyDescent="0.35">
      <c r="A188" s="195">
        <f>IF(B188=0,0,"XXX")</f>
        <v>0</v>
      </c>
    </row>
    <row r="189" spans="1:245" ht="7.5" customHeight="1" x14ac:dyDescent="0.35">
      <c r="A189" s="195" t="str">
        <f>IF(B189=0,0,"XXX")</f>
        <v>XXX</v>
      </c>
      <c r="B189" s="1967" t="str">
        <f>IF(D212&lt;D211,0,"1.3")</f>
        <v>1.3</v>
      </c>
      <c r="C189" s="1969" t="str">
        <f>IF(ENTRADAS!$F$22=0,0,"EXECUÇÃO DO TANQUE "&amp;D211)</f>
        <v>EXECUÇÃO DO TANQUE 3</v>
      </c>
      <c r="D189" s="358" t="str">
        <f>IF(ENTRADAS!$F$22=0,0,"início:")</f>
        <v>início:</v>
      </c>
      <c r="E189" s="359">
        <f ca="1">IF(D212&lt;D211,0,D217)</f>
        <v>45969.5</v>
      </c>
      <c r="F189" s="1971">
        <f ca="1">IF(D212&lt;D211,0,COUNTIF(H189:IK190,1000))</f>
        <v>52</v>
      </c>
      <c r="G189" s="1973" t="str">
        <f>IF(ENTRADAS!$F$22=0,0,"dias")</f>
        <v>dias</v>
      </c>
      <c r="H189" s="1953">
        <f ca="1">IF(OR(H201+H203+H205&gt;=10,H256=1000),1000,0)</f>
        <v>0</v>
      </c>
      <c r="I189" s="1955">
        <f ca="1">IF(OR(I201+I203+I205&gt;=10,I256=1000),1000,0)</f>
        <v>0</v>
      </c>
      <c r="J189" s="1955">
        <f t="shared" ref="J189:BU189" ca="1" si="210">IF(OR(J201+J203+J205&gt;=10,J256=1000),1000,0)</f>
        <v>0</v>
      </c>
      <c r="K189" s="1955">
        <f t="shared" ca="1" si="210"/>
        <v>0</v>
      </c>
      <c r="L189" s="1955">
        <f t="shared" ca="1" si="210"/>
        <v>0</v>
      </c>
      <c r="M189" s="1955">
        <f t="shared" ca="1" si="210"/>
        <v>0</v>
      </c>
      <c r="N189" s="1951">
        <f t="shared" ca="1" si="210"/>
        <v>0</v>
      </c>
      <c r="O189" s="1953">
        <f t="shared" ca="1" si="210"/>
        <v>0</v>
      </c>
      <c r="P189" s="1955">
        <f t="shared" ca="1" si="210"/>
        <v>0</v>
      </c>
      <c r="Q189" s="1955">
        <f t="shared" ca="1" si="210"/>
        <v>0</v>
      </c>
      <c r="R189" s="1955">
        <f t="shared" ca="1" si="210"/>
        <v>0</v>
      </c>
      <c r="S189" s="1955">
        <f t="shared" ca="1" si="210"/>
        <v>0</v>
      </c>
      <c r="T189" s="1955">
        <f t="shared" ca="1" si="210"/>
        <v>0</v>
      </c>
      <c r="U189" s="1951">
        <f t="shared" ca="1" si="210"/>
        <v>0</v>
      </c>
      <c r="V189" s="1953">
        <f t="shared" ca="1" si="210"/>
        <v>0</v>
      </c>
      <c r="W189" s="1955">
        <f t="shared" ca="1" si="210"/>
        <v>0</v>
      </c>
      <c r="X189" s="1955">
        <f t="shared" ca="1" si="210"/>
        <v>0</v>
      </c>
      <c r="Y189" s="1955">
        <f t="shared" ca="1" si="210"/>
        <v>0</v>
      </c>
      <c r="Z189" s="1955">
        <f t="shared" ca="1" si="210"/>
        <v>0</v>
      </c>
      <c r="AA189" s="1955">
        <f t="shared" ca="1" si="210"/>
        <v>0</v>
      </c>
      <c r="AB189" s="1951">
        <f t="shared" ca="1" si="210"/>
        <v>0</v>
      </c>
      <c r="AC189" s="1953">
        <f t="shared" ca="1" si="210"/>
        <v>0</v>
      </c>
      <c r="AD189" s="1955">
        <f t="shared" ca="1" si="210"/>
        <v>0</v>
      </c>
      <c r="AE189" s="1955">
        <f t="shared" ca="1" si="210"/>
        <v>0</v>
      </c>
      <c r="AF189" s="1955">
        <f t="shared" ca="1" si="210"/>
        <v>0</v>
      </c>
      <c r="AG189" s="1955">
        <f t="shared" ca="1" si="210"/>
        <v>0</v>
      </c>
      <c r="AH189" s="1955">
        <f t="shared" ca="1" si="210"/>
        <v>0</v>
      </c>
      <c r="AI189" s="1951">
        <f t="shared" ca="1" si="210"/>
        <v>0</v>
      </c>
      <c r="AJ189" s="1953">
        <f t="shared" ca="1" si="210"/>
        <v>0</v>
      </c>
      <c r="AK189" s="1955">
        <f t="shared" ca="1" si="210"/>
        <v>0</v>
      </c>
      <c r="AL189" s="1955">
        <f t="shared" ca="1" si="210"/>
        <v>0</v>
      </c>
      <c r="AM189" s="1955">
        <f t="shared" ca="1" si="210"/>
        <v>0</v>
      </c>
      <c r="AN189" s="1955">
        <f t="shared" ca="1" si="210"/>
        <v>0</v>
      </c>
      <c r="AO189" s="1955">
        <f t="shared" ca="1" si="210"/>
        <v>0</v>
      </c>
      <c r="AP189" s="1951">
        <f t="shared" ca="1" si="210"/>
        <v>0</v>
      </c>
      <c r="AQ189" s="1953">
        <f t="shared" ca="1" si="210"/>
        <v>0</v>
      </c>
      <c r="AR189" s="1955">
        <f t="shared" ca="1" si="210"/>
        <v>0</v>
      </c>
      <c r="AS189" s="1955">
        <f t="shared" ca="1" si="210"/>
        <v>0</v>
      </c>
      <c r="AT189" s="1955">
        <f t="shared" ca="1" si="210"/>
        <v>0</v>
      </c>
      <c r="AU189" s="1955">
        <f t="shared" ca="1" si="210"/>
        <v>0</v>
      </c>
      <c r="AV189" s="1955">
        <f t="shared" ca="1" si="210"/>
        <v>0</v>
      </c>
      <c r="AW189" s="1951">
        <f t="shared" ca="1" si="210"/>
        <v>0</v>
      </c>
      <c r="AX189" s="1953">
        <f t="shared" ca="1" si="210"/>
        <v>0</v>
      </c>
      <c r="AY189" s="1955">
        <f t="shared" ca="1" si="210"/>
        <v>0</v>
      </c>
      <c r="AZ189" s="1955">
        <f t="shared" ca="1" si="210"/>
        <v>0</v>
      </c>
      <c r="BA189" s="1955">
        <f t="shared" ca="1" si="210"/>
        <v>0</v>
      </c>
      <c r="BB189" s="1955">
        <f t="shared" ca="1" si="210"/>
        <v>0</v>
      </c>
      <c r="BC189" s="1955">
        <f t="shared" ca="1" si="210"/>
        <v>0</v>
      </c>
      <c r="BD189" s="1951">
        <f t="shared" ca="1" si="210"/>
        <v>0</v>
      </c>
      <c r="BE189" s="1953">
        <f t="shared" ca="1" si="210"/>
        <v>0</v>
      </c>
      <c r="BF189" s="1955">
        <f t="shared" ca="1" si="210"/>
        <v>0</v>
      </c>
      <c r="BG189" s="1955">
        <f t="shared" ca="1" si="210"/>
        <v>0</v>
      </c>
      <c r="BH189" s="1955">
        <f t="shared" ca="1" si="210"/>
        <v>0</v>
      </c>
      <c r="BI189" s="1955">
        <f t="shared" ca="1" si="210"/>
        <v>0</v>
      </c>
      <c r="BJ189" s="1955">
        <f t="shared" ca="1" si="210"/>
        <v>0</v>
      </c>
      <c r="BK189" s="1951">
        <f t="shared" ca="1" si="210"/>
        <v>0</v>
      </c>
      <c r="BL189" s="1953">
        <f t="shared" ca="1" si="210"/>
        <v>1000</v>
      </c>
      <c r="BM189" s="1955">
        <f t="shared" ca="1" si="210"/>
        <v>1000</v>
      </c>
      <c r="BN189" s="1955">
        <f t="shared" ca="1" si="210"/>
        <v>1000</v>
      </c>
      <c r="BO189" s="1955">
        <f t="shared" ca="1" si="210"/>
        <v>1000</v>
      </c>
      <c r="BP189" s="1955">
        <f t="shared" ca="1" si="210"/>
        <v>1000</v>
      </c>
      <c r="BQ189" s="1955">
        <f t="shared" ca="1" si="210"/>
        <v>1000</v>
      </c>
      <c r="BR189" s="1951">
        <f t="shared" ca="1" si="210"/>
        <v>1000</v>
      </c>
      <c r="BS189" s="1953">
        <f t="shared" ca="1" si="210"/>
        <v>1000</v>
      </c>
      <c r="BT189" s="1955">
        <f t="shared" ca="1" si="210"/>
        <v>1000</v>
      </c>
      <c r="BU189" s="1955">
        <f t="shared" ca="1" si="210"/>
        <v>1000</v>
      </c>
      <c r="BV189" s="1955">
        <f t="shared" ref="BV189:EG189" ca="1" si="211">IF(OR(BV201+BV203+BV205&gt;=10,BV256=1000),1000,0)</f>
        <v>1000</v>
      </c>
      <c r="BW189" s="1955">
        <f t="shared" ca="1" si="211"/>
        <v>1000</v>
      </c>
      <c r="BX189" s="1955">
        <f t="shared" ca="1" si="211"/>
        <v>1000</v>
      </c>
      <c r="BY189" s="1951">
        <f t="shared" ca="1" si="211"/>
        <v>1000</v>
      </c>
      <c r="BZ189" s="1953">
        <f t="shared" ca="1" si="211"/>
        <v>1000</v>
      </c>
      <c r="CA189" s="1955">
        <f t="shared" ca="1" si="211"/>
        <v>1000</v>
      </c>
      <c r="CB189" s="1955">
        <f t="shared" ca="1" si="211"/>
        <v>1000</v>
      </c>
      <c r="CC189" s="1955">
        <f t="shared" ca="1" si="211"/>
        <v>1000</v>
      </c>
      <c r="CD189" s="1955">
        <f t="shared" ca="1" si="211"/>
        <v>1000</v>
      </c>
      <c r="CE189" s="1955">
        <f t="shared" ca="1" si="211"/>
        <v>1000</v>
      </c>
      <c r="CF189" s="1951">
        <f t="shared" ca="1" si="211"/>
        <v>1000</v>
      </c>
      <c r="CG189" s="1953">
        <f t="shared" ca="1" si="211"/>
        <v>1000</v>
      </c>
      <c r="CH189" s="1955">
        <f t="shared" ca="1" si="211"/>
        <v>1000</v>
      </c>
      <c r="CI189" s="1955">
        <f t="shared" ca="1" si="211"/>
        <v>1000</v>
      </c>
      <c r="CJ189" s="1955">
        <f t="shared" ca="1" si="211"/>
        <v>1000</v>
      </c>
      <c r="CK189" s="1955">
        <f t="shared" ca="1" si="211"/>
        <v>1000</v>
      </c>
      <c r="CL189" s="1955">
        <f t="shared" ca="1" si="211"/>
        <v>1000</v>
      </c>
      <c r="CM189" s="1951">
        <f t="shared" ca="1" si="211"/>
        <v>1000</v>
      </c>
      <c r="CN189" s="1953">
        <f t="shared" ca="1" si="211"/>
        <v>1000</v>
      </c>
      <c r="CO189" s="1955">
        <f t="shared" ca="1" si="211"/>
        <v>1000</v>
      </c>
      <c r="CP189" s="1955">
        <f t="shared" ca="1" si="211"/>
        <v>1000</v>
      </c>
      <c r="CQ189" s="1955">
        <f t="shared" ca="1" si="211"/>
        <v>1000</v>
      </c>
      <c r="CR189" s="1955">
        <f t="shared" ca="1" si="211"/>
        <v>1000</v>
      </c>
      <c r="CS189" s="1955">
        <f t="shared" ca="1" si="211"/>
        <v>1000</v>
      </c>
      <c r="CT189" s="1951">
        <f t="shared" ca="1" si="211"/>
        <v>1000</v>
      </c>
      <c r="CU189" s="1953">
        <f t="shared" ca="1" si="211"/>
        <v>1000</v>
      </c>
      <c r="CV189" s="1955">
        <f t="shared" ca="1" si="211"/>
        <v>1000</v>
      </c>
      <c r="CW189" s="1955">
        <f t="shared" ca="1" si="211"/>
        <v>1000</v>
      </c>
      <c r="CX189" s="1955">
        <f t="shared" ca="1" si="211"/>
        <v>1000</v>
      </c>
      <c r="CY189" s="1955">
        <f t="shared" ca="1" si="211"/>
        <v>1000</v>
      </c>
      <c r="CZ189" s="1955">
        <f t="shared" ca="1" si="211"/>
        <v>1000</v>
      </c>
      <c r="DA189" s="1951">
        <f t="shared" ca="1" si="211"/>
        <v>1000</v>
      </c>
      <c r="DB189" s="1953">
        <f t="shared" ca="1" si="211"/>
        <v>1000</v>
      </c>
      <c r="DC189" s="1955">
        <f t="shared" ca="1" si="211"/>
        <v>1000</v>
      </c>
      <c r="DD189" s="1955">
        <f t="shared" ca="1" si="211"/>
        <v>1000</v>
      </c>
      <c r="DE189" s="1955">
        <f t="shared" ca="1" si="211"/>
        <v>1000</v>
      </c>
      <c r="DF189" s="1955">
        <f t="shared" ca="1" si="211"/>
        <v>1000</v>
      </c>
      <c r="DG189" s="1955">
        <f t="shared" ca="1" si="211"/>
        <v>1000</v>
      </c>
      <c r="DH189" s="1951">
        <f t="shared" ca="1" si="211"/>
        <v>1000</v>
      </c>
      <c r="DI189" s="1953">
        <f t="shared" ca="1" si="211"/>
        <v>1000</v>
      </c>
      <c r="DJ189" s="1955">
        <f t="shared" ca="1" si="211"/>
        <v>1000</v>
      </c>
      <c r="DK189" s="1955">
        <f t="shared" ca="1" si="211"/>
        <v>1000</v>
      </c>
      <c r="DL189" s="1955">
        <f t="shared" ca="1" si="211"/>
        <v>0</v>
      </c>
      <c r="DM189" s="1955">
        <f t="shared" ca="1" si="211"/>
        <v>0</v>
      </c>
      <c r="DN189" s="1955">
        <f t="shared" ca="1" si="211"/>
        <v>0</v>
      </c>
      <c r="DO189" s="1951">
        <f t="shared" ca="1" si="211"/>
        <v>0</v>
      </c>
      <c r="DP189" s="1953">
        <f t="shared" ca="1" si="211"/>
        <v>0</v>
      </c>
      <c r="DQ189" s="1955">
        <f t="shared" ca="1" si="211"/>
        <v>0</v>
      </c>
      <c r="DR189" s="1955">
        <f t="shared" ca="1" si="211"/>
        <v>0</v>
      </c>
      <c r="DS189" s="1955">
        <f t="shared" ca="1" si="211"/>
        <v>0</v>
      </c>
      <c r="DT189" s="1955">
        <f t="shared" ca="1" si="211"/>
        <v>0</v>
      </c>
      <c r="DU189" s="1955">
        <f t="shared" ca="1" si="211"/>
        <v>0</v>
      </c>
      <c r="DV189" s="1951">
        <f t="shared" ca="1" si="211"/>
        <v>0</v>
      </c>
      <c r="DW189" s="1953">
        <f t="shared" ca="1" si="211"/>
        <v>0</v>
      </c>
      <c r="DX189" s="1955">
        <f t="shared" ca="1" si="211"/>
        <v>0</v>
      </c>
      <c r="DY189" s="1955">
        <f t="shared" ca="1" si="211"/>
        <v>0</v>
      </c>
      <c r="DZ189" s="1955">
        <f t="shared" ca="1" si="211"/>
        <v>0</v>
      </c>
      <c r="EA189" s="1955">
        <f t="shared" ca="1" si="211"/>
        <v>0</v>
      </c>
      <c r="EB189" s="1955">
        <f t="shared" ca="1" si="211"/>
        <v>0</v>
      </c>
      <c r="EC189" s="1951">
        <f t="shared" ca="1" si="211"/>
        <v>0</v>
      </c>
      <c r="ED189" s="1953">
        <f t="shared" ca="1" si="211"/>
        <v>0</v>
      </c>
      <c r="EE189" s="1955">
        <f t="shared" ca="1" si="211"/>
        <v>0</v>
      </c>
      <c r="EF189" s="1955">
        <f t="shared" ca="1" si="211"/>
        <v>0</v>
      </c>
      <c r="EG189" s="1955">
        <f t="shared" ca="1" si="211"/>
        <v>0</v>
      </c>
      <c r="EH189" s="1955">
        <f t="shared" ref="EH189:GS189" ca="1" si="212">IF(OR(EH201+EH203+EH205&gt;=10,EH256=1000),1000,0)</f>
        <v>0</v>
      </c>
      <c r="EI189" s="1955">
        <f t="shared" ca="1" si="212"/>
        <v>0</v>
      </c>
      <c r="EJ189" s="1951">
        <f t="shared" ca="1" si="212"/>
        <v>0</v>
      </c>
      <c r="EK189" s="1953">
        <f t="shared" ca="1" si="212"/>
        <v>0</v>
      </c>
      <c r="EL189" s="1955">
        <f t="shared" ca="1" si="212"/>
        <v>0</v>
      </c>
      <c r="EM189" s="1955">
        <f t="shared" ca="1" si="212"/>
        <v>0</v>
      </c>
      <c r="EN189" s="1955">
        <f t="shared" ca="1" si="212"/>
        <v>0</v>
      </c>
      <c r="EO189" s="1955">
        <f t="shared" ca="1" si="212"/>
        <v>0</v>
      </c>
      <c r="EP189" s="1955">
        <f t="shared" ca="1" si="212"/>
        <v>0</v>
      </c>
      <c r="EQ189" s="1951">
        <f t="shared" ca="1" si="212"/>
        <v>0</v>
      </c>
      <c r="ER189" s="1953">
        <f t="shared" ca="1" si="212"/>
        <v>0</v>
      </c>
      <c r="ES189" s="1955">
        <f t="shared" ca="1" si="212"/>
        <v>0</v>
      </c>
      <c r="ET189" s="1955">
        <f t="shared" ca="1" si="212"/>
        <v>0</v>
      </c>
      <c r="EU189" s="1955">
        <f t="shared" ca="1" si="212"/>
        <v>0</v>
      </c>
      <c r="EV189" s="1955">
        <f t="shared" ca="1" si="212"/>
        <v>0</v>
      </c>
      <c r="EW189" s="1955">
        <f t="shared" ca="1" si="212"/>
        <v>0</v>
      </c>
      <c r="EX189" s="1951">
        <f t="shared" ca="1" si="212"/>
        <v>0</v>
      </c>
      <c r="EY189" s="1953">
        <f t="shared" ca="1" si="212"/>
        <v>0</v>
      </c>
      <c r="EZ189" s="1955">
        <f t="shared" ca="1" si="212"/>
        <v>0</v>
      </c>
      <c r="FA189" s="1955">
        <f t="shared" ca="1" si="212"/>
        <v>0</v>
      </c>
      <c r="FB189" s="1955">
        <f t="shared" ca="1" si="212"/>
        <v>0</v>
      </c>
      <c r="FC189" s="1955">
        <f t="shared" ca="1" si="212"/>
        <v>0</v>
      </c>
      <c r="FD189" s="1955">
        <f t="shared" ca="1" si="212"/>
        <v>0</v>
      </c>
      <c r="FE189" s="1951">
        <f t="shared" ca="1" si="212"/>
        <v>0</v>
      </c>
      <c r="FF189" s="1953">
        <f t="shared" ca="1" si="212"/>
        <v>0</v>
      </c>
      <c r="FG189" s="1955">
        <f t="shared" ca="1" si="212"/>
        <v>0</v>
      </c>
      <c r="FH189" s="1955">
        <f t="shared" ca="1" si="212"/>
        <v>0</v>
      </c>
      <c r="FI189" s="1955">
        <f t="shared" ca="1" si="212"/>
        <v>0</v>
      </c>
      <c r="FJ189" s="1955">
        <f t="shared" ca="1" si="212"/>
        <v>0</v>
      </c>
      <c r="FK189" s="1955">
        <f t="shared" ca="1" si="212"/>
        <v>0</v>
      </c>
      <c r="FL189" s="1951">
        <f t="shared" ca="1" si="212"/>
        <v>0</v>
      </c>
      <c r="FM189" s="1953">
        <f t="shared" ca="1" si="212"/>
        <v>0</v>
      </c>
      <c r="FN189" s="1955">
        <f t="shared" ca="1" si="212"/>
        <v>0</v>
      </c>
      <c r="FO189" s="1955">
        <f t="shared" ca="1" si="212"/>
        <v>0</v>
      </c>
      <c r="FP189" s="1955">
        <f t="shared" ca="1" si="212"/>
        <v>0</v>
      </c>
      <c r="FQ189" s="1955">
        <f t="shared" ca="1" si="212"/>
        <v>0</v>
      </c>
      <c r="FR189" s="1955">
        <f t="shared" ca="1" si="212"/>
        <v>0</v>
      </c>
      <c r="FS189" s="1951">
        <f t="shared" ca="1" si="212"/>
        <v>0</v>
      </c>
      <c r="FT189" s="1953">
        <f t="shared" ca="1" si="212"/>
        <v>0</v>
      </c>
      <c r="FU189" s="1955">
        <f t="shared" ca="1" si="212"/>
        <v>0</v>
      </c>
      <c r="FV189" s="1955">
        <f t="shared" ca="1" si="212"/>
        <v>0</v>
      </c>
      <c r="FW189" s="1955">
        <f t="shared" ca="1" si="212"/>
        <v>0</v>
      </c>
      <c r="FX189" s="1955">
        <f t="shared" ca="1" si="212"/>
        <v>0</v>
      </c>
      <c r="FY189" s="1955">
        <f t="shared" ca="1" si="212"/>
        <v>0</v>
      </c>
      <c r="FZ189" s="1951">
        <f t="shared" ca="1" si="212"/>
        <v>0</v>
      </c>
      <c r="GA189" s="1953">
        <f t="shared" ca="1" si="212"/>
        <v>0</v>
      </c>
      <c r="GB189" s="1955">
        <f t="shared" ca="1" si="212"/>
        <v>0</v>
      </c>
      <c r="GC189" s="1955">
        <f t="shared" ca="1" si="212"/>
        <v>0</v>
      </c>
      <c r="GD189" s="1955">
        <f t="shared" ca="1" si="212"/>
        <v>0</v>
      </c>
      <c r="GE189" s="1955">
        <f t="shared" ca="1" si="212"/>
        <v>0</v>
      </c>
      <c r="GF189" s="1955">
        <f t="shared" ca="1" si="212"/>
        <v>0</v>
      </c>
      <c r="GG189" s="1951">
        <f t="shared" ca="1" si="212"/>
        <v>0</v>
      </c>
      <c r="GH189" s="1953">
        <f t="shared" ca="1" si="212"/>
        <v>0</v>
      </c>
      <c r="GI189" s="1955">
        <f t="shared" ca="1" si="212"/>
        <v>0</v>
      </c>
      <c r="GJ189" s="1955">
        <f t="shared" ca="1" si="212"/>
        <v>0</v>
      </c>
      <c r="GK189" s="1955">
        <f t="shared" ca="1" si="212"/>
        <v>0</v>
      </c>
      <c r="GL189" s="1955">
        <f t="shared" ca="1" si="212"/>
        <v>0</v>
      </c>
      <c r="GM189" s="1955">
        <f t="shared" ca="1" si="212"/>
        <v>0</v>
      </c>
      <c r="GN189" s="1951">
        <f t="shared" ca="1" si="212"/>
        <v>0</v>
      </c>
      <c r="GO189" s="1953">
        <f t="shared" ca="1" si="212"/>
        <v>0</v>
      </c>
      <c r="GP189" s="1955">
        <f t="shared" ca="1" si="212"/>
        <v>0</v>
      </c>
      <c r="GQ189" s="1955">
        <f t="shared" ca="1" si="212"/>
        <v>0</v>
      </c>
      <c r="GR189" s="1955">
        <f t="shared" ca="1" si="212"/>
        <v>0</v>
      </c>
      <c r="GS189" s="1955">
        <f t="shared" ca="1" si="212"/>
        <v>0</v>
      </c>
      <c r="GT189" s="1955">
        <f t="shared" ref="GT189:IK189" ca="1" si="213">IF(OR(GT201+GT203+GT205&gt;=10,GT256=1000),1000,0)</f>
        <v>0</v>
      </c>
      <c r="GU189" s="1951">
        <f t="shared" ca="1" si="213"/>
        <v>0</v>
      </c>
      <c r="GV189" s="1953">
        <f t="shared" ca="1" si="213"/>
        <v>0</v>
      </c>
      <c r="GW189" s="1955">
        <f t="shared" ca="1" si="213"/>
        <v>0</v>
      </c>
      <c r="GX189" s="1955">
        <f t="shared" ca="1" si="213"/>
        <v>0</v>
      </c>
      <c r="GY189" s="1955">
        <f t="shared" ca="1" si="213"/>
        <v>0</v>
      </c>
      <c r="GZ189" s="1955">
        <f t="shared" ca="1" si="213"/>
        <v>0</v>
      </c>
      <c r="HA189" s="1955">
        <f t="shared" ca="1" si="213"/>
        <v>0</v>
      </c>
      <c r="HB189" s="1951">
        <f t="shared" ca="1" si="213"/>
        <v>0</v>
      </c>
      <c r="HC189" s="1953">
        <f t="shared" ca="1" si="213"/>
        <v>0</v>
      </c>
      <c r="HD189" s="1955">
        <f t="shared" ca="1" si="213"/>
        <v>0</v>
      </c>
      <c r="HE189" s="1955">
        <f t="shared" ca="1" si="213"/>
        <v>0</v>
      </c>
      <c r="HF189" s="1955">
        <f t="shared" ca="1" si="213"/>
        <v>0</v>
      </c>
      <c r="HG189" s="1955">
        <f t="shared" ca="1" si="213"/>
        <v>0</v>
      </c>
      <c r="HH189" s="1955">
        <f t="shared" ca="1" si="213"/>
        <v>0</v>
      </c>
      <c r="HI189" s="1951">
        <f t="shared" ca="1" si="213"/>
        <v>0</v>
      </c>
      <c r="HJ189" s="1953">
        <f t="shared" ca="1" si="213"/>
        <v>0</v>
      </c>
      <c r="HK189" s="1955">
        <f t="shared" ca="1" si="213"/>
        <v>0</v>
      </c>
      <c r="HL189" s="1955">
        <f t="shared" ca="1" si="213"/>
        <v>0</v>
      </c>
      <c r="HM189" s="1955">
        <f t="shared" ca="1" si="213"/>
        <v>0</v>
      </c>
      <c r="HN189" s="1955">
        <f t="shared" ca="1" si="213"/>
        <v>0</v>
      </c>
      <c r="HO189" s="1955">
        <f t="shared" ca="1" si="213"/>
        <v>0</v>
      </c>
      <c r="HP189" s="1951">
        <f t="shared" ca="1" si="213"/>
        <v>0</v>
      </c>
      <c r="HQ189" s="1953">
        <f t="shared" ca="1" si="213"/>
        <v>0</v>
      </c>
      <c r="HR189" s="1955">
        <f t="shared" ca="1" si="213"/>
        <v>0</v>
      </c>
      <c r="HS189" s="1955">
        <f t="shared" ca="1" si="213"/>
        <v>0</v>
      </c>
      <c r="HT189" s="1955">
        <f t="shared" ca="1" si="213"/>
        <v>0</v>
      </c>
      <c r="HU189" s="1955">
        <f t="shared" ca="1" si="213"/>
        <v>0</v>
      </c>
      <c r="HV189" s="1955">
        <f t="shared" ca="1" si="213"/>
        <v>0</v>
      </c>
      <c r="HW189" s="1951">
        <f t="shared" ca="1" si="213"/>
        <v>0</v>
      </c>
      <c r="HX189" s="1953">
        <f t="shared" ca="1" si="213"/>
        <v>0</v>
      </c>
      <c r="HY189" s="1955">
        <f t="shared" ca="1" si="213"/>
        <v>0</v>
      </c>
      <c r="HZ189" s="1955">
        <f t="shared" ca="1" si="213"/>
        <v>0</v>
      </c>
      <c r="IA189" s="1955">
        <f t="shared" ca="1" si="213"/>
        <v>0</v>
      </c>
      <c r="IB189" s="1955">
        <f t="shared" ca="1" si="213"/>
        <v>0</v>
      </c>
      <c r="IC189" s="1955">
        <f t="shared" ca="1" si="213"/>
        <v>0</v>
      </c>
      <c r="ID189" s="1951">
        <f t="shared" ca="1" si="213"/>
        <v>0</v>
      </c>
      <c r="IE189" s="1953">
        <f t="shared" ca="1" si="213"/>
        <v>0</v>
      </c>
      <c r="IF189" s="1955">
        <f t="shared" ca="1" si="213"/>
        <v>0</v>
      </c>
      <c r="IG189" s="1955">
        <f t="shared" ca="1" si="213"/>
        <v>0</v>
      </c>
      <c r="IH189" s="1955">
        <f t="shared" ca="1" si="213"/>
        <v>0</v>
      </c>
      <c r="II189" s="1955">
        <f t="shared" ca="1" si="213"/>
        <v>0</v>
      </c>
      <c r="IJ189" s="1955">
        <f t="shared" ca="1" si="213"/>
        <v>0</v>
      </c>
      <c r="IK189" s="1951">
        <f t="shared" ca="1" si="213"/>
        <v>0</v>
      </c>
    </row>
    <row r="190" spans="1:245" ht="8.1" customHeight="1" x14ac:dyDescent="0.35">
      <c r="A190" s="195" t="str">
        <f>IF(B189=0,0,"XXX")</f>
        <v>XXX</v>
      </c>
      <c r="B190" s="1968"/>
      <c r="C190" s="1970"/>
      <c r="D190" s="360" t="str">
        <f>IF(ENTRADAS!$F$22=0,0,"término:")</f>
        <v>término:</v>
      </c>
      <c r="E190" s="361">
        <f ca="1">IF(D212&lt;D211,0,IF(ENTRADAS!$D$912&lt;&gt;0,E200,E198))</f>
        <v>46020.487500000003</v>
      </c>
      <c r="F190" s="1972"/>
      <c r="G190" s="1974"/>
      <c r="H190" s="1954"/>
      <c r="I190" s="1956"/>
      <c r="J190" s="1956"/>
      <c r="K190" s="1956"/>
      <c r="L190" s="1956"/>
      <c r="M190" s="1956"/>
      <c r="N190" s="1952"/>
      <c r="O190" s="1954"/>
      <c r="P190" s="1956"/>
      <c r="Q190" s="1956"/>
      <c r="R190" s="1956"/>
      <c r="S190" s="1956"/>
      <c r="T190" s="1956"/>
      <c r="U190" s="1952"/>
      <c r="V190" s="1954"/>
      <c r="W190" s="1956"/>
      <c r="X190" s="1956"/>
      <c r="Y190" s="1956"/>
      <c r="Z190" s="1956"/>
      <c r="AA190" s="1956"/>
      <c r="AB190" s="1952"/>
      <c r="AC190" s="1954"/>
      <c r="AD190" s="1956"/>
      <c r="AE190" s="1956"/>
      <c r="AF190" s="1956"/>
      <c r="AG190" s="1956"/>
      <c r="AH190" s="1956"/>
      <c r="AI190" s="1952"/>
      <c r="AJ190" s="1954"/>
      <c r="AK190" s="1956"/>
      <c r="AL190" s="1956"/>
      <c r="AM190" s="1956"/>
      <c r="AN190" s="1956"/>
      <c r="AO190" s="1956"/>
      <c r="AP190" s="1952"/>
      <c r="AQ190" s="1954"/>
      <c r="AR190" s="1956"/>
      <c r="AS190" s="1956"/>
      <c r="AT190" s="1956"/>
      <c r="AU190" s="1956"/>
      <c r="AV190" s="1956"/>
      <c r="AW190" s="1952"/>
      <c r="AX190" s="1954"/>
      <c r="AY190" s="1956"/>
      <c r="AZ190" s="1956"/>
      <c r="BA190" s="1956"/>
      <c r="BB190" s="1956"/>
      <c r="BC190" s="1956"/>
      <c r="BD190" s="1952"/>
      <c r="BE190" s="1954"/>
      <c r="BF190" s="1956"/>
      <c r="BG190" s="1956"/>
      <c r="BH190" s="1956"/>
      <c r="BI190" s="1956"/>
      <c r="BJ190" s="1956"/>
      <c r="BK190" s="1952"/>
      <c r="BL190" s="1954"/>
      <c r="BM190" s="1956"/>
      <c r="BN190" s="1956"/>
      <c r="BO190" s="1956"/>
      <c r="BP190" s="1956"/>
      <c r="BQ190" s="1956"/>
      <c r="BR190" s="1952"/>
      <c r="BS190" s="1954"/>
      <c r="BT190" s="1956"/>
      <c r="BU190" s="1956"/>
      <c r="BV190" s="1956"/>
      <c r="BW190" s="1956"/>
      <c r="BX190" s="1956"/>
      <c r="BY190" s="1952"/>
      <c r="BZ190" s="1954"/>
      <c r="CA190" s="1956"/>
      <c r="CB190" s="1956"/>
      <c r="CC190" s="1956"/>
      <c r="CD190" s="1956"/>
      <c r="CE190" s="1956"/>
      <c r="CF190" s="1952"/>
      <c r="CG190" s="1954"/>
      <c r="CH190" s="1956"/>
      <c r="CI190" s="1956"/>
      <c r="CJ190" s="1956"/>
      <c r="CK190" s="1956"/>
      <c r="CL190" s="1956"/>
      <c r="CM190" s="1952"/>
      <c r="CN190" s="1954"/>
      <c r="CO190" s="1956"/>
      <c r="CP190" s="1956"/>
      <c r="CQ190" s="1956"/>
      <c r="CR190" s="1956"/>
      <c r="CS190" s="1956"/>
      <c r="CT190" s="1952"/>
      <c r="CU190" s="1954"/>
      <c r="CV190" s="1956"/>
      <c r="CW190" s="1956"/>
      <c r="CX190" s="1956"/>
      <c r="CY190" s="1956"/>
      <c r="CZ190" s="1956"/>
      <c r="DA190" s="1952"/>
      <c r="DB190" s="1954"/>
      <c r="DC190" s="1956"/>
      <c r="DD190" s="1956"/>
      <c r="DE190" s="1956"/>
      <c r="DF190" s="1956"/>
      <c r="DG190" s="1956"/>
      <c r="DH190" s="1952"/>
      <c r="DI190" s="1954"/>
      <c r="DJ190" s="1956"/>
      <c r="DK190" s="1956"/>
      <c r="DL190" s="1956"/>
      <c r="DM190" s="1956"/>
      <c r="DN190" s="1956"/>
      <c r="DO190" s="1952"/>
      <c r="DP190" s="1954"/>
      <c r="DQ190" s="1956"/>
      <c r="DR190" s="1956"/>
      <c r="DS190" s="1956"/>
      <c r="DT190" s="1956"/>
      <c r="DU190" s="1956"/>
      <c r="DV190" s="1952"/>
      <c r="DW190" s="1954"/>
      <c r="DX190" s="1956"/>
      <c r="DY190" s="1956"/>
      <c r="DZ190" s="1956"/>
      <c r="EA190" s="1956"/>
      <c r="EB190" s="1956"/>
      <c r="EC190" s="1952"/>
      <c r="ED190" s="1954"/>
      <c r="EE190" s="1956"/>
      <c r="EF190" s="1956"/>
      <c r="EG190" s="1956"/>
      <c r="EH190" s="1956"/>
      <c r="EI190" s="1956"/>
      <c r="EJ190" s="1952"/>
      <c r="EK190" s="1954"/>
      <c r="EL190" s="1956"/>
      <c r="EM190" s="1956"/>
      <c r="EN190" s="1956"/>
      <c r="EO190" s="1956"/>
      <c r="EP190" s="1956"/>
      <c r="EQ190" s="1952"/>
      <c r="ER190" s="1954"/>
      <c r="ES190" s="1956"/>
      <c r="ET190" s="1956"/>
      <c r="EU190" s="1956"/>
      <c r="EV190" s="1956"/>
      <c r="EW190" s="1956"/>
      <c r="EX190" s="1952"/>
      <c r="EY190" s="1954"/>
      <c r="EZ190" s="1956"/>
      <c r="FA190" s="1956"/>
      <c r="FB190" s="1956"/>
      <c r="FC190" s="1956"/>
      <c r="FD190" s="1956"/>
      <c r="FE190" s="1952"/>
      <c r="FF190" s="1954"/>
      <c r="FG190" s="1956"/>
      <c r="FH190" s="1956"/>
      <c r="FI190" s="1956"/>
      <c r="FJ190" s="1956"/>
      <c r="FK190" s="1956"/>
      <c r="FL190" s="1952"/>
      <c r="FM190" s="1954"/>
      <c r="FN190" s="1956"/>
      <c r="FO190" s="1956"/>
      <c r="FP190" s="1956"/>
      <c r="FQ190" s="1956"/>
      <c r="FR190" s="1956"/>
      <c r="FS190" s="1952"/>
      <c r="FT190" s="1954"/>
      <c r="FU190" s="1956"/>
      <c r="FV190" s="1956"/>
      <c r="FW190" s="1956"/>
      <c r="FX190" s="1956"/>
      <c r="FY190" s="1956"/>
      <c r="FZ190" s="1952"/>
      <c r="GA190" s="1954"/>
      <c r="GB190" s="1956"/>
      <c r="GC190" s="1956"/>
      <c r="GD190" s="1956"/>
      <c r="GE190" s="1956"/>
      <c r="GF190" s="1956"/>
      <c r="GG190" s="1952"/>
      <c r="GH190" s="1954"/>
      <c r="GI190" s="1956"/>
      <c r="GJ190" s="1956"/>
      <c r="GK190" s="1956"/>
      <c r="GL190" s="1956"/>
      <c r="GM190" s="1956"/>
      <c r="GN190" s="1952"/>
      <c r="GO190" s="1954"/>
      <c r="GP190" s="1956"/>
      <c r="GQ190" s="1956"/>
      <c r="GR190" s="1956"/>
      <c r="GS190" s="1956"/>
      <c r="GT190" s="1956"/>
      <c r="GU190" s="1952"/>
      <c r="GV190" s="1954"/>
      <c r="GW190" s="1956"/>
      <c r="GX190" s="1956"/>
      <c r="GY190" s="1956"/>
      <c r="GZ190" s="1956"/>
      <c r="HA190" s="1956"/>
      <c r="HB190" s="1952"/>
      <c r="HC190" s="1954"/>
      <c r="HD190" s="1956"/>
      <c r="HE190" s="1956"/>
      <c r="HF190" s="1956"/>
      <c r="HG190" s="1956"/>
      <c r="HH190" s="1956"/>
      <c r="HI190" s="1952"/>
      <c r="HJ190" s="1954"/>
      <c r="HK190" s="1956"/>
      <c r="HL190" s="1956"/>
      <c r="HM190" s="1956"/>
      <c r="HN190" s="1956"/>
      <c r="HO190" s="1956"/>
      <c r="HP190" s="1952"/>
      <c r="HQ190" s="1954"/>
      <c r="HR190" s="1956"/>
      <c r="HS190" s="1956"/>
      <c r="HT190" s="1956"/>
      <c r="HU190" s="1956"/>
      <c r="HV190" s="1956"/>
      <c r="HW190" s="1952"/>
      <c r="HX190" s="1954"/>
      <c r="HY190" s="1956"/>
      <c r="HZ190" s="1956"/>
      <c r="IA190" s="1956"/>
      <c r="IB190" s="1956"/>
      <c r="IC190" s="1956"/>
      <c r="ID190" s="1952"/>
      <c r="IE190" s="1954"/>
      <c r="IF190" s="1956"/>
      <c r="IG190" s="1956"/>
      <c r="IH190" s="1956"/>
      <c r="II190" s="1956"/>
      <c r="IJ190" s="1956"/>
      <c r="IK190" s="1952"/>
    </row>
    <row r="191" spans="1:245" ht="8.1" customHeight="1" x14ac:dyDescent="0.35">
      <c r="A191" s="195" t="str">
        <f>IF(B191=0,0,"XXX")</f>
        <v>XXX</v>
      </c>
      <c r="B191" s="1959" t="str">
        <f>IF(D212&lt;D211,0,"1.3.1")</f>
        <v>1.3.1</v>
      </c>
      <c r="C191" s="1965" t="str">
        <f>IF(ENTRADAS!$F$22=0,0,"CONFECÇÃO DE PAREDES")</f>
        <v>CONFECÇÃO DE PAREDES</v>
      </c>
      <c r="D191" s="358" t="str">
        <f>IF(ENTRADAS!$F$22=0,0,"início:")</f>
        <v>início:</v>
      </c>
      <c r="E191" s="359">
        <f ca="1">IF(D212&lt;D211,0,D217)</f>
        <v>45969.5</v>
      </c>
      <c r="F191" s="1961">
        <f ca="1">IF(D212&lt;D211,0,D216)</f>
        <v>25.25</v>
      </c>
      <c r="G191" s="1963" t="str">
        <f>IF(ENTRADAS!$F$22=0,0,"dias")</f>
        <v>dias</v>
      </c>
      <c r="H191" s="1947">
        <f t="shared" ref="H191:U191" ca="1" si="214">H216</f>
        <v>0</v>
      </c>
      <c r="I191" s="1947">
        <f t="shared" ca="1" si="214"/>
        <v>0</v>
      </c>
      <c r="J191" s="1947">
        <f t="shared" ca="1" si="214"/>
        <v>0</v>
      </c>
      <c r="K191" s="1947">
        <f t="shared" ca="1" si="214"/>
        <v>0</v>
      </c>
      <c r="L191" s="1947">
        <f t="shared" ca="1" si="214"/>
        <v>0</v>
      </c>
      <c r="M191" s="1947">
        <f t="shared" ca="1" si="214"/>
        <v>0</v>
      </c>
      <c r="N191" s="1949">
        <f t="shared" ca="1" si="214"/>
        <v>0</v>
      </c>
      <c r="O191" s="1947">
        <f t="shared" ca="1" si="214"/>
        <v>0</v>
      </c>
      <c r="P191" s="1947">
        <f t="shared" ca="1" si="214"/>
        <v>0</v>
      </c>
      <c r="Q191" s="1947">
        <f t="shared" ca="1" si="214"/>
        <v>0</v>
      </c>
      <c r="R191" s="1947">
        <f t="shared" ca="1" si="214"/>
        <v>0</v>
      </c>
      <c r="S191" s="1947">
        <f t="shared" ca="1" si="214"/>
        <v>0</v>
      </c>
      <c r="T191" s="1947">
        <f t="shared" ca="1" si="214"/>
        <v>0</v>
      </c>
      <c r="U191" s="1949">
        <f t="shared" ca="1" si="214"/>
        <v>0</v>
      </c>
      <c r="V191" s="1947">
        <f ca="1">V216</f>
        <v>0</v>
      </c>
      <c r="W191" s="1947">
        <f t="shared" ref="W191:AB191" ca="1" si="215">W216</f>
        <v>0</v>
      </c>
      <c r="X191" s="1947">
        <f t="shared" ca="1" si="215"/>
        <v>0</v>
      </c>
      <c r="Y191" s="1947">
        <f t="shared" ca="1" si="215"/>
        <v>0</v>
      </c>
      <c r="Z191" s="1947">
        <f t="shared" ca="1" si="215"/>
        <v>0</v>
      </c>
      <c r="AA191" s="1947">
        <f t="shared" ca="1" si="215"/>
        <v>0</v>
      </c>
      <c r="AB191" s="1949">
        <f t="shared" ca="1" si="215"/>
        <v>0</v>
      </c>
      <c r="AC191" s="1947">
        <f ca="1">AC216</f>
        <v>0</v>
      </c>
      <c r="AD191" s="1947">
        <f t="shared" ref="AD191:AI191" ca="1" si="216">AD216</f>
        <v>0</v>
      </c>
      <c r="AE191" s="1947">
        <f t="shared" ca="1" si="216"/>
        <v>0</v>
      </c>
      <c r="AF191" s="1947">
        <f t="shared" ca="1" si="216"/>
        <v>0</v>
      </c>
      <c r="AG191" s="1947">
        <f t="shared" ca="1" si="216"/>
        <v>0</v>
      </c>
      <c r="AH191" s="1947">
        <f t="shared" ca="1" si="216"/>
        <v>0</v>
      </c>
      <c r="AI191" s="1949">
        <f t="shared" ca="1" si="216"/>
        <v>0</v>
      </c>
      <c r="AJ191" s="1947">
        <f ca="1">AJ216</f>
        <v>0</v>
      </c>
      <c r="AK191" s="1947">
        <f t="shared" ref="AK191:AP191" ca="1" si="217">AK216</f>
        <v>0</v>
      </c>
      <c r="AL191" s="1947">
        <f t="shared" ca="1" si="217"/>
        <v>0</v>
      </c>
      <c r="AM191" s="1947">
        <f t="shared" ca="1" si="217"/>
        <v>0</v>
      </c>
      <c r="AN191" s="1947">
        <f t="shared" ca="1" si="217"/>
        <v>0</v>
      </c>
      <c r="AO191" s="1947">
        <f t="shared" ca="1" si="217"/>
        <v>0</v>
      </c>
      <c r="AP191" s="1949">
        <f t="shared" ca="1" si="217"/>
        <v>0</v>
      </c>
      <c r="AQ191" s="1947">
        <f ca="1">AQ216</f>
        <v>0</v>
      </c>
      <c r="AR191" s="1947">
        <f t="shared" ref="AR191:AW191" ca="1" si="218">AR216</f>
        <v>0</v>
      </c>
      <c r="AS191" s="1947">
        <f t="shared" ca="1" si="218"/>
        <v>0</v>
      </c>
      <c r="AT191" s="1947">
        <f t="shared" ca="1" si="218"/>
        <v>0</v>
      </c>
      <c r="AU191" s="1947">
        <f t="shared" ca="1" si="218"/>
        <v>0</v>
      </c>
      <c r="AV191" s="1947">
        <f t="shared" ca="1" si="218"/>
        <v>0</v>
      </c>
      <c r="AW191" s="1949">
        <f t="shared" ca="1" si="218"/>
        <v>0</v>
      </c>
      <c r="AX191" s="1947">
        <f ca="1">AX216</f>
        <v>0</v>
      </c>
      <c r="AY191" s="1947">
        <f t="shared" ref="AY191:BD191" ca="1" si="219">AY216</f>
        <v>0</v>
      </c>
      <c r="AZ191" s="1947">
        <f t="shared" ca="1" si="219"/>
        <v>0</v>
      </c>
      <c r="BA191" s="1947">
        <f t="shared" ca="1" si="219"/>
        <v>0</v>
      </c>
      <c r="BB191" s="1947">
        <f t="shared" ca="1" si="219"/>
        <v>0</v>
      </c>
      <c r="BC191" s="1947">
        <f t="shared" ca="1" si="219"/>
        <v>0</v>
      </c>
      <c r="BD191" s="1949">
        <f t="shared" ca="1" si="219"/>
        <v>0</v>
      </c>
      <c r="BE191" s="1947">
        <f ca="1">BE216</f>
        <v>0</v>
      </c>
      <c r="BF191" s="1947">
        <f t="shared" ref="BF191:BK191" ca="1" si="220">BF216</f>
        <v>0</v>
      </c>
      <c r="BG191" s="1947">
        <f t="shared" ca="1" si="220"/>
        <v>0</v>
      </c>
      <c r="BH191" s="1947">
        <f t="shared" ca="1" si="220"/>
        <v>0</v>
      </c>
      <c r="BI191" s="1947">
        <f t="shared" ca="1" si="220"/>
        <v>0</v>
      </c>
      <c r="BJ191" s="1947">
        <f t="shared" ca="1" si="220"/>
        <v>0</v>
      </c>
      <c r="BK191" s="1949">
        <f t="shared" ca="1" si="220"/>
        <v>0</v>
      </c>
      <c r="BL191" s="1947">
        <f ca="1">BL216</f>
        <v>10</v>
      </c>
      <c r="BM191" s="1947">
        <f t="shared" ref="BM191:BR191" ca="1" si="221">BM216</f>
        <v>10</v>
      </c>
      <c r="BN191" s="1947">
        <f t="shared" ca="1" si="221"/>
        <v>10</v>
      </c>
      <c r="BO191" s="1947">
        <f t="shared" ca="1" si="221"/>
        <v>10</v>
      </c>
      <c r="BP191" s="1947">
        <f t="shared" ca="1" si="221"/>
        <v>10</v>
      </c>
      <c r="BQ191" s="1947">
        <f t="shared" ca="1" si="221"/>
        <v>10</v>
      </c>
      <c r="BR191" s="1949">
        <f t="shared" ca="1" si="221"/>
        <v>10</v>
      </c>
      <c r="BS191" s="1947">
        <f ca="1">BS216</f>
        <v>10</v>
      </c>
      <c r="BT191" s="1947">
        <f t="shared" ref="BT191:EE191" ca="1" si="222">BT216</f>
        <v>10</v>
      </c>
      <c r="BU191" s="1947">
        <f t="shared" ca="1" si="222"/>
        <v>10</v>
      </c>
      <c r="BV191" s="1947">
        <f t="shared" ca="1" si="222"/>
        <v>10</v>
      </c>
      <c r="BW191" s="1947">
        <f t="shared" ca="1" si="222"/>
        <v>10</v>
      </c>
      <c r="BX191" s="1947">
        <f t="shared" ca="1" si="222"/>
        <v>10</v>
      </c>
      <c r="BY191" s="1949">
        <f t="shared" ca="1" si="222"/>
        <v>10</v>
      </c>
      <c r="BZ191" s="1947">
        <f t="shared" ca="1" si="222"/>
        <v>10</v>
      </c>
      <c r="CA191" s="1947">
        <f t="shared" ca="1" si="222"/>
        <v>10</v>
      </c>
      <c r="CB191" s="1947">
        <f t="shared" ca="1" si="222"/>
        <v>10</v>
      </c>
      <c r="CC191" s="1947">
        <f t="shared" ca="1" si="222"/>
        <v>10</v>
      </c>
      <c r="CD191" s="1947">
        <f t="shared" ca="1" si="222"/>
        <v>10</v>
      </c>
      <c r="CE191" s="1947">
        <f t="shared" ca="1" si="222"/>
        <v>10</v>
      </c>
      <c r="CF191" s="1949">
        <f t="shared" ca="1" si="222"/>
        <v>10</v>
      </c>
      <c r="CG191" s="1947">
        <f t="shared" ca="1" si="222"/>
        <v>10</v>
      </c>
      <c r="CH191" s="1947">
        <f t="shared" ca="1" si="222"/>
        <v>10</v>
      </c>
      <c r="CI191" s="1947">
        <f t="shared" ca="1" si="222"/>
        <v>10</v>
      </c>
      <c r="CJ191" s="1947">
        <f t="shared" ca="1" si="222"/>
        <v>10</v>
      </c>
      <c r="CK191" s="1947">
        <f t="shared" ca="1" si="222"/>
        <v>0</v>
      </c>
      <c r="CL191" s="1947">
        <f t="shared" ca="1" si="222"/>
        <v>0</v>
      </c>
      <c r="CM191" s="1949">
        <f t="shared" ca="1" si="222"/>
        <v>0</v>
      </c>
      <c r="CN191" s="1947">
        <f t="shared" ca="1" si="222"/>
        <v>0</v>
      </c>
      <c r="CO191" s="1947">
        <f t="shared" ca="1" si="222"/>
        <v>0</v>
      </c>
      <c r="CP191" s="1947">
        <f t="shared" ca="1" si="222"/>
        <v>0</v>
      </c>
      <c r="CQ191" s="1947">
        <f t="shared" ca="1" si="222"/>
        <v>0</v>
      </c>
      <c r="CR191" s="1947">
        <f t="shared" ca="1" si="222"/>
        <v>0</v>
      </c>
      <c r="CS191" s="1947">
        <f t="shared" ca="1" si="222"/>
        <v>0</v>
      </c>
      <c r="CT191" s="1949">
        <f t="shared" ca="1" si="222"/>
        <v>0</v>
      </c>
      <c r="CU191" s="1947">
        <f t="shared" ca="1" si="222"/>
        <v>0</v>
      </c>
      <c r="CV191" s="1947">
        <f t="shared" ca="1" si="222"/>
        <v>0</v>
      </c>
      <c r="CW191" s="1947">
        <f t="shared" ca="1" si="222"/>
        <v>0</v>
      </c>
      <c r="CX191" s="1947">
        <f t="shared" ca="1" si="222"/>
        <v>0</v>
      </c>
      <c r="CY191" s="1947">
        <f t="shared" ca="1" si="222"/>
        <v>0</v>
      </c>
      <c r="CZ191" s="1947">
        <f t="shared" ca="1" si="222"/>
        <v>0</v>
      </c>
      <c r="DA191" s="1949">
        <f t="shared" ca="1" si="222"/>
        <v>0</v>
      </c>
      <c r="DB191" s="1947">
        <f t="shared" ca="1" si="222"/>
        <v>0</v>
      </c>
      <c r="DC191" s="1947">
        <f t="shared" ca="1" si="222"/>
        <v>0</v>
      </c>
      <c r="DD191" s="1947">
        <f t="shared" ca="1" si="222"/>
        <v>0</v>
      </c>
      <c r="DE191" s="1947">
        <f t="shared" ca="1" si="222"/>
        <v>0</v>
      </c>
      <c r="DF191" s="1947">
        <f t="shared" ca="1" si="222"/>
        <v>0</v>
      </c>
      <c r="DG191" s="1947">
        <f t="shared" ca="1" si="222"/>
        <v>0</v>
      </c>
      <c r="DH191" s="1949">
        <f t="shared" ca="1" si="222"/>
        <v>0</v>
      </c>
      <c r="DI191" s="1947">
        <f t="shared" ca="1" si="222"/>
        <v>0</v>
      </c>
      <c r="DJ191" s="1947">
        <f t="shared" ca="1" si="222"/>
        <v>0</v>
      </c>
      <c r="DK191" s="1947">
        <f t="shared" ca="1" si="222"/>
        <v>0</v>
      </c>
      <c r="DL191" s="1947">
        <f t="shared" ca="1" si="222"/>
        <v>0</v>
      </c>
      <c r="DM191" s="1947">
        <f t="shared" ca="1" si="222"/>
        <v>0</v>
      </c>
      <c r="DN191" s="1947">
        <f t="shared" ca="1" si="222"/>
        <v>0</v>
      </c>
      <c r="DO191" s="1949">
        <f t="shared" ca="1" si="222"/>
        <v>0</v>
      </c>
      <c r="DP191" s="1947">
        <f t="shared" ca="1" si="222"/>
        <v>0</v>
      </c>
      <c r="DQ191" s="1947">
        <f t="shared" ca="1" si="222"/>
        <v>0</v>
      </c>
      <c r="DR191" s="1947">
        <f t="shared" ca="1" si="222"/>
        <v>0</v>
      </c>
      <c r="DS191" s="1947">
        <f t="shared" ca="1" si="222"/>
        <v>0</v>
      </c>
      <c r="DT191" s="1947">
        <f t="shared" ca="1" si="222"/>
        <v>0</v>
      </c>
      <c r="DU191" s="1947">
        <f t="shared" ca="1" si="222"/>
        <v>0</v>
      </c>
      <c r="DV191" s="1949">
        <f t="shared" ca="1" si="222"/>
        <v>0</v>
      </c>
      <c r="DW191" s="1947">
        <f t="shared" ca="1" si="222"/>
        <v>0</v>
      </c>
      <c r="DX191" s="1947">
        <f t="shared" ca="1" si="222"/>
        <v>0</v>
      </c>
      <c r="DY191" s="1947">
        <f t="shared" ca="1" si="222"/>
        <v>0</v>
      </c>
      <c r="DZ191" s="1947">
        <f t="shared" ca="1" si="222"/>
        <v>0</v>
      </c>
      <c r="EA191" s="1947">
        <f t="shared" ca="1" si="222"/>
        <v>0</v>
      </c>
      <c r="EB191" s="1947">
        <f t="shared" ca="1" si="222"/>
        <v>0</v>
      </c>
      <c r="EC191" s="1949">
        <f t="shared" ca="1" si="222"/>
        <v>0</v>
      </c>
      <c r="ED191" s="1947">
        <f t="shared" ca="1" si="222"/>
        <v>0</v>
      </c>
      <c r="EE191" s="1947">
        <f t="shared" ca="1" si="222"/>
        <v>0</v>
      </c>
      <c r="EF191" s="1947">
        <f t="shared" ref="EF191:GQ191" ca="1" si="223">EF216</f>
        <v>0</v>
      </c>
      <c r="EG191" s="1947">
        <f t="shared" ca="1" si="223"/>
        <v>0</v>
      </c>
      <c r="EH191" s="1947">
        <f t="shared" ca="1" si="223"/>
        <v>0</v>
      </c>
      <c r="EI191" s="1947">
        <f t="shared" ca="1" si="223"/>
        <v>0</v>
      </c>
      <c r="EJ191" s="1949">
        <f t="shared" ca="1" si="223"/>
        <v>0</v>
      </c>
      <c r="EK191" s="1947">
        <f t="shared" ca="1" si="223"/>
        <v>0</v>
      </c>
      <c r="EL191" s="1947">
        <f t="shared" ca="1" si="223"/>
        <v>0</v>
      </c>
      <c r="EM191" s="1947">
        <f t="shared" ca="1" si="223"/>
        <v>0</v>
      </c>
      <c r="EN191" s="1947">
        <f t="shared" ca="1" si="223"/>
        <v>0</v>
      </c>
      <c r="EO191" s="1947">
        <f t="shared" ca="1" si="223"/>
        <v>0</v>
      </c>
      <c r="EP191" s="1947">
        <f t="shared" ca="1" si="223"/>
        <v>0</v>
      </c>
      <c r="EQ191" s="1949">
        <f t="shared" ca="1" si="223"/>
        <v>0</v>
      </c>
      <c r="ER191" s="1947">
        <f t="shared" ca="1" si="223"/>
        <v>0</v>
      </c>
      <c r="ES191" s="1947">
        <f t="shared" ca="1" si="223"/>
        <v>0</v>
      </c>
      <c r="ET191" s="1947">
        <f t="shared" ca="1" si="223"/>
        <v>0</v>
      </c>
      <c r="EU191" s="1947">
        <f t="shared" ca="1" si="223"/>
        <v>0</v>
      </c>
      <c r="EV191" s="1947">
        <f t="shared" ca="1" si="223"/>
        <v>0</v>
      </c>
      <c r="EW191" s="1947">
        <f t="shared" ca="1" si="223"/>
        <v>0</v>
      </c>
      <c r="EX191" s="1949">
        <f t="shared" ca="1" si="223"/>
        <v>0</v>
      </c>
      <c r="EY191" s="1947">
        <f t="shared" ca="1" si="223"/>
        <v>0</v>
      </c>
      <c r="EZ191" s="1947">
        <f t="shared" ca="1" si="223"/>
        <v>0</v>
      </c>
      <c r="FA191" s="1947">
        <f t="shared" ca="1" si="223"/>
        <v>0</v>
      </c>
      <c r="FB191" s="1947">
        <f t="shared" ca="1" si="223"/>
        <v>0</v>
      </c>
      <c r="FC191" s="1947">
        <f t="shared" ca="1" si="223"/>
        <v>0</v>
      </c>
      <c r="FD191" s="1947">
        <f t="shared" ca="1" si="223"/>
        <v>0</v>
      </c>
      <c r="FE191" s="1949">
        <f t="shared" ca="1" si="223"/>
        <v>0</v>
      </c>
      <c r="FF191" s="1947">
        <f t="shared" ca="1" si="223"/>
        <v>0</v>
      </c>
      <c r="FG191" s="1947">
        <f t="shared" ca="1" si="223"/>
        <v>0</v>
      </c>
      <c r="FH191" s="1947">
        <f t="shared" ca="1" si="223"/>
        <v>0</v>
      </c>
      <c r="FI191" s="1947">
        <f t="shared" ca="1" si="223"/>
        <v>0</v>
      </c>
      <c r="FJ191" s="1947">
        <f t="shared" ca="1" si="223"/>
        <v>0</v>
      </c>
      <c r="FK191" s="1947">
        <f t="shared" ca="1" si="223"/>
        <v>0</v>
      </c>
      <c r="FL191" s="1949">
        <f t="shared" ca="1" si="223"/>
        <v>0</v>
      </c>
      <c r="FM191" s="1947">
        <f t="shared" ca="1" si="223"/>
        <v>0</v>
      </c>
      <c r="FN191" s="1947">
        <f t="shared" ca="1" si="223"/>
        <v>0</v>
      </c>
      <c r="FO191" s="1947">
        <f t="shared" ca="1" si="223"/>
        <v>0</v>
      </c>
      <c r="FP191" s="1947">
        <f t="shared" ca="1" si="223"/>
        <v>0</v>
      </c>
      <c r="FQ191" s="1947">
        <f t="shared" ca="1" si="223"/>
        <v>0</v>
      </c>
      <c r="FR191" s="1947">
        <f t="shared" ca="1" si="223"/>
        <v>0</v>
      </c>
      <c r="FS191" s="1949">
        <f t="shared" ca="1" si="223"/>
        <v>0</v>
      </c>
      <c r="FT191" s="1947">
        <f t="shared" ca="1" si="223"/>
        <v>0</v>
      </c>
      <c r="FU191" s="1947">
        <f t="shared" ca="1" si="223"/>
        <v>0</v>
      </c>
      <c r="FV191" s="1947">
        <f t="shared" ca="1" si="223"/>
        <v>0</v>
      </c>
      <c r="FW191" s="1947">
        <f t="shared" ca="1" si="223"/>
        <v>0</v>
      </c>
      <c r="FX191" s="1947">
        <f t="shared" ca="1" si="223"/>
        <v>0</v>
      </c>
      <c r="FY191" s="1947">
        <f t="shared" ca="1" si="223"/>
        <v>0</v>
      </c>
      <c r="FZ191" s="1949">
        <f t="shared" ca="1" si="223"/>
        <v>0</v>
      </c>
      <c r="GA191" s="1947">
        <f t="shared" ca="1" si="223"/>
        <v>0</v>
      </c>
      <c r="GB191" s="1947">
        <f t="shared" ca="1" si="223"/>
        <v>0</v>
      </c>
      <c r="GC191" s="1947">
        <f t="shared" ca="1" si="223"/>
        <v>0</v>
      </c>
      <c r="GD191" s="1947">
        <f t="shared" ca="1" si="223"/>
        <v>0</v>
      </c>
      <c r="GE191" s="1947">
        <f t="shared" ca="1" si="223"/>
        <v>0</v>
      </c>
      <c r="GF191" s="1947">
        <f t="shared" ca="1" si="223"/>
        <v>0</v>
      </c>
      <c r="GG191" s="1949">
        <f t="shared" ca="1" si="223"/>
        <v>0</v>
      </c>
      <c r="GH191" s="1947">
        <f t="shared" ca="1" si="223"/>
        <v>0</v>
      </c>
      <c r="GI191" s="1947">
        <f t="shared" ca="1" si="223"/>
        <v>0</v>
      </c>
      <c r="GJ191" s="1947">
        <f t="shared" ca="1" si="223"/>
        <v>0</v>
      </c>
      <c r="GK191" s="1947">
        <f t="shared" ca="1" si="223"/>
        <v>0</v>
      </c>
      <c r="GL191" s="1947">
        <f t="shared" ca="1" si="223"/>
        <v>0</v>
      </c>
      <c r="GM191" s="1947">
        <f t="shared" ca="1" si="223"/>
        <v>0</v>
      </c>
      <c r="GN191" s="1949">
        <f t="shared" ca="1" si="223"/>
        <v>0</v>
      </c>
      <c r="GO191" s="1947">
        <f t="shared" ca="1" si="223"/>
        <v>0</v>
      </c>
      <c r="GP191" s="1947">
        <f t="shared" ca="1" si="223"/>
        <v>0</v>
      </c>
      <c r="GQ191" s="1947">
        <f t="shared" ca="1" si="223"/>
        <v>0</v>
      </c>
      <c r="GR191" s="1947">
        <f t="shared" ref="GR191:IK191" ca="1" si="224">GR216</f>
        <v>0</v>
      </c>
      <c r="GS191" s="1947">
        <f t="shared" ca="1" si="224"/>
        <v>0</v>
      </c>
      <c r="GT191" s="1947">
        <f t="shared" ca="1" si="224"/>
        <v>0</v>
      </c>
      <c r="GU191" s="1949">
        <f t="shared" ca="1" si="224"/>
        <v>0</v>
      </c>
      <c r="GV191" s="1947">
        <f t="shared" ca="1" si="224"/>
        <v>0</v>
      </c>
      <c r="GW191" s="1947">
        <f t="shared" ca="1" si="224"/>
        <v>0</v>
      </c>
      <c r="GX191" s="1947">
        <f t="shared" ca="1" si="224"/>
        <v>0</v>
      </c>
      <c r="GY191" s="1947">
        <f t="shared" ca="1" si="224"/>
        <v>0</v>
      </c>
      <c r="GZ191" s="1947">
        <f t="shared" ca="1" si="224"/>
        <v>0</v>
      </c>
      <c r="HA191" s="1947">
        <f t="shared" ca="1" si="224"/>
        <v>0</v>
      </c>
      <c r="HB191" s="1949">
        <f t="shared" ca="1" si="224"/>
        <v>0</v>
      </c>
      <c r="HC191" s="1947">
        <f t="shared" ca="1" si="224"/>
        <v>0</v>
      </c>
      <c r="HD191" s="1947">
        <f t="shared" ca="1" si="224"/>
        <v>0</v>
      </c>
      <c r="HE191" s="1947">
        <f t="shared" ca="1" si="224"/>
        <v>0</v>
      </c>
      <c r="HF191" s="1947">
        <f t="shared" ca="1" si="224"/>
        <v>0</v>
      </c>
      <c r="HG191" s="1947">
        <f t="shared" ca="1" si="224"/>
        <v>0</v>
      </c>
      <c r="HH191" s="1947">
        <f t="shared" ca="1" si="224"/>
        <v>0</v>
      </c>
      <c r="HI191" s="1949">
        <f t="shared" ca="1" si="224"/>
        <v>0</v>
      </c>
      <c r="HJ191" s="1947">
        <f t="shared" ca="1" si="224"/>
        <v>0</v>
      </c>
      <c r="HK191" s="1947">
        <f t="shared" ca="1" si="224"/>
        <v>0</v>
      </c>
      <c r="HL191" s="1947">
        <f t="shared" ca="1" si="224"/>
        <v>0</v>
      </c>
      <c r="HM191" s="1947">
        <f t="shared" ca="1" si="224"/>
        <v>0</v>
      </c>
      <c r="HN191" s="1947">
        <f t="shared" ca="1" si="224"/>
        <v>0</v>
      </c>
      <c r="HO191" s="1947">
        <f t="shared" ca="1" si="224"/>
        <v>0</v>
      </c>
      <c r="HP191" s="1949">
        <f t="shared" ca="1" si="224"/>
        <v>0</v>
      </c>
      <c r="HQ191" s="1947">
        <f t="shared" ca="1" si="224"/>
        <v>0</v>
      </c>
      <c r="HR191" s="1947">
        <f t="shared" ca="1" si="224"/>
        <v>0</v>
      </c>
      <c r="HS191" s="1947">
        <f t="shared" ca="1" si="224"/>
        <v>0</v>
      </c>
      <c r="HT191" s="1947">
        <f t="shared" ca="1" si="224"/>
        <v>0</v>
      </c>
      <c r="HU191" s="1947">
        <f t="shared" ca="1" si="224"/>
        <v>0</v>
      </c>
      <c r="HV191" s="1947">
        <f t="shared" ca="1" si="224"/>
        <v>0</v>
      </c>
      <c r="HW191" s="1949">
        <f t="shared" ca="1" si="224"/>
        <v>0</v>
      </c>
      <c r="HX191" s="1947">
        <f t="shared" ca="1" si="224"/>
        <v>0</v>
      </c>
      <c r="HY191" s="1947">
        <f t="shared" ca="1" si="224"/>
        <v>0</v>
      </c>
      <c r="HZ191" s="1947">
        <f t="shared" ca="1" si="224"/>
        <v>0</v>
      </c>
      <c r="IA191" s="1947">
        <f t="shared" ca="1" si="224"/>
        <v>0</v>
      </c>
      <c r="IB191" s="1947">
        <f t="shared" ca="1" si="224"/>
        <v>0</v>
      </c>
      <c r="IC191" s="1947">
        <f t="shared" ca="1" si="224"/>
        <v>0</v>
      </c>
      <c r="ID191" s="1949">
        <f t="shared" ca="1" si="224"/>
        <v>0</v>
      </c>
      <c r="IE191" s="1947">
        <f t="shared" ca="1" si="224"/>
        <v>0</v>
      </c>
      <c r="IF191" s="1947">
        <f t="shared" ca="1" si="224"/>
        <v>0</v>
      </c>
      <c r="IG191" s="1947">
        <f t="shared" ca="1" si="224"/>
        <v>0</v>
      </c>
      <c r="IH191" s="1947">
        <f t="shared" ca="1" si="224"/>
        <v>0</v>
      </c>
      <c r="II191" s="1947">
        <f t="shared" ca="1" si="224"/>
        <v>0</v>
      </c>
      <c r="IJ191" s="1947">
        <f t="shared" ca="1" si="224"/>
        <v>0</v>
      </c>
      <c r="IK191" s="1949">
        <f t="shared" ca="1" si="224"/>
        <v>0</v>
      </c>
    </row>
    <row r="192" spans="1:245" ht="8.1" customHeight="1" x14ac:dyDescent="0.35">
      <c r="A192" s="195" t="str">
        <f>IF(B191=0,0,"XXX")</f>
        <v>XXX</v>
      </c>
      <c r="B192" s="1960"/>
      <c r="C192" s="1966"/>
      <c r="D192" s="360" t="str">
        <f>IF(ENTRADAS!$F$22=0,0,"término:")</f>
        <v>término:</v>
      </c>
      <c r="E192" s="361">
        <f ca="1">IF(D212&lt;D211,0,D218)</f>
        <v>45993.75</v>
      </c>
      <c r="F192" s="1962"/>
      <c r="G192" s="1964"/>
      <c r="H192" s="1948"/>
      <c r="I192" s="1948"/>
      <c r="J192" s="1948"/>
      <c r="K192" s="1948"/>
      <c r="L192" s="1948"/>
      <c r="M192" s="1948"/>
      <c r="N192" s="1950"/>
      <c r="O192" s="1948"/>
      <c r="P192" s="1948"/>
      <c r="Q192" s="1948"/>
      <c r="R192" s="1948"/>
      <c r="S192" s="1948"/>
      <c r="T192" s="1948"/>
      <c r="U192" s="1950"/>
      <c r="V192" s="1948"/>
      <c r="W192" s="1948"/>
      <c r="X192" s="1948"/>
      <c r="Y192" s="1948"/>
      <c r="Z192" s="1948"/>
      <c r="AA192" s="1948"/>
      <c r="AB192" s="1950"/>
      <c r="AC192" s="1948"/>
      <c r="AD192" s="1948"/>
      <c r="AE192" s="1948"/>
      <c r="AF192" s="1948"/>
      <c r="AG192" s="1948"/>
      <c r="AH192" s="1948"/>
      <c r="AI192" s="1950"/>
      <c r="AJ192" s="1948"/>
      <c r="AK192" s="1948"/>
      <c r="AL192" s="1948"/>
      <c r="AM192" s="1948"/>
      <c r="AN192" s="1948"/>
      <c r="AO192" s="1948"/>
      <c r="AP192" s="1950"/>
      <c r="AQ192" s="1948"/>
      <c r="AR192" s="1948"/>
      <c r="AS192" s="1948"/>
      <c r="AT192" s="1948"/>
      <c r="AU192" s="1948"/>
      <c r="AV192" s="1948"/>
      <c r="AW192" s="1950"/>
      <c r="AX192" s="1948"/>
      <c r="AY192" s="1948"/>
      <c r="AZ192" s="1948"/>
      <c r="BA192" s="1948"/>
      <c r="BB192" s="1948"/>
      <c r="BC192" s="1948"/>
      <c r="BD192" s="1950"/>
      <c r="BE192" s="1948"/>
      <c r="BF192" s="1948"/>
      <c r="BG192" s="1948"/>
      <c r="BH192" s="1948"/>
      <c r="BI192" s="1948"/>
      <c r="BJ192" s="1948"/>
      <c r="BK192" s="1950"/>
      <c r="BL192" s="1948"/>
      <c r="BM192" s="1948"/>
      <c r="BN192" s="1948"/>
      <c r="BO192" s="1948"/>
      <c r="BP192" s="1948"/>
      <c r="BQ192" s="1948"/>
      <c r="BR192" s="1950"/>
      <c r="BS192" s="1948"/>
      <c r="BT192" s="1948"/>
      <c r="BU192" s="1948"/>
      <c r="BV192" s="1948"/>
      <c r="BW192" s="1948"/>
      <c r="BX192" s="1948"/>
      <c r="BY192" s="1950"/>
      <c r="BZ192" s="1948"/>
      <c r="CA192" s="1948"/>
      <c r="CB192" s="1948"/>
      <c r="CC192" s="1948"/>
      <c r="CD192" s="1948"/>
      <c r="CE192" s="1948"/>
      <c r="CF192" s="1950"/>
      <c r="CG192" s="1948"/>
      <c r="CH192" s="1948"/>
      <c r="CI192" s="1948"/>
      <c r="CJ192" s="1948"/>
      <c r="CK192" s="1948"/>
      <c r="CL192" s="1948"/>
      <c r="CM192" s="1950"/>
      <c r="CN192" s="1948"/>
      <c r="CO192" s="1948"/>
      <c r="CP192" s="1948"/>
      <c r="CQ192" s="1948"/>
      <c r="CR192" s="1948"/>
      <c r="CS192" s="1948"/>
      <c r="CT192" s="1950"/>
      <c r="CU192" s="1948"/>
      <c r="CV192" s="1948"/>
      <c r="CW192" s="1948"/>
      <c r="CX192" s="1948"/>
      <c r="CY192" s="1948"/>
      <c r="CZ192" s="1948"/>
      <c r="DA192" s="1950"/>
      <c r="DB192" s="1948"/>
      <c r="DC192" s="1948"/>
      <c r="DD192" s="1948"/>
      <c r="DE192" s="1948"/>
      <c r="DF192" s="1948"/>
      <c r="DG192" s="1948"/>
      <c r="DH192" s="1950"/>
      <c r="DI192" s="1948"/>
      <c r="DJ192" s="1948"/>
      <c r="DK192" s="1948"/>
      <c r="DL192" s="1948"/>
      <c r="DM192" s="1948"/>
      <c r="DN192" s="1948"/>
      <c r="DO192" s="1950"/>
      <c r="DP192" s="1948"/>
      <c r="DQ192" s="1948"/>
      <c r="DR192" s="1948"/>
      <c r="DS192" s="1948"/>
      <c r="DT192" s="1948"/>
      <c r="DU192" s="1948"/>
      <c r="DV192" s="1950"/>
      <c r="DW192" s="1948"/>
      <c r="DX192" s="1948"/>
      <c r="DY192" s="1948"/>
      <c r="DZ192" s="1948"/>
      <c r="EA192" s="1948"/>
      <c r="EB192" s="1948"/>
      <c r="EC192" s="1950"/>
      <c r="ED192" s="1948"/>
      <c r="EE192" s="1948"/>
      <c r="EF192" s="1948"/>
      <c r="EG192" s="1948"/>
      <c r="EH192" s="1948"/>
      <c r="EI192" s="1948"/>
      <c r="EJ192" s="1950"/>
      <c r="EK192" s="1948"/>
      <c r="EL192" s="1948"/>
      <c r="EM192" s="1948"/>
      <c r="EN192" s="1948"/>
      <c r="EO192" s="1948"/>
      <c r="EP192" s="1948"/>
      <c r="EQ192" s="1950"/>
      <c r="ER192" s="1948"/>
      <c r="ES192" s="1948"/>
      <c r="ET192" s="1948"/>
      <c r="EU192" s="1948"/>
      <c r="EV192" s="1948"/>
      <c r="EW192" s="1948"/>
      <c r="EX192" s="1950"/>
      <c r="EY192" s="1948"/>
      <c r="EZ192" s="1948"/>
      <c r="FA192" s="1948"/>
      <c r="FB192" s="1948"/>
      <c r="FC192" s="1948"/>
      <c r="FD192" s="1948"/>
      <c r="FE192" s="1950"/>
      <c r="FF192" s="1948"/>
      <c r="FG192" s="1948"/>
      <c r="FH192" s="1948"/>
      <c r="FI192" s="1948"/>
      <c r="FJ192" s="1948"/>
      <c r="FK192" s="1948"/>
      <c r="FL192" s="1950"/>
      <c r="FM192" s="1948"/>
      <c r="FN192" s="1948"/>
      <c r="FO192" s="1948"/>
      <c r="FP192" s="1948"/>
      <c r="FQ192" s="1948"/>
      <c r="FR192" s="1948"/>
      <c r="FS192" s="1950"/>
      <c r="FT192" s="1948"/>
      <c r="FU192" s="1948"/>
      <c r="FV192" s="1948"/>
      <c r="FW192" s="1948"/>
      <c r="FX192" s="1948"/>
      <c r="FY192" s="1948"/>
      <c r="FZ192" s="1950"/>
      <c r="GA192" s="1948"/>
      <c r="GB192" s="1948"/>
      <c r="GC192" s="1948"/>
      <c r="GD192" s="1948"/>
      <c r="GE192" s="1948"/>
      <c r="GF192" s="1948"/>
      <c r="GG192" s="1950"/>
      <c r="GH192" s="1948"/>
      <c r="GI192" s="1948"/>
      <c r="GJ192" s="1948"/>
      <c r="GK192" s="1948"/>
      <c r="GL192" s="1948"/>
      <c r="GM192" s="1948"/>
      <c r="GN192" s="1950"/>
      <c r="GO192" s="1948"/>
      <c r="GP192" s="1948"/>
      <c r="GQ192" s="1948"/>
      <c r="GR192" s="1948"/>
      <c r="GS192" s="1948"/>
      <c r="GT192" s="1948"/>
      <c r="GU192" s="1950"/>
      <c r="GV192" s="1948"/>
      <c r="GW192" s="1948"/>
      <c r="GX192" s="1948"/>
      <c r="GY192" s="1948"/>
      <c r="GZ192" s="1948"/>
      <c r="HA192" s="1948"/>
      <c r="HB192" s="1950"/>
      <c r="HC192" s="1948"/>
      <c r="HD192" s="1948"/>
      <c r="HE192" s="1948"/>
      <c r="HF192" s="1948"/>
      <c r="HG192" s="1948"/>
      <c r="HH192" s="1948"/>
      <c r="HI192" s="1950"/>
      <c r="HJ192" s="1948"/>
      <c r="HK192" s="1948"/>
      <c r="HL192" s="1948"/>
      <c r="HM192" s="1948"/>
      <c r="HN192" s="1948"/>
      <c r="HO192" s="1948"/>
      <c r="HP192" s="1950"/>
      <c r="HQ192" s="1948"/>
      <c r="HR192" s="1948"/>
      <c r="HS192" s="1948"/>
      <c r="HT192" s="1948"/>
      <c r="HU192" s="1948"/>
      <c r="HV192" s="1948"/>
      <c r="HW192" s="1950"/>
      <c r="HX192" s="1948"/>
      <c r="HY192" s="1948"/>
      <c r="HZ192" s="1948"/>
      <c r="IA192" s="1948"/>
      <c r="IB192" s="1948"/>
      <c r="IC192" s="1948"/>
      <c r="ID192" s="1950"/>
      <c r="IE192" s="1948"/>
      <c r="IF192" s="1948"/>
      <c r="IG192" s="1948"/>
      <c r="IH192" s="1948"/>
      <c r="II192" s="1948"/>
      <c r="IJ192" s="1948"/>
      <c r="IK192" s="1950"/>
    </row>
    <row r="193" spans="1:245" ht="8.1" hidden="1" customHeight="1" x14ac:dyDescent="0.35">
      <c r="A193" s="195">
        <f>IF(B193=0,0,"XXX")</f>
        <v>0</v>
      </c>
      <c r="B193" s="1959">
        <f>IF(F193=0,0,IF(ENTRADAS!$E$1038=0,0,IF(D212&lt;D211,0,"1.3.2")))</f>
        <v>0</v>
      </c>
      <c r="C193" s="453">
        <f>IF(F193=0,0,"CONFECÇÃO DE COBERTURA")</f>
        <v>0</v>
      </c>
      <c r="D193" s="358">
        <f>IF(F193=0,0,"início:")</f>
        <v>0</v>
      </c>
      <c r="E193" s="359">
        <f>IF(D212&lt;D211,0,IF(D222&lt;&gt;0,D222,D223))</f>
        <v>0</v>
      </c>
      <c r="F193" s="1961">
        <f>IF(IF(D212&lt;D211,0,D220)&lt;0,0,IF(D212&lt;D211,0,D220))</f>
        <v>0</v>
      </c>
      <c r="G193" s="1963">
        <f>IF(F193=0,0,"dias")</f>
        <v>0</v>
      </c>
      <c r="H193" s="1945">
        <f>H220</f>
        <v>0</v>
      </c>
      <c r="I193" s="1941">
        <f t="shared" ref="I193:BT193" si="225">I220</f>
        <v>0</v>
      </c>
      <c r="J193" s="1941">
        <f t="shared" si="225"/>
        <v>0</v>
      </c>
      <c r="K193" s="1941">
        <f t="shared" si="225"/>
        <v>0</v>
      </c>
      <c r="L193" s="1941">
        <f t="shared" si="225"/>
        <v>0</v>
      </c>
      <c r="M193" s="1941">
        <f t="shared" si="225"/>
        <v>0</v>
      </c>
      <c r="N193" s="1941">
        <f t="shared" si="225"/>
        <v>0</v>
      </c>
      <c r="O193" s="1945">
        <f t="shared" si="225"/>
        <v>0</v>
      </c>
      <c r="P193" s="1941">
        <f t="shared" si="225"/>
        <v>0</v>
      </c>
      <c r="Q193" s="1941">
        <f t="shared" si="225"/>
        <v>0</v>
      </c>
      <c r="R193" s="1941">
        <f t="shared" si="225"/>
        <v>0</v>
      </c>
      <c r="S193" s="1941">
        <f t="shared" si="225"/>
        <v>0</v>
      </c>
      <c r="T193" s="1941">
        <f t="shared" si="225"/>
        <v>0</v>
      </c>
      <c r="U193" s="1941">
        <f t="shared" si="225"/>
        <v>0</v>
      </c>
      <c r="V193" s="1945">
        <f t="shared" si="225"/>
        <v>0</v>
      </c>
      <c r="W193" s="1941">
        <f t="shared" si="225"/>
        <v>0</v>
      </c>
      <c r="X193" s="1941">
        <f t="shared" si="225"/>
        <v>0</v>
      </c>
      <c r="Y193" s="1941">
        <f t="shared" si="225"/>
        <v>0</v>
      </c>
      <c r="Z193" s="1941">
        <f t="shared" si="225"/>
        <v>0</v>
      </c>
      <c r="AA193" s="1941">
        <f t="shared" si="225"/>
        <v>0</v>
      </c>
      <c r="AB193" s="1941">
        <f t="shared" si="225"/>
        <v>0</v>
      </c>
      <c r="AC193" s="1945">
        <f t="shared" si="225"/>
        <v>0</v>
      </c>
      <c r="AD193" s="1941">
        <f t="shared" si="225"/>
        <v>0</v>
      </c>
      <c r="AE193" s="1941">
        <f t="shared" si="225"/>
        <v>0</v>
      </c>
      <c r="AF193" s="1941">
        <f t="shared" si="225"/>
        <v>0</v>
      </c>
      <c r="AG193" s="1941">
        <f t="shared" si="225"/>
        <v>0</v>
      </c>
      <c r="AH193" s="1941">
        <f t="shared" si="225"/>
        <v>0</v>
      </c>
      <c r="AI193" s="1941">
        <f t="shared" si="225"/>
        <v>0</v>
      </c>
      <c r="AJ193" s="1945">
        <f t="shared" si="225"/>
        <v>0</v>
      </c>
      <c r="AK193" s="1941">
        <f t="shared" si="225"/>
        <v>0</v>
      </c>
      <c r="AL193" s="1941">
        <f t="shared" si="225"/>
        <v>0</v>
      </c>
      <c r="AM193" s="1941">
        <f t="shared" si="225"/>
        <v>0</v>
      </c>
      <c r="AN193" s="1941">
        <f t="shared" si="225"/>
        <v>0</v>
      </c>
      <c r="AO193" s="1941">
        <f t="shared" si="225"/>
        <v>0</v>
      </c>
      <c r="AP193" s="1941">
        <f t="shared" si="225"/>
        <v>0</v>
      </c>
      <c r="AQ193" s="1945">
        <f t="shared" si="225"/>
        <v>0</v>
      </c>
      <c r="AR193" s="1941">
        <f t="shared" si="225"/>
        <v>0</v>
      </c>
      <c r="AS193" s="1941">
        <f t="shared" si="225"/>
        <v>0</v>
      </c>
      <c r="AT193" s="1941">
        <f t="shared" si="225"/>
        <v>0</v>
      </c>
      <c r="AU193" s="1941">
        <f t="shared" si="225"/>
        <v>0</v>
      </c>
      <c r="AV193" s="1941">
        <f t="shared" si="225"/>
        <v>0</v>
      </c>
      <c r="AW193" s="1941">
        <f t="shared" si="225"/>
        <v>0</v>
      </c>
      <c r="AX193" s="1945">
        <f t="shared" si="225"/>
        <v>0</v>
      </c>
      <c r="AY193" s="1941">
        <f t="shared" si="225"/>
        <v>0</v>
      </c>
      <c r="AZ193" s="1941">
        <f t="shared" si="225"/>
        <v>0</v>
      </c>
      <c r="BA193" s="1941">
        <f t="shared" si="225"/>
        <v>0</v>
      </c>
      <c r="BB193" s="1941">
        <f t="shared" si="225"/>
        <v>0</v>
      </c>
      <c r="BC193" s="1941">
        <f t="shared" si="225"/>
        <v>0</v>
      </c>
      <c r="BD193" s="1941">
        <f t="shared" si="225"/>
        <v>0</v>
      </c>
      <c r="BE193" s="1945">
        <f t="shared" si="225"/>
        <v>0</v>
      </c>
      <c r="BF193" s="1941">
        <f t="shared" si="225"/>
        <v>0</v>
      </c>
      <c r="BG193" s="1941">
        <f t="shared" si="225"/>
        <v>0</v>
      </c>
      <c r="BH193" s="1941">
        <f t="shared" si="225"/>
        <v>0</v>
      </c>
      <c r="BI193" s="1941">
        <f t="shared" si="225"/>
        <v>0</v>
      </c>
      <c r="BJ193" s="1941">
        <f t="shared" si="225"/>
        <v>0</v>
      </c>
      <c r="BK193" s="1941">
        <f t="shared" si="225"/>
        <v>0</v>
      </c>
      <c r="BL193" s="1945">
        <f t="shared" si="225"/>
        <v>0</v>
      </c>
      <c r="BM193" s="1941">
        <f t="shared" si="225"/>
        <v>0</v>
      </c>
      <c r="BN193" s="1941">
        <f t="shared" si="225"/>
        <v>0</v>
      </c>
      <c r="BO193" s="1941">
        <f t="shared" si="225"/>
        <v>0</v>
      </c>
      <c r="BP193" s="1941">
        <f t="shared" si="225"/>
        <v>0</v>
      </c>
      <c r="BQ193" s="1941">
        <f t="shared" si="225"/>
        <v>0</v>
      </c>
      <c r="BR193" s="1941">
        <f t="shared" si="225"/>
        <v>0</v>
      </c>
      <c r="BS193" s="1945">
        <f t="shared" si="225"/>
        <v>0</v>
      </c>
      <c r="BT193" s="1941">
        <f t="shared" si="225"/>
        <v>0</v>
      </c>
      <c r="BU193" s="1941">
        <f t="shared" ref="BU193:CW193" si="226">BU220</f>
        <v>0</v>
      </c>
      <c r="BV193" s="1941">
        <f t="shared" si="226"/>
        <v>0</v>
      </c>
      <c r="BW193" s="1941">
        <f t="shared" si="226"/>
        <v>0</v>
      </c>
      <c r="BX193" s="1941">
        <f t="shared" si="226"/>
        <v>0</v>
      </c>
      <c r="BY193" s="1941">
        <f t="shared" si="226"/>
        <v>0</v>
      </c>
      <c r="BZ193" s="1945">
        <f t="shared" si="226"/>
        <v>0</v>
      </c>
      <c r="CA193" s="1941">
        <f t="shared" si="226"/>
        <v>0</v>
      </c>
      <c r="CB193" s="1941">
        <f t="shared" si="226"/>
        <v>0</v>
      </c>
      <c r="CC193" s="1941">
        <f t="shared" si="226"/>
        <v>0</v>
      </c>
      <c r="CD193" s="1941">
        <f t="shared" si="226"/>
        <v>0</v>
      </c>
      <c r="CE193" s="1941">
        <f t="shared" si="226"/>
        <v>0</v>
      </c>
      <c r="CF193" s="1941">
        <f t="shared" si="226"/>
        <v>0</v>
      </c>
      <c r="CG193" s="1945">
        <f t="shared" si="226"/>
        <v>0</v>
      </c>
      <c r="CH193" s="1941">
        <f t="shared" si="226"/>
        <v>0</v>
      </c>
      <c r="CI193" s="1941">
        <f t="shared" si="226"/>
        <v>0</v>
      </c>
      <c r="CJ193" s="1941">
        <f t="shared" si="226"/>
        <v>0</v>
      </c>
      <c r="CK193" s="1941">
        <f t="shared" si="226"/>
        <v>0</v>
      </c>
      <c r="CL193" s="1941">
        <f t="shared" si="226"/>
        <v>0</v>
      </c>
      <c r="CM193" s="1941">
        <f t="shared" si="226"/>
        <v>0</v>
      </c>
      <c r="CN193" s="1945">
        <f t="shared" si="226"/>
        <v>0</v>
      </c>
      <c r="CO193" s="1941">
        <f t="shared" si="226"/>
        <v>0</v>
      </c>
      <c r="CP193" s="1941">
        <f t="shared" si="226"/>
        <v>0</v>
      </c>
      <c r="CQ193" s="1941">
        <f t="shared" si="226"/>
        <v>0</v>
      </c>
      <c r="CR193" s="1941">
        <f t="shared" si="226"/>
        <v>0</v>
      </c>
      <c r="CS193" s="1941">
        <f t="shared" si="226"/>
        <v>0</v>
      </c>
      <c r="CT193" s="1941">
        <f t="shared" si="226"/>
        <v>0</v>
      </c>
      <c r="CU193" s="1945">
        <f t="shared" si="226"/>
        <v>0</v>
      </c>
      <c r="CV193" s="1941">
        <f t="shared" si="226"/>
        <v>0</v>
      </c>
      <c r="CW193" s="1941">
        <f t="shared" si="226"/>
        <v>0</v>
      </c>
      <c r="CX193" s="1941">
        <f t="shared" ref="CX193:FI193" si="227">CX220</f>
        <v>0</v>
      </c>
      <c r="CY193" s="1941">
        <f t="shared" si="227"/>
        <v>0</v>
      </c>
      <c r="CZ193" s="1941">
        <f t="shared" si="227"/>
        <v>0</v>
      </c>
      <c r="DA193" s="1941">
        <f t="shared" si="227"/>
        <v>0</v>
      </c>
      <c r="DB193" s="1945">
        <f t="shared" si="227"/>
        <v>0</v>
      </c>
      <c r="DC193" s="1941">
        <f t="shared" si="227"/>
        <v>0</v>
      </c>
      <c r="DD193" s="1941">
        <f t="shared" si="227"/>
        <v>0</v>
      </c>
      <c r="DE193" s="1941">
        <f t="shared" si="227"/>
        <v>0</v>
      </c>
      <c r="DF193" s="1941">
        <f t="shared" si="227"/>
        <v>0</v>
      </c>
      <c r="DG193" s="1941">
        <f t="shared" si="227"/>
        <v>0</v>
      </c>
      <c r="DH193" s="1941">
        <f t="shared" si="227"/>
        <v>0</v>
      </c>
      <c r="DI193" s="1945">
        <f t="shared" si="227"/>
        <v>0</v>
      </c>
      <c r="DJ193" s="1941">
        <f t="shared" si="227"/>
        <v>0</v>
      </c>
      <c r="DK193" s="1941">
        <f t="shared" si="227"/>
        <v>0</v>
      </c>
      <c r="DL193" s="1941">
        <f t="shared" si="227"/>
        <v>0</v>
      </c>
      <c r="DM193" s="1941">
        <f t="shared" si="227"/>
        <v>0</v>
      </c>
      <c r="DN193" s="1941">
        <f t="shared" si="227"/>
        <v>0</v>
      </c>
      <c r="DO193" s="1941">
        <f t="shared" si="227"/>
        <v>0</v>
      </c>
      <c r="DP193" s="1945">
        <f t="shared" si="227"/>
        <v>0</v>
      </c>
      <c r="DQ193" s="1941">
        <f t="shared" si="227"/>
        <v>0</v>
      </c>
      <c r="DR193" s="1941">
        <f t="shared" si="227"/>
        <v>0</v>
      </c>
      <c r="DS193" s="1941">
        <f t="shared" si="227"/>
        <v>0</v>
      </c>
      <c r="DT193" s="1941">
        <f t="shared" si="227"/>
        <v>0</v>
      </c>
      <c r="DU193" s="1941">
        <f t="shared" si="227"/>
        <v>0</v>
      </c>
      <c r="DV193" s="1941">
        <f t="shared" si="227"/>
        <v>0</v>
      </c>
      <c r="DW193" s="1945">
        <f t="shared" si="227"/>
        <v>0</v>
      </c>
      <c r="DX193" s="1941">
        <f t="shared" si="227"/>
        <v>0</v>
      </c>
      <c r="DY193" s="1941">
        <f t="shared" si="227"/>
        <v>0</v>
      </c>
      <c r="DZ193" s="1941">
        <f t="shared" si="227"/>
        <v>0</v>
      </c>
      <c r="EA193" s="1941">
        <f t="shared" si="227"/>
        <v>0</v>
      </c>
      <c r="EB193" s="1941">
        <f t="shared" si="227"/>
        <v>0</v>
      </c>
      <c r="EC193" s="1941">
        <f t="shared" si="227"/>
        <v>0</v>
      </c>
      <c r="ED193" s="1945">
        <f t="shared" si="227"/>
        <v>0</v>
      </c>
      <c r="EE193" s="1941">
        <f t="shared" si="227"/>
        <v>0</v>
      </c>
      <c r="EF193" s="1941">
        <f t="shared" si="227"/>
        <v>0</v>
      </c>
      <c r="EG193" s="1941">
        <f t="shared" si="227"/>
        <v>0</v>
      </c>
      <c r="EH193" s="1941">
        <f t="shared" si="227"/>
        <v>0</v>
      </c>
      <c r="EI193" s="1941">
        <f t="shared" si="227"/>
        <v>0</v>
      </c>
      <c r="EJ193" s="1941">
        <f t="shared" si="227"/>
        <v>0</v>
      </c>
      <c r="EK193" s="1945">
        <f t="shared" si="227"/>
        <v>0</v>
      </c>
      <c r="EL193" s="1941">
        <f t="shared" si="227"/>
        <v>0</v>
      </c>
      <c r="EM193" s="1941">
        <f t="shared" si="227"/>
        <v>0</v>
      </c>
      <c r="EN193" s="1941">
        <f t="shared" si="227"/>
        <v>0</v>
      </c>
      <c r="EO193" s="1941">
        <f t="shared" si="227"/>
        <v>0</v>
      </c>
      <c r="EP193" s="1941">
        <f t="shared" si="227"/>
        <v>0</v>
      </c>
      <c r="EQ193" s="1941">
        <f t="shared" si="227"/>
        <v>0</v>
      </c>
      <c r="ER193" s="1945">
        <f t="shared" si="227"/>
        <v>0</v>
      </c>
      <c r="ES193" s="1941">
        <f t="shared" si="227"/>
        <v>0</v>
      </c>
      <c r="ET193" s="1941">
        <f t="shared" si="227"/>
        <v>0</v>
      </c>
      <c r="EU193" s="1941">
        <f t="shared" si="227"/>
        <v>0</v>
      </c>
      <c r="EV193" s="1941">
        <f t="shared" si="227"/>
        <v>0</v>
      </c>
      <c r="EW193" s="1941">
        <f t="shared" si="227"/>
        <v>0</v>
      </c>
      <c r="EX193" s="1941">
        <f t="shared" si="227"/>
        <v>0</v>
      </c>
      <c r="EY193" s="1945">
        <f t="shared" si="227"/>
        <v>0</v>
      </c>
      <c r="EZ193" s="1941">
        <f t="shared" si="227"/>
        <v>0</v>
      </c>
      <c r="FA193" s="1941">
        <f t="shared" si="227"/>
        <v>0</v>
      </c>
      <c r="FB193" s="1941">
        <f t="shared" si="227"/>
        <v>0</v>
      </c>
      <c r="FC193" s="1941">
        <f t="shared" si="227"/>
        <v>0</v>
      </c>
      <c r="FD193" s="1941">
        <f t="shared" si="227"/>
        <v>0</v>
      </c>
      <c r="FE193" s="1941">
        <f t="shared" si="227"/>
        <v>0</v>
      </c>
      <c r="FF193" s="1945">
        <f t="shared" si="227"/>
        <v>0</v>
      </c>
      <c r="FG193" s="1941">
        <f t="shared" si="227"/>
        <v>0</v>
      </c>
      <c r="FH193" s="1941">
        <f t="shared" si="227"/>
        <v>0</v>
      </c>
      <c r="FI193" s="1941">
        <f t="shared" si="227"/>
        <v>0</v>
      </c>
      <c r="FJ193" s="1941">
        <f t="shared" ref="FJ193:HU193" si="228">FJ220</f>
        <v>0</v>
      </c>
      <c r="FK193" s="1941">
        <f t="shared" si="228"/>
        <v>0</v>
      </c>
      <c r="FL193" s="1941">
        <f t="shared" si="228"/>
        <v>0</v>
      </c>
      <c r="FM193" s="1945">
        <f t="shared" si="228"/>
        <v>0</v>
      </c>
      <c r="FN193" s="1941">
        <f t="shared" si="228"/>
        <v>0</v>
      </c>
      <c r="FO193" s="1941">
        <f t="shared" si="228"/>
        <v>0</v>
      </c>
      <c r="FP193" s="1941">
        <f t="shared" si="228"/>
        <v>0</v>
      </c>
      <c r="FQ193" s="1941">
        <f t="shared" si="228"/>
        <v>0</v>
      </c>
      <c r="FR193" s="1941">
        <f t="shared" si="228"/>
        <v>0</v>
      </c>
      <c r="FS193" s="1941">
        <f t="shared" si="228"/>
        <v>0</v>
      </c>
      <c r="FT193" s="1945">
        <f t="shared" si="228"/>
        <v>0</v>
      </c>
      <c r="FU193" s="1941">
        <f t="shared" si="228"/>
        <v>0</v>
      </c>
      <c r="FV193" s="1941">
        <f t="shared" si="228"/>
        <v>0</v>
      </c>
      <c r="FW193" s="1941">
        <f t="shared" si="228"/>
        <v>0</v>
      </c>
      <c r="FX193" s="1941">
        <f t="shared" si="228"/>
        <v>0</v>
      </c>
      <c r="FY193" s="1941">
        <f t="shared" si="228"/>
        <v>0</v>
      </c>
      <c r="FZ193" s="1941">
        <f t="shared" si="228"/>
        <v>0</v>
      </c>
      <c r="GA193" s="1945">
        <f t="shared" si="228"/>
        <v>0</v>
      </c>
      <c r="GB193" s="1941">
        <f t="shared" si="228"/>
        <v>0</v>
      </c>
      <c r="GC193" s="1941">
        <f t="shared" si="228"/>
        <v>0</v>
      </c>
      <c r="GD193" s="1941">
        <f t="shared" si="228"/>
        <v>0</v>
      </c>
      <c r="GE193" s="1941">
        <f t="shared" si="228"/>
        <v>0</v>
      </c>
      <c r="GF193" s="1941">
        <f t="shared" si="228"/>
        <v>0</v>
      </c>
      <c r="GG193" s="1941">
        <f t="shared" si="228"/>
        <v>0</v>
      </c>
      <c r="GH193" s="1945">
        <f t="shared" si="228"/>
        <v>0</v>
      </c>
      <c r="GI193" s="1941">
        <f t="shared" si="228"/>
        <v>0</v>
      </c>
      <c r="GJ193" s="1941">
        <f t="shared" si="228"/>
        <v>0</v>
      </c>
      <c r="GK193" s="1941">
        <f t="shared" si="228"/>
        <v>0</v>
      </c>
      <c r="GL193" s="1941">
        <f t="shared" si="228"/>
        <v>0</v>
      </c>
      <c r="GM193" s="1941">
        <f t="shared" si="228"/>
        <v>0</v>
      </c>
      <c r="GN193" s="1941">
        <f t="shared" si="228"/>
        <v>0</v>
      </c>
      <c r="GO193" s="1945">
        <f t="shared" si="228"/>
        <v>0</v>
      </c>
      <c r="GP193" s="1941">
        <f t="shared" si="228"/>
        <v>0</v>
      </c>
      <c r="GQ193" s="1941">
        <f t="shared" si="228"/>
        <v>0</v>
      </c>
      <c r="GR193" s="1941">
        <f t="shared" si="228"/>
        <v>0</v>
      </c>
      <c r="GS193" s="1941">
        <f t="shared" si="228"/>
        <v>0</v>
      </c>
      <c r="GT193" s="1941">
        <f t="shared" si="228"/>
        <v>0</v>
      </c>
      <c r="GU193" s="1941">
        <f t="shared" si="228"/>
        <v>0</v>
      </c>
      <c r="GV193" s="1945">
        <f t="shared" si="228"/>
        <v>0</v>
      </c>
      <c r="GW193" s="1941">
        <f t="shared" si="228"/>
        <v>0</v>
      </c>
      <c r="GX193" s="1941">
        <f t="shared" si="228"/>
        <v>0</v>
      </c>
      <c r="GY193" s="1941">
        <f t="shared" si="228"/>
        <v>0</v>
      </c>
      <c r="GZ193" s="1941">
        <f t="shared" si="228"/>
        <v>0</v>
      </c>
      <c r="HA193" s="1941">
        <f t="shared" si="228"/>
        <v>0</v>
      </c>
      <c r="HB193" s="1941">
        <f t="shared" si="228"/>
        <v>0</v>
      </c>
      <c r="HC193" s="1945">
        <f t="shared" si="228"/>
        <v>0</v>
      </c>
      <c r="HD193" s="1941">
        <f t="shared" si="228"/>
        <v>0</v>
      </c>
      <c r="HE193" s="1941">
        <f t="shared" si="228"/>
        <v>0</v>
      </c>
      <c r="HF193" s="1941">
        <f t="shared" si="228"/>
        <v>0</v>
      </c>
      <c r="HG193" s="1941">
        <f t="shared" si="228"/>
        <v>0</v>
      </c>
      <c r="HH193" s="1941">
        <f t="shared" si="228"/>
        <v>0</v>
      </c>
      <c r="HI193" s="1941">
        <f t="shared" si="228"/>
        <v>0</v>
      </c>
      <c r="HJ193" s="1945">
        <f t="shared" si="228"/>
        <v>0</v>
      </c>
      <c r="HK193" s="1941">
        <f t="shared" si="228"/>
        <v>0</v>
      </c>
      <c r="HL193" s="1941">
        <f t="shared" si="228"/>
        <v>0</v>
      </c>
      <c r="HM193" s="1941">
        <f t="shared" si="228"/>
        <v>0</v>
      </c>
      <c r="HN193" s="1941">
        <f t="shared" si="228"/>
        <v>0</v>
      </c>
      <c r="HO193" s="1941">
        <f t="shared" si="228"/>
        <v>0</v>
      </c>
      <c r="HP193" s="1941">
        <f t="shared" si="228"/>
        <v>0</v>
      </c>
      <c r="HQ193" s="1945">
        <f t="shared" si="228"/>
        <v>0</v>
      </c>
      <c r="HR193" s="1941">
        <f t="shared" si="228"/>
        <v>0</v>
      </c>
      <c r="HS193" s="1941">
        <f t="shared" si="228"/>
        <v>0</v>
      </c>
      <c r="HT193" s="1941">
        <f t="shared" si="228"/>
        <v>0</v>
      </c>
      <c r="HU193" s="1941">
        <f t="shared" si="228"/>
        <v>0</v>
      </c>
      <c r="HV193" s="1941">
        <f t="shared" ref="HV193:IK193" si="229">HV220</f>
        <v>0</v>
      </c>
      <c r="HW193" s="1941">
        <f t="shared" si="229"/>
        <v>0</v>
      </c>
      <c r="HX193" s="1945">
        <f t="shared" si="229"/>
        <v>0</v>
      </c>
      <c r="HY193" s="1941">
        <f t="shared" si="229"/>
        <v>0</v>
      </c>
      <c r="HZ193" s="1941">
        <f t="shared" si="229"/>
        <v>0</v>
      </c>
      <c r="IA193" s="1941">
        <f t="shared" si="229"/>
        <v>0</v>
      </c>
      <c r="IB193" s="1941">
        <f t="shared" si="229"/>
        <v>0</v>
      </c>
      <c r="IC193" s="1941">
        <f t="shared" si="229"/>
        <v>0</v>
      </c>
      <c r="ID193" s="1941">
        <f t="shared" si="229"/>
        <v>0</v>
      </c>
      <c r="IE193" s="1945">
        <f t="shared" si="229"/>
        <v>0</v>
      </c>
      <c r="IF193" s="1941">
        <f t="shared" si="229"/>
        <v>0</v>
      </c>
      <c r="IG193" s="1941">
        <f t="shared" si="229"/>
        <v>0</v>
      </c>
      <c r="IH193" s="1941">
        <f t="shared" si="229"/>
        <v>0</v>
      </c>
      <c r="II193" s="1941">
        <f t="shared" si="229"/>
        <v>0</v>
      </c>
      <c r="IJ193" s="1941">
        <f t="shared" si="229"/>
        <v>0</v>
      </c>
      <c r="IK193" s="1943">
        <f t="shared" si="229"/>
        <v>0</v>
      </c>
    </row>
    <row r="194" spans="1:245" ht="8.1" hidden="1" customHeight="1" x14ac:dyDescent="0.35">
      <c r="A194" s="195">
        <f>IF(B193=0,0,"XXX")</f>
        <v>0</v>
      </c>
      <c r="B194" s="1960"/>
      <c r="C194" s="452">
        <f>IF(F193=0,0,"COMPARTILHADA COM PAREDES")</f>
        <v>0</v>
      </c>
      <c r="D194" s="360">
        <f>IF(F193=0,0,"término:")</f>
        <v>0</v>
      </c>
      <c r="E194" s="361">
        <f>IF(F193=0,0,IF(D212&lt;D211,0,D224))</f>
        <v>0</v>
      </c>
      <c r="F194" s="1962"/>
      <c r="G194" s="1964"/>
      <c r="H194" s="1946"/>
      <c r="I194" s="1942"/>
      <c r="J194" s="1942"/>
      <c r="K194" s="1942"/>
      <c r="L194" s="1942"/>
      <c r="M194" s="1942"/>
      <c r="N194" s="1942"/>
      <c r="O194" s="1946"/>
      <c r="P194" s="1942"/>
      <c r="Q194" s="1942"/>
      <c r="R194" s="1942"/>
      <c r="S194" s="1942"/>
      <c r="T194" s="1942"/>
      <c r="U194" s="1942"/>
      <c r="V194" s="1946"/>
      <c r="W194" s="1942"/>
      <c r="X194" s="1942"/>
      <c r="Y194" s="1942"/>
      <c r="Z194" s="1942"/>
      <c r="AA194" s="1942"/>
      <c r="AB194" s="1942"/>
      <c r="AC194" s="1946"/>
      <c r="AD194" s="1942"/>
      <c r="AE194" s="1942"/>
      <c r="AF194" s="1942"/>
      <c r="AG194" s="1942"/>
      <c r="AH194" s="1942"/>
      <c r="AI194" s="1942"/>
      <c r="AJ194" s="1946"/>
      <c r="AK194" s="1942"/>
      <c r="AL194" s="1942"/>
      <c r="AM194" s="1942"/>
      <c r="AN194" s="1942"/>
      <c r="AO194" s="1942"/>
      <c r="AP194" s="1942"/>
      <c r="AQ194" s="1946"/>
      <c r="AR194" s="1942"/>
      <c r="AS194" s="1942"/>
      <c r="AT194" s="1942"/>
      <c r="AU194" s="1942"/>
      <c r="AV194" s="1942"/>
      <c r="AW194" s="1942"/>
      <c r="AX194" s="1946"/>
      <c r="AY194" s="1942"/>
      <c r="AZ194" s="1942"/>
      <c r="BA194" s="1942"/>
      <c r="BB194" s="1942"/>
      <c r="BC194" s="1942"/>
      <c r="BD194" s="1942"/>
      <c r="BE194" s="1946"/>
      <c r="BF194" s="1942"/>
      <c r="BG194" s="1942"/>
      <c r="BH194" s="1942"/>
      <c r="BI194" s="1942"/>
      <c r="BJ194" s="1942"/>
      <c r="BK194" s="1942"/>
      <c r="BL194" s="1946"/>
      <c r="BM194" s="1942"/>
      <c r="BN194" s="1942"/>
      <c r="BO194" s="1942"/>
      <c r="BP194" s="1942"/>
      <c r="BQ194" s="1942"/>
      <c r="BR194" s="1942"/>
      <c r="BS194" s="1946"/>
      <c r="BT194" s="1942"/>
      <c r="BU194" s="1942"/>
      <c r="BV194" s="1942"/>
      <c r="BW194" s="1942"/>
      <c r="BX194" s="1942"/>
      <c r="BY194" s="1942"/>
      <c r="BZ194" s="1946"/>
      <c r="CA194" s="1942"/>
      <c r="CB194" s="1942"/>
      <c r="CC194" s="1942"/>
      <c r="CD194" s="1942"/>
      <c r="CE194" s="1942"/>
      <c r="CF194" s="1942"/>
      <c r="CG194" s="1946"/>
      <c r="CH194" s="1942"/>
      <c r="CI194" s="1942"/>
      <c r="CJ194" s="1942"/>
      <c r="CK194" s="1942"/>
      <c r="CL194" s="1942"/>
      <c r="CM194" s="1942"/>
      <c r="CN194" s="1946"/>
      <c r="CO194" s="1942"/>
      <c r="CP194" s="1942"/>
      <c r="CQ194" s="1942"/>
      <c r="CR194" s="1942"/>
      <c r="CS194" s="1942"/>
      <c r="CT194" s="1942"/>
      <c r="CU194" s="1946"/>
      <c r="CV194" s="1942"/>
      <c r="CW194" s="1942"/>
      <c r="CX194" s="1942"/>
      <c r="CY194" s="1942"/>
      <c r="CZ194" s="1942"/>
      <c r="DA194" s="1942"/>
      <c r="DB194" s="1946"/>
      <c r="DC194" s="1942"/>
      <c r="DD194" s="1942"/>
      <c r="DE194" s="1942"/>
      <c r="DF194" s="1942"/>
      <c r="DG194" s="1942"/>
      <c r="DH194" s="1942"/>
      <c r="DI194" s="1946"/>
      <c r="DJ194" s="1942"/>
      <c r="DK194" s="1942"/>
      <c r="DL194" s="1942"/>
      <c r="DM194" s="1942"/>
      <c r="DN194" s="1942"/>
      <c r="DO194" s="1942"/>
      <c r="DP194" s="1946"/>
      <c r="DQ194" s="1942"/>
      <c r="DR194" s="1942"/>
      <c r="DS194" s="1942"/>
      <c r="DT194" s="1942"/>
      <c r="DU194" s="1942"/>
      <c r="DV194" s="1942"/>
      <c r="DW194" s="1946"/>
      <c r="DX194" s="1942"/>
      <c r="DY194" s="1942"/>
      <c r="DZ194" s="1942"/>
      <c r="EA194" s="1942"/>
      <c r="EB194" s="1942"/>
      <c r="EC194" s="1942"/>
      <c r="ED194" s="1946"/>
      <c r="EE194" s="1942"/>
      <c r="EF194" s="1942"/>
      <c r="EG194" s="1942"/>
      <c r="EH194" s="1942"/>
      <c r="EI194" s="1942"/>
      <c r="EJ194" s="1942"/>
      <c r="EK194" s="1946"/>
      <c r="EL194" s="1942"/>
      <c r="EM194" s="1942"/>
      <c r="EN194" s="1942"/>
      <c r="EO194" s="1942"/>
      <c r="EP194" s="1942"/>
      <c r="EQ194" s="1942"/>
      <c r="ER194" s="1946"/>
      <c r="ES194" s="1942"/>
      <c r="ET194" s="1942"/>
      <c r="EU194" s="1942"/>
      <c r="EV194" s="1942"/>
      <c r="EW194" s="1942"/>
      <c r="EX194" s="1942"/>
      <c r="EY194" s="1946"/>
      <c r="EZ194" s="1942"/>
      <c r="FA194" s="1942"/>
      <c r="FB194" s="1942"/>
      <c r="FC194" s="1942"/>
      <c r="FD194" s="1942"/>
      <c r="FE194" s="1942"/>
      <c r="FF194" s="1946"/>
      <c r="FG194" s="1942"/>
      <c r="FH194" s="1942"/>
      <c r="FI194" s="1942"/>
      <c r="FJ194" s="1942"/>
      <c r="FK194" s="1942"/>
      <c r="FL194" s="1942"/>
      <c r="FM194" s="1946"/>
      <c r="FN194" s="1942"/>
      <c r="FO194" s="1942"/>
      <c r="FP194" s="1942"/>
      <c r="FQ194" s="1942"/>
      <c r="FR194" s="1942"/>
      <c r="FS194" s="1942"/>
      <c r="FT194" s="1946"/>
      <c r="FU194" s="1942"/>
      <c r="FV194" s="1942"/>
      <c r="FW194" s="1942"/>
      <c r="FX194" s="1942"/>
      <c r="FY194" s="1942"/>
      <c r="FZ194" s="1942"/>
      <c r="GA194" s="1946"/>
      <c r="GB194" s="1942"/>
      <c r="GC194" s="1942"/>
      <c r="GD194" s="1942"/>
      <c r="GE194" s="1942"/>
      <c r="GF194" s="1942"/>
      <c r="GG194" s="1942"/>
      <c r="GH194" s="1946"/>
      <c r="GI194" s="1942"/>
      <c r="GJ194" s="1942"/>
      <c r="GK194" s="1942"/>
      <c r="GL194" s="1942"/>
      <c r="GM194" s="1942"/>
      <c r="GN194" s="1942"/>
      <c r="GO194" s="1946"/>
      <c r="GP194" s="1942"/>
      <c r="GQ194" s="1942"/>
      <c r="GR194" s="1942"/>
      <c r="GS194" s="1942"/>
      <c r="GT194" s="1942"/>
      <c r="GU194" s="1942"/>
      <c r="GV194" s="1946"/>
      <c r="GW194" s="1942"/>
      <c r="GX194" s="1942"/>
      <c r="GY194" s="1942"/>
      <c r="GZ194" s="1942"/>
      <c r="HA194" s="1942"/>
      <c r="HB194" s="1942"/>
      <c r="HC194" s="1946"/>
      <c r="HD194" s="1942"/>
      <c r="HE194" s="1942"/>
      <c r="HF194" s="1942"/>
      <c r="HG194" s="1942"/>
      <c r="HH194" s="1942"/>
      <c r="HI194" s="1942"/>
      <c r="HJ194" s="1946"/>
      <c r="HK194" s="1942"/>
      <c r="HL194" s="1942"/>
      <c r="HM194" s="1942"/>
      <c r="HN194" s="1942"/>
      <c r="HO194" s="1942"/>
      <c r="HP194" s="1942"/>
      <c r="HQ194" s="1946"/>
      <c r="HR194" s="1942"/>
      <c r="HS194" s="1942"/>
      <c r="HT194" s="1942"/>
      <c r="HU194" s="1942"/>
      <c r="HV194" s="1942"/>
      <c r="HW194" s="1942"/>
      <c r="HX194" s="1946"/>
      <c r="HY194" s="1942"/>
      <c r="HZ194" s="1942"/>
      <c r="IA194" s="1942"/>
      <c r="IB194" s="1942"/>
      <c r="IC194" s="1942"/>
      <c r="ID194" s="1942"/>
      <c r="IE194" s="1946"/>
      <c r="IF194" s="1942"/>
      <c r="IG194" s="1942"/>
      <c r="IH194" s="1942"/>
      <c r="II194" s="1942"/>
      <c r="IJ194" s="1942"/>
      <c r="IK194" s="1944"/>
    </row>
    <row r="195" spans="1:245" ht="8.1" hidden="1" customHeight="1" x14ac:dyDescent="0.35">
      <c r="A195" s="195">
        <f ca="1">IF(B195=0,0,"XXX")</f>
        <v>0</v>
      </c>
      <c r="B195" s="1959">
        <f ca="1">IF(AND(F193&gt;=0,F195=0),0,IF(AND(F193=0,F195&gt;0),"1.3.2",IF(F193+F195=0,0,"1.3.3")))</f>
        <v>0</v>
      </c>
      <c r="C195" s="453">
        <f ca="1">IF(F195=0,0,"CONFECÇÃO DE COBERTURA NÃO")</f>
        <v>0</v>
      </c>
      <c r="D195" s="358">
        <f ca="1">IF(F195=0,0,"início:")</f>
        <v>0</v>
      </c>
      <c r="E195" s="359">
        <f ca="1">IF(F195=0,0,IF(D212&lt;D211,0,D234+D230))</f>
        <v>0</v>
      </c>
      <c r="F195" s="1961">
        <f ca="1">IF(D212&lt;D211,0,IF(D229&gt;0,D229,D232))</f>
        <v>0</v>
      </c>
      <c r="G195" s="1963">
        <f ca="1">IF(F195=0,0,"dias")</f>
        <v>0</v>
      </c>
      <c r="H195" s="1945">
        <f ca="1">IF(OR(H232=10,H229=10),10,0)</f>
        <v>0</v>
      </c>
      <c r="I195" s="1941">
        <f t="shared" ref="I195:BT195" ca="1" si="230">IF(OR(I232=10,I229=10),10,0)</f>
        <v>0</v>
      </c>
      <c r="J195" s="1941">
        <f t="shared" ca="1" si="230"/>
        <v>0</v>
      </c>
      <c r="K195" s="1941">
        <f t="shared" ca="1" si="230"/>
        <v>0</v>
      </c>
      <c r="L195" s="1941">
        <f t="shared" ca="1" si="230"/>
        <v>0</v>
      </c>
      <c r="M195" s="1941">
        <f t="shared" ca="1" si="230"/>
        <v>0</v>
      </c>
      <c r="N195" s="1943">
        <f t="shared" ca="1" si="230"/>
        <v>0</v>
      </c>
      <c r="O195" s="1945">
        <f t="shared" ca="1" si="230"/>
        <v>0</v>
      </c>
      <c r="P195" s="1941">
        <f t="shared" ca="1" si="230"/>
        <v>0</v>
      </c>
      <c r="Q195" s="1941">
        <f t="shared" ca="1" si="230"/>
        <v>0</v>
      </c>
      <c r="R195" s="1941">
        <f t="shared" ca="1" si="230"/>
        <v>0</v>
      </c>
      <c r="S195" s="1941">
        <f t="shared" ca="1" si="230"/>
        <v>0</v>
      </c>
      <c r="T195" s="1941">
        <f t="shared" ca="1" si="230"/>
        <v>0</v>
      </c>
      <c r="U195" s="1943">
        <f t="shared" ca="1" si="230"/>
        <v>0</v>
      </c>
      <c r="V195" s="1945">
        <f t="shared" ca="1" si="230"/>
        <v>0</v>
      </c>
      <c r="W195" s="1941">
        <f t="shared" ca="1" si="230"/>
        <v>0</v>
      </c>
      <c r="X195" s="1941">
        <f t="shared" ca="1" si="230"/>
        <v>0</v>
      </c>
      <c r="Y195" s="1941">
        <f t="shared" ca="1" si="230"/>
        <v>0</v>
      </c>
      <c r="Z195" s="1941">
        <f t="shared" ca="1" si="230"/>
        <v>0</v>
      </c>
      <c r="AA195" s="1941">
        <f t="shared" ca="1" si="230"/>
        <v>0</v>
      </c>
      <c r="AB195" s="1943">
        <f t="shared" ca="1" si="230"/>
        <v>0</v>
      </c>
      <c r="AC195" s="1945">
        <f t="shared" ca="1" si="230"/>
        <v>0</v>
      </c>
      <c r="AD195" s="1941">
        <f t="shared" ca="1" si="230"/>
        <v>0</v>
      </c>
      <c r="AE195" s="1941">
        <f t="shared" ca="1" si="230"/>
        <v>0</v>
      </c>
      <c r="AF195" s="1941">
        <f t="shared" ca="1" si="230"/>
        <v>0</v>
      </c>
      <c r="AG195" s="1941">
        <f t="shared" ca="1" si="230"/>
        <v>0</v>
      </c>
      <c r="AH195" s="1941">
        <f t="shared" ca="1" si="230"/>
        <v>0</v>
      </c>
      <c r="AI195" s="1943">
        <f t="shared" ca="1" si="230"/>
        <v>0</v>
      </c>
      <c r="AJ195" s="1945">
        <f t="shared" ca="1" si="230"/>
        <v>0</v>
      </c>
      <c r="AK195" s="1941">
        <f t="shared" ca="1" si="230"/>
        <v>0</v>
      </c>
      <c r="AL195" s="1941">
        <f t="shared" ca="1" si="230"/>
        <v>0</v>
      </c>
      <c r="AM195" s="1941">
        <f t="shared" ca="1" si="230"/>
        <v>0</v>
      </c>
      <c r="AN195" s="1941">
        <f t="shared" ca="1" si="230"/>
        <v>0</v>
      </c>
      <c r="AO195" s="1941">
        <f t="shared" ca="1" si="230"/>
        <v>0</v>
      </c>
      <c r="AP195" s="1943">
        <f t="shared" ca="1" si="230"/>
        <v>0</v>
      </c>
      <c r="AQ195" s="1945">
        <f t="shared" ca="1" si="230"/>
        <v>0</v>
      </c>
      <c r="AR195" s="1941">
        <f t="shared" ca="1" si="230"/>
        <v>0</v>
      </c>
      <c r="AS195" s="1941">
        <f t="shared" ca="1" si="230"/>
        <v>0</v>
      </c>
      <c r="AT195" s="1941">
        <f t="shared" ca="1" si="230"/>
        <v>0</v>
      </c>
      <c r="AU195" s="1941">
        <f t="shared" ca="1" si="230"/>
        <v>0</v>
      </c>
      <c r="AV195" s="1941">
        <f t="shared" ca="1" si="230"/>
        <v>0</v>
      </c>
      <c r="AW195" s="1943">
        <f t="shared" ca="1" si="230"/>
        <v>0</v>
      </c>
      <c r="AX195" s="1945">
        <f t="shared" ca="1" si="230"/>
        <v>0</v>
      </c>
      <c r="AY195" s="1941">
        <f t="shared" ca="1" si="230"/>
        <v>0</v>
      </c>
      <c r="AZ195" s="1941">
        <f t="shared" ca="1" si="230"/>
        <v>0</v>
      </c>
      <c r="BA195" s="1941">
        <f t="shared" ca="1" si="230"/>
        <v>0</v>
      </c>
      <c r="BB195" s="1941">
        <f t="shared" ca="1" si="230"/>
        <v>0</v>
      </c>
      <c r="BC195" s="1941">
        <f t="shared" ca="1" si="230"/>
        <v>0</v>
      </c>
      <c r="BD195" s="1943">
        <f t="shared" ca="1" si="230"/>
        <v>0</v>
      </c>
      <c r="BE195" s="1945">
        <f t="shared" ca="1" si="230"/>
        <v>0</v>
      </c>
      <c r="BF195" s="1941">
        <f t="shared" ca="1" si="230"/>
        <v>0</v>
      </c>
      <c r="BG195" s="1941">
        <f t="shared" ca="1" si="230"/>
        <v>0</v>
      </c>
      <c r="BH195" s="1941">
        <f t="shared" ca="1" si="230"/>
        <v>0</v>
      </c>
      <c r="BI195" s="1941">
        <f t="shared" ca="1" si="230"/>
        <v>0</v>
      </c>
      <c r="BJ195" s="1941">
        <f t="shared" ca="1" si="230"/>
        <v>0</v>
      </c>
      <c r="BK195" s="1943">
        <f t="shared" ca="1" si="230"/>
        <v>0</v>
      </c>
      <c r="BL195" s="1945">
        <f t="shared" ca="1" si="230"/>
        <v>0</v>
      </c>
      <c r="BM195" s="1941">
        <f t="shared" ca="1" si="230"/>
        <v>0</v>
      </c>
      <c r="BN195" s="1941">
        <f t="shared" ca="1" si="230"/>
        <v>0</v>
      </c>
      <c r="BO195" s="1941">
        <f t="shared" ca="1" si="230"/>
        <v>0</v>
      </c>
      <c r="BP195" s="1941">
        <f t="shared" ca="1" si="230"/>
        <v>0</v>
      </c>
      <c r="BQ195" s="1941">
        <f t="shared" ca="1" si="230"/>
        <v>0</v>
      </c>
      <c r="BR195" s="1943">
        <f t="shared" ca="1" si="230"/>
        <v>0</v>
      </c>
      <c r="BS195" s="1945">
        <f t="shared" ca="1" si="230"/>
        <v>0</v>
      </c>
      <c r="BT195" s="1941">
        <f t="shared" ca="1" si="230"/>
        <v>0</v>
      </c>
      <c r="BU195" s="1941">
        <f t="shared" ref="BU195:EF195" ca="1" si="231">IF(OR(BU232=10,BU229=10),10,0)</f>
        <v>0</v>
      </c>
      <c r="BV195" s="1941">
        <f t="shared" ca="1" si="231"/>
        <v>0</v>
      </c>
      <c r="BW195" s="1941">
        <f t="shared" ca="1" si="231"/>
        <v>0</v>
      </c>
      <c r="BX195" s="1941">
        <f t="shared" ca="1" si="231"/>
        <v>0</v>
      </c>
      <c r="BY195" s="1943">
        <f t="shared" ca="1" si="231"/>
        <v>0</v>
      </c>
      <c r="BZ195" s="1945">
        <f t="shared" ca="1" si="231"/>
        <v>0</v>
      </c>
      <c r="CA195" s="1941">
        <f t="shared" ca="1" si="231"/>
        <v>0</v>
      </c>
      <c r="CB195" s="1941">
        <f t="shared" ca="1" si="231"/>
        <v>0</v>
      </c>
      <c r="CC195" s="1941">
        <f t="shared" ca="1" si="231"/>
        <v>0</v>
      </c>
      <c r="CD195" s="1941">
        <f t="shared" ca="1" si="231"/>
        <v>0</v>
      </c>
      <c r="CE195" s="1941">
        <f t="shared" ca="1" si="231"/>
        <v>0</v>
      </c>
      <c r="CF195" s="1943">
        <f t="shared" ca="1" si="231"/>
        <v>0</v>
      </c>
      <c r="CG195" s="1945">
        <f t="shared" ca="1" si="231"/>
        <v>0</v>
      </c>
      <c r="CH195" s="1941">
        <f t="shared" ca="1" si="231"/>
        <v>0</v>
      </c>
      <c r="CI195" s="1941">
        <f t="shared" ca="1" si="231"/>
        <v>0</v>
      </c>
      <c r="CJ195" s="1941">
        <f t="shared" ca="1" si="231"/>
        <v>0</v>
      </c>
      <c r="CK195" s="1941">
        <f t="shared" ca="1" si="231"/>
        <v>0</v>
      </c>
      <c r="CL195" s="1941">
        <f t="shared" ca="1" si="231"/>
        <v>0</v>
      </c>
      <c r="CM195" s="1943">
        <f t="shared" ca="1" si="231"/>
        <v>0</v>
      </c>
      <c r="CN195" s="1945">
        <f t="shared" ca="1" si="231"/>
        <v>0</v>
      </c>
      <c r="CO195" s="1941">
        <f t="shared" ca="1" si="231"/>
        <v>0</v>
      </c>
      <c r="CP195" s="1941">
        <f t="shared" ca="1" si="231"/>
        <v>0</v>
      </c>
      <c r="CQ195" s="1941">
        <f t="shared" ca="1" si="231"/>
        <v>0</v>
      </c>
      <c r="CR195" s="1941">
        <f t="shared" ca="1" si="231"/>
        <v>0</v>
      </c>
      <c r="CS195" s="1941">
        <f t="shared" ca="1" si="231"/>
        <v>0</v>
      </c>
      <c r="CT195" s="1943">
        <f t="shared" ca="1" si="231"/>
        <v>0</v>
      </c>
      <c r="CU195" s="1945">
        <f t="shared" ca="1" si="231"/>
        <v>0</v>
      </c>
      <c r="CV195" s="1941">
        <f t="shared" ca="1" si="231"/>
        <v>0</v>
      </c>
      <c r="CW195" s="1941">
        <f t="shared" ca="1" si="231"/>
        <v>0</v>
      </c>
      <c r="CX195" s="1941">
        <f t="shared" ca="1" si="231"/>
        <v>0</v>
      </c>
      <c r="CY195" s="1941">
        <f t="shared" ca="1" si="231"/>
        <v>0</v>
      </c>
      <c r="CZ195" s="1941">
        <f t="shared" ca="1" si="231"/>
        <v>0</v>
      </c>
      <c r="DA195" s="1943">
        <f t="shared" ca="1" si="231"/>
        <v>0</v>
      </c>
      <c r="DB195" s="1945">
        <f t="shared" ca="1" si="231"/>
        <v>0</v>
      </c>
      <c r="DC195" s="1941">
        <f t="shared" ca="1" si="231"/>
        <v>0</v>
      </c>
      <c r="DD195" s="1941">
        <f t="shared" ca="1" si="231"/>
        <v>0</v>
      </c>
      <c r="DE195" s="1941">
        <f t="shared" ca="1" si="231"/>
        <v>0</v>
      </c>
      <c r="DF195" s="1941">
        <f t="shared" ca="1" si="231"/>
        <v>0</v>
      </c>
      <c r="DG195" s="1941">
        <f t="shared" ca="1" si="231"/>
        <v>0</v>
      </c>
      <c r="DH195" s="1943">
        <f t="shared" ca="1" si="231"/>
        <v>0</v>
      </c>
      <c r="DI195" s="1945">
        <f t="shared" ca="1" si="231"/>
        <v>0</v>
      </c>
      <c r="DJ195" s="1941">
        <f t="shared" ca="1" si="231"/>
        <v>0</v>
      </c>
      <c r="DK195" s="1941">
        <f t="shared" ca="1" si="231"/>
        <v>0</v>
      </c>
      <c r="DL195" s="1941">
        <f t="shared" ca="1" si="231"/>
        <v>0</v>
      </c>
      <c r="DM195" s="1941">
        <f t="shared" ca="1" si="231"/>
        <v>0</v>
      </c>
      <c r="DN195" s="1941">
        <f t="shared" ca="1" si="231"/>
        <v>0</v>
      </c>
      <c r="DO195" s="1943">
        <f t="shared" ca="1" si="231"/>
        <v>0</v>
      </c>
      <c r="DP195" s="1945">
        <f t="shared" ca="1" si="231"/>
        <v>0</v>
      </c>
      <c r="DQ195" s="1941">
        <f t="shared" ca="1" si="231"/>
        <v>0</v>
      </c>
      <c r="DR195" s="1941">
        <f t="shared" ca="1" si="231"/>
        <v>0</v>
      </c>
      <c r="DS195" s="1941">
        <f t="shared" ca="1" si="231"/>
        <v>0</v>
      </c>
      <c r="DT195" s="1941">
        <f t="shared" ca="1" si="231"/>
        <v>0</v>
      </c>
      <c r="DU195" s="1941">
        <f t="shared" ca="1" si="231"/>
        <v>0</v>
      </c>
      <c r="DV195" s="1943">
        <f t="shared" ca="1" si="231"/>
        <v>0</v>
      </c>
      <c r="DW195" s="1945">
        <f t="shared" ca="1" si="231"/>
        <v>0</v>
      </c>
      <c r="DX195" s="1941">
        <f t="shared" ca="1" si="231"/>
        <v>0</v>
      </c>
      <c r="DY195" s="1941">
        <f t="shared" ca="1" si="231"/>
        <v>0</v>
      </c>
      <c r="DZ195" s="1941">
        <f t="shared" ca="1" si="231"/>
        <v>0</v>
      </c>
      <c r="EA195" s="1941">
        <f t="shared" ca="1" si="231"/>
        <v>0</v>
      </c>
      <c r="EB195" s="1941">
        <f t="shared" ca="1" si="231"/>
        <v>0</v>
      </c>
      <c r="EC195" s="1943">
        <f t="shared" ca="1" si="231"/>
        <v>0</v>
      </c>
      <c r="ED195" s="1945">
        <f t="shared" ca="1" si="231"/>
        <v>0</v>
      </c>
      <c r="EE195" s="1941">
        <f t="shared" ca="1" si="231"/>
        <v>0</v>
      </c>
      <c r="EF195" s="1941">
        <f t="shared" ca="1" si="231"/>
        <v>0</v>
      </c>
      <c r="EG195" s="1941">
        <f t="shared" ref="EG195:GR195" ca="1" si="232">IF(OR(EG232=10,EG229=10),10,0)</f>
        <v>0</v>
      </c>
      <c r="EH195" s="1941">
        <f t="shared" ca="1" si="232"/>
        <v>0</v>
      </c>
      <c r="EI195" s="1941">
        <f t="shared" ca="1" si="232"/>
        <v>0</v>
      </c>
      <c r="EJ195" s="1943">
        <f t="shared" ca="1" si="232"/>
        <v>0</v>
      </c>
      <c r="EK195" s="1945">
        <f t="shared" ca="1" si="232"/>
        <v>0</v>
      </c>
      <c r="EL195" s="1941">
        <f t="shared" ca="1" si="232"/>
        <v>0</v>
      </c>
      <c r="EM195" s="1941">
        <f t="shared" ca="1" si="232"/>
        <v>0</v>
      </c>
      <c r="EN195" s="1941">
        <f t="shared" ca="1" si="232"/>
        <v>0</v>
      </c>
      <c r="EO195" s="1941">
        <f t="shared" ca="1" si="232"/>
        <v>0</v>
      </c>
      <c r="EP195" s="1941">
        <f t="shared" ca="1" si="232"/>
        <v>0</v>
      </c>
      <c r="EQ195" s="1943">
        <f t="shared" ca="1" si="232"/>
        <v>0</v>
      </c>
      <c r="ER195" s="1945">
        <f t="shared" ca="1" si="232"/>
        <v>0</v>
      </c>
      <c r="ES195" s="1941">
        <f t="shared" ca="1" si="232"/>
        <v>0</v>
      </c>
      <c r="ET195" s="1941">
        <f t="shared" ca="1" si="232"/>
        <v>0</v>
      </c>
      <c r="EU195" s="1941">
        <f t="shared" ca="1" si="232"/>
        <v>0</v>
      </c>
      <c r="EV195" s="1941">
        <f t="shared" ca="1" si="232"/>
        <v>0</v>
      </c>
      <c r="EW195" s="1941">
        <f t="shared" ca="1" si="232"/>
        <v>0</v>
      </c>
      <c r="EX195" s="1943">
        <f t="shared" ca="1" si="232"/>
        <v>0</v>
      </c>
      <c r="EY195" s="1945">
        <f t="shared" ca="1" si="232"/>
        <v>0</v>
      </c>
      <c r="EZ195" s="1941">
        <f t="shared" ca="1" si="232"/>
        <v>0</v>
      </c>
      <c r="FA195" s="1941">
        <f t="shared" ca="1" si="232"/>
        <v>0</v>
      </c>
      <c r="FB195" s="1941">
        <f t="shared" ca="1" si="232"/>
        <v>0</v>
      </c>
      <c r="FC195" s="1941">
        <f t="shared" ca="1" si="232"/>
        <v>0</v>
      </c>
      <c r="FD195" s="1941">
        <f t="shared" ca="1" si="232"/>
        <v>0</v>
      </c>
      <c r="FE195" s="1943">
        <f t="shared" ca="1" si="232"/>
        <v>0</v>
      </c>
      <c r="FF195" s="1945">
        <f t="shared" ca="1" si="232"/>
        <v>0</v>
      </c>
      <c r="FG195" s="1941">
        <f t="shared" ca="1" si="232"/>
        <v>0</v>
      </c>
      <c r="FH195" s="1941">
        <f t="shared" ca="1" si="232"/>
        <v>0</v>
      </c>
      <c r="FI195" s="1941">
        <f t="shared" ca="1" si="232"/>
        <v>0</v>
      </c>
      <c r="FJ195" s="1941">
        <f t="shared" ca="1" si="232"/>
        <v>0</v>
      </c>
      <c r="FK195" s="1941">
        <f t="shared" ca="1" si="232"/>
        <v>0</v>
      </c>
      <c r="FL195" s="1943">
        <f t="shared" ca="1" si="232"/>
        <v>0</v>
      </c>
      <c r="FM195" s="1945">
        <f t="shared" ca="1" si="232"/>
        <v>0</v>
      </c>
      <c r="FN195" s="1941">
        <f t="shared" ca="1" si="232"/>
        <v>0</v>
      </c>
      <c r="FO195" s="1941">
        <f t="shared" ca="1" si="232"/>
        <v>0</v>
      </c>
      <c r="FP195" s="1941">
        <f t="shared" ca="1" si="232"/>
        <v>0</v>
      </c>
      <c r="FQ195" s="1941">
        <f t="shared" ca="1" si="232"/>
        <v>0</v>
      </c>
      <c r="FR195" s="1941">
        <f t="shared" ca="1" si="232"/>
        <v>0</v>
      </c>
      <c r="FS195" s="1943">
        <f t="shared" ca="1" si="232"/>
        <v>0</v>
      </c>
      <c r="FT195" s="1945">
        <f t="shared" ca="1" si="232"/>
        <v>0</v>
      </c>
      <c r="FU195" s="1941">
        <f t="shared" ca="1" si="232"/>
        <v>0</v>
      </c>
      <c r="FV195" s="1941">
        <f t="shared" ca="1" si="232"/>
        <v>0</v>
      </c>
      <c r="FW195" s="1941">
        <f t="shared" ca="1" si="232"/>
        <v>0</v>
      </c>
      <c r="FX195" s="1941">
        <f t="shared" ca="1" si="232"/>
        <v>0</v>
      </c>
      <c r="FY195" s="1941">
        <f t="shared" ca="1" si="232"/>
        <v>0</v>
      </c>
      <c r="FZ195" s="1943">
        <f t="shared" ca="1" si="232"/>
        <v>0</v>
      </c>
      <c r="GA195" s="1945">
        <f t="shared" ca="1" si="232"/>
        <v>0</v>
      </c>
      <c r="GB195" s="1941">
        <f t="shared" ca="1" si="232"/>
        <v>0</v>
      </c>
      <c r="GC195" s="1941">
        <f t="shared" ca="1" si="232"/>
        <v>0</v>
      </c>
      <c r="GD195" s="1941">
        <f t="shared" ca="1" si="232"/>
        <v>0</v>
      </c>
      <c r="GE195" s="1941">
        <f t="shared" ca="1" si="232"/>
        <v>0</v>
      </c>
      <c r="GF195" s="1941">
        <f t="shared" ca="1" si="232"/>
        <v>0</v>
      </c>
      <c r="GG195" s="1943">
        <f t="shared" ca="1" si="232"/>
        <v>0</v>
      </c>
      <c r="GH195" s="1945">
        <f t="shared" ca="1" si="232"/>
        <v>0</v>
      </c>
      <c r="GI195" s="1941">
        <f t="shared" ca="1" si="232"/>
        <v>0</v>
      </c>
      <c r="GJ195" s="1941">
        <f t="shared" ca="1" si="232"/>
        <v>0</v>
      </c>
      <c r="GK195" s="1941">
        <f t="shared" ca="1" si="232"/>
        <v>0</v>
      </c>
      <c r="GL195" s="1941">
        <f t="shared" ca="1" si="232"/>
        <v>0</v>
      </c>
      <c r="GM195" s="1941">
        <f t="shared" ca="1" si="232"/>
        <v>0</v>
      </c>
      <c r="GN195" s="1943">
        <f t="shared" ca="1" si="232"/>
        <v>0</v>
      </c>
      <c r="GO195" s="1945">
        <f t="shared" ca="1" si="232"/>
        <v>0</v>
      </c>
      <c r="GP195" s="1941">
        <f t="shared" ca="1" si="232"/>
        <v>0</v>
      </c>
      <c r="GQ195" s="1941">
        <f t="shared" ca="1" si="232"/>
        <v>0</v>
      </c>
      <c r="GR195" s="1941">
        <f t="shared" ca="1" si="232"/>
        <v>0</v>
      </c>
      <c r="GS195" s="1941">
        <f t="shared" ref="GS195:IK195" ca="1" si="233">IF(OR(GS232=10,GS229=10),10,0)</f>
        <v>0</v>
      </c>
      <c r="GT195" s="1941">
        <f t="shared" ca="1" si="233"/>
        <v>0</v>
      </c>
      <c r="GU195" s="1943">
        <f t="shared" ca="1" si="233"/>
        <v>0</v>
      </c>
      <c r="GV195" s="1945">
        <f t="shared" ca="1" si="233"/>
        <v>0</v>
      </c>
      <c r="GW195" s="1941">
        <f t="shared" ca="1" si="233"/>
        <v>0</v>
      </c>
      <c r="GX195" s="1941">
        <f t="shared" ca="1" si="233"/>
        <v>0</v>
      </c>
      <c r="GY195" s="1941">
        <f t="shared" ca="1" si="233"/>
        <v>0</v>
      </c>
      <c r="GZ195" s="1941">
        <f t="shared" ca="1" si="233"/>
        <v>0</v>
      </c>
      <c r="HA195" s="1941">
        <f t="shared" ca="1" si="233"/>
        <v>0</v>
      </c>
      <c r="HB195" s="1943">
        <f t="shared" ca="1" si="233"/>
        <v>0</v>
      </c>
      <c r="HC195" s="1945">
        <f t="shared" ca="1" si="233"/>
        <v>0</v>
      </c>
      <c r="HD195" s="1941">
        <f t="shared" ca="1" si="233"/>
        <v>0</v>
      </c>
      <c r="HE195" s="1941">
        <f t="shared" ca="1" si="233"/>
        <v>0</v>
      </c>
      <c r="HF195" s="1941">
        <f t="shared" ca="1" si="233"/>
        <v>0</v>
      </c>
      <c r="HG195" s="1941">
        <f t="shared" ca="1" si="233"/>
        <v>0</v>
      </c>
      <c r="HH195" s="1941">
        <f t="shared" ca="1" si="233"/>
        <v>0</v>
      </c>
      <c r="HI195" s="1943">
        <f t="shared" ca="1" si="233"/>
        <v>0</v>
      </c>
      <c r="HJ195" s="1945">
        <f t="shared" ca="1" si="233"/>
        <v>0</v>
      </c>
      <c r="HK195" s="1941">
        <f t="shared" ca="1" si="233"/>
        <v>0</v>
      </c>
      <c r="HL195" s="1941">
        <f t="shared" ca="1" si="233"/>
        <v>0</v>
      </c>
      <c r="HM195" s="1941">
        <f t="shared" ca="1" si="233"/>
        <v>0</v>
      </c>
      <c r="HN195" s="1941">
        <f t="shared" ca="1" si="233"/>
        <v>0</v>
      </c>
      <c r="HO195" s="1941">
        <f t="shared" ca="1" si="233"/>
        <v>0</v>
      </c>
      <c r="HP195" s="1943">
        <f t="shared" ca="1" si="233"/>
        <v>0</v>
      </c>
      <c r="HQ195" s="1945">
        <f t="shared" ca="1" si="233"/>
        <v>0</v>
      </c>
      <c r="HR195" s="1941">
        <f t="shared" ca="1" si="233"/>
        <v>0</v>
      </c>
      <c r="HS195" s="1941">
        <f t="shared" ca="1" si="233"/>
        <v>0</v>
      </c>
      <c r="HT195" s="1941">
        <f t="shared" ca="1" si="233"/>
        <v>0</v>
      </c>
      <c r="HU195" s="1941">
        <f t="shared" ca="1" si="233"/>
        <v>0</v>
      </c>
      <c r="HV195" s="1941">
        <f t="shared" ca="1" si="233"/>
        <v>0</v>
      </c>
      <c r="HW195" s="1943">
        <f t="shared" ca="1" si="233"/>
        <v>0</v>
      </c>
      <c r="HX195" s="1945">
        <f t="shared" ca="1" si="233"/>
        <v>0</v>
      </c>
      <c r="HY195" s="1941">
        <f t="shared" ca="1" si="233"/>
        <v>0</v>
      </c>
      <c r="HZ195" s="1941">
        <f t="shared" ca="1" si="233"/>
        <v>0</v>
      </c>
      <c r="IA195" s="1941">
        <f t="shared" ca="1" si="233"/>
        <v>0</v>
      </c>
      <c r="IB195" s="1941">
        <f t="shared" ca="1" si="233"/>
        <v>0</v>
      </c>
      <c r="IC195" s="1941">
        <f t="shared" ca="1" si="233"/>
        <v>0</v>
      </c>
      <c r="ID195" s="1943">
        <f t="shared" ca="1" si="233"/>
        <v>0</v>
      </c>
      <c r="IE195" s="1945">
        <f t="shared" ca="1" si="233"/>
        <v>0</v>
      </c>
      <c r="IF195" s="1941">
        <f t="shared" ca="1" si="233"/>
        <v>0</v>
      </c>
      <c r="IG195" s="1941">
        <f t="shared" ca="1" si="233"/>
        <v>0</v>
      </c>
      <c r="IH195" s="1941">
        <f t="shared" ca="1" si="233"/>
        <v>0</v>
      </c>
      <c r="II195" s="1941">
        <f t="shared" ca="1" si="233"/>
        <v>0</v>
      </c>
      <c r="IJ195" s="1941">
        <f t="shared" ca="1" si="233"/>
        <v>0</v>
      </c>
      <c r="IK195" s="1943">
        <f t="shared" ca="1" si="233"/>
        <v>0</v>
      </c>
    </row>
    <row r="196" spans="1:245" ht="8.1" hidden="1" customHeight="1" x14ac:dyDescent="0.35">
      <c r="A196" s="195">
        <f ca="1">IF(B195=0,0,"XXX")</f>
        <v>0</v>
      </c>
      <c r="B196" s="1960"/>
      <c r="C196" s="452">
        <f ca="1">IF(F195=0,0,"COMPARTILHADA COM PAREDES")</f>
        <v>0</v>
      </c>
      <c r="D196" s="360">
        <f ca="1">IF(F195=0,0,"término:")</f>
        <v>0</v>
      </c>
      <c r="E196" s="361">
        <f ca="1">IF(F195=0,0,IF(D212&lt;D211,0,D235+D231))</f>
        <v>0</v>
      </c>
      <c r="F196" s="1962"/>
      <c r="G196" s="1964"/>
      <c r="H196" s="1946"/>
      <c r="I196" s="1942"/>
      <c r="J196" s="1942"/>
      <c r="K196" s="1942"/>
      <c r="L196" s="1942"/>
      <c r="M196" s="1942"/>
      <c r="N196" s="1944"/>
      <c r="O196" s="1946"/>
      <c r="P196" s="1942"/>
      <c r="Q196" s="1942"/>
      <c r="R196" s="1942"/>
      <c r="S196" s="1942"/>
      <c r="T196" s="1942"/>
      <c r="U196" s="1944"/>
      <c r="V196" s="1946"/>
      <c r="W196" s="1942"/>
      <c r="X196" s="1942"/>
      <c r="Y196" s="1942"/>
      <c r="Z196" s="1942"/>
      <c r="AA196" s="1942"/>
      <c r="AB196" s="1944"/>
      <c r="AC196" s="1946"/>
      <c r="AD196" s="1942"/>
      <c r="AE196" s="1942"/>
      <c r="AF196" s="1942"/>
      <c r="AG196" s="1942"/>
      <c r="AH196" s="1942"/>
      <c r="AI196" s="1944"/>
      <c r="AJ196" s="1946"/>
      <c r="AK196" s="1942"/>
      <c r="AL196" s="1942"/>
      <c r="AM196" s="1942"/>
      <c r="AN196" s="1942"/>
      <c r="AO196" s="1942"/>
      <c r="AP196" s="1944"/>
      <c r="AQ196" s="1946"/>
      <c r="AR196" s="1942"/>
      <c r="AS196" s="1942"/>
      <c r="AT196" s="1942"/>
      <c r="AU196" s="1942"/>
      <c r="AV196" s="1942"/>
      <c r="AW196" s="1944"/>
      <c r="AX196" s="1946"/>
      <c r="AY196" s="1942"/>
      <c r="AZ196" s="1942"/>
      <c r="BA196" s="1942"/>
      <c r="BB196" s="1942"/>
      <c r="BC196" s="1942"/>
      <c r="BD196" s="1944"/>
      <c r="BE196" s="1946"/>
      <c r="BF196" s="1942"/>
      <c r="BG196" s="1942"/>
      <c r="BH196" s="1942"/>
      <c r="BI196" s="1942"/>
      <c r="BJ196" s="1942"/>
      <c r="BK196" s="1944"/>
      <c r="BL196" s="1946"/>
      <c r="BM196" s="1942"/>
      <c r="BN196" s="1942"/>
      <c r="BO196" s="1942"/>
      <c r="BP196" s="1942"/>
      <c r="BQ196" s="1942"/>
      <c r="BR196" s="1944"/>
      <c r="BS196" s="1946"/>
      <c r="BT196" s="1942"/>
      <c r="BU196" s="1942"/>
      <c r="BV196" s="1942"/>
      <c r="BW196" s="1942"/>
      <c r="BX196" s="1942"/>
      <c r="BY196" s="1944"/>
      <c r="BZ196" s="1946"/>
      <c r="CA196" s="1942"/>
      <c r="CB196" s="1942"/>
      <c r="CC196" s="1942"/>
      <c r="CD196" s="1942"/>
      <c r="CE196" s="1942"/>
      <c r="CF196" s="1944"/>
      <c r="CG196" s="1946"/>
      <c r="CH196" s="1942"/>
      <c r="CI196" s="1942"/>
      <c r="CJ196" s="1942"/>
      <c r="CK196" s="1942"/>
      <c r="CL196" s="1942"/>
      <c r="CM196" s="1944"/>
      <c r="CN196" s="1946"/>
      <c r="CO196" s="1942"/>
      <c r="CP196" s="1942"/>
      <c r="CQ196" s="1942"/>
      <c r="CR196" s="1942"/>
      <c r="CS196" s="1942"/>
      <c r="CT196" s="1944"/>
      <c r="CU196" s="1946"/>
      <c r="CV196" s="1942"/>
      <c r="CW196" s="1942"/>
      <c r="CX196" s="1942"/>
      <c r="CY196" s="1942"/>
      <c r="CZ196" s="1942"/>
      <c r="DA196" s="1944"/>
      <c r="DB196" s="1946"/>
      <c r="DC196" s="1942"/>
      <c r="DD196" s="1942"/>
      <c r="DE196" s="1942"/>
      <c r="DF196" s="1942"/>
      <c r="DG196" s="1942"/>
      <c r="DH196" s="1944"/>
      <c r="DI196" s="1946"/>
      <c r="DJ196" s="1942"/>
      <c r="DK196" s="1942"/>
      <c r="DL196" s="1942"/>
      <c r="DM196" s="1942"/>
      <c r="DN196" s="1942"/>
      <c r="DO196" s="1944"/>
      <c r="DP196" s="1946"/>
      <c r="DQ196" s="1942"/>
      <c r="DR196" s="1942"/>
      <c r="DS196" s="1942"/>
      <c r="DT196" s="1942"/>
      <c r="DU196" s="1942"/>
      <c r="DV196" s="1944"/>
      <c r="DW196" s="1946"/>
      <c r="DX196" s="1942"/>
      <c r="DY196" s="1942"/>
      <c r="DZ196" s="1942"/>
      <c r="EA196" s="1942"/>
      <c r="EB196" s="1942"/>
      <c r="EC196" s="1944"/>
      <c r="ED196" s="1946"/>
      <c r="EE196" s="1942"/>
      <c r="EF196" s="1942"/>
      <c r="EG196" s="1942"/>
      <c r="EH196" s="1942"/>
      <c r="EI196" s="1942"/>
      <c r="EJ196" s="1944"/>
      <c r="EK196" s="1946"/>
      <c r="EL196" s="1942"/>
      <c r="EM196" s="1942"/>
      <c r="EN196" s="1942"/>
      <c r="EO196" s="1942"/>
      <c r="EP196" s="1942"/>
      <c r="EQ196" s="1944"/>
      <c r="ER196" s="1946"/>
      <c r="ES196" s="1942"/>
      <c r="ET196" s="1942"/>
      <c r="EU196" s="1942"/>
      <c r="EV196" s="1942"/>
      <c r="EW196" s="1942"/>
      <c r="EX196" s="1944"/>
      <c r="EY196" s="1946"/>
      <c r="EZ196" s="1942"/>
      <c r="FA196" s="1942"/>
      <c r="FB196" s="1942"/>
      <c r="FC196" s="1942"/>
      <c r="FD196" s="1942"/>
      <c r="FE196" s="1944"/>
      <c r="FF196" s="1946"/>
      <c r="FG196" s="1942"/>
      <c r="FH196" s="1942"/>
      <c r="FI196" s="1942"/>
      <c r="FJ196" s="1942"/>
      <c r="FK196" s="1942"/>
      <c r="FL196" s="1944"/>
      <c r="FM196" s="1946"/>
      <c r="FN196" s="1942"/>
      <c r="FO196" s="1942"/>
      <c r="FP196" s="1942"/>
      <c r="FQ196" s="1942"/>
      <c r="FR196" s="1942"/>
      <c r="FS196" s="1944"/>
      <c r="FT196" s="1946"/>
      <c r="FU196" s="1942"/>
      <c r="FV196" s="1942"/>
      <c r="FW196" s="1942"/>
      <c r="FX196" s="1942"/>
      <c r="FY196" s="1942"/>
      <c r="FZ196" s="1944"/>
      <c r="GA196" s="1946"/>
      <c r="GB196" s="1942"/>
      <c r="GC196" s="1942"/>
      <c r="GD196" s="1942"/>
      <c r="GE196" s="1942"/>
      <c r="GF196" s="1942"/>
      <c r="GG196" s="1944"/>
      <c r="GH196" s="1946"/>
      <c r="GI196" s="1942"/>
      <c r="GJ196" s="1942"/>
      <c r="GK196" s="1942"/>
      <c r="GL196" s="1942"/>
      <c r="GM196" s="1942"/>
      <c r="GN196" s="1944"/>
      <c r="GO196" s="1946"/>
      <c r="GP196" s="1942"/>
      <c r="GQ196" s="1942"/>
      <c r="GR196" s="1942"/>
      <c r="GS196" s="1942"/>
      <c r="GT196" s="1942"/>
      <c r="GU196" s="1944"/>
      <c r="GV196" s="1946"/>
      <c r="GW196" s="1942"/>
      <c r="GX196" s="1942"/>
      <c r="GY196" s="1942"/>
      <c r="GZ196" s="1942"/>
      <c r="HA196" s="1942"/>
      <c r="HB196" s="1944"/>
      <c r="HC196" s="1946"/>
      <c r="HD196" s="1942"/>
      <c r="HE196" s="1942"/>
      <c r="HF196" s="1942"/>
      <c r="HG196" s="1942"/>
      <c r="HH196" s="1942"/>
      <c r="HI196" s="1944"/>
      <c r="HJ196" s="1946"/>
      <c r="HK196" s="1942"/>
      <c r="HL196" s="1942"/>
      <c r="HM196" s="1942"/>
      <c r="HN196" s="1942"/>
      <c r="HO196" s="1942"/>
      <c r="HP196" s="1944"/>
      <c r="HQ196" s="1946"/>
      <c r="HR196" s="1942"/>
      <c r="HS196" s="1942"/>
      <c r="HT196" s="1942"/>
      <c r="HU196" s="1942"/>
      <c r="HV196" s="1942"/>
      <c r="HW196" s="1944"/>
      <c r="HX196" s="1946"/>
      <c r="HY196" s="1942"/>
      <c r="HZ196" s="1942"/>
      <c r="IA196" s="1942"/>
      <c r="IB196" s="1942"/>
      <c r="IC196" s="1942"/>
      <c r="ID196" s="1944"/>
      <c r="IE196" s="1946"/>
      <c r="IF196" s="1942"/>
      <c r="IG196" s="1942"/>
      <c r="IH196" s="1942"/>
      <c r="II196" s="1942"/>
      <c r="IJ196" s="1942"/>
      <c r="IK196" s="1944"/>
    </row>
    <row r="197" spans="1:245" ht="8.1" customHeight="1" x14ac:dyDescent="0.35">
      <c r="A197" s="195" t="str">
        <f ca="1">IF(B197=0,0,"XXX")</f>
        <v>XXX</v>
      </c>
      <c r="B197" s="1959" t="str">
        <f ca="1">IF(D212&lt;D211,0,IF(AND(B193=0,B195=0),"1.3.2",IF(AND(B193&gt;0,B195=0),"1.3.3",IF(B195="1.3.2","1.3.3",IF(B195="1.3.3","1.3.4","1.3.2")))))</f>
        <v>1.3.2</v>
      </c>
      <c r="C197" s="1965" t="str">
        <f>IF(ENTRADAS!$F$22=0,0,"MONTAGEM DAS PAREDES")</f>
        <v>MONTAGEM DAS PAREDES</v>
      </c>
      <c r="D197" s="358" t="str">
        <f>IF(ENTRADAS!$F$22=0,0,"início:")</f>
        <v>início:</v>
      </c>
      <c r="E197" s="359">
        <f ca="1">IF(D212&lt;D211,0,D245)</f>
        <v>45992.487500000003</v>
      </c>
      <c r="F197" s="454">
        <f ca="1">IF(D212&lt;D211,0,D240)</f>
        <v>29</v>
      </c>
      <c r="G197" s="455" t="str">
        <f>IF(ENTRADAS!$F$22=0,0,"dias")</f>
        <v>dias</v>
      </c>
      <c r="H197" s="1939">
        <f ca="1">H240</f>
        <v>0</v>
      </c>
      <c r="I197" s="1940">
        <f t="shared" ref="I197:AZ197" ca="1" si="234">I240</f>
        <v>0</v>
      </c>
      <c r="J197" s="1940">
        <f t="shared" ca="1" si="234"/>
        <v>0</v>
      </c>
      <c r="K197" s="1940">
        <f t="shared" ca="1" si="234"/>
        <v>0</v>
      </c>
      <c r="L197" s="1940">
        <f t="shared" ca="1" si="234"/>
        <v>0</v>
      </c>
      <c r="M197" s="1940">
        <f t="shared" ca="1" si="234"/>
        <v>0</v>
      </c>
      <c r="N197" s="1940">
        <f t="shared" ca="1" si="234"/>
        <v>0</v>
      </c>
      <c r="O197" s="1939">
        <f t="shared" ca="1" si="234"/>
        <v>0</v>
      </c>
      <c r="P197" s="1940">
        <f t="shared" ca="1" si="234"/>
        <v>0</v>
      </c>
      <c r="Q197" s="1940">
        <f t="shared" ca="1" si="234"/>
        <v>0</v>
      </c>
      <c r="R197" s="1940">
        <f t="shared" ca="1" si="234"/>
        <v>0</v>
      </c>
      <c r="S197" s="1940">
        <f t="shared" ca="1" si="234"/>
        <v>0</v>
      </c>
      <c r="T197" s="1940">
        <f t="shared" ca="1" si="234"/>
        <v>0</v>
      </c>
      <c r="U197" s="1940">
        <f t="shared" ca="1" si="234"/>
        <v>0</v>
      </c>
      <c r="V197" s="1939">
        <f t="shared" ca="1" si="234"/>
        <v>0</v>
      </c>
      <c r="W197" s="1940">
        <f t="shared" ca="1" si="234"/>
        <v>0</v>
      </c>
      <c r="X197" s="1940">
        <f t="shared" ca="1" si="234"/>
        <v>0</v>
      </c>
      <c r="Y197" s="1940">
        <f t="shared" ca="1" si="234"/>
        <v>0</v>
      </c>
      <c r="Z197" s="1940">
        <f t="shared" ca="1" si="234"/>
        <v>0</v>
      </c>
      <c r="AA197" s="1940">
        <f t="shared" ca="1" si="234"/>
        <v>0</v>
      </c>
      <c r="AB197" s="1940">
        <f t="shared" ca="1" si="234"/>
        <v>0</v>
      </c>
      <c r="AC197" s="1939">
        <f t="shared" ca="1" si="234"/>
        <v>0</v>
      </c>
      <c r="AD197" s="1940">
        <f t="shared" ca="1" si="234"/>
        <v>0</v>
      </c>
      <c r="AE197" s="1940">
        <f t="shared" ca="1" si="234"/>
        <v>0</v>
      </c>
      <c r="AF197" s="1940">
        <f t="shared" ca="1" si="234"/>
        <v>0</v>
      </c>
      <c r="AG197" s="1940">
        <f t="shared" ca="1" si="234"/>
        <v>0</v>
      </c>
      <c r="AH197" s="1940">
        <f t="shared" ca="1" si="234"/>
        <v>0</v>
      </c>
      <c r="AI197" s="1940">
        <f t="shared" ca="1" si="234"/>
        <v>0</v>
      </c>
      <c r="AJ197" s="1939">
        <f t="shared" ca="1" si="234"/>
        <v>0</v>
      </c>
      <c r="AK197" s="1940">
        <f t="shared" ca="1" si="234"/>
        <v>0</v>
      </c>
      <c r="AL197" s="1940">
        <f t="shared" ca="1" si="234"/>
        <v>0</v>
      </c>
      <c r="AM197" s="1940">
        <f t="shared" ca="1" si="234"/>
        <v>0</v>
      </c>
      <c r="AN197" s="1940">
        <f t="shared" ca="1" si="234"/>
        <v>0</v>
      </c>
      <c r="AO197" s="1940">
        <f t="shared" ca="1" si="234"/>
        <v>0</v>
      </c>
      <c r="AP197" s="1940">
        <f t="shared" ca="1" si="234"/>
        <v>0</v>
      </c>
      <c r="AQ197" s="1939">
        <f t="shared" ca="1" si="234"/>
        <v>0</v>
      </c>
      <c r="AR197" s="1940">
        <f t="shared" ca="1" si="234"/>
        <v>0</v>
      </c>
      <c r="AS197" s="1940">
        <f t="shared" ca="1" si="234"/>
        <v>0</v>
      </c>
      <c r="AT197" s="1940">
        <f t="shared" ca="1" si="234"/>
        <v>0</v>
      </c>
      <c r="AU197" s="1940">
        <f t="shared" ca="1" si="234"/>
        <v>0</v>
      </c>
      <c r="AV197" s="1940">
        <f t="shared" ca="1" si="234"/>
        <v>0</v>
      </c>
      <c r="AW197" s="1940">
        <f t="shared" ca="1" si="234"/>
        <v>0</v>
      </c>
      <c r="AX197" s="1939">
        <f t="shared" ca="1" si="234"/>
        <v>0</v>
      </c>
      <c r="AY197" s="1940">
        <f t="shared" ca="1" si="234"/>
        <v>0</v>
      </c>
      <c r="AZ197" s="1940">
        <f t="shared" ca="1" si="234"/>
        <v>0</v>
      </c>
      <c r="BA197" s="1940">
        <f ca="1">BA240</f>
        <v>0</v>
      </c>
      <c r="BB197" s="1940">
        <f t="shared" ref="BB197:DM197" ca="1" si="235">BB240</f>
        <v>0</v>
      </c>
      <c r="BC197" s="1940">
        <f t="shared" ca="1" si="235"/>
        <v>0</v>
      </c>
      <c r="BD197" s="1940">
        <f t="shared" ca="1" si="235"/>
        <v>0</v>
      </c>
      <c r="BE197" s="1939">
        <f t="shared" ca="1" si="235"/>
        <v>0</v>
      </c>
      <c r="BF197" s="1940">
        <f t="shared" ca="1" si="235"/>
        <v>0</v>
      </c>
      <c r="BG197" s="1940">
        <f t="shared" ca="1" si="235"/>
        <v>0</v>
      </c>
      <c r="BH197" s="1940">
        <f t="shared" ca="1" si="235"/>
        <v>0</v>
      </c>
      <c r="BI197" s="1940">
        <f t="shared" ca="1" si="235"/>
        <v>0</v>
      </c>
      <c r="BJ197" s="1940">
        <f t="shared" ca="1" si="235"/>
        <v>0</v>
      </c>
      <c r="BK197" s="1940">
        <f t="shared" ca="1" si="235"/>
        <v>0</v>
      </c>
      <c r="BL197" s="1939">
        <f t="shared" ca="1" si="235"/>
        <v>0</v>
      </c>
      <c r="BM197" s="1940">
        <f t="shared" ca="1" si="235"/>
        <v>0</v>
      </c>
      <c r="BN197" s="1940">
        <f t="shared" ca="1" si="235"/>
        <v>0</v>
      </c>
      <c r="BO197" s="1940">
        <f t="shared" ca="1" si="235"/>
        <v>0</v>
      </c>
      <c r="BP197" s="1940">
        <f t="shared" ca="1" si="235"/>
        <v>0</v>
      </c>
      <c r="BQ197" s="1940">
        <f t="shared" ca="1" si="235"/>
        <v>0</v>
      </c>
      <c r="BR197" s="1940">
        <f t="shared" ca="1" si="235"/>
        <v>0</v>
      </c>
      <c r="BS197" s="1939">
        <f t="shared" ca="1" si="235"/>
        <v>0</v>
      </c>
      <c r="BT197" s="1940">
        <f t="shared" ca="1" si="235"/>
        <v>0</v>
      </c>
      <c r="BU197" s="1940">
        <f t="shared" ca="1" si="235"/>
        <v>0</v>
      </c>
      <c r="BV197" s="1940">
        <f t="shared" ca="1" si="235"/>
        <v>0</v>
      </c>
      <c r="BW197" s="1940">
        <f t="shared" ca="1" si="235"/>
        <v>0</v>
      </c>
      <c r="BX197" s="1940">
        <f t="shared" ca="1" si="235"/>
        <v>0</v>
      </c>
      <c r="BY197" s="1940">
        <f t="shared" ca="1" si="235"/>
        <v>0</v>
      </c>
      <c r="BZ197" s="1939">
        <f t="shared" ca="1" si="235"/>
        <v>0</v>
      </c>
      <c r="CA197" s="1940">
        <f t="shared" ca="1" si="235"/>
        <v>0</v>
      </c>
      <c r="CB197" s="1940">
        <f t="shared" ca="1" si="235"/>
        <v>0</v>
      </c>
      <c r="CC197" s="1940">
        <f t="shared" ca="1" si="235"/>
        <v>0</v>
      </c>
      <c r="CD197" s="1940">
        <f t="shared" ca="1" si="235"/>
        <v>0</v>
      </c>
      <c r="CE197" s="1940">
        <f t="shared" ca="1" si="235"/>
        <v>0</v>
      </c>
      <c r="CF197" s="1940">
        <f t="shared" ca="1" si="235"/>
        <v>0</v>
      </c>
      <c r="CG197" s="1939">
        <f t="shared" ca="1" si="235"/>
        <v>0</v>
      </c>
      <c r="CH197" s="1940">
        <f t="shared" ca="1" si="235"/>
        <v>0</v>
      </c>
      <c r="CI197" s="1940">
        <f t="shared" ca="1" si="235"/>
        <v>10</v>
      </c>
      <c r="CJ197" s="1940">
        <f t="shared" ca="1" si="235"/>
        <v>10</v>
      </c>
      <c r="CK197" s="1940">
        <f t="shared" ca="1" si="235"/>
        <v>10</v>
      </c>
      <c r="CL197" s="1940">
        <f t="shared" ca="1" si="235"/>
        <v>10</v>
      </c>
      <c r="CM197" s="1940">
        <f t="shared" ca="1" si="235"/>
        <v>10</v>
      </c>
      <c r="CN197" s="1939">
        <f t="shared" ca="1" si="235"/>
        <v>10</v>
      </c>
      <c r="CO197" s="1940">
        <f t="shared" ca="1" si="235"/>
        <v>10</v>
      </c>
      <c r="CP197" s="1940">
        <f t="shared" ca="1" si="235"/>
        <v>10</v>
      </c>
      <c r="CQ197" s="1940">
        <f t="shared" ca="1" si="235"/>
        <v>10</v>
      </c>
      <c r="CR197" s="1940">
        <f t="shared" ca="1" si="235"/>
        <v>10</v>
      </c>
      <c r="CS197" s="1940">
        <f t="shared" ca="1" si="235"/>
        <v>10</v>
      </c>
      <c r="CT197" s="1940">
        <f t="shared" ca="1" si="235"/>
        <v>10</v>
      </c>
      <c r="CU197" s="1939">
        <f t="shared" ca="1" si="235"/>
        <v>10</v>
      </c>
      <c r="CV197" s="1940">
        <f t="shared" ca="1" si="235"/>
        <v>10</v>
      </c>
      <c r="CW197" s="1940">
        <f t="shared" ca="1" si="235"/>
        <v>10</v>
      </c>
      <c r="CX197" s="1940">
        <f t="shared" ca="1" si="235"/>
        <v>10</v>
      </c>
      <c r="CY197" s="1940">
        <f t="shared" ca="1" si="235"/>
        <v>10</v>
      </c>
      <c r="CZ197" s="1940">
        <f t="shared" ca="1" si="235"/>
        <v>10</v>
      </c>
      <c r="DA197" s="1940">
        <f t="shared" ca="1" si="235"/>
        <v>10</v>
      </c>
      <c r="DB197" s="1939">
        <f t="shared" ca="1" si="235"/>
        <v>10</v>
      </c>
      <c r="DC197" s="1940">
        <f t="shared" ca="1" si="235"/>
        <v>10</v>
      </c>
      <c r="DD197" s="1940">
        <f t="shared" ca="1" si="235"/>
        <v>10</v>
      </c>
      <c r="DE197" s="1940">
        <f t="shared" ca="1" si="235"/>
        <v>10</v>
      </c>
      <c r="DF197" s="1940">
        <f t="shared" ca="1" si="235"/>
        <v>10</v>
      </c>
      <c r="DG197" s="1940">
        <f t="shared" ca="1" si="235"/>
        <v>10</v>
      </c>
      <c r="DH197" s="1940">
        <f t="shared" ca="1" si="235"/>
        <v>10</v>
      </c>
      <c r="DI197" s="1939">
        <f t="shared" ca="1" si="235"/>
        <v>10</v>
      </c>
      <c r="DJ197" s="1940">
        <f t="shared" ca="1" si="235"/>
        <v>10</v>
      </c>
      <c r="DK197" s="1940">
        <f t="shared" ca="1" si="235"/>
        <v>10</v>
      </c>
      <c r="DL197" s="1940">
        <f t="shared" ca="1" si="235"/>
        <v>0</v>
      </c>
      <c r="DM197" s="1940">
        <f t="shared" ca="1" si="235"/>
        <v>0</v>
      </c>
      <c r="DN197" s="1940">
        <f t="shared" ref="DN197:FY197" ca="1" si="236">DN240</f>
        <v>0</v>
      </c>
      <c r="DO197" s="1940">
        <f t="shared" ca="1" si="236"/>
        <v>0</v>
      </c>
      <c r="DP197" s="1939">
        <f t="shared" ca="1" si="236"/>
        <v>0</v>
      </c>
      <c r="DQ197" s="1940">
        <f t="shared" ca="1" si="236"/>
        <v>0</v>
      </c>
      <c r="DR197" s="1940">
        <f t="shared" ca="1" si="236"/>
        <v>0</v>
      </c>
      <c r="DS197" s="1940">
        <f t="shared" ca="1" si="236"/>
        <v>0</v>
      </c>
      <c r="DT197" s="1940">
        <f t="shared" ca="1" si="236"/>
        <v>0</v>
      </c>
      <c r="DU197" s="1940">
        <f t="shared" ca="1" si="236"/>
        <v>0</v>
      </c>
      <c r="DV197" s="1940">
        <f t="shared" ca="1" si="236"/>
        <v>0</v>
      </c>
      <c r="DW197" s="1939">
        <f t="shared" ca="1" si="236"/>
        <v>0</v>
      </c>
      <c r="DX197" s="1940">
        <f t="shared" ca="1" si="236"/>
        <v>0</v>
      </c>
      <c r="DY197" s="1940">
        <f t="shared" ca="1" si="236"/>
        <v>0</v>
      </c>
      <c r="DZ197" s="1940">
        <f t="shared" ca="1" si="236"/>
        <v>0</v>
      </c>
      <c r="EA197" s="1940">
        <f t="shared" ca="1" si="236"/>
        <v>0</v>
      </c>
      <c r="EB197" s="1940">
        <f t="shared" ca="1" si="236"/>
        <v>0</v>
      </c>
      <c r="EC197" s="1940">
        <f t="shared" ca="1" si="236"/>
        <v>0</v>
      </c>
      <c r="ED197" s="1939">
        <f t="shared" ca="1" si="236"/>
        <v>0</v>
      </c>
      <c r="EE197" s="1940">
        <f t="shared" ca="1" si="236"/>
        <v>0</v>
      </c>
      <c r="EF197" s="1940">
        <f t="shared" ca="1" si="236"/>
        <v>0</v>
      </c>
      <c r="EG197" s="1940">
        <f t="shared" ca="1" si="236"/>
        <v>0</v>
      </c>
      <c r="EH197" s="1940">
        <f t="shared" ca="1" si="236"/>
        <v>0</v>
      </c>
      <c r="EI197" s="1940">
        <f t="shared" ca="1" si="236"/>
        <v>0</v>
      </c>
      <c r="EJ197" s="1940">
        <f t="shared" ca="1" si="236"/>
        <v>0</v>
      </c>
      <c r="EK197" s="1939">
        <f t="shared" ca="1" si="236"/>
        <v>0</v>
      </c>
      <c r="EL197" s="1940">
        <f t="shared" ca="1" si="236"/>
        <v>0</v>
      </c>
      <c r="EM197" s="1940">
        <f t="shared" ca="1" si="236"/>
        <v>0</v>
      </c>
      <c r="EN197" s="1940">
        <f t="shared" ca="1" si="236"/>
        <v>0</v>
      </c>
      <c r="EO197" s="1940">
        <f t="shared" ca="1" si="236"/>
        <v>0</v>
      </c>
      <c r="EP197" s="1940">
        <f t="shared" ca="1" si="236"/>
        <v>0</v>
      </c>
      <c r="EQ197" s="1940">
        <f t="shared" ca="1" si="236"/>
        <v>0</v>
      </c>
      <c r="ER197" s="1939">
        <f t="shared" ca="1" si="236"/>
        <v>0</v>
      </c>
      <c r="ES197" s="1940">
        <f t="shared" ca="1" si="236"/>
        <v>0</v>
      </c>
      <c r="ET197" s="1940">
        <f t="shared" ca="1" si="236"/>
        <v>0</v>
      </c>
      <c r="EU197" s="1940">
        <f t="shared" ca="1" si="236"/>
        <v>0</v>
      </c>
      <c r="EV197" s="1940">
        <f t="shared" ca="1" si="236"/>
        <v>0</v>
      </c>
      <c r="EW197" s="1940">
        <f t="shared" ca="1" si="236"/>
        <v>0</v>
      </c>
      <c r="EX197" s="1940">
        <f t="shared" ca="1" si="236"/>
        <v>0</v>
      </c>
      <c r="EY197" s="1939">
        <f t="shared" ca="1" si="236"/>
        <v>0</v>
      </c>
      <c r="EZ197" s="1940">
        <f t="shared" ca="1" si="236"/>
        <v>0</v>
      </c>
      <c r="FA197" s="1940">
        <f t="shared" ca="1" si="236"/>
        <v>0</v>
      </c>
      <c r="FB197" s="1940">
        <f t="shared" ca="1" si="236"/>
        <v>0</v>
      </c>
      <c r="FC197" s="1940">
        <f t="shared" ca="1" si="236"/>
        <v>0</v>
      </c>
      <c r="FD197" s="1940">
        <f t="shared" ca="1" si="236"/>
        <v>0</v>
      </c>
      <c r="FE197" s="1940">
        <f t="shared" ca="1" si="236"/>
        <v>0</v>
      </c>
      <c r="FF197" s="1939">
        <f t="shared" ca="1" si="236"/>
        <v>0</v>
      </c>
      <c r="FG197" s="1940">
        <f t="shared" ca="1" si="236"/>
        <v>0</v>
      </c>
      <c r="FH197" s="1940">
        <f t="shared" ca="1" si="236"/>
        <v>0</v>
      </c>
      <c r="FI197" s="1940">
        <f t="shared" ca="1" si="236"/>
        <v>0</v>
      </c>
      <c r="FJ197" s="1940">
        <f t="shared" ca="1" si="236"/>
        <v>0</v>
      </c>
      <c r="FK197" s="1940">
        <f t="shared" ca="1" si="236"/>
        <v>0</v>
      </c>
      <c r="FL197" s="1940">
        <f t="shared" ca="1" si="236"/>
        <v>0</v>
      </c>
      <c r="FM197" s="1939">
        <f t="shared" ca="1" si="236"/>
        <v>0</v>
      </c>
      <c r="FN197" s="1940">
        <f t="shared" ca="1" si="236"/>
        <v>0</v>
      </c>
      <c r="FO197" s="1940">
        <f t="shared" ca="1" si="236"/>
        <v>0</v>
      </c>
      <c r="FP197" s="1940">
        <f t="shared" ca="1" si="236"/>
        <v>0</v>
      </c>
      <c r="FQ197" s="1940">
        <f t="shared" ca="1" si="236"/>
        <v>0</v>
      </c>
      <c r="FR197" s="1940">
        <f t="shared" ca="1" si="236"/>
        <v>0</v>
      </c>
      <c r="FS197" s="1940">
        <f t="shared" ca="1" si="236"/>
        <v>0</v>
      </c>
      <c r="FT197" s="1939">
        <f t="shared" ca="1" si="236"/>
        <v>0</v>
      </c>
      <c r="FU197" s="1940">
        <f t="shared" ca="1" si="236"/>
        <v>0</v>
      </c>
      <c r="FV197" s="1940">
        <f t="shared" ca="1" si="236"/>
        <v>0</v>
      </c>
      <c r="FW197" s="1940">
        <f t="shared" ca="1" si="236"/>
        <v>0</v>
      </c>
      <c r="FX197" s="1940">
        <f t="shared" ca="1" si="236"/>
        <v>0</v>
      </c>
      <c r="FY197" s="1940">
        <f t="shared" ca="1" si="236"/>
        <v>0</v>
      </c>
      <c r="FZ197" s="1940">
        <f t="shared" ref="FZ197:IK197" ca="1" si="237">FZ240</f>
        <v>0</v>
      </c>
      <c r="GA197" s="1939">
        <f t="shared" ca="1" si="237"/>
        <v>0</v>
      </c>
      <c r="GB197" s="1940">
        <f t="shared" ca="1" si="237"/>
        <v>0</v>
      </c>
      <c r="GC197" s="1940">
        <f t="shared" ca="1" si="237"/>
        <v>0</v>
      </c>
      <c r="GD197" s="1940">
        <f t="shared" ca="1" si="237"/>
        <v>0</v>
      </c>
      <c r="GE197" s="1940">
        <f t="shared" ca="1" si="237"/>
        <v>0</v>
      </c>
      <c r="GF197" s="1940">
        <f t="shared" ca="1" si="237"/>
        <v>0</v>
      </c>
      <c r="GG197" s="1940">
        <f t="shared" ca="1" si="237"/>
        <v>0</v>
      </c>
      <c r="GH197" s="1939">
        <f t="shared" ca="1" si="237"/>
        <v>0</v>
      </c>
      <c r="GI197" s="1940">
        <f t="shared" ca="1" si="237"/>
        <v>0</v>
      </c>
      <c r="GJ197" s="1940">
        <f t="shared" ca="1" si="237"/>
        <v>0</v>
      </c>
      <c r="GK197" s="1940">
        <f t="shared" ca="1" si="237"/>
        <v>0</v>
      </c>
      <c r="GL197" s="1940">
        <f t="shared" ca="1" si="237"/>
        <v>0</v>
      </c>
      <c r="GM197" s="1940">
        <f t="shared" ca="1" si="237"/>
        <v>0</v>
      </c>
      <c r="GN197" s="1940">
        <f t="shared" ca="1" si="237"/>
        <v>0</v>
      </c>
      <c r="GO197" s="1939">
        <f t="shared" ca="1" si="237"/>
        <v>0</v>
      </c>
      <c r="GP197" s="1940">
        <f t="shared" ca="1" si="237"/>
        <v>0</v>
      </c>
      <c r="GQ197" s="1940">
        <f t="shared" ca="1" si="237"/>
        <v>0</v>
      </c>
      <c r="GR197" s="1940">
        <f t="shared" ca="1" si="237"/>
        <v>0</v>
      </c>
      <c r="GS197" s="1940">
        <f t="shared" ca="1" si="237"/>
        <v>0</v>
      </c>
      <c r="GT197" s="1940">
        <f t="shared" ca="1" si="237"/>
        <v>0</v>
      </c>
      <c r="GU197" s="1940">
        <f t="shared" ca="1" si="237"/>
        <v>0</v>
      </c>
      <c r="GV197" s="1939">
        <f t="shared" ca="1" si="237"/>
        <v>0</v>
      </c>
      <c r="GW197" s="1940">
        <f t="shared" ca="1" si="237"/>
        <v>0</v>
      </c>
      <c r="GX197" s="1940">
        <f t="shared" ca="1" si="237"/>
        <v>0</v>
      </c>
      <c r="GY197" s="1940">
        <f t="shared" ca="1" si="237"/>
        <v>0</v>
      </c>
      <c r="GZ197" s="1940">
        <f t="shared" ca="1" si="237"/>
        <v>0</v>
      </c>
      <c r="HA197" s="1940">
        <f t="shared" ca="1" si="237"/>
        <v>0</v>
      </c>
      <c r="HB197" s="1940">
        <f t="shared" ca="1" si="237"/>
        <v>0</v>
      </c>
      <c r="HC197" s="1939">
        <f t="shared" ca="1" si="237"/>
        <v>0</v>
      </c>
      <c r="HD197" s="1940">
        <f t="shared" ca="1" si="237"/>
        <v>0</v>
      </c>
      <c r="HE197" s="1940">
        <f t="shared" ca="1" si="237"/>
        <v>0</v>
      </c>
      <c r="HF197" s="1940">
        <f t="shared" ca="1" si="237"/>
        <v>0</v>
      </c>
      <c r="HG197" s="1940">
        <f t="shared" ca="1" si="237"/>
        <v>0</v>
      </c>
      <c r="HH197" s="1940">
        <f t="shared" ca="1" si="237"/>
        <v>0</v>
      </c>
      <c r="HI197" s="1940">
        <f t="shared" ca="1" si="237"/>
        <v>0</v>
      </c>
      <c r="HJ197" s="1939">
        <f t="shared" ca="1" si="237"/>
        <v>0</v>
      </c>
      <c r="HK197" s="1940">
        <f t="shared" ca="1" si="237"/>
        <v>0</v>
      </c>
      <c r="HL197" s="1940">
        <f t="shared" ca="1" si="237"/>
        <v>0</v>
      </c>
      <c r="HM197" s="1940">
        <f t="shared" ca="1" si="237"/>
        <v>0</v>
      </c>
      <c r="HN197" s="1940">
        <f t="shared" ca="1" si="237"/>
        <v>0</v>
      </c>
      <c r="HO197" s="1940">
        <f t="shared" ca="1" si="237"/>
        <v>0</v>
      </c>
      <c r="HP197" s="1940">
        <f t="shared" ca="1" si="237"/>
        <v>0</v>
      </c>
      <c r="HQ197" s="1939">
        <f t="shared" ca="1" si="237"/>
        <v>0</v>
      </c>
      <c r="HR197" s="1940">
        <f t="shared" ca="1" si="237"/>
        <v>0</v>
      </c>
      <c r="HS197" s="1940">
        <f t="shared" ca="1" si="237"/>
        <v>0</v>
      </c>
      <c r="HT197" s="1940">
        <f t="shared" ca="1" si="237"/>
        <v>0</v>
      </c>
      <c r="HU197" s="1940">
        <f t="shared" ca="1" si="237"/>
        <v>0</v>
      </c>
      <c r="HV197" s="1940">
        <f t="shared" ca="1" si="237"/>
        <v>0</v>
      </c>
      <c r="HW197" s="1940">
        <f t="shared" ca="1" si="237"/>
        <v>0</v>
      </c>
      <c r="HX197" s="1939">
        <f t="shared" ca="1" si="237"/>
        <v>0</v>
      </c>
      <c r="HY197" s="1940">
        <f t="shared" ca="1" si="237"/>
        <v>0</v>
      </c>
      <c r="HZ197" s="1940">
        <f t="shared" ca="1" si="237"/>
        <v>0</v>
      </c>
      <c r="IA197" s="1940">
        <f t="shared" ca="1" si="237"/>
        <v>0</v>
      </c>
      <c r="IB197" s="1940">
        <f t="shared" ca="1" si="237"/>
        <v>0</v>
      </c>
      <c r="IC197" s="1940">
        <f t="shared" ca="1" si="237"/>
        <v>0</v>
      </c>
      <c r="ID197" s="1940">
        <f t="shared" ca="1" si="237"/>
        <v>0</v>
      </c>
      <c r="IE197" s="1939">
        <f t="shared" ca="1" si="237"/>
        <v>0</v>
      </c>
      <c r="IF197" s="1940">
        <f t="shared" ca="1" si="237"/>
        <v>0</v>
      </c>
      <c r="IG197" s="1940">
        <f t="shared" ca="1" si="237"/>
        <v>0</v>
      </c>
      <c r="IH197" s="1940">
        <f t="shared" ca="1" si="237"/>
        <v>0</v>
      </c>
      <c r="II197" s="1940">
        <f t="shared" ca="1" si="237"/>
        <v>0</v>
      </c>
      <c r="IJ197" s="1940">
        <f t="shared" ca="1" si="237"/>
        <v>0</v>
      </c>
      <c r="IK197" s="1938">
        <f t="shared" ca="1" si="237"/>
        <v>0</v>
      </c>
    </row>
    <row r="198" spans="1:245" ht="8.1" customHeight="1" x14ac:dyDescent="0.35">
      <c r="A198" s="195" t="str">
        <f ca="1">IF(B197=0,0,"XXX")</f>
        <v>XXX</v>
      </c>
      <c r="B198" s="1960"/>
      <c r="C198" s="1966"/>
      <c r="D198" s="360" t="str">
        <f>IF(ENTRADAS!$F$22=0,0,"término:")</f>
        <v>término:</v>
      </c>
      <c r="E198" s="361">
        <f ca="1">IF(D212&lt;D211,0,D246)</f>
        <v>46020.487500000003</v>
      </c>
      <c r="F198" s="1913"/>
      <c r="G198" s="1914"/>
      <c r="H198" s="1939"/>
      <c r="I198" s="1940"/>
      <c r="J198" s="1940"/>
      <c r="K198" s="1940"/>
      <c r="L198" s="1940"/>
      <c r="M198" s="1940"/>
      <c r="N198" s="1940"/>
      <c r="O198" s="1939"/>
      <c r="P198" s="1940"/>
      <c r="Q198" s="1940"/>
      <c r="R198" s="1940"/>
      <c r="S198" s="1940"/>
      <c r="T198" s="1940"/>
      <c r="U198" s="1940"/>
      <c r="V198" s="1939"/>
      <c r="W198" s="1940"/>
      <c r="X198" s="1940"/>
      <c r="Y198" s="1940"/>
      <c r="Z198" s="1940"/>
      <c r="AA198" s="1940"/>
      <c r="AB198" s="1940"/>
      <c r="AC198" s="1939"/>
      <c r="AD198" s="1940"/>
      <c r="AE198" s="1940"/>
      <c r="AF198" s="1940"/>
      <c r="AG198" s="1940"/>
      <c r="AH198" s="1940"/>
      <c r="AI198" s="1940"/>
      <c r="AJ198" s="1939"/>
      <c r="AK198" s="1940"/>
      <c r="AL198" s="1940"/>
      <c r="AM198" s="1940"/>
      <c r="AN198" s="1940"/>
      <c r="AO198" s="1940"/>
      <c r="AP198" s="1940"/>
      <c r="AQ198" s="1939"/>
      <c r="AR198" s="1940"/>
      <c r="AS198" s="1940"/>
      <c r="AT198" s="1940"/>
      <c r="AU198" s="1940"/>
      <c r="AV198" s="1940"/>
      <c r="AW198" s="1940"/>
      <c r="AX198" s="1939"/>
      <c r="AY198" s="1940"/>
      <c r="AZ198" s="1940"/>
      <c r="BA198" s="1940"/>
      <c r="BB198" s="1940"/>
      <c r="BC198" s="1940"/>
      <c r="BD198" s="1940"/>
      <c r="BE198" s="1939"/>
      <c r="BF198" s="1940"/>
      <c r="BG198" s="1940"/>
      <c r="BH198" s="1940"/>
      <c r="BI198" s="1940"/>
      <c r="BJ198" s="1940"/>
      <c r="BK198" s="1940"/>
      <c r="BL198" s="1939"/>
      <c r="BM198" s="1940"/>
      <c r="BN198" s="1940"/>
      <c r="BO198" s="1940"/>
      <c r="BP198" s="1940"/>
      <c r="BQ198" s="1940"/>
      <c r="BR198" s="1940"/>
      <c r="BS198" s="1939"/>
      <c r="BT198" s="1940"/>
      <c r="BU198" s="1940"/>
      <c r="BV198" s="1940"/>
      <c r="BW198" s="1940"/>
      <c r="BX198" s="1940"/>
      <c r="BY198" s="1940"/>
      <c r="BZ198" s="1939"/>
      <c r="CA198" s="1940"/>
      <c r="CB198" s="1940"/>
      <c r="CC198" s="1940"/>
      <c r="CD198" s="1940"/>
      <c r="CE198" s="1940"/>
      <c r="CF198" s="1940"/>
      <c r="CG198" s="1939"/>
      <c r="CH198" s="1940"/>
      <c r="CI198" s="1940"/>
      <c r="CJ198" s="1940"/>
      <c r="CK198" s="1940"/>
      <c r="CL198" s="1940"/>
      <c r="CM198" s="1940"/>
      <c r="CN198" s="1939"/>
      <c r="CO198" s="1940"/>
      <c r="CP198" s="1940"/>
      <c r="CQ198" s="1940"/>
      <c r="CR198" s="1940"/>
      <c r="CS198" s="1940"/>
      <c r="CT198" s="1940"/>
      <c r="CU198" s="1939"/>
      <c r="CV198" s="1940"/>
      <c r="CW198" s="1940"/>
      <c r="CX198" s="1940"/>
      <c r="CY198" s="1940"/>
      <c r="CZ198" s="1940"/>
      <c r="DA198" s="1940"/>
      <c r="DB198" s="1939"/>
      <c r="DC198" s="1940"/>
      <c r="DD198" s="1940"/>
      <c r="DE198" s="1940"/>
      <c r="DF198" s="1940"/>
      <c r="DG198" s="1940"/>
      <c r="DH198" s="1940"/>
      <c r="DI198" s="1939"/>
      <c r="DJ198" s="1940"/>
      <c r="DK198" s="1940"/>
      <c r="DL198" s="1940"/>
      <c r="DM198" s="1940"/>
      <c r="DN198" s="1940"/>
      <c r="DO198" s="1940"/>
      <c r="DP198" s="1939"/>
      <c r="DQ198" s="1940"/>
      <c r="DR198" s="1940"/>
      <c r="DS198" s="1940"/>
      <c r="DT198" s="1940"/>
      <c r="DU198" s="1940"/>
      <c r="DV198" s="1940"/>
      <c r="DW198" s="1939"/>
      <c r="DX198" s="1940"/>
      <c r="DY198" s="1940"/>
      <c r="DZ198" s="1940"/>
      <c r="EA198" s="1940"/>
      <c r="EB198" s="1940"/>
      <c r="EC198" s="1940"/>
      <c r="ED198" s="1939"/>
      <c r="EE198" s="1940"/>
      <c r="EF198" s="1940"/>
      <c r="EG198" s="1940"/>
      <c r="EH198" s="1940"/>
      <c r="EI198" s="1940"/>
      <c r="EJ198" s="1940"/>
      <c r="EK198" s="1939"/>
      <c r="EL198" s="1940"/>
      <c r="EM198" s="1940"/>
      <c r="EN198" s="1940"/>
      <c r="EO198" s="1940"/>
      <c r="EP198" s="1940"/>
      <c r="EQ198" s="1940"/>
      <c r="ER198" s="1939"/>
      <c r="ES198" s="1940"/>
      <c r="ET198" s="1940"/>
      <c r="EU198" s="1940"/>
      <c r="EV198" s="1940"/>
      <c r="EW198" s="1940"/>
      <c r="EX198" s="1940"/>
      <c r="EY198" s="1939"/>
      <c r="EZ198" s="1940"/>
      <c r="FA198" s="1940"/>
      <c r="FB198" s="1940"/>
      <c r="FC198" s="1940"/>
      <c r="FD198" s="1940"/>
      <c r="FE198" s="1940"/>
      <c r="FF198" s="1939"/>
      <c r="FG198" s="1940"/>
      <c r="FH198" s="1940"/>
      <c r="FI198" s="1940"/>
      <c r="FJ198" s="1940"/>
      <c r="FK198" s="1940"/>
      <c r="FL198" s="1940"/>
      <c r="FM198" s="1939"/>
      <c r="FN198" s="1940"/>
      <c r="FO198" s="1940"/>
      <c r="FP198" s="1940"/>
      <c r="FQ198" s="1940"/>
      <c r="FR198" s="1940"/>
      <c r="FS198" s="1940"/>
      <c r="FT198" s="1939"/>
      <c r="FU198" s="1940"/>
      <c r="FV198" s="1940"/>
      <c r="FW198" s="1940"/>
      <c r="FX198" s="1940"/>
      <c r="FY198" s="1940"/>
      <c r="FZ198" s="1940"/>
      <c r="GA198" s="1939"/>
      <c r="GB198" s="1940"/>
      <c r="GC198" s="1940"/>
      <c r="GD198" s="1940"/>
      <c r="GE198" s="1940"/>
      <c r="GF198" s="1940"/>
      <c r="GG198" s="1940"/>
      <c r="GH198" s="1939"/>
      <c r="GI198" s="1940"/>
      <c r="GJ198" s="1940"/>
      <c r="GK198" s="1940"/>
      <c r="GL198" s="1940"/>
      <c r="GM198" s="1940"/>
      <c r="GN198" s="1940"/>
      <c r="GO198" s="1939"/>
      <c r="GP198" s="1940"/>
      <c r="GQ198" s="1940"/>
      <c r="GR198" s="1940"/>
      <c r="GS198" s="1940"/>
      <c r="GT198" s="1940"/>
      <c r="GU198" s="1940"/>
      <c r="GV198" s="1939"/>
      <c r="GW198" s="1940"/>
      <c r="GX198" s="1940"/>
      <c r="GY198" s="1940"/>
      <c r="GZ198" s="1940"/>
      <c r="HA198" s="1940"/>
      <c r="HB198" s="1940"/>
      <c r="HC198" s="1939"/>
      <c r="HD198" s="1940"/>
      <c r="HE198" s="1940"/>
      <c r="HF198" s="1940"/>
      <c r="HG198" s="1940"/>
      <c r="HH198" s="1940"/>
      <c r="HI198" s="1940"/>
      <c r="HJ198" s="1939"/>
      <c r="HK198" s="1940"/>
      <c r="HL198" s="1940"/>
      <c r="HM198" s="1940"/>
      <c r="HN198" s="1940"/>
      <c r="HO198" s="1940"/>
      <c r="HP198" s="1940"/>
      <c r="HQ198" s="1939"/>
      <c r="HR198" s="1940"/>
      <c r="HS198" s="1940"/>
      <c r="HT198" s="1940"/>
      <c r="HU198" s="1940"/>
      <c r="HV198" s="1940"/>
      <c r="HW198" s="1940"/>
      <c r="HX198" s="1939"/>
      <c r="HY198" s="1940"/>
      <c r="HZ198" s="1940"/>
      <c r="IA198" s="1940"/>
      <c r="IB198" s="1940"/>
      <c r="IC198" s="1940"/>
      <c r="ID198" s="1940"/>
      <c r="IE198" s="1939"/>
      <c r="IF198" s="1940"/>
      <c r="IG198" s="1940"/>
      <c r="IH198" s="1940"/>
      <c r="II198" s="1940"/>
      <c r="IJ198" s="1940"/>
      <c r="IK198" s="1938"/>
    </row>
    <row r="199" spans="1:245" ht="8.1" hidden="1" customHeight="1" x14ac:dyDescent="0.35">
      <c r="A199" s="195">
        <f>IF(B199=0,0,"XXX")</f>
        <v>0</v>
      </c>
      <c r="B199" s="1959">
        <f>IF(ENTRADAS!$D$912=0,0,IF(B197="1.3.2","1.3.3",IF(B197="1.3.3","1.3.4",IF(B197="1.3.4","1.3.5",0))))</f>
        <v>0</v>
      </c>
      <c r="C199" s="1965">
        <f ca="1">IF(F199=0,0,"MONTAGEM DA COBERTURA")</f>
        <v>0</v>
      </c>
      <c r="D199" s="358">
        <f ca="1">IF(F199=0,0,"início:")</f>
        <v>0</v>
      </c>
      <c r="E199" s="359">
        <f ca="1">IF(D212&lt;D211,0,D256)</f>
        <v>46017.587500000001</v>
      </c>
      <c r="F199" s="454">
        <f ca="1">IF(D212&lt;D211,0,D251)</f>
        <v>0</v>
      </c>
      <c r="G199" s="455">
        <f ca="1">IF(F199=0,0,"dias")</f>
        <v>0</v>
      </c>
      <c r="H199" s="1907">
        <f ca="1">H251</f>
        <v>0</v>
      </c>
      <c r="I199" s="1908">
        <f t="shared" ref="I199:BT199" ca="1" si="238">I251</f>
        <v>0</v>
      </c>
      <c r="J199" s="1908">
        <f t="shared" ca="1" si="238"/>
        <v>0</v>
      </c>
      <c r="K199" s="1908">
        <f t="shared" ca="1" si="238"/>
        <v>0</v>
      </c>
      <c r="L199" s="1908">
        <f t="shared" ca="1" si="238"/>
        <v>0</v>
      </c>
      <c r="M199" s="1908">
        <f t="shared" ca="1" si="238"/>
        <v>0</v>
      </c>
      <c r="N199" s="1908">
        <f t="shared" ca="1" si="238"/>
        <v>0</v>
      </c>
      <c r="O199" s="1907">
        <f t="shared" ca="1" si="238"/>
        <v>0</v>
      </c>
      <c r="P199" s="1908">
        <f t="shared" ca="1" si="238"/>
        <v>0</v>
      </c>
      <c r="Q199" s="1908">
        <f t="shared" ca="1" si="238"/>
        <v>0</v>
      </c>
      <c r="R199" s="1908">
        <f t="shared" ca="1" si="238"/>
        <v>0</v>
      </c>
      <c r="S199" s="1908">
        <f t="shared" ca="1" si="238"/>
        <v>0</v>
      </c>
      <c r="T199" s="1908">
        <f t="shared" ca="1" si="238"/>
        <v>0</v>
      </c>
      <c r="U199" s="1908">
        <f t="shared" ca="1" si="238"/>
        <v>0</v>
      </c>
      <c r="V199" s="1907">
        <f t="shared" ca="1" si="238"/>
        <v>0</v>
      </c>
      <c r="W199" s="1908">
        <f t="shared" ca="1" si="238"/>
        <v>0</v>
      </c>
      <c r="X199" s="1908">
        <f t="shared" ca="1" si="238"/>
        <v>0</v>
      </c>
      <c r="Y199" s="1908">
        <f t="shared" ca="1" si="238"/>
        <v>0</v>
      </c>
      <c r="Z199" s="1908">
        <f t="shared" ca="1" si="238"/>
        <v>0</v>
      </c>
      <c r="AA199" s="1908">
        <f t="shared" ca="1" si="238"/>
        <v>0</v>
      </c>
      <c r="AB199" s="1908">
        <f t="shared" ca="1" si="238"/>
        <v>0</v>
      </c>
      <c r="AC199" s="1907">
        <f t="shared" ca="1" si="238"/>
        <v>0</v>
      </c>
      <c r="AD199" s="1908">
        <f t="shared" ca="1" si="238"/>
        <v>0</v>
      </c>
      <c r="AE199" s="1908">
        <f t="shared" ca="1" si="238"/>
        <v>0</v>
      </c>
      <c r="AF199" s="1908">
        <f t="shared" ca="1" si="238"/>
        <v>0</v>
      </c>
      <c r="AG199" s="1908">
        <f t="shared" ca="1" si="238"/>
        <v>0</v>
      </c>
      <c r="AH199" s="1908">
        <f t="shared" ca="1" si="238"/>
        <v>0</v>
      </c>
      <c r="AI199" s="1908">
        <f t="shared" ca="1" si="238"/>
        <v>0</v>
      </c>
      <c r="AJ199" s="1907">
        <f t="shared" ca="1" si="238"/>
        <v>0</v>
      </c>
      <c r="AK199" s="1908">
        <f t="shared" ca="1" si="238"/>
        <v>0</v>
      </c>
      <c r="AL199" s="1908">
        <f t="shared" ca="1" si="238"/>
        <v>0</v>
      </c>
      <c r="AM199" s="1908">
        <f t="shared" ca="1" si="238"/>
        <v>0</v>
      </c>
      <c r="AN199" s="1908">
        <f t="shared" ca="1" si="238"/>
        <v>0</v>
      </c>
      <c r="AO199" s="1908">
        <f t="shared" ca="1" si="238"/>
        <v>0</v>
      </c>
      <c r="AP199" s="1908">
        <f t="shared" ca="1" si="238"/>
        <v>0</v>
      </c>
      <c r="AQ199" s="1907">
        <f t="shared" ca="1" si="238"/>
        <v>0</v>
      </c>
      <c r="AR199" s="1908">
        <f t="shared" ca="1" si="238"/>
        <v>0</v>
      </c>
      <c r="AS199" s="1908">
        <f t="shared" ca="1" si="238"/>
        <v>0</v>
      </c>
      <c r="AT199" s="1908">
        <f t="shared" ca="1" si="238"/>
        <v>0</v>
      </c>
      <c r="AU199" s="1908">
        <f t="shared" ca="1" si="238"/>
        <v>0</v>
      </c>
      <c r="AV199" s="1908">
        <f t="shared" ca="1" si="238"/>
        <v>0</v>
      </c>
      <c r="AW199" s="1908">
        <f t="shared" ca="1" si="238"/>
        <v>0</v>
      </c>
      <c r="AX199" s="1907">
        <f t="shared" ca="1" si="238"/>
        <v>0</v>
      </c>
      <c r="AY199" s="1908">
        <f t="shared" ca="1" si="238"/>
        <v>0</v>
      </c>
      <c r="AZ199" s="1908">
        <f t="shared" ca="1" si="238"/>
        <v>0</v>
      </c>
      <c r="BA199" s="1908">
        <f t="shared" ca="1" si="238"/>
        <v>0</v>
      </c>
      <c r="BB199" s="1908">
        <f t="shared" ca="1" si="238"/>
        <v>0</v>
      </c>
      <c r="BC199" s="1908">
        <f t="shared" ca="1" si="238"/>
        <v>0</v>
      </c>
      <c r="BD199" s="1908">
        <f t="shared" ca="1" si="238"/>
        <v>0</v>
      </c>
      <c r="BE199" s="1907">
        <f t="shared" ca="1" si="238"/>
        <v>0</v>
      </c>
      <c r="BF199" s="1908">
        <f t="shared" ca="1" si="238"/>
        <v>0</v>
      </c>
      <c r="BG199" s="1908">
        <f t="shared" ca="1" si="238"/>
        <v>0</v>
      </c>
      <c r="BH199" s="1908">
        <f t="shared" ca="1" si="238"/>
        <v>0</v>
      </c>
      <c r="BI199" s="1908">
        <f t="shared" ca="1" si="238"/>
        <v>0</v>
      </c>
      <c r="BJ199" s="1908">
        <f t="shared" ca="1" si="238"/>
        <v>0</v>
      </c>
      <c r="BK199" s="1908">
        <f t="shared" ca="1" si="238"/>
        <v>0</v>
      </c>
      <c r="BL199" s="1907">
        <f t="shared" ca="1" si="238"/>
        <v>0</v>
      </c>
      <c r="BM199" s="1908">
        <f t="shared" ca="1" si="238"/>
        <v>0</v>
      </c>
      <c r="BN199" s="1908">
        <f t="shared" ca="1" si="238"/>
        <v>0</v>
      </c>
      <c r="BO199" s="1908">
        <f t="shared" ca="1" si="238"/>
        <v>0</v>
      </c>
      <c r="BP199" s="1908">
        <f t="shared" ca="1" si="238"/>
        <v>0</v>
      </c>
      <c r="BQ199" s="1908">
        <f t="shared" ca="1" si="238"/>
        <v>0</v>
      </c>
      <c r="BR199" s="1908">
        <f t="shared" ca="1" si="238"/>
        <v>0</v>
      </c>
      <c r="BS199" s="1907">
        <f t="shared" ca="1" si="238"/>
        <v>0</v>
      </c>
      <c r="BT199" s="1908">
        <f t="shared" ca="1" si="238"/>
        <v>0</v>
      </c>
      <c r="BU199" s="1908">
        <f t="shared" ref="BU199:EF199" ca="1" si="239">BU251</f>
        <v>0</v>
      </c>
      <c r="BV199" s="1908">
        <f t="shared" ca="1" si="239"/>
        <v>0</v>
      </c>
      <c r="BW199" s="1908">
        <f t="shared" ca="1" si="239"/>
        <v>0</v>
      </c>
      <c r="BX199" s="1908">
        <f t="shared" ca="1" si="239"/>
        <v>0</v>
      </c>
      <c r="BY199" s="1908">
        <f t="shared" ca="1" si="239"/>
        <v>0</v>
      </c>
      <c r="BZ199" s="1907">
        <f t="shared" ca="1" si="239"/>
        <v>0</v>
      </c>
      <c r="CA199" s="1908">
        <f t="shared" ca="1" si="239"/>
        <v>0</v>
      </c>
      <c r="CB199" s="1908">
        <f t="shared" ca="1" si="239"/>
        <v>0</v>
      </c>
      <c r="CC199" s="1908">
        <f t="shared" ca="1" si="239"/>
        <v>0</v>
      </c>
      <c r="CD199" s="1908">
        <f t="shared" ca="1" si="239"/>
        <v>0</v>
      </c>
      <c r="CE199" s="1908">
        <f t="shared" ca="1" si="239"/>
        <v>0</v>
      </c>
      <c r="CF199" s="1908">
        <f t="shared" ca="1" si="239"/>
        <v>0</v>
      </c>
      <c r="CG199" s="1907">
        <f t="shared" ca="1" si="239"/>
        <v>0</v>
      </c>
      <c r="CH199" s="1908">
        <f t="shared" ca="1" si="239"/>
        <v>0</v>
      </c>
      <c r="CI199" s="1908">
        <f t="shared" ca="1" si="239"/>
        <v>0</v>
      </c>
      <c r="CJ199" s="1908">
        <f t="shared" ca="1" si="239"/>
        <v>0</v>
      </c>
      <c r="CK199" s="1908">
        <f t="shared" ca="1" si="239"/>
        <v>0</v>
      </c>
      <c r="CL199" s="1908">
        <f t="shared" ca="1" si="239"/>
        <v>0</v>
      </c>
      <c r="CM199" s="1908">
        <f t="shared" ca="1" si="239"/>
        <v>0</v>
      </c>
      <c r="CN199" s="1907">
        <f t="shared" ca="1" si="239"/>
        <v>0</v>
      </c>
      <c r="CO199" s="1908">
        <f t="shared" ca="1" si="239"/>
        <v>0</v>
      </c>
      <c r="CP199" s="1908">
        <f t="shared" ca="1" si="239"/>
        <v>0</v>
      </c>
      <c r="CQ199" s="1908">
        <f t="shared" ca="1" si="239"/>
        <v>0</v>
      </c>
      <c r="CR199" s="1908">
        <f t="shared" ca="1" si="239"/>
        <v>0</v>
      </c>
      <c r="CS199" s="1908">
        <f t="shared" ca="1" si="239"/>
        <v>0</v>
      </c>
      <c r="CT199" s="1908">
        <f t="shared" ca="1" si="239"/>
        <v>0</v>
      </c>
      <c r="CU199" s="1907">
        <f t="shared" ca="1" si="239"/>
        <v>0</v>
      </c>
      <c r="CV199" s="1908">
        <f t="shared" ca="1" si="239"/>
        <v>0</v>
      </c>
      <c r="CW199" s="1908">
        <f t="shared" ca="1" si="239"/>
        <v>0</v>
      </c>
      <c r="CX199" s="1908">
        <f t="shared" ca="1" si="239"/>
        <v>0</v>
      </c>
      <c r="CY199" s="1908">
        <f t="shared" ca="1" si="239"/>
        <v>0</v>
      </c>
      <c r="CZ199" s="1908">
        <f t="shared" ca="1" si="239"/>
        <v>0</v>
      </c>
      <c r="DA199" s="1908">
        <f t="shared" ca="1" si="239"/>
        <v>0</v>
      </c>
      <c r="DB199" s="1907">
        <f t="shared" ca="1" si="239"/>
        <v>0</v>
      </c>
      <c r="DC199" s="1908">
        <f t="shared" ca="1" si="239"/>
        <v>0</v>
      </c>
      <c r="DD199" s="1908">
        <f t="shared" ca="1" si="239"/>
        <v>0</v>
      </c>
      <c r="DE199" s="1908">
        <f t="shared" ca="1" si="239"/>
        <v>0</v>
      </c>
      <c r="DF199" s="1908">
        <f t="shared" ca="1" si="239"/>
        <v>0</v>
      </c>
      <c r="DG199" s="1908">
        <f t="shared" ca="1" si="239"/>
        <v>0</v>
      </c>
      <c r="DH199" s="1908">
        <f t="shared" ca="1" si="239"/>
        <v>0</v>
      </c>
      <c r="DI199" s="1907">
        <f t="shared" ca="1" si="239"/>
        <v>0</v>
      </c>
      <c r="DJ199" s="1908">
        <f t="shared" ca="1" si="239"/>
        <v>0</v>
      </c>
      <c r="DK199" s="1908">
        <f t="shared" ca="1" si="239"/>
        <v>0</v>
      </c>
      <c r="DL199" s="1908">
        <f t="shared" ca="1" si="239"/>
        <v>0</v>
      </c>
      <c r="DM199" s="1908">
        <f t="shared" ca="1" si="239"/>
        <v>0</v>
      </c>
      <c r="DN199" s="1908">
        <f t="shared" ca="1" si="239"/>
        <v>0</v>
      </c>
      <c r="DO199" s="1908">
        <f t="shared" ca="1" si="239"/>
        <v>0</v>
      </c>
      <c r="DP199" s="1907">
        <f t="shared" ca="1" si="239"/>
        <v>0</v>
      </c>
      <c r="DQ199" s="1908">
        <f t="shared" ca="1" si="239"/>
        <v>0</v>
      </c>
      <c r="DR199" s="1908">
        <f t="shared" ca="1" si="239"/>
        <v>0</v>
      </c>
      <c r="DS199" s="1908">
        <f t="shared" ca="1" si="239"/>
        <v>0</v>
      </c>
      <c r="DT199" s="1908">
        <f t="shared" ca="1" si="239"/>
        <v>0</v>
      </c>
      <c r="DU199" s="1908">
        <f t="shared" ca="1" si="239"/>
        <v>0</v>
      </c>
      <c r="DV199" s="1908">
        <f t="shared" ca="1" si="239"/>
        <v>0</v>
      </c>
      <c r="DW199" s="1907">
        <f t="shared" ca="1" si="239"/>
        <v>0</v>
      </c>
      <c r="DX199" s="1908">
        <f t="shared" ca="1" si="239"/>
        <v>0</v>
      </c>
      <c r="DY199" s="1908">
        <f t="shared" ca="1" si="239"/>
        <v>0</v>
      </c>
      <c r="DZ199" s="1908">
        <f t="shared" ca="1" si="239"/>
        <v>0</v>
      </c>
      <c r="EA199" s="1908">
        <f t="shared" ca="1" si="239"/>
        <v>0</v>
      </c>
      <c r="EB199" s="1908">
        <f t="shared" ca="1" si="239"/>
        <v>0</v>
      </c>
      <c r="EC199" s="1908">
        <f t="shared" ca="1" si="239"/>
        <v>0</v>
      </c>
      <c r="ED199" s="1907">
        <f t="shared" ca="1" si="239"/>
        <v>0</v>
      </c>
      <c r="EE199" s="1908">
        <f t="shared" ca="1" si="239"/>
        <v>0</v>
      </c>
      <c r="EF199" s="1908">
        <f t="shared" ca="1" si="239"/>
        <v>0</v>
      </c>
      <c r="EG199" s="1908">
        <f t="shared" ref="EG199:GR199" ca="1" si="240">EG251</f>
        <v>0</v>
      </c>
      <c r="EH199" s="1908">
        <f t="shared" ca="1" si="240"/>
        <v>0</v>
      </c>
      <c r="EI199" s="1908">
        <f t="shared" ca="1" si="240"/>
        <v>0</v>
      </c>
      <c r="EJ199" s="1908">
        <f t="shared" ca="1" si="240"/>
        <v>0</v>
      </c>
      <c r="EK199" s="1907">
        <f t="shared" ca="1" si="240"/>
        <v>0</v>
      </c>
      <c r="EL199" s="1908">
        <f t="shared" ca="1" si="240"/>
        <v>0</v>
      </c>
      <c r="EM199" s="1908">
        <f t="shared" ca="1" si="240"/>
        <v>0</v>
      </c>
      <c r="EN199" s="1908">
        <f t="shared" ca="1" si="240"/>
        <v>0</v>
      </c>
      <c r="EO199" s="1908">
        <f t="shared" ca="1" si="240"/>
        <v>0</v>
      </c>
      <c r="EP199" s="1908">
        <f t="shared" ca="1" si="240"/>
        <v>0</v>
      </c>
      <c r="EQ199" s="1908">
        <f t="shared" ca="1" si="240"/>
        <v>0</v>
      </c>
      <c r="ER199" s="1907">
        <f t="shared" ca="1" si="240"/>
        <v>0</v>
      </c>
      <c r="ES199" s="1908">
        <f t="shared" ca="1" si="240"/>
        <v>0</v>
      </c>
      <c r="ET199" s="1908">
        <f t="shared" ca="1" si="240"/>
        <v>0</v>
      </c>
      <c r="EU199" s="1908">
        <f t="shared" ca="1" si="240"/>
        <v>0</v>
      </c>
      <c r="EV199" s="1908">
        <f t="shared" ca="1" si="240"/>
        <v>0</v>
      </c>
      <c r="EW199" s="1908">
        <f t="shared" ca="1" si="240"/>
        <v>0</v>
      </c>
      <c r="EX199" s="1908">
        <f t="shared" ca="1" si="240"/>
        <v>0</v>
      </c>
      <c r="EY199" s="1907">
        <f t="shared" ca="1" si="240"/>
        <v>0</v>
      </c>
      <c r="EZ199" s="1908">
        <f t="shared" ca="1" si="240"/>
        <v>0</v>
      </c>
      <c r="FA199" s="1908">
        <f t="shared" ca="1" si="240"/>
        <v>0</v>
      </c>
      <c r="FB199" s="1908">
        <f t="shared" ca="1" si="240"/>
        <v>0</v>
      </c>
      <c r="FC199" s="1908">
        <f t="shared" ca="1" si="240"/>
        <v>0</v>
      </c>
      <c r="FD199" s="1908">
        <f t="shared" ca="1" si="240"/>
        <v>0</v>
      </c>
      <c r="FE199" s="1908">
        <f t="shared" ca="1" si="240"/>
        <v>0</v>
      </c>
      <c r="FF199" s="1907">
        <f t="shared" ca="1" si="240"/>
        <v>0</v>
      </c>
      <c r="FG199" s="1908">
        <f t="shared" ca="1" si="240"/>
        <v>0</v>
      </c>
      <c r="FH199" s="1908">
        <f t="shared" ca="1" si="240"/>
        <v>0</v>
      </c>
      <c r="FI199" s="1908">
        <f t="shared" ca="1" si="240"/>
        <v>0</v>
      </c>
      <c r="FJ199" s="1908">
        <f t="shared" ca="1" si="240"/>
        <v>0</v>
      </c>
      <c r="FK199" s="1908">
        <f t="shared" ca="1" si="240"/>
        <v>0</v>
      </c>
      <c r="FL199" s="1908">
        <f t="shared" ca="1" si="240"/>
        <v>0</v>
      </c>
      <c r="FM199" s="1907">
        <f t="shared" ca="1" si="240"/>
        <v>0</v>
      </c>
      <c r="FN199" s="1908">
        <f t="shared" ca="1" si="240"/>
        <v>0</v>
      </c>
      <c r="FO199" s="1908">
        <f t="shared" ca="1" si="240"/>
        <v>0</v>
      </c>
      <c r="FP199" s="1908">
        <f t="shared" ca="1" si="240"/>
        <v>0</v>
      </c>
      <c r="FQ199" s="1908">
        <f t="shared" ca="1" si="240"/>
        <v>0</v>
      </c>
      <c r="FR199" s="1908">
        <f t="shared" ca="1" si="240"/>
        <v>0</v>
      </c>
      <c r="FS199" s="1908">
        <f t="shared" ca="1" si="240"/>
        <v>0</v>
      </c>
      <c r="FT199" s="1907">
        <f t="shared" ca="1" si="240"/>
        <v>0</v>
      </c>
      <c r="FU199" s="1908">
        <f t="shared" ca="1" si="240"/>
        <v>0</v>
      </c>
      <c r="FV199" s="1908">
        <f t="shared" ca="1" si="240"/>
        <v>0</v>
      </c>
      <c r="FW199" s="1908">
        <f t="shared" ca="1" si="240"/>
        <v>0</v>
      </c>
      <c r="FX199" s="1908">
        <f t="shared" ca="1" si="240"/>
        <v>0</v>
      </c>
      <c r="FY199" s="1908">
        <f t="shared" ca="1" si="240"/>
        <v>0</v>
      </c>
      <c r="FZ199" s="1908">
        <f t="shared" ca="1" si="240"/>
        <v>0</v>
      </c>
      <c r="GA199" s="1907">
        <f t="shared" ca="1" si="240"/>
        <v>0</v>
      </c>
      <c r="GB199" s="1908">
        <f t="shared" ca="1" si="240"/>
        <v>0</v>
      </c>
      <c r="GC199" s="1908">
        <f t="shared" ca="1" si="240"/>
        <v>0</v>
      </c>
      <c r="GD199" s="1908">
        <f t="shared" ca="1" si="240"/>
        <v>0</v>
      </c>
      <c r="GE199" s="1908">
        <f t="shared" ca="1" si="240"/>
        <v>0</v>
      </c>
      <c r="GF199" s="1908">
        <f t="shared" ca="1" si="240"/>
        <v>0</v>
      </c>
      <c r="GG199" s="1908">
        <f t="shared" ca="1" si="240"/>
        <v>0</v>
      </c>
      <c r="GH199" s="1907">
        <f t="shared" ca="1" si="240"/>
        <v>0</v>
      </c>
      <c r="GI199" s="1908">
        <f t="shared" ca="1" si="240"/>
        <v>0</v>
      </c>
      <c r="GJ199" s="1908">
        <f t="shared" ca="1" si="240"/>
        <v>0</v>
      </c>
      <c r="GK199" s="1908">
        <f t="shared" ca="1" si="240"/>
        <v>0</v>
      </c>
      <c r="GL199" s="1908">
        <f t="shared" ca="1" si="240"/>
        <v>0</v>
      </c>
      <c r="GM199" s="1908">
        <f t="shared" ca="1" si="240"/>
        <v>0</v>
      </c>
      <c r="GN199" s="1908">
        <f t="shared" ca="1" si="240"/>
        <v>0</v>
      </c>
      <c r="GO199" s="1907">
        <f t="shared" ca="1" si="240"/>
        <v>0</v>
      </c>
      <c r="GP199" s="1908">
        <f t="shared" ca="1" si="240"/>
        <v>0</v>
      </c>
      <c r="GQ199" s="1908">
        <f t="shared" ca="1" si="240"/>
        <v>0</v>
      </c>
      <c r="GR199" s="1908">
        <f t="shared" ca="1" si="240"/>
        <v>0</v>
      </c>
      <c r="GS199" s="1908">
        <f t="shared" ref="GS199:IK199" ca="1" si="241">GS251</f>
        <v>0</v>
      </c>
      <c r="GT199" s="1908">
        <f t="shared" ca="1" si="241"/>
        <v>0</v>
      </c>
      <c r="GU199" s="1908">
        <f t="shared" ca="1" si="241"/>
        <v>0</v>
      </c>
      <c r="GV199" s="1907">
        <f t="shared" ca="1" si="241"/>
        <v>0</v>
      </c>
      <c r="GW199" s="1908">
        <f t="shared" ca="1" si="241"/>
        <v>0</v>
      </c>
      <c r="GX199" s="1908">
        <f t="shared" ca="1" si="241"/>
        <v>0</v>
      </c>
      <c r="GY199" s="1908">
        <f t="shared" ca="1" si="241"/>
        <v>0</v>
      </c>
      <c r="GZ199" s="1908">
        <f t="shared" ca="1" si="241"/>
        <v>0</v>
      </c>
      <c r="HA199" s="1908">
        <f t="shared" ca="1" si="241"/>
        <v>0</v>
      </c>
      <c r="HB199" s="1908">
        <f t="shared" ca="1" si="241"/>
        <v>0</v>
      </c>
      <c r="HC199" s="1907">
        <f t="shared" ca="1" si="241"/>
        <v>0</v>
      </c>
      <c r="HD199" s="1908">
        <f t="shared" ca="1" si="241"/>
        <v>0</v>
      </c>
      <c r="HE199" s="1908">
        <f t="shared" ca="1" si="241"/>
        <v>0</v>
      </c>
      <c r="HF199" s="1908">
        <f t="shared" ca="1" si="241"/>
        <v>0</v>
      </c>
      <c r="HG199" s="1908">
        <f t="shared" ca="1" si="241"/>
        <v>0</v>
      </c>
      <c r="HH199" s="1908">
        <f t="shared" ca="1" si="241"/>
        <v>0</v>
      </c>
      <c r="HI199" s="1908">
        <f t="shared" ca="1" si="241"/>
        <v>0</v>
      </c>
      <c r="HJ199" s="1907">
        <f t="shared" ca="1" si="241"/>
        <v>0</v>
      </c>
      <c r="HK199" s="1908">
        <f t="shared" ca="1" si="241"/>
        <v>0</v>
      </c>
      <c r="HL199" s="1908">
        <f t="shared" ca="1" si="241"/>
        <v>0</v>
      </c>
      <c r="HM199" s="1908">
        <f t="shared" ca="1" si="241"/>
        <v>0</v>
      </c>
      <c r="HN199" s="1908">
        <f t="shared" ca="1" si="241"/>
        <v>0</v>
      </c>
      <c r="HO199" s="1908">
        <f t="shared" ca="1" si="241"/>
        <v>0</v>
      </c>
      <c r="HP199" s="1908">
        <f t="shared" ca="1" si="241"/>
        <v>0</v>
      </c>
      <c r="HQ199" s="1907">
        <f t="shared" ca="1" si="241"/>
        <v>0</v>
      </c>
      <c r="HR199" s="1908">
        <f t="shared" ca="1" si="241"/>
        <v>0</v>
      </c>
      <c r="HS199" s="1908">
        <f t="shared" ca="1" si="241"/>
        <v>0</v>
      </c>
      <c r="HT199" s="1908">
        <f t="shared" ca="1" si="241"/>
        <v>0</v>
      </c>
      <c r="HU199" s="1908">
        <f t="shared" ca="1" si="241"/>
        <v>0</v>
      </c>
      <c r="HV199" s="1908">
        <f t="shared" ca="1" si="241"/>
        <v>0</v>
      </c>
      <c r="HW199" s="1908">
        <f t="shared" ca="1" si="241"/>
        <v>0</v>
      </c>
      <c r="HX199" s="1907">
        <f t="shared" ca="1" si="241"/>
        <v>0</v>
      </c>
      <c r="HY199" s="1908">
        <f t="shared" ca="1" si="241"/>
        <v>0</v>
      </c>
      <c r="HZ199" s="1908">
        <f t="shared" ca="1" si="241"/>
        <v>0</v>
      </c>
      <c r="IA199" s="1908">
        <f t="shared" ca="1" si="241"/>
        <v>0</v>
      </c>
      <c r="IB199" s="1908">
        <f t="shared" ca="1" si="241"/>
        <v>0</v>
      </c>
      <c r="IC199" s="1908">
        <f t="shared" ca="1" si="241"/>
        <v>0</v>
      </c>
      <c r="ID199" s="1908">
        <f t="shared" ca="1" si="241"/>
        <v>0</v>
      </c>
      <c r="IE199" s="1907">
        <f t="shared" ca="1" si="241"/>
        <v>0</v>
      </c>
      <c r="IF199" s="1908">
        <f t="shared" ca="1" si="241"/>
        <v>0</v>
      </c>
      <c r="IG199" s="1908">
        <f t="shared" ca="1" si="241"/>
        <v>0</v>
      </c>
      <c r="IH199" s="1908">
        <f t="shared" ca="1" si="241"/>
        <v>0</v>
      </c>
      <c r="II199" s="1908">
        <f t="shared" ca="1" si="241"/>
        <v>0</v>
      </c>
      <c r="IJ199" s="1908">
        <f t="shared" ca="1" si="241"/>
        <v>0</v>
      </c>
      <c r="IK199" s="1909">
        <f t="shared" ca="1" si="241"/>
        <v>0</v>
      </c>
    </row>
    <row r="200" spans="1:245" ht="8.1" hidden="1" customHeight="1" x14ac:dyDescent="0.35">
      <c r="A200" s="195">
        <f>IF(B199=0,0,"XXX")</f>
        <v>0</v>
      </c>
      <c r="B200" s="1960"/>
      <c r="C200" s="1966"/>
      <c r="D200" s="360">
        <f ca="1">IF(F199=0,0,"término:")</f>
        <v>0</v>
      </c>
      <c r="E200" s="361">
        <f ca="1">IF(D212&lt;D211,0,D257)</f>
        <v>46016.587500000001</v>
      </c>
      <c r="F200" s="1913"/>
      <c r="G200" s="1914"/>
      <c r="H200" s="1907"/>
      <c r="I200" s="1908"/>
      <c r="J200" s="1908"/>
      <c r="K200" s="1908"/>
      <c r="L200" s="1908"/>
      <c r="M200" s="1908"/>
      <c r="N200" s="1908"/>
      <c r="O200" s="1907"/>
      <c r="P200" s="1908"/>
      <c r="Q200" s="1908"/>
      <c r="R200" s="1908"/>
      <c r="S200" s="1908"/>
      <c r="T200" s="1908"/>
      <c r="U200" s="1908"/>
      <c r="V200" s="1907"/>
      <c r="W200" s="1908"/>
      <c r="X200" s="1908"/>
      <c r="Y200" s="1908"/>
      <c r="Z200" s="1908"/>
      <c r="AA200" s="1908"/>
      <c r="AB200" s="1908"/>
      <c r="AC200" s="1907"/>
      <c r="AD200" s="1908"/>
      <c r="AE200" s="1908"/>
      <c r="AF200" s="1908"/>
      <c r="AG200" s="1908"/>
      <c r="AH200" s="1908"/>
      <c r="AI200" s="1908"/>
      <c r="AJ200" s="1907"/>
      <c r="AK200" s="1908"/>
      <c r="AL200" s="1908"/>
      <c r="AM200" s="1908"/>
      <c r="AN200" s="1908"/>
      <c r="AO200" s="1908"/>
      <c r="AP200" s="1908"/>
      <c r="AQ200" s="1907"/>
      <c r="AR200" s="1908"/>
      <c r="AS200" s="1908"/>
      <c r="AT200" s="1908"/>
      <c r="AU200" s="1908"/>
      <c r="AV200" s="1908"/>
      <c r="AW200" s="1908"/>
      <c r="AX200" s="1907"/>
      <c r="AY200" s="1908"/>
      <c r="AZ200" s="1908"/>
      <c r="BA200" s="1908"/>
      <c r="BB200" s="1908"/>
      <c r="BC200" s="1908"/>
      <c r="BD200" s="1908"/>
      <c r="BE200" s="1907"/>
      <c r="BF200" s="1908"/>
      <c r="BG200" s="1908"/>
      <c r="BH200" s="1908"/>
      <c r="BI200" s="1908"/>
      <c r="BJ200" s="1908"/>
      <c r="BK200" s="1908"/>
      <c r="BL200" s="1907"/>
      <c r="BM200" s="1908"/>
      <c r="BN200" s="1908"/>
      <c r="BO200" s="1908"/>
      <c r="BP200" s="1908"/>
      <c r="BQ200" s="1908"/>
      <c r="BR200" s="1908"/>
      <c r="BS200" s="1907"/>
      <c r="BT200" s="1908"/>
      <c r="BU200" s="1908"/>
      <c r="BV200" s="1908"/>
      <c r="BW200" s="1908"/>
      <c r="BX200" s="1908"/>
      <c r="BY200" s="1908"/>
      <c r="BZ200" s="1907"/>
      <c r="CA200" s="1908"/>
      <c r="CB200" s="1908"/>
      <c r="CC200" s="1908"/>
      <c r="CD200" s="1908"/>
      <c r="CE200" s="1908"/>
      <c r="CF200" s="1908"/>
      <c r="CG200" s="1907"/>
      <c r="CH200" s="1908"/>
      <c r="CI200" s="1908"/>
      <c r="CJ200" s="1908"/>
      <c r="CK200" s="1908"/>
      <c r="CL200" s="1908"/>
      <c r="CM200" s="1908"/>
      <c r="CN200" s="1907"/>
      <c r="CO200" s="1908"/>
      <c r="CP200" s="1908"/>
      <c r="CQ200" s="1908"/>
      <c r="CR200" s="1908"/>
      <c r="CS200" s="1908"/>
      <c r="CT200" s="1908"/>
      <c r="CU200" s="1907"/>
      <c r="CV200" s="1908"/>
      <c r="CW200" s="1908"/>
      <c r="CX200" s="1908"/>
      <c r="CY200" s="1908"/>
      <c r="CZ200" s="1908"/>
      <c r="DA200" s="1908"/>
      <c r="DB200" s="1907"/>
      <c r="DC200" s="1908"/>
      <c r="DD200" s="1908"/>
      <c r="DE200" s="1908"/>
      <c r="DF200" s="1908"/>
      <c r="DG200" s="1908"/>
      <c r="DH200" s="1908"/>
      <c r="DI200" s="1907"/>
      <c r="DJ200" s="1908"/>
      <c r="DK200" s="1908"/>
      <c r="DL200" s="1908"/>
      <c r="DM200" s="1908"/>
      <c r="DN200" s="1908"/>
      <c r="DO200" s="1908"/>
      <c r="DP200" s="1907"/>
      <c r="DQ200" s="1908"/>
      <c r="DR200" s="1908"/>
      <c r="DS200" s="1908"/>
      <c r="DT200" s="1908"/>
      <c r="DU200" s="1908"/>
      <c r="DV200" s="1908"/>
      <c r="DW200" s="1907"/>
      <c r="DX200" s="1908"/>
      <c r="DY200" s="1908"/>
      <c r="DZ200" s="1908"/>
      <c r="EA200" s="1908"/>
      <c r="EB200" s="1908"/>
      <c r="EC200" s="1908"/>
      <c r="ED200" s="1907"/>
      <c r="EE200" s="1908"/>
      <c r="EF200" s="1908"/>
      <c r="EG200" s="1908"/>
      <c r="EH200" s="1908"/>
      <c r="EI200" s="1908"/>
      <c r="EJ200" s="1908"/>
      <c r="EK200" s="1907"/>
      <c r="EL200" s="1908"/>
      <c r="EM200" s="1908"/>
      <c r="EN200" s="1908"/>
      <c r="EO200" s="1908"/>
      <c r="EP200" s="1908"/>
      <c r="EQ200" s="1908"/>
      <c r="ER200" s="1907"/>
      <c r="ES200" s="1908"/>
      <c r="ET200" s="1908"/>
      <c r="EU200" s="1908"/>
      <c r="EV200" s="1908"/>
      <c r="EW200" s="1908"/>
      <c r="EX200" s="1908"/>
      <c r="EY200" s="1907"/>
      <c r="EZ200" s="1908"/>
      <c r="FA200" s="1908"/>
      <c r="FB200" s="1908"/>
      <c r="FC200" s="1908"/>
      <c r="FD200" s="1908"/>
      <c r="FE200" s="1908"/>
      <c r="FF200" s="1907"/>
      <c r="FG200" s="1908"/>
      <c r="FH200" s="1908"/>
      <c r="FI200" s="1908"/>
      <c r="FJ200" s="1908"/>
      <c r="FK200" s="1908"/>
      <c r="FL200" s="1908"/>
      <c r="FM200" s="1907"/>
      <c r="FN200" s="1908"/>
      <c r="FO200" s="1908"/>
      <c r="FP200" s="1908"/>
      <c r="FQ200" s="1908"/>
      <c r="FR200" s="1908"/>
      <c r="FS200" s="1908"/>
      <c r="FT200" s="1907"/>
      <c r="FU200" s="1908"/>
      <c r="FV200" s="1908"/>
      <c r="FW200" s="1908"/>
      <c r="FX200" s="1908"/>
      <c r="FY200" s="1908"/>
      <c r="FZ200" s="1908"/>
      <c r="GA200" s="1907"/>
      <c r="GB200" s="1908"/>
      <c r="GC200" s="1908"/>
      <c r="GD200" s="1908"/>
      <c r="GE200" s="1908"/>
      <c r="GF200" s="1908"/>
      <c r="GG200" s="1908"/>
      <c r="GH200" s="1907"/>
      <c r="GI200" s="1908"/>
      <c r="GJ200" s="1908"/>
      <c r="GK200" s="1908"/>
      <c r="GL200" s="1908"/>
      <c r="GM200" s="1908"/>
      <c r="GN200" s="1908"/>
      <c r="GO200" s="1907"/>
      <c r="GP200" s="1908"/>
      <c r="GQ200" s="1908"/>
      <c r="GR200" s="1908"/>
      <c r="GS200" s="1908"/>
      <c r="GT200" s="1908"/>
      <c r="GU200" s="1908"/>
      <c r="GV200" s="1907"/>
      <c r="GW200" s="1908"/>
      <c r="GX200" s="1908"/>
      <c r="GY200" s="1908"/>
      <c r="GZ200" s="1908"/>
      <c r="HA200" s="1908"/>
      <c r="HB200" s="1908"/>
      <c r="HC200" s="1907"/>
      <c r="HD200" s="1908"/>
      <c r="HE200" s="1908"/>
      <c r="HF200" s="1908"/>
      <c r="HG200" s="1908"/>
      <c r="HH200" s="1908"/>
      <c r="HI200" s="1908"/>
      <c r="HJ200" s="1907"/>
      <c r="HK200" s="1908"/>
      <c r="HL200" s="1908"/>
      <c r="HM200" s="1908"/>
      <c r="HN200" s="1908"/>
      <c r="HO200" s="1908"/>
      <c r="HP200" s="1908"/>
      <c r="HQ200" s="1907"/>
      <c r="HR200" s="1908"/>
      <c r="HS200" s="1908"/>
      <c r="HT200" s="1908"/>
      <c r="HU200" s="1908"/>
      <c r="HV200" s="1908"/>
      <c r="HW200" s="1908"/>
      <c r="HX200" s="1907"/>
      <c r="HY200" s="1908"/>
      <c r="HZ200" s="1908"/>
      <c r="IA200" s="1908"/>
      <c r="IB200" s="1908"/>
      <c r="IC200" s="1908"/>
      <c r="ID200" s="1908"/>
      <c r="IE200" s="1907"/>
      <c r="IF200" s="1908"/>
      <c r="IG200" s="1908"/>
      <c r="IH200" s="1908"/>
      <c r="II200" s="1908"/>
      <c r="IJ200" s="1908"/>
      <c r="IK200" s="1909"/>
    </row>
    <row r="201" spans="1:245" ht="7.5" hidden="1" customHeight="1" x14ac:dyDescent="0.35">
      <c r="A201" s="195">
        <f>IF(B201=0,0,"XXX")</f>
        <v>0</v>
      </c>
      <c r="B201" s="1910">
        <f>IF(ENTRADAS!L1253=0,0,ENTRADAS!C1253)</f>
        <v>0</v>
      </c>
      <c r="C201" s="1911">
        <f>IF(ENTRADAS!L1253="x",ENTRADAS!D1253,0)</f>
        <v>0</v>
      </c>
      <c r="D201" s="358" t="str">
        <f>IF(ENTRADAS!$F$22=0,0,"início:")</f>
        <v>início:</v>
      </c>
      <c r="E201" s="359">
        <f>IF(C201=0,0,IF(F202&gt;0,F202+D213,E190+2))</f>
        <v>0</v>
      </c>
      <c r="F201" s="454">
        <f>IF(C201=0,0,ENTRADAS!$H$1253)</f>
        <v>0</v>
      </c>
      <c r="G201" s="455" t="str">
        <f>IF(ENTRADAS!$F$22=0,0,"dias")</f>
        <v>dias</v>
      </c>
      <c r="H201" s="1907">
        <f t="shared" ref="H201:BS201" ca="1" si="242">IF(AND(H176&gt;$E$201-$D$213,H176&lt;=$E$202-$D$213),10,0)</f>
        <v>0</v>
      </c>
      <c r="I201" s="1908">
        <f t="shared" ca="1" si="242"/>
        <v>0</v>
      </c>
      <c r="J201" s="1908">
        <f t="shared" ca="1" si="242"/>
        <v>0</v>
      </c>
      <c r="K201" s="1908">
        <f t="shared" ca="1" si="242"/>
        <v>0</v>
      </c>
      <c r="L201" s="1908">
        <f t="shared" ca="1" si="242"/>
        <v>0</v>
      </c>
      <c r="M201" s="1908">
        <f t="shared" ca="1" si="242"/>
        <v>0</v>
      </c>
      <c r="N201" s="1908">
        <f t="shared" ca="1" si="242"/>
        <v>0</v>
      </c>
      <c r="O201" s="1907">
        <f t="shared" ca="1" si="242"/>
        <v>0</v>
      </c>
      <c r="P201" s="1908">
        <f t="shared" ca="1" si="242"/>
        <v>0</v>
      </c>
      <c r="Q201" s="1908">
        <f t="shared" ca="1" si="242"/>
        <v>0</v>
      </c>
      <c r="R201" s="1908">
        <f t="shared" ca="1" si="242"/>
        <v>0</v>
      </c>
      <c r="S201" s="1908">
        <f t="shared" ca="1" si="242"/>
        <v>0</v>
      </c>
      <c r="T201" s="1908">
        <f t="shared" ca="1" si="242"/>
        <v>0</v>
      </c>
      <c r="U201" s="1908">
        <f t="shared" ca="1" si="242"/>
        <v>0</v>
      </c>
      <c r="V201" s="1907">
        <f t="shared" ca="1" si="242"/>
        <v>0</v>
      </c>
      <c r="W201" s="1908">
        <f t="shared" ca="1" si="242"/>
        <v>0</v>
      </c>
      <c r="X201" s="1908">
        <f t="shared" ca="1" si="242"/>
        <v>0</v>
      </c>
      <c r="Y201" s="1908">
        <f t="shared" ca="1" si="242"/>
        <v>0</v>
      </c>
      <c r="Z201" s="1908">
        <f t="shared" ca="1" si="242"/>
        <v>0</v>
      </c>
      <c r="AA201" s="1908">
        <f t="shared" ca="1" si="242"/>
        <v>0</v>
      </c>
      <c r="AB201" s="1908">
        <f t="shared" ca="1" si="242"/>
        <v>0</v>
      </c>
      <c r="AC201" s="1907">
        <f t="shared" ca="1" si="242"/>
        <v>0</v>
      </c>
      <c r="AD201" s="1908">
        <f t="shared" ca="1" si="242"/>
        <v>0</v>
      </c>
      <c r="AE201" s="1908">
        <f t="shared" ca="1" si="242"/>
        <v>0</v>
      </c>
      <c r="AF201" s="1908">
        <f t="shared" ca="1" si="242"/>
        <v>0</v>
      </c>
      <c r="AG201" s="1908">
        <f t="shared" ca="1" si="242"/>
        <v>0</v>
      </c>
      <c r="AH201" s="1908">
        <f t="shared" ca="1" si="242"/>
        <v>0</v>
      </c>
      <c r="AI201" s="1908">
        <f t="shared" ca="1" si="242"/>
        <v>0</v>
      </c>
      <c r="AJ201" s="1907">
        <f t="shared" ca="1" si="242"/>
        <v>0</v>
      </c>
      <c r="AK201" s="1908">
        <f t="shared" ca="1" si="242"/>
        <v>0</v>
      </c>
      <c r="AL201" s="1908">
        <f t="shared" ca="1" si="242"/>
        <v>0</v>
      </c>
      <c r="AM201" s="1908">
        <f t="shared" ca="1" si="242"/>
        <v>0</v>
      </c>
      <c r="AN201" s="1908">
        <f t="shared" ca="1" si="242"/>
        <v>0</v>
      </c>
      <c r="AO201" s="1908">
        <f t="shared" ca="1" si="242"/>
        <v>0</v>
      </c>
      <c r="AP201" s="1908">
        <f t="shared" ca="1" si="242"/>
        <v>0</v>
      </c>
      <c r="AQ201" s="1907">
        <f t="shared" ca="1" si="242"/>
        <v>0</v>
      </c>
      <c r="AR201" s="1908">
        <f t="shared" ca="1" si="242"/>
        <v>0</v>
      </c>
      <c r="AS201" s="1908">
        <f t="shared" ca="1" si="242"/>
        <v>0</v>
      </c>
      <c r="AT201" s="1908">
        <f t="shared" ca="1" si="242"/>
        <v>0</v>
      </c>
      <c r="AU201" s="1908">
        <f t="shared" ca="1" si="242"/>
        <v>0</v>
      </c>
      <c r="AV201" s="1908">
        <f t="shared" ca="1" si="242"/>
        <v>0</v>
      </c>
      <c r="AW201" s="1908">
        <f t="shared" ca="1" si="242"/>
        <v>0</v>
      </c>
      <c r="AX201" s="1907">
        <f t="shared" ca="1" si="242"/>
        <v>0</v>
      </c>
      <c r="AY201" s="1908">
        <f t="shared" ca="1" si="242"/>
        <v>0</v>
      </c>
      <c r="AZ201" s="1908">
        <f t="shared" ca="1" si="242"/>
        <v>0</v>
      </c>
      <c r="BA201" s="1908">
        <f t="shared" ca="1" si="242"/>
        <v>0</v>
      </c>
      <c r="BB201" s="1908">
        <f t="shared" ca="1" si="242"/>
        <v>0</v>
      </c>
      <c r="BC201" s="1908">
        <f t="shared" ca="1" si="242"/>
        <v>0</v>
      </c>
      <c r="BD201" s="1908">
        <f t="shared" ca="1" si="242"/>
        <v>0</v>
      </c>
      <c r="BE201" s="1907">
        <f t="shared" ca="1" si="242"/>
        <v>0</v>
      </c>
      <c r="BF201" s="1908">
        <f t="shared" ca="1" si="242"/>
        <v>0</v>
      </c>
      <c r="BG201" s="1908">
        <f t="shared" ca="1" si="242"/>
        <v>0</v>
      </c>
      <c r="BH201" s="1908">
        <f t="shared" ca="1" si="242"/>
        <v>0</v>
      </c>
      <c r="BI201" s="1908">
        <f t="shared" ca="1" si="242"/>
        <v>0</v>
      </c>
      <c r="BJ201" s="1908">
        <f t="shared" ca="1" si="242"/>
        <v>0</v>
      </c>
      <c r="BK201" s="1908">
        <f t="shared" ca="1" si="242"/>
        <v>0</v>
      </c>
      <c r="BL201" s="1907">
        <f t="shared" ca="1" si="242"/>
        <v>0</v>
      </c>
      <c r="BM201" s="1908">
        <f t="shared" ca="1" si="242"/>
        <v>0</v>
      </c>
      <c r="BN201" s="1908">
        <f t="shared" ca="1" si="242"/>
        <v>0</v>
      </c>
      <c r="BO201" s="1908">
        <f t="shared" ca="1" si="242"/>
        <v>0</v>
      </c>
      <c r="BP201" s="1908">
        <f t="shared" ca="1" si="242"/>
        <v>0</v>
      </c>
      <c r="BQ201" s="1908">
        <f t="shared" ca="1" si="242"/>
        <v>0</v>
      </c>
      <c r="BR201" s="1908">
        <f t="shared" ca="1" si="242"/>
        <v>0</v>
      </c>
      <c r="BS201" s="1907">
        <f t="shared" ca="1" si="242"/>
        <v>0</v>
      </c>
      <c r="BT201" s="1908">
        <f t="shared" ref="BT201:BZ201" ca="1" si="243">IF(AND(BT176&gt;$E$201-$D$213,BT176&lt;=$E$202-$D$213),10,0)</f>
        <v>0</v>
      </c>
      <c r="BU201" s="1908">
        <f t="shared" ca="1" si="243"/>
        <v>0</v>
      </c>
      <c r="BV201" s="1908">
        <f t="shared" ca="1" si="243"/>
        <v>0</v>
      </c>
      <c r="BW201" s="1908">
        <f t="shared" ca="1" si="243"/>
        <v>0</v>
      </c>
      <c r="BX201" s="1908">
        <f t="shared" ca="1" si="243"/>
        <v>0</v>
      </c>
      <c r="BY201" s="1908">
        <f t="shared" ca="1" si="243"/>
        <v>0</v>
      </c>
      <c r="BZ201" s="1907">
        <f t="shared" ca="1" si="243"/>
        <v>0</v>
      </c>
      <c r="CA201" s="1908">
        <f t="shared" ref="CA201:EL201" ca="1" si="244">IF(AND(CA176&gt;$E$201-$D$213,CA176&lt;=$E$202-$D$213),10,0)</f>
        <v>0</v>
      </c>
      <c r="CB201" s="1908">
        <f t="shared" ca="1" si="244"/>
        <v>0</v>
      </c>
      <c r="CC201" s="1908">
        <f t="shared" ca="1" si="244"/>
        <v>0</v>
      </c>
      <c r="CD201" s="1908">
        <f t="shared" ca="1" si="244"/>
        <v>0</v>
      </c>
      <c r="CE201" s="1908">
        <f t="shared" ca="1" si="244"/>
        <v>0</v>
      </c>
      <c r="CF201" s="1908">
        <f t="shared" ca="1" si="244"/>
        <v>0</v>
      </c>
      <c r="CG201" s="1907">
        <f t="shared" ca="1" si="244"/>
        <v>0</v>
      </c>
      <c r="CH201" s="1908">
        <f t="shared" ca="1" si="244"/>
        <v>0</v>
      </c>
      <c r="CI201" s="1908">
        <f t="shared" ca="1" si="244"/>
        <v>0</v>
      </c>
      <c r="CJ201" s="1908">
        <f t="shared" ca="1" si="244"/>
        <v>0</v>
      </c>
      <c r="CK201" s="1908">
        <f t="shared" ca="1" si="244"/>
        <v>0</v>
      </c>
      <c r="CL201" s="1908">
        <f t="shared" ca="1" si="244"/>
        <v>0</v>
      </c>
      <c r="CM201" s="1908">
        <f t="shared" ca="1" si="244"/>
        <v>0</v>
      </c>
      <c r="CN201" s="1907">
        <f t="shared" ca="1" si="244"/>
        <v>0</v>
      </c>
      <c r="CO201" s="1908">
        <f t="shared" ca="1" si="244"/>
        <v>0</v>
      </c>
      <c r="CP201" s="1908">
        <f t="shared" ca="1" si="244"/>
        <v>0</v>
      </c>
      <c r="CQ201" s="1908">
        <f t="shared" ca="1" si="244"/>
        <v>0</v>
      </c>
      <c r="CR201" s="1908">
        <f t="shared" ca="1" si="244"/>
        <v>0</v>
      </c>
      <c r="CS201" s="1908">
        <f t="shared" ca="1" si="244"/>
        <v>0</v>
      </c>
      <c r="CT201" s="1908">
        <f t="shared" ca="1" si="244"/>
        <v>0</v>
      </c>
      <c r="CU201" s="1907">
        <f t="shared" ca="1" si="244"/>
        <v>0</v>
      </c>
      <c r="CV201" s="1908">
        <f t="shared" ca="1" si="244"/>
        <v>0</v>
      </c>
      <c r="CW201" s="1908">
        <f t="shared" ca="1" si="244"/>
        <v>0</v>
      </c>
      <c r="CX201" s="1908">
        <f t="shared" ca="1" si="244"/>
        <v>0</v>
      </c>
      <c r="CY201" s="1908">
        <f t="shared" ca="1" si="244"/>
        <v>0</v>
      </c>
      <c r="CZ201" s="1908">
        <f t="shared" ca="1" si="244"/>
        <v>0</v>
      </c>
      <c r="DA201" s="1908">
        <f t="shared" ca="1" si="244"/>
        <v>0</v>
      </c>
      <c r="DB201" s="1907">
        <f t="shared" ca="1" si="244"/>
        <v>0</v>
      </c>
      <c r="DC201" s="1908">
        <f t="shared" ca="1" si="244"/>
        <v>0</v>
      </c>
      <c r="DD201" s="1908">
        <f t="shared" ca="1" si="244"/>
        <v>0</v>
      </c>
      <c r="DE201" s="1908">
        <f t="shared" ca="1" si="244"/>
        <v>0</v>
      </c>
      <c r="DF201" s="1908">
        <f t="shared" ca="1" si="244"/>
        <v>0</v>
      </c>
      <c r="DG201" s="1908">
        <f t="shared" ca="1" si="244"/>
        <v>0</v>
      </c>
      <c r="DH201" s="1908">
        <f t="shared" ca="1" si="244"/>
        <v>0</v>
      </c>
      <c r="DI201" s="1907">
        <f t="shared" ca="1" si="244"/>
        <v>0</v>
      </c>
      <c r="DJ201" s="1908">
        <f t="shared" ca="1" si="244"/>
        <v>0</v>
      </c>
      <c r="DK201" s="1908">
        <f t="shared" ca="1" si="244"/>
        <v>0</v>
      </c>
      <c r="DL201" s="1908">
        <f t="shared" ca="1" si="244"/>
        <v>0</v>
      </c>
      <c r="DM201" s="1908">
        <f t="shared" ca="1" si="244"/>
        <v>0</v>
      </c>
      <c r="DN201" s="1908">
        <f t="shared" ca="1" si="244"/>
        <v>0</v>
      </c>
      <c r="DO201" s="1908">
        <f t="shared" ca="1" si="244"/>
        <v>0</v>
      </c>
      <c r="DP201" s="1907">
        <f t="shared" ca="1" si="244"/>
        <v>0</v>
      </c>
      <c r="DQ201" s="1908">
        <f t="shared" ca="1" si="244"/>
        <v>0</v>
      </c>
      <c r="DR201" s="1908">
        <f t="shared" ca="1" si="244"/>
        <v>0</v>
      </c>
      <c r="DS201" s="1908">
        <f t="shared" ca="1" si="244"/>
        <v>0</v>
      </c>
      <c r="DT201" s="1908">
        <f t="shared" ca="1" si="244"/>
        <v>0</v>
      </c>
      <c r="DU201" s="1908">
        <f t="shared" ca="1" si="244"/>
        <v>0</v>
      </c>
      <c r="DV201" s="1908">
        <f t="shared" ca="1" si="244"/>
        <v>0</v>
      </c>
      <c r="DW201" s="1907">
        <f t="shared" ca="1" si="244"/>
        <v>0</v>
      </c>
      <c r="DX201" s="1908">
        <f t="shared" ca="1" si="244"/>
        <v>0</v>
      </c>
      <c r="DY201" s="1908">
        <f t="shared" ca="1" si="244"/>
        <v>0</v>
      </c>
      <c r="DZ201" s="1908">
        <f t="shared" ca="1" si="244"/>
        <v>0</v>
      </c>
      <c r="EA201" s="1908">
        <f t="shared" ca="1" si="244"/>
        <v>0</v>
      </c>
      <c r="EB201" s="1908">
        <f t="shared" ca="1" si="244"/>
        <v>0</v>
      </c>
      <c r="EC201" s="1908">
        <f t="shared" ca="1" si="244"/>
        <v>0</v>
      </c>
      <c r="ED201" s="1907">
        <f t="shared" ca="1" si="244"/>
        <v>0</v>
      </c>
      <c r="EE201" s="1908">
        <f t="shared" ca="1" si="244"/>
        <v>0</v>
      </c>
      <c r="EF201" s="1908">
        <f t="shared" ca="1" si="244"/>
        <v>0</v>
      </c>
      <c r="EG201" s="1908">
        <f t="shared" ca="1" si="244"/>
        <v>0</v>
      </c>
      <c r="EH201" s="1908">
        <f t="shared" ca="1" si="244"/>
        <v>0</v>
      </c>
      <c r="EI201" s="1908">
        <f t="shared" ca="1" si="244"/>
        <v>0</v>
      </c>
      <c r="EJ201" s="1908">
        <f t="shared" ca="1" si="244"/>
        <v>0</v>
      </c>
      <c r="EK201" s="1907">
        <f t="shared" ca="1" si="244"/>
        <v>0</v>
      </c>
      <c r="EL201" s="1908">
        <f t="shared" ca="1" si="244"/>
        <v>0</v>
      </c>
      <c r="EM201" s="1908">
        <f t="shared" ref="EM201:GX201" ca="1" si="245">IF(AND(EM176&gt;$E$201-$D$213,EM176&lt;=$E$202-$D$213),10,0)</f>
        <v>0</v>
      </c>
      <c r="EN201" s="1908">
        <f t="shared" ca="1" si="245"/>
        <v>0</v>
      </c>
      <c r="EO201" s="1908">
        <f t="shared" ca="1" si="245"/>
        <v>0</v>
      </c>
      <c r="EP201" s="1908">
        <f t="shared" ca="1" si="245"/>
        <v>0</v>
      </c>
      <c r="EQ201" s="1908">
        <f t="shared" ca="1" si="245"/>
        <v>0</v>
      </c>
      <c r="ER201" s="1907">
        <f t="shared" ca="1" si="245"/>
        <v>0</v>
      </c>
      <c r="ES201" s="1908">
        <f t="shared" ca="1" si="245"/>
        <v>0</v>
      </c>
      <c r="ET201" s="1908">
        <f t="shared" ca="1" si="245"/>
        <v>0</v>
      </c>
      <c r="EU201" s="1908">
        <f t="shared" ca="1" si="245"/>
        <v>0</v>
      </c>
      <c r="EV201" s="1908">
        <f t="shared" ca="1" si="245"/>
        <v>0</v>
      </c>
      <c r="EW201" s="1908">
        <f t="shared" ca="1" si="245"/>
        <v>0</v>
      </c>
      <c r="EX201" s="1908">
        <f t="shared" ca="1" si="245"/>
        <v>0</v>
      </c>
      <c r="EY201" s="1907">
        <f t="shared" ca="1" si="245"/>
        <v>0</v>
      </c>
      <c r="EZ201" s="1908">
        <f t="shared" ca="1" si="245"/>
        <v>0</v>
      </c>
      <c r="FA201" s="1908">
        <f t="shared" ca="1" si="245"/>
        <v>0</v>
      </c>
      <c r="FB201" s="1908">
        <f t="shared" ca="1" si="245"/>
        <v>0</v>
      </c>
      <c r="FC201" s="1908">
        <f t="shared" ca="1" si="245"/>
        <v>0</v>
      </c>
      <c r="FD201" s="1908">
        <f t="shared" ca="1" si="245"/>
        <v>0</v>
      </c>
      <c r="FE201" s="1908">
        <f t="shared" ca="1" si="245"/>
        <v>0</v>
      </c>
      <c r="FF201" s="1907">
        <f t="shared" ca="1" si="245"/>
        <v>0</v>
      </c>
      <c r="FG201" s="1908">
        <f t="shared" ca="1" si="245"/>
        <v>0</v>
      </c>
      <c r="FH201" s="1908">
        <f t="shared" ca="1" si="245"/>
        <v>0</v>
      </c>
      <c r="FI201" s="1908">
        <f t="shared" ca="1" si="245"/>
        <v>0</v>
      </c>
      <c r="FJ201" s="1908">
        <f t="shared" ca="1" si="245"/>
        <v>0</v>
      </c>
      <c r="FK201" s="1908">
        <f t="shared" ca="1" si="245"/>
        <v>0</v>
      </c>
      <c r="FL201" s="1908">
        <f t="shared" ca="1" si="245"/>
        <v>0</v>
      </c>
      <c r="FM201" s="1907">
        <f t="shared" ca="1" si="245"/>
        <v>0</v>
      </c>
      <c r="FN201" s="1908">
        <f t="shared" ca="1" si="245"/>
        <v>0</v>
      </c>
      <c r="FO201" s="1908">
        <f t="shared" ca="1" si="245"/>
        <v>0</v>
      </c>
      <c r="FP201" s="1908">
        <f t="shared" ca="1" si="245"/>
        <v>0</v>
      </c>
      <c r="FQ201" s="1908">
        <f t="shared" ca="1" si="245"/>
        <v>0</v>
      </c>
      <c r="FR201" s="1908">
        <f t="shared" ca="1" si="245"/>
        <v>0</v>
      </c>
      <c r="FS201" s="1908">
        <f t="shared" ca="1" si="245"/>
        <v>0</v>
      </c>
      <c r="FT201" s="1907">
        <f t="shared" ca="1" si="245"/>
        <v>0</v>
      </c>
      <c r="FU201" s="1908">
        <f t="shared" ca="1" si="245"/>
        <v>0</v>
      </c>
      <c r="FV201" s="1908">
        <f t="shared" ca="1" si="245"/>
        <v>0</v>
      </c>
      <c r="FW201" s="1908">
        <f t="shared" ca="1" si="245"/>
        <v>0</v>
      </c>
      <c r="FX201" s="1908">
        <f t="shared" ca="1" si="245"/>
        <v>0</v>
      </c>
      <c r="FY201" s="1908">
        <f t="shared" ca="1" si="245"/>
        <v>0</v>
      </c>
      <c r="FZ201" s="1908">
        <f t="shared" ca="1" si="245"/>
        <v>0</v>
      </c>
      <c r="GA201" s="1907">
        <f t="shared" ca="1" si="245"/>
        <v>0</v>
      </c>
      <c r="GB201" s="1908">
        <f t="shared" ca="1" si="245"/>
        <v>0</v>
      </c>
      <c r="GC201" s="1908">
        <f t="shared" ca="1" si="245"/>
        <v>0</v>
      </c>
      <c r="GD201" s="1908">
        <f t="shared" ca="1" si="245"/>
        <v>0</v>
      </c>
      <c r="GE201" s="1908">
        <f t="shared" ca="1" si="245"/>
        <v>0</v>
      </c>
      <c r="GF201" s="1908">
        <f t="shared" ca="1" si="245"/>
        <v>0</v>
      </c>
      <c r="GG201" s="1908">
        <f t="shared" ca="1" si="245"/>
        <v>0</v>
      </c>
      <c r="GH201" s="1907">
        <f t="shared" ca="1" si="245"/>
        <v>0</v>
      </c>
      <c r="GI201" s="1908">
        <f t="shared" ca="1" si="245"/>
        <v>0</v>
      </c>
      <c r="GJ201" s="1908">
        <f t="shared" ca="1" si="245"/>
        <v>0</v>
      </c>
      <c r="GK201" s="1908">
        <f t="shared" ca="1" si="245"/>
        <v>0</v>
      </c>
      <c r="GL201" s="1908">
        <f t="shared" ca="1" si="245"/>
        <v>0</v>
      </c>
      <c r="GM201" s="1908">
        <f t="shared" ca="1" si="245"/>
        <v>0</v>
      </c>
      <c r="GN201" s="1908">
        <f t="shared" ca="1" si="245"/>
        <v>0</v>
      </c>
      <c r="GO201" s="1907">
        <f t="shared" ca="1" si="245"/>
        <v>0</v>
      </c>
      <c r="GP201" s="1908">
        <f t="shared" ca="1" si="245"/>
        <v>0</v>
      </c>
      <c r="GQ201" s="1908">
        <f t="shared" ca="1" si="245"/>
        <v>0</v>
      </c>
      <c r="GR201" s="1908">
        <f t="shared" ca="1" si="245"/>
        <v>0</v>
      </c>
      <c r="GS201" s="1908">
        <f t="shared" ca="1" si="245"/>
        <v>0</v>
      </c>
      <c r="GT201" s="1908">
        <f t="shared" ca="1" si="245"/>
        <v>0</v>
      </c>
      <c r="GU201" s="1908">
        <f t="shared" ca="1" si="245"/>
        <v>0</v>
      </c>
      <c r="GV201" s="1907">
        <f t="shared" ca="1" si="245"/>
        <v>0</v>
      </c>
      <c r="GW201" s="1908">
        <f t="shared" ca="1" si="245"/>
        <v>0</v>
      </c>
      <c r="GX201" s="1908">
        <f t="shared" ca="1" si="245"/>
        <v>0</v>
      </c>
      <c r="GY201" s="1908">
        <f t="shared" ref="GY201:IK201" ca="1" si="246">IF(AND(GY176&gt;$E$201-$D$213,GY176&lt;=$E$202-$D$213),10,0)</f>
        <v>0</v>
      </c>
      <c r="GZ201" s="1908">
        <f t="shared" ca="1" si="246"/>
        <v>0</v>
      </c>
      <c r="HA201" s="1908">
        <f t="shared" ca="1" si="246"/>
        <v>0</v>
      </c>
      <c r="HB201" s="1908">
        <f t="shared" ca="1" si="246"/>
        <v>0</v>
      </c>
      <c r="HC201" s="1907">
        <f t="shared" ca="1" si="246"/>
        <v>0</v>
      </c>
      <c r="HD201" s="1908">
        <f t="shared" ca="1" si="246"/>
        <v>0</v>
      </c>
      <c r="HE201" s="1908">
        <f t="shared" ca="1" si="246"/>
        <v>0</v>
      </c>
      <c r="HF201" s="1908">
        <f t="shared" ca="1" si="246"/>
        <v>0</v>
      </c>
      <c r="HG201" s="1908">
        <f t="shared" ca="1" si="246"/>
        <v>0</v>
      </c>
      <c r="HH201" s="1908">
        <f t="shared" ca="1" si="246"/>
        <v>0</v>
      </c>
      <c r="HI201" s="1908">
        <f t="shared" ca="1" si="246"/>
        <v>0</v>
      </c>
      <c r="HJ201" s="1907">
        <f t="shared" ca="1" si="246"/>
        <v>0</v>
      </c>
      <c r="HK201" s="1908">
        <f t="shared" ca="1" si="246"/>
        <v>0</v>
      </c>
      <c r="HL201" s="1908">
        <f t="shared" ca="1" si="246"/>
        <v>0</v>
      </c>
      <c r="HM201" s="1908">
        <f t="shared" ca="1" si="246"/>
        <v>0</v>
      </c>
      <c r="HN201" s="1908">
        <f t="shared" ca="1" si="246"/>
        <v>0</v>
      </c>
      <c r="HO201" s="1908">
        <f t="shared" ca="1" si="246"/>
        <v>0</v>
      </c>
      <c r="HP201" s="1908">
        <f t="shared" ca="1" si="246"/>
        <v>0</v>
      </c>
      <c r="HQ201" s="1907">
        <f t="shared" ca="1" si="246"/>
        <v>0</v>
      </c>
      <c r="HR201" s="1908">
        <f t="shared" ca="1" si="246"/>
        <v>0</v>
      </c>
      <c r="HS201" s="1908">
        <f t="shared" ca="1" si="246"/>
        <v>0</v>
      </c>
      <c r="HT201" s="1908">
        <f t="shared" ca="1" si="246"/>
        <v>0</v>
      </c>
      <c r="HU201" s="1908">
        <f t="shared" ca="1" si="246"/>
        <v>0</v>
      </c>
      <c r="HV201" s="1908">
        <f t="shared" ca="1" si="246"/>
        <v>0</v>
      </c>
      <c r="HW201" s="1908">
        <f t="shared" ca="1" si="246"/>
        <v>0</v>
      </c>
      <c r="HX201" s="1907">
        <f t="shared" ca="1" si="246"/>
        <v>0</v>
      </c>
      <c r="HY201" s="1908">
        <f t="shared" ca="1" si="246"/>
        <v>0</v>
      </c>
      <c r="HZ201" s="1908">
        <f t="shared" ca="1" si="246"/>
        <v>0</v>
      </c>
      <c r="IA201" s="1908">
        <f t="shared" ca="1" si="246"/>
        <v>0</v>
      </c>
      <c r="IB201" s="1908">
        <f t="shared" ca="1" si="246"/>
        <v>0</v>
      </c>
      <c r="IC201" s="1908">
        <f t="shared" ca="1" si="246"/>
        <v>0</v>
      </c>
      <c r="ID201" s="1908">
        <f t="shared" ca="1" si="246"/>
        <v>0</v>
      </c>
      <c r="IE201" s="1907">
        <f t="shared" ca="1" si="246"/>
        <v>0</v>
      </c>
      <c r="IF201" s="1908">
        <f t="shared" ca="1" si="246"/>
        <v>0</v>
      </c>
      <c r="IG201" s="1908">
        <f t="shared" ca="1" si="246"/>
        <v>0</v>
      </c>
      <c r="IH201" s="1908">
        <f t="shared" ca="1" si="246"/>
        <v>0</v>
      </c>
      <c r="II201" s="1908">
        <f t="shared" ca="1" si="246"/>
        <v>0</v>
      </c>
      <c r="IJ201" s="1908">
        <f t="shared" ca="1" si="246"/>
        <v>0</v>
      </c>
      <c r="IK201" s="1909">
        <f t="shared" ca="1" si="246"/>
        <v>0</v>
      </c>
    </row>
    <row r="202" spans="1:245" ht="7.5" hidden="1" customHeight="1" x14ac:dyDescent="0.35">
      <c r="A202" s="195">
        <f>IF(B201=0,0,"XXX")</f>
        <v>0</v>
      </c>
      <c r="B202" s="1910"/>
      <c r="C202" s="1912"/>
      <c r="D202" s="360" t="str">
        <f>IF(ENTRADAS!$F$22=0,0,"término:")</f>
        <v>término:</v>
      </c>
      <c r="E202" s="361">
        <f>IF(C201=0,0,E201+F201)</f>
        <v>0</v>
      </c>
      <c r="F202" s="1913"/>
      <c r="G202" s="1914"/>
      <c r="H202" s="1907"/>
      <c r="I202" s="1908"/>
      <c r="J202" s="1908"/>
      <c r="K202" s="1908"/>
      <c r="L202" s="1908"/>
      <c r="M202" s="1908"/>
      <c r="N202" s="1908"/>
      <c r="O202" s="1907"/>
      <c r="P202" s="1908"/>
      <c r="Q202" s="1908"/>
      <c r="R202" s="1908"/>
      <c r="S202" s="1908"/>
      <c r="T202" s="1908"/>
      <c r="U202" s="1908"/>
      <c r="V202" s="1907"/>
      <c r="W202" s="1908"/>
      <c r="X202" s="1908"/>
      <c r="Y202" s="1908"/>
      <c r="Z202" s="1908"/>
      <c r="AA202" s="1908"/>
      <c r="AB202" s="1908"/>
      <c r="AC202" s="1907"/>
      <c r="AD202" s="1908"/>
      <c r="AE202" s="1908"/>
      <c r="AF202" s="1908"/>
      <c r="AG202" s="1908"/>
      <c r="AH202" s="1908"/>
      <c r="AI202" s="1908"/>
      <c r="AJ202" s="1907"/>
      <c r="AK202" s="1908"/>
      <c r="AL202" s="1908"/>
      <c r="AM202" s="1908"/>
      <c r="AN202" s="1908"/>
      <c r="AO202" s="1908"/>
      <c r="AP202" s="1908"/>
      <c r="AQ202" s="1907"/>
      <c r="AR202" s="1908"/>
      <c r="AS202" s="1908"/>
      <c r="AT202" s="1908"/>
      <c r="AU202" s="1908"/>
      <c r="AV202" s="1908"/>
      <c r="AW202" s="1908"/>
      <c r="AX202" s="1907"/>
      <c r="AY202" s="1908"/>
      <c r="AZ202" s="1908"/>
      <c r="BA202" s="1908"/>
      <c r="BB202" s="1908"/>
      <c r="BC202" s="1908"/>
      <c r="BD202" s="1908"/>
      <c r="BE202" s="1907"/>
      <c r="BF202" s="1908"/>
      <c r="BG202" s="1908"/>
      <c r="BH202" s="1908"/>
      <c r="BI202" s="1908"/>
      <c r="BJ202" s="1908"/>
      <c r="BK202" s="1908"/>
      <c r="BL202" s="1907"/>
      <c r="BM202" s="1908"/>
      <c r="BN202" s="1908"/>
      <c r="BO202" s="1908"/>
      <c r="BP202" s="1908"/>
      <c r="BQ202" s="1908"/>
      <c r="BR202" s="1908"/>
      <c r="BS202" s="1907"/>
      <c r="BT202" s="1908"/>
      <c r="BU202" s="1908"/>
      <c r="BV202" s="1908"/>
      <c r="BW202" s="1908"/>
      <c r="BX202" s="1908"/>
      <c r="BY202" s="1908"/>
      <c r="BZ202" s="1907"/>
      <c r="CA202" s="1908"/>
      <c r="CB202" s="1908"/>
      <c r="CC202" s="1908"/>
      <c r="CD202" s="1908"/>
      <c r="CE202" s="1908"/>
      <c r="CF202" s="1908"/>
      <c r="CG202" s="1907"/>
      <c r="CH202" s="1908"/>
      <c r="CI202" s="1908"/>
      <c r="CJ202" s="1908"/>
      <c r="CK202" s="1908"/>
      <c r="CL202" s="1908"/>
      <c r="CM202" s="1908"/>
      <c r="CN202" s="1907"/>
      <c r="CO202" s="1908"/>
      <c r="CP202" s="1908"/>
      <c r="CQ202" s="1908"/>
      <c r="CR202" s="1908"/>
      <c r="CS202" s="1908"/>
      <c r="CT202" s="1908"/>
      <c r="CU202" s="1907"/>
      <c r="CV202" s="1908"/>
      <c r="CW202" s="1908"/>
      <c r="CX202" s="1908"/>
      <c r="CY202" s="1908"/>
      <c r="CZ202" s="1908"/>
      <c r="DA202" s="1908"/>
      <c r="DB202" s="1907"/>
      <c r="DC202" s="1908"/>
      <c r="DD202" s="1908"/>
      <c r="DE202" s="1908"/>
      <c r="DF202" s="1908"/>
      <c r="DG202" s="1908"/>
      <c r="DH202" s="1908"/>
      <c r="DI202" s="1907"/>
      <c r="DJ202" s="1908"/>
      <c r="DK202" s="1908"/>
      <c r="DL202" s="1908"/>
      <c r="DM202" s="1908"/>
      <c r="DN202" s="1908"/>
      <c r="DO202" s="1908"/>
      <c r="DP202" s="1907"/>
      <c r="DQ202" s="1908"/>
      <c r="DR202" s="1908"/>
      <c r="DS202" s="1908"/>
      <c r="DT202" s="1908"/>
      <c r="DU202" s="1908"/>
      <c r="DV202" s="1908"/>
      <c r="DW202" s="1907"/>
      <c r="DX202" s="1908"/>
      <c r="DY202" s="1908"/>
      <c r="DZ202" s="1908"/>
      <c r="EA202" s="1908"/>
      <c r="EB202" s="1908"/>
      <c r="EC202" s="1908"/>
      <c r="ED202" s="1907"/>
      <c r="EE202" s="1908"/>
      <c r="EF202" s="1908"/>
      <c r="EG202" s="1908"/>
      <c r="EH202" s="1908"/>
      <c r="EI202" s="1908"/>
      <c r="EJ202" s="1908"/>
      <c r="EK202" s="1907"/>
      <c r="EL202" s="1908"/>
      <c r="EM202" s="1908"/>
      <c r="EN202" s="1908"/>
      <c r="EO202" s="1908"/>
      <c r="EP202" s="1908"/>
      <c r="EQ202" s="1908"/>
      <c r="ER202" s="1907"/>
      <c r="ES202" s="1908"/>
      <c r="ET202" s="1908"/>
      <c r="EU202" s="1908"/>
      <c r="EV202" s="1908"/>
      <c r="EW202" s="1908"/>
      <c r="EX202" s="1908"/>
      <c r="EY202" s="1907"/>
      <c r="EZ202" s="1908"/>
      <c r="FA202" s="1908"/>
      <c r="FB202" s="1908"/>
      <c r="FC202" s="1908"/>
      <c r="FD202" s="1908"/>
      <c r="FE202" s="1908"/>
      <c r="FF202" s="1907"/>
      <c r="FG202" s="1908"/>
      <c r="FH202" s="1908"/>
      <c r="FI202" s="1908"/>
      <c r="FJ202" s="1908"/>
      <c r="FK202" s="1908"/>
      <c r="FL202" s="1908"/>
      <c r="FM202" s="1907"/>
      <c r="FN202" s="1908"/>
      <c r="FO202" s="1908"/>
      <c r="FP202" s="1908"/>
      <c r="FQ202" s="1908"/>
      <c r="FR202" s="1908"/>
      <c r="FS202" s="1908"/>
      <c r="FT202" s="1907"/>
      <c r="FU202" s="1908"/>
      <c r="FV202" s="1908"/>
      <c r="FW202" s="1908"/>
      <c r="FX202" s="1908"/>
      <c r="FY202" s="1908"/>
      <c r="FZ202" s="1908"/>
      <c r="GA202" s="1907"/>
      <c r="GB202" s="1908"/>
      <c r="GC202" s="1908"/>
      <c r="GD202" s="1908"/>
      <c r="GE202" s="1908"/>
      <c r="GF202" s="1908"/>
      <c r="GG202" s="1908"/>
      <c r="GH202" s="1907"/>
      <c r="GI202" s="1908"/>
      <c r="GJ202" s="1908"/>
      <c r="GK202" s="1908"/>
      <c r="GL202" s="1908"/>
      <c r="GM202" s="1908"/>
      <c r="GN202" s="1908"/>
      <c r="GO202" s="1907"/>
      <c r="GP202" s="1908"/>
      <c r="GQ202" s="1908"/>
      <c r="GR202" s="1908"/>
      <c r="GS202" s="1908"/>
      <c r="GT202" s="1908"/>
      <c r="GU202" s="1908"/>
      <c r="GV202" s="1907"/>
      <c r="GW202" s="1908"/>
      <c r="GX202" s="1908"/>
      <c r="GY202" s="1908"/>
      <c r="GZ202" s="1908"/>
      <c r="HA202" s="1908"/>
      <c r="HB202" s="1908"/>
      <c r="HC202" s="1907"/>
      <c r="HD202" s="1908"/>
      <c r="HE202" s="1908"/>
      <c r="HF202" s="1908"/>
      <c r="HG202" s="1908"/>
      <c r="HH202" s="1908"/>
      <c r="HI202" s="1908"/>
      <c r="HJ202" s="1907"/>
      <c r="HK202" s="1908"/>
      <c r="HL202" s="1908"/>
      <c r="HM202" s="1908"/>
      <c r="HN202" s="1908"/>
      <c r="HO202" s="1908"/>
      <c r="HP202" s="1908"/>
      <c r="HQ202" s="1907"/>
      <c r="HR202" s="1908"/>
      <c r="HS202" s="1908"/>
      <c r="HT202" s="1908"/>
      <c r="HU202" s="1908"/>
      <c r="HV202" s="1908"/>
      <c r="HW202" s="1908"/>
      <c r="HX202" s="1907"/>
      <c r="HY202" s="1908"/>
      <c r="HZ202" s="1908"/>
      <c r="IA202" s="1908"/>
      <c r="IB202" s="1908"/>
      <c r="IC202" s="1908"/>
      <c r="ID202" s="1908"/>
      <c r="IE202" s="1907"/>
      <c r="IF202" s="1908"/>
      <c r="IG202" s="1908"/>
      <c r="IH202" s="1908"/>
      <c r="II202" s="1908"/>
      <c r="IJ202" s="1908"/>
      <c r="IK202" s="1909"/>
    </row>
    <row r="203" spans="1:245" ht="7.5" hidden="1" customHeight="1" x14ac:dyDescent="0.35">
      <c r="A203" s="195">
        <f>IF(B203=0,0,"XXX")</f>
        <v>0</v>
      </c>
      <c r="B203" s="1910">
        <f>IF(ENTRADAS!L1254=0,0,ENTRADAS!C1254)</f>
        <v>0</v>
      </c>
      <c r="C203" s="1911">
        <f>IF(ENTRADAS!L1254="x",ENTRADAS!D1254,0)</f>
        <v>0</v>
      </c>
      <c r="D203" s="358" t="str">
        <f>IF(ENTRADAS!$F$22=0,0,"início:")</f>
        <v>início:</v>
      </c>
      <c r="E203" s="359">
        <f>IF(C203=0,0,IF(F204&gt;0,F204+D213,IF(ENTRADAS!$O$1252="J",E190+2,E190+1+F201+2)))</f>
        <v>0</v>
      </c>
      <c r="F203" s="454">
        <f>IF(C203=0,0,ENTRADAS!$H$1254)</f>
        <v>0</v>
      </c>
      <c r="G203" s="455" t="str">
        <f>IF(ENTRADAS!$F$22=0,0,"dias")</f>
        <v>dias</v>
      </c>
      <c r="H203" s="1907">
        <f ca="1">IF(ENTRADAS!$O$1252="J",IF(AND(H176+$D$213&gt;=$E$203,H176+$D$213&lt;=$E$204),10,0),IF(AND(H176+$D$213+1&gt;=$E$203,H176+$D$213+1&lt;=$E$204),10,0))</f>
        <v>0</v>
      </c>
      <c r="I203" s="1908">
        <f ca="1">IF(ENTRADAS!$O$1252="J",IF(AND(I176+$D$213&gt;=$E$203,I176+$D$213&lt;=$E$204),10,0),IF(AND(I176+$D$213+1&gt;=$E$203,I176+$D$213+1&lt;=$E$204),10,0))</f>
        <v>0</v>
      </c>
      <c r="J203" s="1908">
        <f ca="1">IF(ENTRADAS!$O$1252="J",IF(AND(J176+$D$213&gt;=$E$203,J176+$D$213&lt;=$E$204),10,0),IF(AND(J176+$D$213+1&gt;=$E$203,J176+$D$213+1&lt;=$E$204),10,0))</f>
        <v>0</v>
      </c>
      <c r="K203" s="1908">
        <f ca="1">IF(ENTRADAS!$O$1252="J",IF(AND(K176+$D$213&gt;=$E$203,K176+$D$213&lt;=$E$204),10,0),IF(AND(K176+$D$213+1&gt;=$E$203,K176+$D$213+1&lt;=$E$204),10,0))</f>
        <v>0</v>
      </c>
      <c r="L203" s="1908">
        <f ca="1">IF(ENTRADAS!$O$1252="J",IF(AND(L176+$D$213&gt;=$E$203,L176+$D$213&lt;=$E$204),10,0),IF(AND(L176+$D$213+1&gt;=$E$203,L176+$D$213+1&lt;=$E$204),10,0))</f>
        <v>0</v>
      </c>
      <c r="M203" s="1908">
        <f ca="1">IF(ENTRADAS!$O$1252="J",IF(AND(M176+$D$213&gt;=$E$203,M176+$D$213&lt;=$E$204),10,0),IF(AND(M176+$D$213+1&gt;=$E$203,M176+$D$213+1&lt;=$E$204),10,0))</f>
        <v>0</v>
      </c>
      <c r="N203" s="1908">
        <f ca="1">IF(ENTRADAS!$O$1252="J",IF(AND(N176+$D$213&gt;=$E$203,N176+$D$213&lt;=$E$204),10,0),IF(AND(N176+$D$213+1&gt;=$E$203,N176+$D$213+1&lt;=$E$204),10,0))</f>
        <v>0</v>
      </c>
      <c r="O203" s="1907">
        <f ca="1">IF(ENTRADAS!$O$1252="J",IF(AND(O176+$D$213&gt;=$E$203,O176+$D$213&lt;=$E$204),10,0),IF(AND(O176+$D$213+1&gt;=$E$203,O176+$D$213+1&lt;=$E$204),10,0))</f>
        <v>0</v>
      </c>
      <c r="P203" s="1908">
        <f ca="1">IF(ENTRADAS!$O$1252="J",IF(AND(P176+$D$213&gt;=$E$203,P176+$D$213&lt;=$E$204),10,0),IF(AND(P176+$D$213+1&gt;=$E$203,P176+$D$213+1&lt;=$E$204),10,0))</f>
        <v>0</v>
      </c>
      <c r="Q203" s="1908">
        <f ca="1">IF(ENTRADAS!$O$1252="J",IF(AND(Q176+$D$213&gt;=$E$203,Q176+$D$213&lt;=$E$204),10,0),IF(AND(Q176+$D$213+1&gt;=$E$203,Q176+$D$213+1&lt;=$E$204),10,0))</f>
        <v>0</v>
      </c>
      <c r="R203" s="1908">
        <f ca="1">IF(ENTRADAS!$O$1252="J",IF(AND(R176+$D$213&gt;=$E$203,R176+$D$213&lt;=$E$204),10,0),IF(AND(R176+$D$213+1&gt;=$E$203,R176+$D$213+1&lt;=$E$204),10,0))</f>
        <v>0</v>
      </c>
      <c r="S203" s="1908">
        <f ca="1">IF(ENTRADAS!$O$1252="J",IF(AND(S176+$D$213&gt;=$E$203,S176+$D$213&lt;=$E$204),10,0),IF(AND(S176+$D$213+1&gt;=$E$203,S176+$D$213+1&lt;=$E$204),10,0))</f>
        <v>0</v>
      </c>
      <c r="T203" s="1908">
        <f ca="1">IF(ENTRADAS!$O$1252="J",IF(AND(T176+$D$213&gt;=$E$203,T176+$D$213&lt;=$E$204),10,0),IF(AND(T176+$D$213+1&gt;=$E$203,T176+$D$213+1&lt;=$E$204),10,0))</f>
        <v>0</v>
      </c>
      <c r="U203" s="1908">
        <f ca="1">IF(ENTRADAS!$O$1252="J",IF(AND(U176+$D$213&gt;=$E$203,U176+$D$213&lt;=$E$204),10,0),IF(AND(U176+$D$213+1&gt;=$E$203,U176+$D$213+1&lt;=$E$204),10,0))</f>
        <v>0</v>
      </c>
      <c r="V203" s="1907">
        <f ca="1">IF(ENTRADAS!$O$1252="J",IF(AND(V176+$D$213&gt;=$E$203,V176+$D$213&lt;=$E$204),10,0),IF(AND(V176+$D$213+1&gt;=$E$203,V176+$D$213+1&lt;=$E$204),10,0))</f>
        <v>0</v>
      </c>
      <c r="W203" s="1908">
        <f ca="1">IF(ENTRADAS!$O$1252="J",IF(AND(W176+$D$213&gt;=$E$203,W176+$D$213&lt;=$E$204),10,0),IF(AND(W176+$D$213+1&gt;=$E$203,W176+$D$213+1&lt;=$E$204),10,0))</f>
        <v>0</v>
      </c>
      <c r="X203" s="1908">
        <f ca="1">IF(ENTRADAS!$O$1252="J",IF(AND(X176+$D$213&gt;=$E$203,X176+$D$213&lt;=$E$204),10,0),IF(AND(X176+$D$213+1&gt;=$E$203,X176+$D$213+1&lt;=$E$204),10,0))</f>
        <v>0</v>
      </c>
      <c r="Y203" s="1908">
        <f ca="1">IF(ENTRADAS!$O$1252="J",IF(AND(Y176+$D$213&gt;=$E$203,Y176+$D$213&lt;=$E$204),10,0),IF(AND(Y176+$D$213+1&gt;=$E$203,Y176+$D$213+1&lt;=$E$204),10,0))</f>
        <v>0</v>
      </c>
      <c r="Z203" s="1908">
        <f ca="1">IF(ENTRADAS!$O$1252="J",IF(AND(Z176+$D$213&gt;=$E$203,Z176+$D$213&lt;=$E$204),10,0),IF(AND(Z176+$D$213+1&gt;=$E$203,Z176+$D$213+1&lt;=$E$204),10,0))</f>
        <v>0</v>
      </c>
      <c r="AA203" s="1908">
        <f ca="1">IF(ENTRADAS!$O$1252="J",IF(AND(AA176+$D$213&gt;=$E$203,AA176+$D$213&lt;=$E$204),10,0),IF(AND(AA176+$D$213+1&gt;=$E$203,AA176+$D$213+1&lt;=$E$204),10,0))</f>
        <v>0</v>
      </c>
      <c r="AB203" s="1908">
        <f ca="1">IF(ENTRADAS!$O$1252="J",IF(AND(AB176+$D$213&gt;=$E$203,AB176+$D$213&lt;=$E$204),10,0),IF(AND(AB176+$D$213+1&gt;=$E$203,AB176+$D$213+1&lt;=$E$204),10,0))</f>
        <v>0</v>
      </c>
      <c r="AC203" s="1907">
        <f ca="1">IF(ENTRADAS!$O$1252="J",IF(AND(AC176+$D$213&gt;=$E$203,AC176+$D$213&lt;=$E$204),10,0),IF(AND(AC176+$D$213+1&gt;=$E$203,AC176+$D$213+1&lt;=$E$204),10,0))</f>
        <v>0</v>
      </c>
      <c r="AD203" s="1908">
        <f ca="1">IF(ENTRADAS!$O$1252="J",IF(AND(AD176+$D$213&gt;=$E$203,AD176+$D$213&lt;=$E$204),10,0),IF(AND(AD176+$D$213+1&gt;=$E$203,AD176+$D$213+1&lt;=$E$204),10,0))</f>
        <v>0</v>
      </c>
      <c r="AE203" s="1908">
        <f ca="1">IF(ENTRADAS!$O$1252="J",IF(AND(AE176+$D$213&gt;=$E$203,AE176+$D$213&lt;=$E$204),10,0),IF(AND(AE176+$D$213+1&gt;=$E$203,AE176+$D$213+1&lt;=$E$204),10,0))</f>
        <v>0</v>
      </c>
      <c r="AF203" s="1908">
        <f ca="1">IF(ENTRADAS!$O$1252="J",IF(AND(AF176+$D$213&gt;=$E$203,AF176+$D$213&lt;=$E$204),10,0),IF(AND(AF176+$D$213+1&gt;=$E$203,AF176+$D$213+1&lt;=$E$204),10,0))</f>
        <v>0</v>
      </c>
      <c r="AG203" s="1908">
        <f ca="1">IF(ENTRADAS!$O$1252="J",IF(AND(AG176+$D$213&gt;=$E$203,AG176+$D$213&lt;=$E$204),10,0),IF(AND(AG176+$D$213+1&gt;=$E$203,AG176+$D$213+1&lt;=$E$204),10,0))</f>
        <v>0</v>
      </c>
      <c r="AH203" s="1908">
        <f ca="1">IF(ENTRADAS!$O$1252="J",IF(AND(AH176+$D$213&gt;=$E$203,AH176+$D$213&lt;=$E$204),10,0),IF(AND(AH176+$D$213+1&gt;=$E$203,AH176+$D$213+1&lt;=$E$204),10,0))</f>
        <v>0</v>
      </c>
      <c r="AI203" s="1908">
        <f ca="1">IF(ENTRADAS!$O$1252="J",IF(AND(AI176+$D$213&gt;=$E$203,AI176+$D$213&lt;=$E$204),10,0),IF(AND(AI176+$D$213+1&gt;=$E$203,AI176+$D$213+1&lt;=$E$204),10,0))</f>
        <v>0</v>
      </c>
      <c r="AJ203" s="1907">
        <f ca="1">IF(ENTRADAS!$O$1252="J",IF(AND(AJ176+$D$213&gt;=$E$203,AJ176+$D$213&lt;=$E$204),10,0),IF(AND(AJ176+$D$213+1&gt;=$E$203,AJ176+$D$213+1&lt;=$E$204),10,0))</f>
        <v>0</v>
      </c>
      <c r="AK203" s="1908">
        <f ca="1">IF(ENTRADAS!$O$1252="J",IF(AND(AK176+$D$213&gt;=$E$203,AK176+$D$213&lt;=$E$204),10,0),IF(AND(AK176+$D$213+1&gt;=$E$203,AK176+$D$213+1&lt;=$E$204),10,0))</f>
        <v>0</v>
      </c>
      <c r="AL203" s="1908">
        <f ca="1">IF(ENTRADAS!$O$1252="J",IF(AND(AL176+$D$213&gt;=$E$203,AL176+$D$213&lt;=$E$204),10,0),IF(AND(AL176+$D$213+1&gt;=$E$203,AL176+$D$213+1&lt;=$E$204),10,0))</f>
        <v>0</v>
      </c>
      <c r="AM203" s="1908">
        <f ca="1">IF(ENTRADAS!$O$1252="J",IF(AND(AM176+$D$213&gt;=$E$203,AM176+$D$213&lt;=$E$204),10,0),IF(AND(AM176+$D$213+1&gt;=$E$203,AM176+$D$213+1&lt;=$E$204),10,0))</f>
        <v>0</v>
      </c>
      <c r="AN203" s="1908">
        <f ca="1">IF(ENTRADAS!$O$1252="J",IF(AND(AN176+$D$213&gt;=$E$203,AN176+$D$213&lt;=$E$204),10,0),IF(AND(AN176+$D$213+1&gt;=$E$203,AN176+$D$213+1&lt;=$E$204),10,0))</f>
        <v>0</v>
      </c>
      <c r="AO203" s="1908">
        <f ca="1">IF(ENTRADAS!$O$1252="J",IF(AND(AO176+$D$213&gt;=$E$203,AO176+$D$213&lt;=$E$204),10,0),IF(AND(AO176+$D$213+1&gt;=$E$203,AO176+$D$213+1&lt;=$E$204),10,0))</f>
        <v>0</v>
      </c>
      <c r="AP203" s="1908">
        <f ca="1">IF(ENTRADAS!$O$1252="J",IF(AND(AP176+$D$213&gt;=$E$203,AP176+$D$213&lt;=$E$204),10,0),IF(AND(AP176+$D$213+1&gt;=$E$203,AP176+$D$213+1&lt;=$E$204),10,0))</f>
        <v>0</v>
      </c>
      <c r="AQ203" s="1907">
        <f ca="1">IF(ENTRADAS!$O$1252="J",IF(AND(AQ176+$D$213&gt;=$E$203,AQ176+$D$213&lt;=$E$204),10,0),IF(AND(AQ176+$D$213+1&gt;=$E$203,AQ176+$D$213+1&lt;=$E$204),10,0))</f>
        <v>0</v>
      </c>
      <c r="AR203" s="1908">
        <f ca="1">IF(ENTRADAS!$O$1252="J",IF(AND(AR176+$D$213&gt;=$E$203,AR176+$D$213&lt;=$E$204),10,0),IF(AND(AR176+$D$213+1&gt;=$E$203,AR176+$D$213+1&lt;=$E$204),10,0))</f>
        <v>0</v>
      </c>
      <c r="AS203" s="1908">
        <f ca="1">IF(ENTRADAS!$O$1252="J",IF(AND(AS176+$D$213&gt;=$E$203,AS176+$D$213&lt;=$E$204),10,0),IF(AND(AS176+$D$213+1&gt;=$E$203,AS176+$D$213+1&lt;=$E$204),10,0))</f>
        <v>0</v>
      </c>
      <c r="AT203" s="1908">
        <f ca="1">IF(ENTRADAS!$O$1252="J",IF(AND(AT176+$D$213&gt;=$E$203,AT176+$D$213&lt;=$E$204),10,0),IF(AND(AT176+$D$213+1&gt;=$E$203,AT176+$D$213+1&lt;=$E$204),10,0))</f>
        <v>0</v>
      </c>
      <c r="AU203" s="1908">
        <f ca="1">IF(ENTRADAS!$O$1252="J",IF(AND(AU176+$D$213&gt;=$E$203,AU176+$D$213&lt;=$E$204),10,0),IF(AND(AU176+$D$213+1&gt;=$E$203,AU176+$D$213+1&lt;=$E$204),10,0))</f>
        <v>0</v>
      </c>
      <c r="AV203" s="1908">
        <f ca="1">IF(ENTRADAS!$O$1252="J",IF(AND(AV176+$D$213&gt;=$E$203,AV176+$D$213&lt;=$E$204),10,0),IF(AND(AV176+$D$213+1&gt;=$E$203,AV176+$D$213+1&lt;=$E$204),10,0))</f>
        <v>0</v>
      </c>
      <c r="AW203" s="1908">
        <f ca="1">IF(ENTRADAS!$O$1252="J",IF(AND(AW176+$D$213&gt;=$E$203,AW176+$D$213&lt;=$E$204),10,0),IF(AND(AW176+$D$213+1&gt;=$E$203,AW176+$D$213+1&lt;=$E$204),10,0))</f>
        <v>0</v>
      </c>
      <c r="AX203" s="1907">
        <f ca="1">IF(ENTRADAS!$O$1252="J",IF(AND(AX176+$D$213&gt;=$E$203,AX176+$D$213&lt;=$E$204),10,0),IF(AND(AX176+$D$213+1&gt;=$E$203,AX176+$D$213+1&lt;=$E$204),10,0))</f>
        <v>0</v>
      </c>
      <c r="AY203" s="1908">
        <f ca="1">IF(ENTRADAS!$O$1252="J",IF(AND(AY176+$D$213&gt;=$E$203,AY176+$D$213&lt;=$E$204),10,0),IF(AND(AY176+$D$213+1&gt;=$E$203,AY176+$D$213+1&lt;=$E$204),10,0))</f>
        <v>0</v>
      </c>
      <c r="AZ203" s="1908">
        <f ca="1">IF(ENTRADAS!$O$1252="J",IF(AND(AZ176+$D$213&gt;=$E$203,AZ176+$D$213&lt;=$E$204),10,0),IF(AND(AZ176+$D$213+1&gt;=$E$203,AZ176+$D$213+1&lt;=$E$204),10,0))</f>
        <v>0</v>
      </c>
      <c r="BA203" s="1908">
        <f ca="1">IF(ENTRADAS!$O$1252="J",IF(AND(BA176+$D$213&gt;=$E$203,BA176+$D$213&lt;=$E$204),10,0),IF(AND(BA176+$D$213+1&gt;=$E$203,BA176+$D$213+1&lt;=$E$204),10,0))</f>
        <v>0</v>
      </c>
      <c r="BB203" s="1908">
        <f ca="1">IF(ENTRADAS!$O$1252="J",IF(AND(BB176+$D$213&gt;=$E$203,BB176+$D$213&lt;=$E$204),10,0),IF(AND(BB176+$D$213+1&gt;=$E$203,BB176+$D$213+1&lt;=$E$204),10,0))</f>
        <v>0</v>
      </c>
      <c r="BC203" s="1908">
        <f ca="1">IF(ENTRADAS!$O$1252="J",IF(AND(BC176+$D$213&gt;=$E$203,BC176+$D$213&lt;=$E$204),10,0),IF(AND(BC176+$D$213+1&gt;=$E$203,BC176+$D$213+1&lt;=$E$204),10,0))</f>
        <v>0</v>
      </c>
      <c r="BD203" s="1908">
        <f ca="1">IF(ENTRADAS!$O$1252="J",IF(AND(BD176+$D$213&gt;=$E$203,BD176+$D$213&lt;=$E$204),10,0),IF(AND(BD176+$D$213+1&gt;=$E$203,BD176+$D$213+1&lt;=$E$204),10,0))</f>
        <v>0</v>
      </c>
      <c r="BE203" s="1907">
        <f ca="1">IF(ENTRADAS!$O$1252="J",IF(AND(BE176+$D$213&gt;=$E$203,BE176+$D$213&lt;=$E$204),10,0),IF(AND(BE176+$D$213+1&gt;=$E$203,BE176+$D$213+1&lt;=$E$204),10,0))</f>
        <v>0</v>
      </c>
      <c r="BF203" s="1908">
        <f ca="1">IF(ENTRADAS!$O$1252="J",IF(AND(BF176+$D$213&gt;=$E$203,BF176+$D$213&lt;=$E$204),10,0),IF(AND(BF176+$D$213+1&gt;=$E$203,BF176+$D$213+1&lt;=$E$204),10,0))</f>
        <v>0</v>
      </c>
      <c r="BG203" s="1908">
        <f ca="1">IF(ENTRADAS!$O$1252="J",IF(AND(BG176+$D$213&gt;=$E$203,BG176+$D$213&lt;=$E$204),10,0),IF(AND(BG176+$D$213+1&gt;=$E$203,BG176+$D$213+1&lt;=$E$204),10,0))</f>
        <v>0</v>
      </c>
      <c r="BH203" s="1908">
        <f ca="1">IF(ENTRADAS!$O$1252="J",IF(AND(BH176+$D$213&gt;=$E$203,BH176+$D$213&lt;=$E$204),10,0),IF(AND(BH176+$D$213+1&gt;=$E$203,BH176+$D$213+1&lt;=$E$204),10,0))</f>
        <v>0</v>
      </c>
      <c r="BI203" s="1908">
        <f ca="1">IF(ENTRADAS!$O$1252="J",IF(AND(BI176+$D$213&gt;=$E$203,BI176+$D$213&lt;=$E$204),10,0),IF(AND(BI176+$D$213+1&gt;=$E$203,BI176+$D$213+1&lt;=$E$204),10,0))</f>
        <v>0</v>
      </c>
      <c r="BJ203" s="1908">
        <f ca="1">IF(ENTRADAS!$O$1252="J",IF(AND(BJ176+$D$213&gt;=$E$203,BJ176+$D$213&lt;=$E$204),10,0),IF(AND(BJ176+$D$213+1&gt;=$E$203,BJ176+$D$213+1&lt;=$E$204),10,0))</f>
        <v>0</v>
      </c>
      <c r="BK203" s="1908">
        <f ca="1">IF(ENTRADAS!$O$1252="J",IF(AND(BK176+$D$213&gt;=$E$203,BK176+$D$213&lt;=$E$204),10,0),IF(AND(BK176+$D$213+1&gt;=$E$203,BK176+$D$213+1&lt;=$E$204),10,0))</f>
        <v>0</v>
      </c>
      <c r="BL203" s="1907">
        <f ca="1">IF(ENTRADAS!$O$1252="J",IF(AND(BL176+$D$213&gt;=$E$203,BL176+$D$213&lt;=$E$204),10,0),IF(AND(BL176+$D$213+1&gt;=$E$203,BL176+$D$213+1&lt;=$E$204),10,0))</f>
        <v>0</v>
      </c>
      <c r="BM203" s="1908">
        <f ca="1">IF(ENTRADAS!$O$1252="J",IF(AND(BM176+$D$213&gt;=$E$203,BM176+$D$213&lt;=$E$204),10,0),IF(AND(BM176+$D$213+1&gt;=$E$203,BM176+$D$213+1&lt;=$E$204),10,0))</f>
        <v>0</v>
      </c>
      <c r="BN203" s="1908">
        <f ca="1">IF(ENTRADAS!$O$1252="J",IF(AND(BN176+$D$213&gt;=$E$203,BN176+$D$213&lt;=$E$204),10,0),IF(AND(BN176+$D$213+1&gt;=$E$203,BN176+$D$213+1&lt;=$E$204),10,0))</f>
        <v>0</v>
      </c>
      <c r="BO203" s="1908">
        <f ca="1">IF(ENTRADAS!$O$1252="J",IF(AND(BO176+$D$213&gt;=$E$203,BO176+$D$213&lt;=$E$204),10,0),IF(AND(BO176+$D$213+1&gt;=$E$203,BO176+$D$213+1&lt;=$E$204),10,0))</f>
        <v>0</v>
      </c>
      <c r="BP203" s="1908">
        <f ca="1">IF(ENTRADAS!$O$1252="J",IF(AND(BP176+$D$213&gt;=$E$203,BP176+$D$213&lt;=$E$204),10,0),IF(AND(BP176+$D$213+1&gt;=$E$203,BP176+$D$213+1&lt;=$E$204),10,0))</f>
        <v>0</v>
      </c>
      <c r="BQ203" s="1908">
        <f ca="1">IF(ENTRADAS!$O$1252="J",IF(AND(BQ176+$D$213&gt;=$E$203,BQ176+$D$213&lt;=$E$204),10,0),IF(AND(BQ176+$D$213+1&gt;=$E$203,BQ176+$D$213+1&lt;=$E$204),10,0))</f>
        <v>0</v>
      </c>
      <c r="BR203" s="1908">
        <f ca="1">IF(ENTRADAS!$O$1252="J",IF(AND(BR176+$D$213&gt;=$E$203,BR176+$D$213&lt;=$E$204),10,0),IF(AND(BR176+$D$213+1&gt;=$E$203,BR176+$D$213+1&lt;=$E$204),10,0))</f>
        <v>0</v>
      </c>
      <c r="BS203" s="1907">
        <f ca="1">IF(ENTRADAS!$O$1252="J",IF(AND(BS176+$D$213&gt;=$E$203,BS176+$D$213&lt;=$E$204),10,0),IF(AND(BS176+$D$213+1&gt;=$E$203,BS176+$D$213+1&lt;=$E$204),10,0))</f>
        <v>0</v>
      </c>
      <c r="BT203" s="1908">
        <f ca="1">IF(ENTRADAS!$O$1252="J",IF(AND(BT176+$D$213&gt;=$E$203,BT176+$D$213&lt;=$E$204),10,0),IF(AND(BT176+$D$213+1&gt;=$E$203,BT176+$D$213+1&lt;=$E$204),10,0))</f>
        <v>0</v>
      </c>
      <c r="BU203" s="1908">
        <f ca="1">IF(ENTRADAS!$O$1252="J",IF(AND(BU176+$D$213&gt;=$E$203,BU176+$D$213&lt;=$E$204),10,0),IF(AND(BU176+$D$213+1&gt;=$E$203,BU176+$D$213+1&lt;=$E$204),10,0))</f>
        <v>0</v>
      </c>
      <c r="BV203" s="1908">
        <f ca="1">IF(ENTRADAS!$O$1252="J",IF(AND(BV176+$D$213&gt;=$E$203,BV176+$D$213&lt;=$E$204),10,0),IF(AND(BV176+$D$213+1&gt;=$E$203,BV176+$D$213+1&lt;=$E$204),10,0))</f>
        <v>0</v>
      </c>
      <c r="BW203" s="1908">
        <f ca="1">IF(ENTRADAS!$O$1252="J",IF(AND(BW176+$D$213&gt;=$E$203,BW176+$D$213&lt;=$E$204),10,0),IF(AND(BW176+$D$213+1&gt;=$E$203,BW176+$D$213+1&lt;=$E$204),10,0))</f>
        <v>0</v>
      </c>
      <c r="BX203" s="1908">
        <f ca="1">IF(ENTRADAS!$O$1252="J",IF(AND(BX176+$D$213&gt;=$E$203,BX176+$D$213&lt;=$E$204),10,0),IF(AND(BX176+$D$213+1&gt;=$E$203,BX176+$D$213+1&lt;=$E$204),10,0))</f>
        <v>0</v>
      </c>
      <c r="BY203" s="1908">
        <f ca="1">IF(ENTRADAS!$O$1252="J",IF(AND(BY176+$D$213&gt;=$E$203,BY176+$D$213&lt;=$E$204),10,0),IF(AND(BY176+$D$213+1&gt;=$E$203,BY176+$D$213+1&lt;=$E$204),10,0))</f>
        <v>0</v>
      </c>
      <c r="BZ203" s="1907">
        <f ca="1">IF(ENTRADAS!$O$1252="J",IF(AND(BZ176+$D$213&gt;=$E$203,BZ176+$D$213&lt;=$E$204),10,0),IF(AND(BZ176+$D$213+1&gt;=$E$203,BZ176+$D$213+1&lt;=$E$204),10,0))</f>
        <v>0</v>
      </c>
      <c r="CA203" s="1908">
        <f ca="1">IF(ENTRADAS!$O$1252="J",IF(AND(CA176+$D$213&gt;=$E$203,CA176+$D$213&lt;=$E$204),10,0),IF(AND(CA176+$D$213+1&gt;=$E$203,CA176+$D$213+1&lt;=$E$204),10,0))</f>
        <v>0</v>
      </c>
      <c r="CB203" s="1908">
        <f ca="1">IF(ENTRADAS!$O$1252="J",IF(AND(CB176+$D$213&gt;=$E$203,CB176+$D$213&lt;=$E$204),10,0),IF(AND(CB176+$D$213+1&gt;=$E$203,CB176+$D$213+1&lt;=$E$204),10,0))</f>
        <v>0</v>
      </c>
      <c r="CC203" s="1908">
        <f ca="1">IF(ENTRADAS!$O$1252="J",IF(AND(CC176+$D$213&gt;=$E$203,CC176+$D$213&lt;=$E$204),10,0),IF(AND(CC176+$D$213+1&gt;=$E$203,CC176+$D$213+1&lt;=$E$204),10,0))</f>
        <v>0</v>
      </c>
      <c r="CD203" s="1908">
        <f ca="1">IF(ENTRADAS!$O$1252="J",IF(AND(CD176+$D$213&gt;=$E$203,CD176+$D$213&lt;=$E$204),10,0),IF(AND(CD176+$D$213+1&gt;=$E$203,CD176+$D$213+1&lt;=$E$204),10,0))</f>
        <v>0</v>
      </c>
      <c r="CE203" s="1908">
        <f ca="1">IF(ENTRADAS!$O$1252="J",IF(AND(CE176+$D$213&gt;=$E$203,CE176+$D$213&lt;=$E$204),10,0),IF(AND(CE176+$D$213+1&gt;=$E$203,CE176+$D$213+1&lt;=$E$204),10,0))</f>
        <v>0</v>
      </c>
      <c r="CF203" s="1908">
        <f ca="1">IF(ENTRADAS!$O$1252="J",IF(AND(CF176+$D$213&gt;=$E$203,CF176+$D$213&lt;=$E$204),10,0),IF(AND(CF176+$D$213+1&gt;=$E$203,CF176+$D$213+1&lt;=$E$204),10,0))</f>
        <v>0</v>
      </c>
      <c r="CG203" s="1907">
        <f ca="1">IF(ENTRADAS!$O$1252="J",IF(AND(CG176+$D$213&gt;=$E$203,CG176+$D$213&lt;=$E$204),10,0),IF(AND(CG176+$D$213+1&gt;=$E$203,CG176+$D$213+1&lt;=$E$204),10,0))</f>
        <v>0</v>
      </c>
      <c r="CH203" s="1908">
        <f ca="1">IF(ENTRADAS!$O$1252="J",IF(AND(CH176+$D$213&gt;=$E$203,CH176+$D$213&lt;=$E$204),10,0),IF(AND(CH176+$D$213+1&gt;=$E$203,CH176+$D$213+1&lt;=$E$204),10,0))</f>
        <v>0</v>
      </c>
      <c r="CI203" s="1908">
        <f ca="1">IF(ENTRADAS!$O$1252="J",IF(AND(CI176+$D$213&gt;=$E$203,CI176+$D$213&lt;=$E$204),10,0),IF(AND(CI176+$D$213+1&gt;=$E$203,CI176+$D$213+1&lt;=$E$204),10,0))</f>
        <v>0</v>
      </c>
      <c r="CJ203" s="1908">
        <f ca="1">IF(ENTRADAS!$O$1252="J",IF(AND(CJ176+$D$213&gt;=$E$203,CJ176+$D$213&lt;=$E$204),10,0),IF(AND(CJ176+$D$213+1&gt;=$E$203,CJ176+$D$213+1&lt;=$E$204),10,0))</f>
        <v>0</v>
      </c>
      <c r="CK203" s="1908">
        <f ca="1">IF(ENTRADAS!$O$1252="J",IF(AND(CK176+$D$213&gt;=$E$203,CK176+$D$213&lt;=$E$204),10,0),IF(AND(CK176+$D$213+1&gt;=$E$203,CK176+$D$213+1&lt;=$E$204),10,0))</f>
        <v>0</v>
      </c>
      <c r="CL203" s="1908">
        <f ca="1">IF(ENTRADAS!$O$1252="J",IF(AND(CL176+$D$213&gt;=$E$203,CL176+$D$213&lt;=$E$204),10,0),IF(AND(CL176+$D$213+1&gt;=$E$203,CL176+$D$213+1&lt;=$E$204),10,0))</f>
        <v>0</v>
      </c>
      <c r="CM203" s="1908">
        <f ca="1">IF(ENTRADAS!$O$1252="J",IF(AND(CM176+$D$213&gt;=$E$203,CM176+$D$213&lt;=$E$204),10,0),IF(AND(CM176+$D$213+1&gt;=$E$203,CM176+$D$213+1&lt;=$E$204),10,0))</f>
        <v>0</v>
      </c>
      <c r="CN203" s="1907">
        <f ca="1">IF(ENTRADAS!$O$1252="J",IF(AND(CN176+$D$213&gt;=$E$203,CN176+$D$213&lt;=$E$204),10,0),IF(AND(CN176+$D$213+1&gt;=$E$203,CN176+$D$213+1&lt;=$E$204),10,0))</f>
        <v>0</v>
      </c>
      <c r="CO203" s="1908">
        <f ca="1">IF(ENTRADAS!$O$1252="J",IF(AND(CO176+$D$213&gt;=$E$203,CO176+$D$213&lt;=$E$204),10,0),IF(AND(CO176+$D$213+1&gt;=$E$203,CO176+$D$213+1&lt;=$E$204),10,0))</f>
        <v>0</v>
      </c>
      <c r="CP203" s="1908">
        <f ca="1">IF(ENTRADAS!$O$1252="J",IF(AND(CP176+$D$213&gt;=$E$203,CP176+$D$213&lt;=$E$204),10,0),IF(AND(CP176+$D$213+1&gt;=$E$203,CP176+$D$213+1&lt;=$E$204),10,0))</f>
        <v>0</v>
      </c>
      <c r="CQ203" s="1908">
        <f ca="1">IF(ENTRADAS!$O$1252="J",IF(AND(CQ176+$D$213&gt;=$E$203,CQ176+$D$213&lt;=$E$204),10,0),IF(AND(CQ176+$D$213+1&gt;=$E$203,CQ176+$D$213+1&lt;=$E$204),10,0))</f>
        <v>0</v>
      </c>
      <c r="CR203" s="1908">
        <f ca="1">IF(ENTRADAS!$O$1252="J",IF(AND(CR176+$D$213&gt;=$E$203,CR176+$D$213&lt;=$E$204),10,0),IF(AND(CR176+$D$213+1&gt;=$E$203,CR176+$D$213+1&lt;=$E$204),10,0))</f>
        <v>0</v>
      </c>
      <c r="CS203" s="1908">
        <f ca="1">IF(ENTRADAS!$O$1252="J",IF(AND(CS176+$D$213&gt;=$E$203,CS176+$D$213&lt;=$E$204),10,0),IF(AND(CS176+$D$213+1&gt;=$E$203,CS176+$D$213+1&lt;=$E$204),10,0))</f>
        <v>0</v>
      </c>
      <c r="CT203" s="1908">
        <f ca="1">IF(ENTRADAS!$O$1252="J",IF(AND(CT176+$D$213&gt;=$E$203,CT176+$D$213&lt;=$E$204),10,0),IF(AND(CT176+$D$213+1&gt;=$E$203,CT176+$D$213+1&lt;=$E$204),10,0))</f>
        <v>0</v>
      </c>
      <c r="CU203" s="1907">
        <f ca="1">IF(ENTRADAS!$O$1252="J",IF(AND(CU176+$D$213&gt;=$E$203,CU176+$D$213&lt;=$E$204),10,0),IF(AND(CU176+$D$213+1&gt;=$E$203,CU176+$D$213+1&lt;=$E$204),10,0))</f>
        <v>0</v>
      </c>
      <c r="CV203" s="1908">
        <f ca="1">IF(ENTRADAS!$O$1252="J",IF(AND(CV176+$D$213&gt;=$E$203,CV176+$D$213&lt;=$E$204),10,0),IF(AND(CV176+$D$213+1&gt;=$E$203,CV176+$D$213+1&lt;=$E$204),10,0))</f>
        <v>0</v>
      </c>
      <c r="CW203" s="1908">
        <f ca="1">IF(ENTRADAS!$O$1252="J",IF(AND(CW176+$D$213&gt;=$E$203,CW176+$D$213&lt;=$E$204),10,0),IF(AND(CW176+$D$213+1&gt;=$E$203,CW176+$D$213+1&lt;=$E$204),10,0))</f>
        <v>0</v>
      </c>
      <c r="CX203" s="1908">
        <f ca="1">IF(ENTRADAS!$O$1252="J",IF(AND(CX176+$D$213&gt;=$E$203,CX176+$D$213&lt;=$E$204),10,0),IF(AND(CX176+$D$213+1&gt;=$E$203,CX176+$D$213+1&lt;=$E$204),10,0))</f>
        <v>0</v>
      </c>
      <c r="CY203" s="1908">
        <f ca="1">IF(ENTRADAS!$O$1252="J",IF(AND(CY176+$D$213&gt;=$E$203,CY176+$D$213&lt;=$E$204),10,0),IF(AND(CY176+$D$213+1&gt;=$E$203,CY176+$D$213+1&lt;=$E$204),10,0))</f>
        <v>0</v>
      </c>
      <c r="CZ203" s="1908">
        <f ca="1">IF(ENTRADAS!$O$1252="J",IF(AND(CZ176+$D$213&gt;=$E$203,CZ176+$D$213&lt;=$E$204),10,0),IF(AND(CZ176+$D$213+1&gt;=$E$203,CZ176+$D$213+1&lt;=$E$204),10,0))</f>
        <v>0</v>
      </c>
      <c r="DA203" s="1908">
        <f ca="1">IF(ENTRADAS!$O$1252="J",IF(AND(DA176+$D$213&gt;=$E$203,DA176+$D$213&lt;=$E$204),10,0),IF(AND(DA176+$D$213+1&gt;=$E$203,DA176+$D$213+1&lt;=$E$204),10,0))</f>
        <v>0</v>
      </c>
      <c r="DB203" s="1907">
        <f ca="1">IF(ENTRADAS!$O$1252="J",IF(AND(DB176+$D$213&gt;=$E$203,DB176+$D$213&lt;=$E$204),10,0),IF(AND(DB176+$D$213+1&gt;=$E$203,DB176+$D$213+1&lt;=$E$204),10,0))</f>
        <v>0</v>
      </c>
      <c r="DC203" s="1908">
        <f ca="1">IF(ENTRADAS!$O$1252="J",IF(AND(DC176+$D$213&gt;=$E$203,DC176+$D$213&lt;=$E$204),10,0),IF(AND(DC176+$D$213+1&gt;=$E$203,DC176+$D$213+1&lt;=$E$204),10,0))</f>
        <v>0</v>
      </c>
      <c r="DD203" s="1908">
        <f ca="1">IF(ENTRADAS!$O$1252="J",IF(AND(DD176+$D$213&gt;=$E$203,DD176+$D$213&lt;=$E$204),10,0),IF(AND(DD176+$D$213+1&gt;=$E$203,DD176+$D$213+1&lt;=$E$204),10,0))</f>
        <v>0</v>
      </c>
      <c r="DE203" s="1908">
        <f ca="1">IF(ENTRADAS!$O$1252="J",IF(AND(DE176+$D$213&gt;=$E$203,DE176+$D$213&lt;=$E$204),10,0),IF(AND(DE176+$D$213+1&gt;=$E$203,DE176+$D$213+1&lt;=$E$204),10,0))</f>
        <v>0</v>
      </c>
      <c r="DF203" s="1908">
        <f ca="1">IF(ENTRADAS!$O$1252="J",IF(AND(DF176+$D$213&gt;=$E$203,DF176+$D$213&lt;=$E$204),10,0),IF(AND(DF176+$D$213+1&gt;=$E$203,DF176+$D$213+1&lt;=$E$204),10,0))</f>
        <v>0</v>
      </c>
      <c r="DG203" s="1908">
        <f ca="1">IF(ENTRADAS!$O$1252="J",IF(AND(DG176+$D$213&gt;=$E$203,DG176+$D$213&lt;=$E$204),10,0),IF(AND(DG176+$D$213+1&gt;=$E$203,DG176+$D$213+1&lt;=$E$204),10,0))</f>
        <v>0</v>
      </c>
      <c r="DH203" s="1908">
        <f ca="1">IF(ENTRADAS!$O$1252="J",IF(AND(DH176+$D$213&gt;=$E$203,DH176+$D$213&lt;=$E$204),10,0),IF(AND(DH176+$D$213+1&gt;=$E$203,DH176+$D$213+1&lt;=$E$204),10,0))</f>
        <v>0</v>
      </c>
      <c r="DI203" s="1907">
        <f ca="1">IF(ENTRADAS!$O$1252="J",IF(AND(DI176+$D$213&gt;=$E$203,DI176+$D$213&lt;=$E$204),10,0),IF(AND(DI176+$D$213+1&gt;=$E$203,DI176+$D$213+1&lt;=$E$204),10,0))</f>
        <v>0</v>
      </c>
      <c r="DJ203" s="1908">
        <f ca="1">IF(ENTRADAS!$O$1252="J",IF(AND(DJ176+$D$213&gt;=$E$203,DJ176+$D$213&lt;=$E$204),10,0),IF(AND(DJ176+$D$213+1&gt;=$E$203,DJ176+$D$213+1&lt;=$E$204),10,0))</f>
        <v>0</v>
      </c>
      <c r="DK203" s="1908">
        <f ca="1">IF(ENTRADAS!$O$1252="J",IF(AND(DK176+$D$213&gt;=$E$203,DK176+$D$213&lt;=$E$204),10,0),IF(AND(DK176+$D$213+1&gt;=$E$203,DK176+$D$213+1&lt;=$E$204),10,0))</f>
        <v>0</v>
      </c>
      <c r="DL203" s="1908">
        <f ca="1">IF(ENTRADAS!$O$1252="J",IF(AND(DL176+$D$213&gt;=$E$203,DL176+$D$213&lt;=$E$204),10,0),IF(AND(DL176+$D$213+1&gt;=$E$203,DL176+$D$213+1&lt;=$E$204),10,0))</f>
        <v>0</v>
      </c>
      <c r="DM203" s="1908">
        <f ca="1">IF(ENTRADAS!$O$1252="J",IF(AND(DM176+$D$213&gt;=$E$203,DM176+$D$213&lt;=$E$204),10,0),IF(AND(DM176+$D$213+1&gt;=$E$203,DM176+$D$213+1&lt;=$E$204),10,0))</f>
        <v>0</v>
      </c>
      <c r="DN203" s="1908">
        <f ca="1">IF(ENTRADAS!$O$1252="J",IF(AND(DN176+$D$213&gt;=$E$203,DN176+$D$213&lt;=$E$204),10,0),IF(AND(DN176+$D$213+1&gt;=$E$203,DN176+$D$213+1&lt;=$E$204),10,0))</f>
        <v>0</v>
      </c>
      <c r="DO203" s="1908">
        <f ca="1">IF(ENTRADAS!$O$1252="J",IF(AND(DO176+$D$213&gt;=$E$203,DO176+$D$213&lt;=$E$204),10,0),IF(AND(DO176+$D$213+1&gt;=$E$203,DO176+$D$213+1&lt;=$E$204),10,0))</f>
        <v>0</v>
      </c>
      <c r="DP203" s="1907">
        <f ca="1">IF(ENTRADAS!$O$1252="J",IF(AND(DP176+$D$213&gt;=$E$203,DP176+$D$213&lt;=$E$204),10,0),IF(AND(DP176+$D$213+1&gt;=$E$203,DP176+$D$213+1&lt;=$E$204),10,0))</f>
        <v>0</v>
      </c>
      <c r="DQ203" s="1908">
        <f ca="1">IF(ENTRADAS!$O$1252="J",IF(AND(DQ176+$D$213&gt;=$E$203,DQ176+$D$213&lt;=$E$204),10,0),IF(AND(DQ176+$D$213+1&gt;=$E$203,DQ176+$D$213+1&lt;=$E$204),10,0))</f>
        <v>0</v>
      </c>
      <c r="DR203" s="1908">
        <f ca="1">IF(ENTRADAS!$O$1252="J",IF(AND(DR176+$D$213&gt;=$E$203,DR176+$D$213&lt;=$E$204),10,0),IF(AND(DR176+$D$213+1&gt;=$E$203,DR176+$D$213+1&lt;=$E$204),10,0))</f>
        <v>0</v>
      </c>
      <c r="DS203" s="1908">
        <f ca="1">IF(ENTRADAS!$O$1252="J",IF(AND(DS176+$D$213&gt;=$E$203,DS176+$D$213&lt;=$E$204),10,0),IF(AND(DS176+$D$213+1&gt;=$E$203,DS176+$D$213+1&lt;=$E$204),10,0))</f>
        <v>0</v>
      </c>
      <c r="DT203" s="1908">
        <f ca="1">IF(ENTRADAS!$O$1252="J",IF(AND(DT176+$D$213&gt;=$E$203,DT176+$D$213&lt;=$E$204),10,0),IF(AND(DT176+$D$213+1&gt;=$E$203,DT176+$D$213+1&lt;=$E$204),10,0))</f>
        <v>0</v>
      </c>
      <c r="DU203" s="1908">
        <f ca="1">IF(ENTRADAS!$O$1252="J",IF(AND(DU176+$D$213&gt;=$E$203,DU176+$D$213&lt;=$E$204),10,0),IF(AND(DU176+$D$213+1&gt;=$E$203,DU176+$D$213+1&lt;=$E$204),10,0))</f>
        <v>0</v>
      </c>
      <c r="DV203" s="1908">
        <f ca="1">IF(ENTRADAS!$O$1252="J",IF(AND(DV176+$D$213&gt;=$E$203,DV176+$D$213&lt;=$E$204),10,0),IF(AND(DV176+$D$213+1&gt;=$E$203,DV176+$D$213+1&lt;=$E$204),10,0))</f>
        <v>0</v>
      </c>
      <c r="DW203" s="1907">
        <f ca="1">IF(ENTRADAS!$O$1252="J",IF(AND(DW176+$D$213&gt;=$E$203,DW176+$D$213&lt;=$E$204),10,0),IF(AND(DW176+$D$213+1&gt;=$E$203,DW176+$D$213+1&lt;=$E$204),10,0))</f>
        <v>0</v>
      </c>
      <c r="DX203" s="1908">
        <f ca="1">IF(ENTRADAS!$O$1252="J",IF(AND(DX176+$D$213&gt;=$E$203,DX176+$D$213&lt;=$E$204),10,0),IF(AND(DX176+$D$213+1&gt;=$E$203,DX176+$D$213+1&lt;=$E$204),10,0))</f>
        <v>0</v>
      </c>
      <c r="DY203" s="1908">
        <f ca="1">IF(ENTRADAS!$O$1252="J",IF(AND(DY176+$D$213&gt;=$E$203,DY176+$D$213&lt;=$E$204),10,0),IF(AND(DY176+$D$213+1&gt;=$E$203,DY176+$D$213+1&lt;=$E$204),10,0))</f>
        <v>0</v>
      </c>
      <c r="DZ203" s="1908">
        <f ca="1">IF(ENTRADAS!$O$1252="J",IF(AND(DZ176+$D$213&gt;=$E$203,DZ176+$D$213&lt;=$E$204),10,0),IF(AND(DZ176+$D$213+1&gt;=$E$203,DZ176+$D$213+1&lt;=$E$204),10,0))</f>
        <v>0</v>
      </c>
      <c r="EA203" s="1908">
        <f ca="1">IF(ENTRADAS!$O$1252="J",IF(AND(EA176+$D$213&gt;=$E$203,EA176+$D$213&lt;=$E$204),10,0),IF(AND(EA176+$D$213+1&gt;=$E$203,EA176+$D$213+1&lt;=$E$204),10,0))</f>
        <v>0</v>
      </c>
      <c r="EB203" s="1908">
        <f ca="1">IF(ENTRADAS!$O$1252="J",IF(AND(EB176+$D$213&gt;=$E$203,EB176+$D$213&lt;=$E$204),10,0),IF(AND(EB176+$D$213+1&gt;=$E$203,EB176+$D$213+1&lt;=$E$204),10,0))</f>
        <v>0</v>
      </c>
      <c r="EC203" s="1908">
        <f ca="1">IF(ENTRADAS!$O$1252="J",IF(AND(EC176+$D$213&gt;=$E$203,EC176+$D$213&lt;=$E$204),10,0),IF(AND(EC176+$D$213+1&gt;=$E$203,EC176+$D$213+1&lt;=$E$204),10,0))</f>
        <v>0</v>
      </c>
      <c r="ED203" s="1907">
        <f ca="1">IF(ENTRADAS!$O$1252="J",IF(AND(ED176+$D$213&gt;=$E$203,ED176+$D$213&lt;=$E$204),10,0),IF(AND(ED176+$D$213+1&gt;=$E$203,ED176+$D$213+1&lt;=$E$204),10,0))</f>
        <v>0</v>
      </c>
      <c r="EE203" s="1908">
        <f ca="1">IF(ENTRADAS!$O$1252="J",IF(AND(EE176+$D$213&gt;=$E$203,EE176+$D$213&lt;=$E$204),10,0),IF(AND(EE176+$D$213+1&gt;=$E$203,EE176+$D$213+1&lt;=$E$204),10,0))</f>
        <v>0</v>
      </c>
      <c r="EF203" s="1908">
        <f ca="1">IF(ENTRADAS!$O$1252="J",IF(AND(EF176+$D$213&gt;=$E$203,EF176+$D$213&lt;=$E$204),10,0),IF(AND(EF176+$D$213+1&gt;=$E$203,EF176+$D$213+1&lt;=$E$204),10,0))</f>
        <v>0</v>
      </c>
      <c r="EG203" s="1908">
        <f ca="1">IF(ENTRADAS!$O$1252="J",IF(AND(EG176+$D$213&gt;=$E$203,EG176+$D$213&lt;=$E$204),10,0),IF(AND(EG176+$D$213+1&gt;=$E$203,EG176+$D$213+1&lt;=$E$204),10,0))</f>
        <v>0</v>
      </c>
      <c r="EH203" s="1908">
        <f ca="1">IF(ENTRADAS!$O$1252="J",IF(AND(EH176+$D$213&gt;=$E$203,EH176+$D$213&lt;=$E$204),10,0),IF(AND(EH176+$D$213+1&gt;=$E$203,EH176+$D$213+1&lt;=$E$204),10,0))</f>
        <v>0</v>
      </c>
      <c r="EI203" s="1908">
        <f ca="1">IF(ENTRADAS!$O$1252="J",IF(AND(EI176+$D$213&gt;=$E$203,EI176+$D$213&lt;=$E$204),10,0),IF(AND(EI176+$D$213+1&gt;=$E$203,EI176+$D$213+1&lt;=$E$204),10,0))</f>
        <v>0</v>
      </c>
      <c r="EJ203" s="1908">
        <f ca="1">IF(ENTRADAS!$O$1252="J",IF(AND(EJ176+$D$213&gt;=$E$203,EJ176+$D$213&lt;=$E$204),10,0),IF(AND(EJ176+$D$213+1&gt;=$E$203,EJ176+$D$213+1&lt;=$E$204),10,0))</f>
        <v>0</v>
      </c>
      <c r="EK203" s="1907">
        <f ca="1">IF(ENTRADAS!$O$1252="J",IF(AND(EK176+$D$213&gt;=$E$203,EK176+$D$213&lt;=$E$204),10,0),IF(AND(EK176+$D$213+1&gt;=$E$203,EK176+$D$213+1&lt;=$E$204),10,0))</f>
        <v>0</v>
      </c>
      <c r="EL203" s="1908">
        <f ca="1">IF(ENTRADAS!$O$1252="J",IF(AND(EL176+$D$213&gt;=$E$203,EL176+$D$213&lt;=$E$204),10,0),IF(AND(EL176+$D$213+1&gt;=$E$203,EL176+$D$213+1&lt;=$E$204),10,0))</f>
        <v>0</v>
      </c>
      <c r="EM203" s="1908">
        <f ca="1">IF(ENTRADAS!$O$1252="J",IF(AND(EM176+$D$213&gt;=$E$203,EM176+$D$213&lt;=$E$204),10,0),IF(AND(EM176+$D$213+1&gt;=$E$203,EM176+$D$213+1&lt;=$E$204),10,0))</f>
        <v>0</v>
      </c>
      <c r="EN203" s="1908">
        <f ca="1">IF(ENTRADAS!$O$1252="J",IF(AND(EN176+$D$213&gt;=$E$203,EN176+$D$213&lt;=$E$204),10,0),IF(AND(EN176+$D$213+1&gt;=$E$203,EN176+$D$213+1&lt;=$E$204),10,0))</f>
        <v>0</v>
      </c>
      <c r="EO203" s="1908">
        <f ca="1">IF(ENTRADAS!$O$1252="J",IF(AND(EO176+$D$213&gt;=$E$203,EO176+$D$213&lt;=$E$204),10,0),IF(AND(EO176+$D$213+1&gt;=$E$203,EO176+$D$213+1&lt;=$E$204),10,0))</f>
        <v>0</v>
      </c>
      <c r="EP203" s="1908">
        <f ca="1">IF(ENTRADAS!$O$1252="J",IF(AND(EP176+$D$213&gt;=$E$203,EP176+$D$213&lt;=$E$204),10,0),IF(AND(EP176+$D$213+1&gt;=$E$203,EP176+$D$213+1&lt;=$E$204),10,0))</f>
        <v>0</v>
      </c>
      <c r="EQ203" s="1908">
        <f ca="1">IF(ENTRADAS!$O$1252="J",IF(AND(EQ176+$D$213&gt;=$E$203,EQ176+$D$213&lt;=$E$204),10,0),IF(AND(EQ176+$D$213+1&gt;=$E$203,EQ176+$D$213+1&lt;=$E$204),10,0))</f>
        <v>0</v>
      </c>
      <c r="ER203" s="1907">
        <f ca="1">IF(ENTRADAS!$O$1252="J",IF(AND(ER176+$D$213&gt;=$E$203,ER176+$D$213&lt;=$E$204),10,0),IF(AND(ER176+$D$213+1&gt;=$E$203,ER176+$D$213+1&lt;=$E$204),10,0))</f>
        <v>0</v>
      </c>
      <c r="ES203" s="1908">
        <f ca="1">IF(ENTRADAS!$O$1252="J",IF(AND(ES176+$D$213&gt;=$E$203,ES176+$D$213&lt;=$E$204),10,0),IF(AND(ES176+$D$213+1&gt;=$E$203,ES176+$D$213+1&lt;=$E$204),10,0))</f>
        <v>0</v>
      </c>
      <c r="ET203" s="1908">
        <f ca="1">IF(ENTRADAS!$O$1252="J",IF(AND(ET176+$D$213&gt;=$E$203,ET176+$D$213&lt;=$E$204),10,0),IF(AND(ET176+$D$213+1&gt;=$E$203,ET176+$D$213+1&lt;=$E$204),10,0))</f>
        <v>0</v>
      </c>
      <c r="EU203" s="1908">
        <f ca="1">IF(ENTRADAS!$O$1252="J",IF(AND(EU176+$D$213&gt;=$E$203,EU176+$D$213&lt;=$E$204),10,0),IF(AND(EU176+$D$213+1&gt;=$E$203,EU176+$D$213+1&lt;=$E$204),10,0))</f>
        <v>0</v>
      </c>
      <c r="EV203" s="1908">
        <f ca="1">IF(ENTRADAS!$O$1252="J",IF(AND(EV176+$D$213&gt;=$E$203,EV176+$D$213&lt;=$E$204),10,0),IF(AND(EV176+$D$213+1&gt;=$E$203,EV176+$D$213+1&lt;=$E$204),10,0))</f>
        <v>0</v>
      </c>
      <c r="EW203" s="1908">
        <f ca="1">IF(ENTRADAS!$O$1252="J",IF(AND(EW176+$D$213&gt;=$E$203,EW176+$D$213&lt;=$E$204),10,0),IF(AND(EW176+$D$213+1&gt;=$E$203,EW176+$D$213+1&lt;=$E$204),10,0))</f>
        <v>0</v>
      </c>
      <c r="EX203" s="1908">
        <f ca="1">IF(ENTRADAS!$O$1252="J",IF(AND(EX176+$D$213&gt;=$E$203,EX176+$D$213&lt;=$E$204),10,0),IF(AND(EX176+$D$213+1&gt;=$E$203,EX176+$D$213+1&lt;=$E$204),10,0))</f>
        <v>0</v>
      </c>
      <c r="EY203" s="1907">
        <f ca="1">IF(ENTRADAS!$O$1252="J",IF(AND(EY176+$D$213&gt;=$E$203,EY176+$D$213&lt;=$E$204),10,0),IF(AND(EY176+$D$213+1&gt;=$E$203,EY176+$D$213+1&lt;=$E$204),10,0))</f>
        <v>0</v>
      </c>
      <c r="EZ203" s="1908">
        <f ca="1">IF(ENTRADAS!$O$1252="J",IF(AND(EZ176+$D$213&gt;=$E$203,EZ176+$D$213&lt;=$E$204),10,0),IF(AND(EZ176+$D$213+1&gt;=$E$203,EZ176+$D$213+1&lt;=$E$204),10,0))</f>
        <v>0</v>
      </c>
      <c r="FA203" s="1908">
        <f ca="1">IF(ENTRADAS!$O$1252="J",IF(AND(FA176+$D$213&gt;=$E$203,FA176+$D$213&lt;=$E$204),10,0),IF(AND(FA176+$D$213+1&gt;=$E$203,FA176+$D$213+1&lt;=$E$204),10,0))</f>
        <v>0</v>
      </c>
      <c r="FB203" s="1908">
        <f ca="1">IF(ENTRADAS!$O$1252="J",IF(AND(FB176+$D$213&gt;=$E$203,FB176+$D$213&lt;=$E$204),10,0),IF(AND(FB176+$D$213+1&gt;=$E$203,FB176+$D$213+1&lt;=$E$204),10,0))</f>
        <v>0</v>
      </c>
      <c r="FC203" s="1908">
        <f ca="1">IF(ENTRADAS!$O$1252="J",IF(AND(FC176+$D$213&gt;=$E$203,FC176+$D$213&lt;=$E$204),10,0),IF(AND(FC176+$D$213+1&gt;=$E$203,FC176+$D$213+1&lt;=$E$204),10,0))</f>
        <v>0</v>
      </c>
      <c r="FD203" s="1908">
        <f ca="1">IF(ENTRADAS!$O$1252="J",IF(AND(FD176+$D$213&gt;=$E$203,FD176+$D$213&lt;=$E$204),10,0),IF(AND(FD176+$D$213+1&gt;=$E$203,FD176+$D$213+1&lt;=$E$204),10,0))</f>
        <v>0</v>
      </c>
      <c r="FE203" s="1908">
        <f ca="1">IF(ENTRADAS!$O$1252="J",IF(AND(FE176+$D$213&gt;=$E$203,FE176+$D$213&lt;=$E$204),10,0),IF(AND(FE176+$D$213+1&gt;=$E$203,FE176+$D$213+1&lt;=$E$204),10,0))</f>
        <v>0</v>
      </c>
      <c r="FF203" s="1907">
        <f ca="1">IF(ENTRADAS!$O$1252="J",IF(AND(FF176+$D$213&gt;=$E$203,FF176+$D$213&lt;=$E$204),10,0),IF(AND(FF176+$D$213+1&gt;=$E$203,FF176+$D$213+1&lt;=$E$204),10,0))</f>
        <v>0</v>
      </c>
      <c r="FG203" s="1908">
        <f ca="1">IF(ENTRADAS!$O$1252="J",IF(AND(FG176+$D$213&gt;=$E$203,FG176+$D$213&lt;=$E$204),10,0),IF(AND(FG176+$D$213+1&gt;=$E$203,FG176+$D$213+1&lt;=$E$204),10,0))</f>
        <v>0</v>
      </c>
      <c r="FH203" s="1908">
        <f ca="1">IF(ENTRADAS!$O$1252="J",IF(AND(FH176+$D$213&gt;=$E$203,FH176+$D$213&lt;=$E$204),10,0),IF(AND(FH176+$D$213+1&gt;=$E$203,FH176+$D$213+1&lt;=$E$204),10,0))</f>
        <v>0</v>
      </c>
      <c r="FI203" s="1908">
        <f ca="1">IF(ENTRADAS!$O$1252="J",IF(AND(FI176+$D$213&gt;=$E$203,FI176+$D$213&lt;=$E$204),10,0),IF(AND(FI176+$D$213+1&gt;=$E$203,FI176+$D$213+1&lt;=$E$204),10,0))</f>
        <v>0</v>
      </c>
      <c r="FJ203" s="1908">
        <f ca="1">IF(ENTRADAS!$O$1252="J",IF(AND(FJ176+$D$213&gt;=$E$203,FJ176+$D$213&lt;=$E$204),10,0),IF(AND(FJ176+$D$213+1&gt;=$E$203,FJ176+$D$213+1&lt;=$E$204),10,0))</f>
        <v>0</v>
      </c>
      <c r="FK203" s="1908">
        <f ca="1">IF(ENTRADAS!$O$1252="J",IF(AND(FK176+$D$213&gt;=$E$203,FK176+$D$213&lt;=$E$204),10,0),IF(AND(FK176+$D$213+1&gt;=$E$203,FK176+$D$213+1&lt;=$E$204),10,0))</f>
        <v>0</v>
      </c>
      <c r="FL203" s="1908">
        <f ca="1">IF(ENTRADAS!$O$1252="J",IF(AND(FL176+$D$213&gt;=$E$203,FL176+$D$213&lt;=$E$204),10,0),IF(AND(FL176+$D$213+1&gt;=$E$203,FL176+$D$213+1&lt;=$E$204),10,0))</f>
        <v>0</v>
      </c>
      <c r="FM203" s="1907">
        <f ca="1">IF(ENTRADAS!$O$1252="J",IF(AND(FM176+$D$213&gt;=$E$203,FM176+$D$213&lt;=$E$204),10,0),IF(AND(FM176+$D$213+1&gt;=$E$203,FM176+$D$213+1&lt;=$E$204),10,0))</f>
        <v>0</v>
      </c>
      <c r="FN203" s="1908">
        <f ca="1">IF(ENTRADAS!$O$1252="J",IF(AND(FN176+$D$213&gt;=$E$203,FN176+$D$213&lt;=$E$204),10,0),IF(AND(FN176+$D$213+1&gt;=$E$203,FN176+$D$213+1&lt;=$E$204),10,0))</f>
        <v>0</v>
      </c>
      <c r="FO203" s="1908">
        <f ca="1">IF(ENTRADAS!$O$1252="J",IF(AND(FO176+$D$213&gt;=$E$203,FO176+$D$213&lt;=$E$204),10,0),IF(AND(FO176+$D$213+1&gt;=$E$203,FO176+$D$213+1&lt;=$E$204),10,0))</f>
        <v>0</v>
      </c>
      <c r="FP203" s="1908">
        <f ca="1">IF(ENTRADAS!$O$1252="J",IF(AND(FP176+$D$213&gt;=$E$203,FP176+$D$213&lt;=$E$204),10,0),IF(AND(FP176+$D$213+1&gt;=$E$203,FP176+$D$213+1&lt;=$E$204),10,0))</f>
        <v>0</v>
      </c>
      <c r="FQ203" s="1908">
        <f ca="1">IF(ENTRADAS!$O$1252="J",IF(AND(FQ176+$D$213&gt;=$E$203,FQ176+$D$213&lt;=$E$204),10,0),IF(AND(FQ176+$D$213+1&gt;=$E$203,FQ176+$D$213+1&lt;=$E$204),10,0))</f>
        <v>0</v>
      </c>
      <c r="FR203" s="1908">
        <f ca="1">IF(ENTRADAS!$O$1252="J",IF(AND(FR176+$D$213&gt;=$E$203,FR176+$D$213&lt;=$E$204),10,0),IF(AND(FR176+$D$213+1&gt;=$E$203,FR176+$D$213+1&lt;=$E$204),10,0))</f>
        <v>0</v>
      </c>
      <c r="FS203" s="1908">
        <f ca="1">IF(ENTRADAS!$O$1252="J",IF(AND(FS176+$D$213&gt;=$E$203,FS176+$D$213&lt;=$E$204),10,0),IF(AND(FS176+$D$213+1&gt;=$E$203,FS176+$D$213+1&lt;=$E$204),10,0))</f>
        <v>0</v>
      </c>
      <c r="FT203" s="1907">
        <f ca="1">IF(ENTRADAS!$O$1252="J",IF(AND(FT176+$D$213&gt;=$E$203,FT176+$D$213&lt;=$E$204),10,0),IF(AND(FT176+$D$213+1&gt;=$E$203,FT176+$D$213+1&lt;=$E$204),10,0))</f>
        <v>0</v>
      </c>
      <c r="FU203" s="1908">
        <f ca="1">IF(ENTRADAS!$O$1252="J",IF(AND(FU176+$D$213&gt;=$E$203,FU176+$D$213&lt;=$E$204),10,0),IF(AND(FU176+$D$213+1&gt;=$E$203,FU176+$D$213+1&lt;=$E$204),10,0))</f>
        <v>0</v>
      </c>
      <c r="FV203" s="1908">
        <f ca="1">IF(ENTRADAS!$O$1252="J",IF(AND(FV176+$D$213&gt;=$E$203,FV176+$D$213&lt;=$E$204),10,0),IF(AND(FV176+$D$213+1&gt;=$E$203,FV176+$D$213+1&lt;=$E$204),10,0))</f>
        <v>0</v>
      </c>
      <c r="FW203" s="1908">
        <f ca="1">IF(ENTRADAS!$O$1252="J",IF(AND(FW176+$D$213&gt;=$E$203,FW176+$D$213&lt;=$E$204),10,0),IF(AND(FW176+$D$213+1&gt;=$E$203,FW176+$D$213+1&lt;=$E$204),10,0))</f>
        <v>0</v>
      </c>
      <c r="FX203" s="1908">
        <f ca="1">IF(ENTRADAS!$O$1252="J",IF(AND(FX176+$D$213&gt;=$E$203,FX176+$D$213&lt;=$E$204),10,0),IF(AND(FX176+$D$213+1&gt;=$E$203,FX176+$D$213+1&lt;=$E$204),10,0))</f>
        <v>0</v>
      </c>
      <c r="FY203" s="1908">
        <f ca="1">IF(ENTRADAS!$O$1252="J",IF(AND(FY176+$D$213&gt;=$E$203,FY176+$D$213&lt;=$E$204),10,0),IF(AND(FY176+$D$213+1&gt;=$E$203,FY176+$D$213+1&lt;=$E$204),10,0))</f>
        <v>0</v>
      </c>
      <c r="FZ203" s="1908">
        <f ca="1">IF(ENTRADAS!$O$1252="J",IF(AND(FZ176+$D$213&gt;=$E$203,FZ176+$D$213&lt;=$E$204),10,0),IF(AND(FZ176+$D$213+1&gt;=$E$203,FZ176+$D$213+1&lt;=$E$204),10,0))</f>
        <v>0</v>
      </c>
      <c r="GA203" s="1907">
        <f ca="1">IF(ENTRADAS!$O$1252="J",IF(AND(GA176+$D$213&gt;=$E$203,GA176+$D$213&lt;=$E$204),10,0),IF(AND(GA176+$D$213+1&gt;=$E$203,GA176+$D$213+1&lt;=$E$204),10,0))</f>
        <v>0</v>
      </c>
      <c r="GB203" s="1908">
        <f ca="1">IF(ENTRADAS!$O$1252="J",IF(AND(GB176+$D$213&gt;=$E$203,GB176+$D$213&lt;=$E$204),10,0),IF(AND(GB176+$D$213+1&gt;=$E$203,GB176+$D$213+1&lt;=$E$204),10,0))</f>
        <v>0</v>
      </c>
      <c r="GC203" s="1908">
        <f ca="1">IF(ENTRADAS!$O$1252="J",IF(AND(GC176+$D$213&gt;=$E$203,GC176+$D$213&lt;=$E$204),10,0),IF(AND(GC176+$D$213+1&gt;=$E$203,GC176+$D$213+1&lt;=$E$204),10,0))</f>
        <v>0</v>
      </c>
      <c r="GD203" s="1908">
        <f ca="1">IF(ENTRADAS!$O$1252="J",IF(AND(GD176+$D$213&gt;=$E$203,GD176+$D$213&lt;=$E$204),10,0),IF(AND(GD176+$D$213+1&gt;=$E$203,GD176+$D$213+1&lt;=$E$204),10,0))</f>
        <v>0</v>
      </c>
      <c r="GE203" s="1908">
        <f ca="1">IF(ENTRADAS!$O$1252="J",IF(AND(GE176+$D$213&gt;=$E$203,GE176+$D$213&lt;=$E$204),10,0),IF(AND(GE176+$D$213+1&gt;=$E$203,GE176+$D$213+1&lt;=$E$204),10,0))</f>
        <v>0</v>
      </c>
      <c r="GF203" s="1908">
        <f ca="1">IF(ENTRADAS!$O$1252="J",IF(AND(GF176+$D$213&gt;=$E$203,GF176+$D$213&lt;=$E$204),10,0),IF(AND(GF176+$D$213+1&gt;=$E$203,GF176+$D$213+1&lt;=$E$204),10,0))</f>
        <v>0</v>
      </c>
      <c r="GG203" s="1908">
        <f ca="1">IF(ENTRADAS!$O$1252="J",IF(AND(GG176+$D$213&gt;=$E$203,GG176+$D$213&lt;=$E$204),10,0),IF(AND(GG176+$D$213+1&gt;=$E$203,GG176+$D$213+1&lt;=$E$204),10,0))</f>
        <v>0</v>
      </c>
      <c r="GH203" s="1907">
        <f ca="1">IF(ENTRADAS!$O$1252="J",IF(AND(GH176+$D$213&gt;=$E$203,GH176+$D$213&lt;=$E$204),10,0),IF(AND(GH176+$D$213+1&gt;=$E$203,GH176+$D$213+1&lt;=$E$204),10,0))</f>
        <v>0</v>
      </c>
      <c r="GI203" s="1908">
        <f ca="1">IF(ENTRADAS!$O$1252="J",IF(AND(GI176+$D$213&gt;=$E$203,GI176+$D$213&lt;=$E$204),10,0),IF(AND(GI176+$D$213+1&gt;=$E$203,GI176+$D$213+1&lt;=$E$204),10,0))</f>
        <v>0</v>
      </c>
      <c r="GJ203" s="1908">
        <f ca="1">IF(ENTRADAS!$O$1252="J",IF(AND(GJ176+$D$213&gt;=$E$203,GJ176+$D$213&lt;=$E$204),10,0),IF(AND(GJ176+$D$213+1&gt;=$E$203,GJ176+$D$213+1&lt;=$E$204),10,0))</f>
        <v>0</v>
      </c>
      <c r="GK203" s="1908">
        <f ca="1">IF(ENTRADAS!$O$1252="J",IF(AND(GK176+$D$213&gt;=$E$203,GK176+$D$213&lt;=$E$204),10,0),IF(AND(GK176+$D$213+1&gt;=$E$203,GK176+$D$213+1&lt;=$E$204),10,0))</f>
        <v>0</v>
      </c>
      <c r="GL203" s="1908">
        <f ca="1">IF(ENTRADAS!$O$1252="J",IF(AND(GL176+$D$213&gt;=$E$203,GL176+$D$213&lt;=$E$204),10,0),IF(AND(GL176+$D$213+1&gt;=$E$203,GL176+$D$213+1&lt;=$E$204),10,0))</f>
        <v>0</v>
      </c>
      <c r="GM203" s="1908">
        <f ca="1">IF(ENTRADAS!$O$1252="J",IF(AND(GM176+$D$213&gt;=$E$203,GM176+$D$213&lt;=$E$204),10,0),IF(AND(GM176+$D$213+1&gt;=$E$203,GM176+$D$213+1&lt;=$E$204),10,0))</f>
        <v>0</v>
      </c>
      <c r="GN203" s="1908">
        <f ca="1">IF(ENTRADAS!$O$1252="J",IF(AND(GN176+$D$213&gt;=$E$203,GN176+$D$213&lt;=$E$204),10,0),IF(AND(GN176+$D$213+1&gt;=$E$203,GN176+$D$213+1&lt;=$E$204),10,0))</f>
        <v>0</v>
      </c>
      <c r="GO203" s="1907">
        <f ca="1">IF(ENTRADAS!$O$1252="J",IF(AND(GO176+$D$213&gt;=$E$203,GO176+$D$213&lt;=$E$204),10,0),IF(AND(GO176+$D$213+1&gt;=$E$203,GO176+$D$213+1&lt;=$E$204),10,0))</f>
        <v>0</v>
      </c>
      <c r="GP203" s="1908">
        <f ca="1">IF(ENTRADAS!$O$1252="J",IF(AND(GP176+$D$213&gt;=$E$203,GP176+$D$213&lt;=$E$204),10,0),IF(AND(GP176+$D$213+1&gt;=$E$203,GP176+$D$213+1&lt;=$E$204),10,0))</f>
        <v>0</v>
      </c>
      <c r="GQ203" s="1908">
        <f ca="1">IF(ENTRADAS!$O$1252="J",IF(AND(GQ176+$D$213&gt;=$E$203,GQ176+$D$213&lt;=$E$204),10,0),IF(AND(GQ176+$D$213+1&gt;=$E$203,GQ176+$D$213+1&lt;=$E$204),10,0))</f>
        <v>0</v>
      </c>
      <c r="GR203" s="1908">
        <f ca="1">IF(ENTRADAS!$O$1252="J",IF(AND(GR176+$D$213&gt;=$E$203,GR176+$D$213&lt;=$E$204),10,0),IF(AND(GR176+$D$213+1&gt;=$E$203,GR176+$D$213+1&lt;=$E$204),10,0))</f>
        <v>0</v>
      </c>
      <c r="GS203" s="1908">
        <f ca="1">IF(ENTRADAS!$O$1252="J",IF(AND(GS176+$D$213&gt;=$E$203,GS176+$D$213&lt;=$E$204),10,0),IF(AND(GS176+$D$213+1&gt;=$E$203,GS176+$D$213+1&lt;=$E$204),10,0))</f>
        <v>0</v>
      </c>
      <c r="GT203" s="1908">
        <f ca="1">IF(ENTRADAS!$O$1252="J",IF(AND(GT176+$D$213&gt;=$E$203,GT176+$D$213&lt;=$E$204),10,0),IF(AND(GT176+$D$213+1&gt;=$E$203,GT176+$D$213+1&lt;=$E$204),10,0))</f>
        <v>0</v>
      </c>
      <c r="GU203" s="1908">
        <f ca="1">IF(ENTRADAS!$O$1252="J",IF(AND(GU176+$D$213&gt;=$E$203,GU176+$D$213&lt;=$E$204),10,0),IF(AND(GU176+$D$213+1&gt;=$E$203,GU176+$D$213+1&lt;=$E$204),10,0))</f>
        <v>0</v>
      </c>
      <c r="GV203" s="1907">
        <f ca="1">IF(ENTRADAS!$O$1252="J",IF(AND(GV176+$D$213&gt;=$E$203,GV176+$D$213&lt;=$E$204),10,0),IF(AND(GV176+$D$213+1&gt;=$E$203,GV176+$D$213+1&lt;=$E$204),10,0))</f>
        <v>0</v>
      </c>
      <c r="GW203" s="1908">
        <f ca="1">IF(ENTRADAS!$O$1252="J",IF(AND(GW176+$D$213&gt;=$E$203,GW176+$D$213&lt;=$E$204),10,0),IF(AND(GW176+$D$213+1&gt;=$E$203,GW176+$D$213+1&lt;=$E$204),10,0))</f>
        <v>0</v>
      </c>
      <c r="GX203" s="1908">
        <f ca="1">IF(ENTRADAS!$O$1252="J",IF(AND(GX176+$D$213&gt;=$E$203,GX176+$D$213&lt;=$E$204),10,0),IF(AND(GX176+$D$213+1&gt;=$E$203,GX176+$D$213+1&lt;=$E$204),10,0))</f>
        <v>0</v>
      </c>
      <c r="GY203" s="1908">
        <f ca="1">IF(ENTRADAS!$O$1252="J",IF(AND(GY176+$D$213&gt;=$E$203,GY176+$D$213&lt;=$E$204),10,0),IF(AND(GY176+$D$213+1&gt;=$E$203,GY176+$D$213+1&lt;=$E$204),10,0))</f>
        <v>0</v>
      </c>
      <c r="GZ203" s="1908">
        <f ca="1">IF(ENTRADAS!$O$1252="J",IF(AND(GZ176+$D$213&gt;=$E$203,GZ176+$D$213&lt;=$E$204),10,0),IF(AND(GZ176+$D$213+1&gt;=$E$203,GZ176+$D$213+1&lt;=$E$204),10,0))</f>
        <v>0</v>
      </c>
      <c r="HA203" s="1908">
        <f ca="1">IF(ENTRADAS!$O$1252="J",IF(AND(HA176+$D$213&gt;=$E$203,HA176+$D$213&lt;=$E$204),10,0),IF(AND(HA176+$D$213+1&gt;=$E$203,HA176+$D$213+1&lt;=$E$204),10,0))</f>
        <v>0</v>
      </c>
      <c r="HB203" s="1908">
        <f ca="1">IF(ENTRADAS!$O$1252="J",IF(AND(HB176+$D$213&gt;=$E$203,HB176+$D$213&lt;=$E$204),10,0),IF(AND(HB176+$D$213+1&gt;=$E$203,HB176+$D$213+1&lt;=$E$204),10,0))</f>
        <v>0</v>
      </c>
      <c r="HC203" s="1907">
        <f ca="1">IF(ENTRADAS!$O$1252="J",IF(AND(HC176+$D$213&gt;=$E$203,HC176+$D$213&lt;=$E$204),10,0),IF(AND(HC176+$D$213+1&gt;=$E$203,HC176+$D$213+1&lt;=$E$204),10,0))</f>
        <v>0</v>
      </c>
      <c r="HD203" s="1908">
        <f ca="1">IF(ENTRADAS!$O$1252="J",IF(AND(HD176+$D$213&gt;=$E$203,HD176+$D$213&lt;=$E$204),10,0),IF(AND(HD176+$D$213+1&gt;=$E$203,HD176+$D$213+1&lt;=$E$204),10,0))</f>
        <v>0</v>
      </c>
      <c r="HE203" s="1908">
        <f ca="1">IF(ENTRADAS!$O$1252="J",IF(AND(HE176+$D$213&gt;=$E$203,HE176+$D$213&lt;=$E$204),10,0),IF(AND(HE176+$D$213+1&gt;=$E$203,HE176+$D$213+1&lt;=$E$204),10,0))</f>
        <v>0</v>
      </c>
      <c r="HF203" s="1908">
        <f ca="1">IF(ENTRADAS!$O$1252="J",IF(AND(HF176+$D$213&gt;=$E$203,HF176+$D$213&lt;=$E$204),10,0),IF(AND(HF176+$D$213+1&gt;=$E$203,HF176+$D$213+1&lt;=$E$204),10,0))</f>
        <v>0</v>
      </c>
      <c r="HG203" s="1908">
        <f ca="1">IF(ENTRADAS!$O$1252="J",IF(AND(HG176+$D$213&gt;=$E$203,HG176+$D$213&lt;=$E$204),10,0),IF(AND(HG176+$D$213+1&gt;=$E$203,HG176+$D$213+1&lt;=$E$204),10,0))</f>
        <v>0</v>
      </c>
      <c r="HH203" s="1908">
        <f ca="1">IF(ENTRADAS!$O$1252="J",IF(AND(HH176+$D$213&gt;=$E$203,HH176+$D$213&lt;=$E$204),10,0),IF(AND(HH176+$D$213+1&gt;=$E$203,HH176+$D$213+1&lt;=$E$204),10,0))</f>
        <v>0</v>
      </c>
      <c r="HI203" s="1908">
        <f ca="1">IF(ENTRADAS!$O$1252="J",IF(AND(HI176+$D$213&gt;=$E$203,HI176+$D$213&lt;=$E$204),10,0),IF(AND(HI176+$D$213+1&gt;=$E$203,HI176+$D$213+1&lt;=$E$204),10,0))</f>
        <v>0</v>
      </c>
      <c r="HJ203" s="1907">
        <f ca="1">IF(ENTRADAS!$O$1252="J",IF(AND(HJ176+$D$213&gt;=$E$203,HJ176+$D$213&lt;=$E$204),10,0),IF(AND(HJ176+$D$213+1&gt;=$E$203,HJ176+$D$213+1&lt;=$E$204),10,0))</f>
        <v>0</v>
      </c>
      <c r="HK203" s="1908">
        <f ca="1">IF(ENTRADAS!$O$1252="J",IF(AND(HK176+$D$213&gt;=$E$203,HK176+$D$213&lt;=$E$204),10,0),IF(AND(HK176+$D$213+1&gt;=$E$203,HK176+$D$213+1&lt;=$E$204),10,0))</f>
        <v>0</v>
      </c>
      <c r="HL203" s="1908">
        <f ca="1">IF(ENTRADAS!$O$1252="J",IF(AND(HL176+$D$213&gt;=$E$203,HL176+$D$213&lt;=$E$204),10,0),IF(AND(HL176+$D$213+1&gt;=$E$203,HL176+$D$213+1&lt;=$E$204),10,0))</f>
        <v>0</v>
      </c>
      <c r="HM203" s="1908">
        <f ca="1">IF(ENTRADAS!$O$1252="J",IF(AND(HM176+$D$213&gt;=$E$203,HM176+$D$213&lt;=$E$204),10,0),IF(AND(HM176+$D$213+1&gt;=$E$203,HM176+$D$213+1&lt;=$E$204),10,0))</f>
        <v>0</v>
      </c>
      <c r="HN203" s="1908">
        <f ca="1">IF(ENTRADAS!$O$1252="J",IF(AND(HN176+$D$213&gt;=$E$203,HN176+$D$213&lt;=$E$204),10,0),IF(AND(HN176+$D$213+1&gt;=$E$203,HN176+$D$213+1&lt;=$E$204),10,0))</f>
        <v>0</v>
      </c>
      <c r="HO203" s="1908">
        <f ca="1">IF(ENTRADAS!$O$1252="J",IF(AND(HO176+$D$213&gt;=$E$203,HO176+$D$213&lt;=$E$204),10,0),IF(AND(HO176+$D$213+1&gt;=$E$203,HO176+$D$213+1&lt;=$E$204),10,0))</f>
        <v>0</v>
      </c>
      <c r="HP203" s="1908">
        <f ca="1">IF(ENTRADAS!$O$1252="J",IF(AND(HP176+$D$213&gt;=$E$203,HP176+$D$213&lt;=$E$204),10,0),IF(AND(HP176+$D$213+1&gt;=$E$203,HP176+$D$213+1&lt;=$E$204),10,0))</f>
        <v>0</v>
      </c>
      <c r="HQ203" s="1907">
        <f ca="1">IF(ENTRADAS!$O$1252="J",IF(AND(HQ176+$D$213&gt;=$E$203,HQ176+$D$213&lt;=$E$204),10,0),IF(AND(HQ176+$D$213+1&gt;=$E$203,HQ176+$D$213+1&lt;=$E$204),10,0))</f>
        <v>0</v>
      </c>
      <c r="HR203" s="1908">
        <f ca="1">IF(ENTRADAS!$O$1252="J",IF(AND(HR176+$D$213&gt;=$E$203,HR176+$D$213&lt;=$E$204),10,0),IF(AND(HR176+$D$213+1&gt;=$E$203,HR176+$D$213+1&lt;=$E$204),10,0))</f>
        <v>0</v>
      </c>
      <c r="HS203" s="1908">
        <f ca="1">IF(ENTRADAS!$O$1252="J",IF(AND(HS176+$D$213&gt;=$E$203,HS176+$D$213&lt;=$E$204),10,0),IF(AND(HS176+$D$213+1&gt;=$E$203,HS176+$D$213+1&lt;=$E$204),10,0))</f>
        <v>0</v>
      </c>
      <c r="HT203" s="1908">
        <f ca="1">IF(ENTRADAS!$O$1252="J",IF(AND(HT176+$D$213&gt;=$E$203,HT176+$D$213&lt;=$E$204),10,0),IF(AND(HT176+$D$213+1&gt;=$E$203,HT176+$D$213+1&lt;=$E$204),10,0))</f>
        <v>0</v>
      </c>
      <c r="HU203" s="1908">
        <f ca="1">IF(ENTRADAS!$O$1252="J",IF(AND(HU176+$D$213&gt;=$E$203,HU176+$D$213&lt;=$E$204),10,0),IF(AND(HU176+$D$213+1&gt;=$E$203,HU176+$D$213+1&lt;=$E$204),10,0))</f>
        <v>0</v>
      </c>
      <c r="HV203" s="1908">
        <f ca="1">IF(ENTRADAS!$O$1252="J",IF(AND(HV176+$D$213&gt;=$E$203,HV176+$D$213&lt;=$E$204),10,0),IF(AND(HV176+$D$213+1&gt;=$E$203,HV176+$D$213+1&lt;=$E$204),10,0))</f>
        <v>0</v>
      </c>
      <c r="HW203" s="1908">
        <f ca="1">IF(ENTRADAS!$O$1252="J",IF(AND(HW176+$D$213&gt;=$E$203,HW176+$D$213&lt;=$E$204),10,0),IF(AND(HW176+$D$213+1&gt;=$E$203,HW176+$D$213+1&lt;=$E$204),10,0))</f>
        <v>0</v>
      </c>
      <c r="HX203" s="1907">
        <f ca="1">IF(ENTRADAS!$O$1252="J",IF(AND(HX176+$D$213&gt;=$E$203,HX176+$D$213&lt;=$E$204),10,0),IF(AND(HX176+$D$213+1&gt;=$E$203,HX176+$D$213+1&lt;=$E$204),10,0))</f>
        <v>0</v>
      </c>
      <c r="HY203" s="1908">
        <f ca="1">IF(ENTRADAS!$O$1252="J",IF(AND(HY176+$D$213&gt;=$E$203,HY176+$D$213&lt;=$E$204),10,0),IF(AND(HY176+$D$213+1&gt;=$E$203,HY176+$D$213+1&lt;=$E$204),10,0))</f>
        <v>0</v>
      </c>
      <c r="HZ203" s="1908">
        <f ca="1">IF(ENTRADAS!$O$1252="J",IF(AND(HZ176+$D$213&gt;=$E$203,HZ176+$D$213&lt;=$E$204),10,0),IF(AND(HZ176+$D$213+1&gt;=$E$203,HZ176+$D$213+1&lt;=$E$204),10,0))</f>
        <v>0</v>
      </c>
      <c r="IA203" s="1908">
        <f ca="1">IF(ENTRADAS!$O$1252="J",IF(AND(IA176+$D$213&gt;=$E$203,IA176+$D$213&lt;=$E$204),10,0),IF(AND(IA176+$D$213+1&gt;=$E$203,IA176+$D$213+1&lt;=$E$204),10,0))</f>
        <v>0</v>
      </c>
      <c r="IB203" s="1908">
        <f ca="1">IF(ENTRADAS!$O$1252="J",IF(AND(IB176+$D$213&gt;=$E$203,IB176+$D$213&lt;=$E$204),10,0),IF(AND(IB176+$D$213+1&gt;=$E$203,IB176+$D$213+1&lt;=$E$204),10,0))</f>
        <v>0</v>
      </c>
      <c r="IC203" s="1908">
        <f ca="1">IF(ENTRADAS!$O$1252="J",IF(AND(IC176+$D$213&gt;=$E$203,IC176+$D$213&lt;=$E$204),10,0),IF(AND(IC176+$D$213+1&gt;=$E$203,IC176+$D$213+1&lt;=$E$204),10,0))</f>
        <v>0</v>
      </c>
      <c r="ID203" s="1908">
        <f ca="1">IF(ENTRADAS!$O$1252="J",IF(AND(ID176+$D$213&gt;=$E$203,ID176+$D$213&lt;=$E$204),10,0),IF(AND(ID176+$D$213+1&gt;=$E$203,ID176+$D$213+1&lt;=$E$204),10,0))</f>
        <v>0</v>
      </c>
      <c r="IE203" s="1907">
        <f ca="1">IF(ENTRADAS!$O$1252="J",IF(AND(IE176+$D$213&gt;=$E$203,IE176+$D$213&lt;=$E$204),10,0),IF(AND(IE176+$D$213+1&gt;=$E$203,IE176+$D$213+1&lt;=$E$204),10,0))</f>
        <v>0</v>
      </c>
      <c r="IF203" s="1908">
        <f ca="1">IF(ENTRADAS!$O$1252="J",IF(AND(IF176+$D$213&gt;=$E$203,IF176+$D$213&lt;=$E$204),10,0),IF(AND(IF176+$D$213+1&gt;=$E$203,IF176+$D$213+1&lt;=$E$204),10,0))</f>
        <v>0</v>
      </c>
      <c r="IG203" s="1908">
        <f ca="1">IF(ENTRADAS!$O$1252="J",IF(AND(IG176+$D$213&gt;=$E$203,IG176+$D$213&lt;=$E$204),10,0),IF(AND(IG176+$D$213+1&gt;=$E$203,IG176+$D$213+1&lt;=$E$204),10,0))</f>
        <v>0</v>
      </c>
      <c r="IH203" s="1908">
        <f ca="1">IF(ENTRADAS!$O$1252="J",IF(AND(IH176+$D$213&gt;=$E$203,IH176+$D$213&lt;=$E$204),10,0),IF(AND(IH176+$D$213+1&gt;=$E$203,IH176+$D$213+1&lt;=$E$204),10,0))</f>
        <v>0</v>
      </c>
      <c r="II203" s="1908">
        <f ca="1">IF(ENTRADAS!$O$1252="J",IF(AND(II176+$D$213&gt;=$E$203,II176+$D$213&lt;=$E$204),10,0),IF(AND(II176+$D$213+1&gt;=$E$203,II176+$D$213+1&lt;=$E$204),10,0))</f>
        <v>0</v>
      </c>
      <c r="IJ203" s="1908">
        <f ca="1">IF(ENTRADAS!$O$1252="J",IF(AND(IJ176+$D$213&gt;=$E$203,IJ176+$D$213&lt;=$E$204),10,0),IF(AND(IJ176+$D$213+1&gt;=$E$203,IJ176+$D$213+1&lt;=$E$204),10,0))</f>
        <v>0</v>
      </c>
      <c r="IK203" s="1909">
        <f ca="1">IF(ENTRADAS!$O$1252="J",IF(AND(IK176+$D$213&gt;=$E$203,IK176+$D$213&lt;=$E$204),10,0),IF(AND(IK176+$D$213+1&gt;=$E$203,IK176+$D$213+1&lt;=$E$204),10,0))</f>
        <v>0</v>
      </c>
    </row>
    <row r="204" spans="1:245" ht="7.5" hidden="1" customHeight="1" x14ac:dyDescent="0.35">
      <c r="A204" s="195">
        <f>IF(B203=0,0,"XXX")</f>
        <v>0</v>
      </c>
      <c r="B204" s="1910"/>
      <c r="C204" s="1912"/>
      <c r="D204" s="360" t="str">
        <f>IF(ENTRADAS!$F$22=0,0,"término:")</f>
        <v>término:</v>
      </c>
      <c r="E204" s="361">
        <f>IF(C203=0,0,E203+F203)</f>
        <v>0</v>
      </c>
      <c r="F204" s="1913"/>
      <c r="G204" s="1914"/>
      <c r="H204" s="1907"/>
      <c r="I204" s="1908"/>
      <c r="J204" s="1908"/>
      <c r="K204" s="1908"/>
      <c r="L204" s="1908"/>
      <c r="M204" s="1908"/>
      <c r="N204" s="1908"/>
      <c r="O204" s="1907"/>
      <c r="P204" s="1908"/>
      <c r="Q204" s="1908"/>
      <c r="R204" s="1908"/>
      <c r="S204" s="1908"/>
      <c r="T204" s="1908"/>
      <c r="U204" s="1908"/>
      <c r="V204" s="1907"/>
      <c r="W204" s="1908"/>
      <c r="X204" s="1908"/>
      <c r="Y204" s="1908"/>
      <c r="Z204" s="1908"/>
      <c r="AA204" s="1908"/>
      <c r="AB204" s="1908"/>
      <c r="AC204" s="1907"/>
      <c r="AD204" s="1908"/>
      <c r="AE204" s="1908"/>
      <c r="AF204" s="1908"/>
      <c r="AG204" s="1908"/>
      <c r="AH204" s="1908"/>
      <c r="AI204" s="1908"/>
      <c r="AJ204" s="1907"/>
      <c r="AK204" s="1908"/>
      <c r="AL204" s="1908"/>
      <c r="AM204" s="1908"/>
      <c r="AN204" s="1908"/>
      <c r="AO204" s="1908"/>
      <c r="AP204" s="1908"/>
      <c r="AQ204" s="1907"/>
      <c r="AR204" s="1908"/>
      <c r="AS204" s="1908"/>
      <c r="AT204" s="1908"/>
      <c r="AU204" s="1908"/>
      <c r="AV204" s="1908"/>
      <c r="AW204" s="1908"/>
      <c r="AX204" s="1907"/>
      <c r="AY204" s="1908"/>
      <c r="AZ204" s="1908"/>
      <c r="BA204" s="1908"/>
      <c r="BB204" s="1908"/>
      <c r="BC204" s="1908"/>
      <c r="BD204" s="1908"/>
      <c r="BE204" s="1907"/>
      <c r="BF204" s="1908"/>
      <c r="BG204" s="1908"/>
      <c r="BH204" s="1908"/>
      <c r="BI204" s="1908"/>
      <c r="BJ204" s="1908"/>
      <c r="BK204" s="1908"/>
      <c r="BL204" s="1907"/>
      <c r="BM204" s="1908"/>
      <c r="BN204" s="1908"/>
      <c r="BO204" s="1908"/>
      <c r="BP204" s="1908"/>
      <c r="BQ204" s="1908"/>
      <c r="BR204" s="1908"/>
      <c r="BS204" s="1907"/>
      <c r="BT204" s="1908"/>
      <c r="BU204" s="1908"/>
      <c r="BV204" s="1908"/>
      <c r="BW204" s="1908"/>
      <c r="BX204" s="1908"/>
      <c r="BY204" s="1908"/>
      <c r="BZ204" s="1907"/>
      <c r="CA204" s="1908"/>
      <c r="CB204" s="1908"/>
      <c r="CC204" s="1908"/>
      <c r="CD204" s="1908"/>
      <c r="CE204" s="1908"/>
      <c r="CF204" s="1908"/>
      <c r="CG204" s="1907"/>
      <c r="CH204" s="1908"/>
      <c r="CI204" s="1908"/>
      <c r="CJ204" s="1908"/>
      <c r="CK204" s="1908"/>
      <c r="CL204" s="1908"/>
      <c r="CM204" s="1908"/>
      <c r="CN204" s="1907"/>
      <c r="CO204" s="1908"/>
      <c r="CP204" s="1908"/>
      <c r="CQ204" s="1908"/>
      <c r="CR204" s="1908"/>
      <c r="CS204" s="1908"/>
      <c r="CT204" s="1908"/>
      <c r="CU204" s="1907"/>
      <c r="CV204" s="1908"/>
      <c r="CW204" s="1908"/>
      <c r="CX204" s="1908"/>
      <c r="CY204" s="1908"/>
      <c r="CZ204" s="1908"/>
      <c r="DA204" s="1908"/>
      <c r="DB204" s="1907"/>
      <c r="DC204" s="1908"/>
      <c r="DD204" s="1908"/>
      <c r="DE204" s="1908"/>
      <c r="DF204" s="1908"/>
      <c r="DG204" s="1908"/>
      <c r="DH204" s="1908"/>
      <c r="DI204" s="1907"/>
      <c r="DJ204" s="1908"/>
      <c r="DK204" s="1908"/>
      <c r="DL204" s="1908"/>
      <c r="DM204" s="1908"/>
      <c r="DN204" s="1908"/>
      <c r="DO204" s="1908"/>
      <c r="DP204" s="1907"/>
      <c r="DQ204" s="1908"/>
      <c r="DR204" s="1908"/>
      <c r="DS204" s="1908"/>
      <c r="DT204" s="1908"/>
      <c r="DU204" s="1908"/>
      <c r="DV204" s="1908"/>
      <c r="DW204" s="1907"/>
      <c r="DX204" s="1908"/>
      <c r="DY204" s="1908"/>
      <c r="DZ204" s="1908"/>
      <c r="EA204" s="1908"/>
      <c r="EB204" s="1908"/>
      <c r="EC204" s="1908"/>
      <c r="ED204" s="1907"/>
      <c r="EE204" s="1908"/>
      <c r="EF204" s="1908"/>
      <c r="EG204" s="1908"/>
      <c r="EH204" s="1908"/>
      <c r="EI204" s="1908"/>
      <c r="EJ204" s="1908"/>
      <c r="EK204" s="1907"/>
      <c r="EL204" s="1908"/>
      <c r="EM204" s="1908"/>
      <c r="EN204" s="1908"/>
      <c r="EO204" s="1908"/>
      <c r="EP204" s="1908"/>
      <c r="EQ204" s="1908"/>
      <c r="ER204" s="1907"/>
      <c r="ES204" s="1908"/>
      <c r="ET204" s="1908"/>
      <c r="EU204" s="1908"/>
      <c r="EV204" s="1908"/>
      <c r="EW204" s="1908"/>
      <c r="EX204" s="1908"/>
      <c r="EY204" s="1907"/>
      <c r="EZ204" s="1908"/>
      <c r="FA204" s="1908"/>
      <c r="FB204" s="1908"/>
      <c r="FC204" s="1908"/>
      <c r="FD204" s="1908"/>
      <c r="FE204" s="1908"/>
      <c r="FF204" s="1907"/>
      <c r="FG204" s="1908"/>
      <c r="FH204" s="1908"/>
      <c r="FI204" s="1908"/>
      <c r="FJ204" s="1908"/>
      <c r="FK204" s="1908"/>
      <c r="FL204" s="1908"/>
      <c r="FM204" s="1907"/>
      <c r="FN204" s="1908"/>
      <c r="FO204" s="1908"/>
      <c r="FP204" s="1908"/>
      <c r="FQ204" s="1908"/>
      <c r="FR204" s="1908"/>
      <c r="FS204" s="1908"/>
      <c r="FT204" s="1907"/>
      <c r="FU204" s="1908"/>
      <c r="FV204" s="1908"/>
      <c r="FW204" s="1908"/>
      <c r="FX204" s="1908"/>
      <c r="FY204" s="1908"/>
      <c r="FZ204" s="1908"/>
      <c r="GA204" s="1907"/>
      <c r="GB204" s="1908"/>
      <c r="GC204" s="1908"/>
      <c r="GD204" s="1908"/>
      <c r="GE204" s="1908"/>
      <c r="GF204" s="1908"/>
      <c r="GG204" s="1908"/>
      <c r="GH204" s="1907"/>
      <c r="GI204" s="1908"/>
      <c r="GJ204" s="1908"/>
      <c r="GK204" s="1908"/>
      <c r="GL204" s="1908"/>
      <c r="GM204" s="1908"/>
      <c r="GN204" s="1908"/>
      <c r="GO204" s="1907"/>
      <c r="GP204" s="1908"/>
      <c r="GQ204" s="1908"/>
      <c r="GR204" s="1908"/>
      <c r="GS204" s="1908"/>
      <c r="GT204" s="1908"/>
      <c r="GU204" s="1908"/>
      <c r="GV204" s="1907"/>
      <c r="GW204" s="1908"/>
      <c r="GX204" s="1908"/>
      <c r="GY204" s="1908"/>
      <c r="GZ204" s="1908"/>
      <c r="HA204" s="1908"/>
      <c r="HB204" s="1908"/>
      <c r="HC204" s="1907"/>
      <c r="HD204" s="1908"/>
      <c r="HE204" s="1908"/>
      <c r="HF204" s="1908"/>
      <c r="HG204" s="1908"/>
      <c r="HH204" s="1908"/>
      <c r="HI204" s="1908"/>
      <c r="HJ204" s="1907"/>
      <c r="HK204" s="1908"/>
      <c r="HL204" s="1908"/>
      <c r="HM204" s="1908"/>
      <c r="HN204" s="1908"/>
      <c r="HO204" s="1908"/>
      <c r="HP204" s="1908"/>
      <c r="HQ204" s="1907"/>
      <c r="HR204" s="1908"/>
      <c r="HS204" s="1908"/>
      <c r="HT204" s="1908"/>
      <c r="HU204" s="1908"/>
      <c r="HV204" s="1908"/>
      <c r="HW204" s="1908"/>
      <c r="HX204" s="1907"/>
      <c r="HY204" s="1908"/>
      <c r="HZ204" s="1908"/>
      <c r="IA204" s="1908"/>
      <c r="IB204" s="1908"/>
      <c r="IC204" s="1908"/>
      <c r="ID204" s="1908"/>
      <c r="IE204" s="1907"/>
      <c r="IF204" s="1908"/>
      <c r="IG204" s="1908"/>
      <c r="IH204" s="1908"/>
      <c r="II204" s="1908"/>
      <c r="IJ204" s="1908"/>
      <c r="IK204" s="1909"/>
    </row>
    <row r="205" spans="1:245" ht="7.5" hidden="1" customHeight="1" x14ac:dyDescent="0.35">
      <c r="A205" s="195">
        <f>IF(B205=0,0,"XXX")</f>
        <v>0</v>
      </c>
      <c r="B205" s="1910">
        <f>IF(ENTRADAS!L1255=0,0,ENTRADAS!C1255)</f>
        <v>0</v>
      </c>
      <c r="C205" s="1911">
        <f>IF(ENTRADAS!L1255="x",ENTRADAS!D1255,0)</f>
        <v>0</v>
      </c>
      <c r="D205" s="358" t="str">
        <f>IF(ENTRADAS!$F$22=0,0,"início:")</f>
        <v>início:</v>
      </c>
      <c r="E205" s="359">
        <f>IF(C205=0,0,IF(F206&gt;0,F206+D213,IF(ENTRADAS!$O$1252="J",E190+2,E190+1+F201+1+F203+2)))</f>
        <v>0</v>
      </c>
      <c r="F205" s="454">
        <f>IF(C205=0,0,ENTRADAS!$H$1255)</f>
        <v>0</v>
      </c>
      <c r="G205" s="455" t="str">
        <f>IF(ENTRADAS!$F$22=0,0,"dias")</f>
        <v>dias</v>
      </c>
      <c r="H205" s="1907">
        <f ca="1">IF(ENTRADAS!$O$1252="J",IF(AND(H176+$D$213&gt;=$E$205,H176+$D$213&lt;=$E$206),10,0),IF(AND(H176+$D$213+2&gt;=$E$205,H176+$D$213+2&lt;=$E$206),10,0))</f>
        <v>0</v>
      </c>
      <c r="I205" s="1908">
        <f ca="1">IF(ENTRADAS!$O$1252="J",IF(AND(I176+$D$213&gt;=$E$205,I176+$D$213&lt;=$E$206),10,0),IF(AND(I176+$D$213+2&gt;=$E$205,I176+$D$213+2&lt;=$E$206),10,0))</f>
        <v>0</v>
      </c>
      <c r="J205" s="1908">
        <f ca="1">IF(ENTRADAS!$O$1252="J",IF(AND(J176+$D$213&gt;=$E$205,J176+$D$213&lt;=$E$206),10,0),IF(AND(J176+$D$213+2&gt;=$E$205,J176+$D$213+2&lt;=$E$206),10,0))</f>
        <v>0</v>
      </c>
      <c r="K205" s="1908">
        <f ca="1">IF(ENTRADAS!$O$1252="J",IF(AND(K176+$D$213&gt;=$E$205,K176+$D$213&lt;=$E$206),10,0),IF(AND(K176+$D$213+2&gt;=$E$205,K176+$D$213+2&lt;=$E$206),10,0))</f>
        <v>0</v>
      </c>
      <c r="L205" s="1908">
        <f ca="1">IF(ENTRADAS!$O$1252="J",IF(AND(L176+$D$213&gt;=$E$205,L176+$D$213&lt;=$E$206),10,0),IF(AND(L176+$D$213+2&gt;=$E$205,L176+$D$213+2&lt;=$E$206),10,0))</f>
        <v>0</v>
      </c>
      <c r="M205" s="1908">
        <f ca="1">IF(ENTRADAS!$O$1252="J",IF(AND(M176+$D$213&gt;=$E$205,M176+$D$213&lt;=$E$206),10,0),IF(AND(M176+$D$213+2&gt;=$E$205,M176+$D$213+2&lt;=$E$206),10,0))</f>
        <v>0</v>
      </c>
      <c r="N205" s="1908">
        <f ca="1">IF(ENTRADAS!$O$1252="J",IF(AND(N176+$D$213&gt;=$E$205,N176+$D$213&lt;=$E$206),10,0),IF(AND(N176+$D$213+2&gt;=$E$205,N176+$D$213+2&lt;=$E$206),10,0))</f>
        <v>0</v>
      </c>
      <c r="O205" s="1907">
        <f ca="1">IF(ENTRADAS!$O$1252="J",IF(AND(O176+$D$213&gt;=$E$205,O176+$D$213&lt;=$E$206),10,0),IF(AND(O176+$D$213+2&gt;=$E$205,O176+$D$213+2&lt;=$E$206),10,0))</f>
        <v>0</v>
      </c>
      <c r="P205" s="1908">
        <f ca="1">IF(ENTRADAS!$O$1252="J",IF(AND(P176+$D$213&gt;=$E$205,P176+$D$213&lt;=$E$206),10,0),IF(AND(P176+$D$213+2&gt;=$E$205,P176+$D$213+2&lt;=$E$206),10,0))</f>
        <v>0</v>
      </c>
      <c r="Q205" s="1908">
        <f ca="1">IF(ENTRADAS!$O$1252="J",IF(AND(Q176+$D$213&gt;=$E$205,Q176+$D$213&lt;=$E$206),10,0),IF(AND(Q176+$D$213+2&gt;=$E$205,Q176+$D$213+2&lt;=$E$206),10,0))</f>
        <v>0</v>
      </c>
      <c r="R205" s="1908">
        <f ca="1">IF(ENTRADAS!$O$1252="J",IF(AND(R176+$D$213&gt;=$E$205,R176+$D$213&lt;=$E$206),10,0),IF(AND(R176+$D$213+2&gt;=$E$205,R176+$D$213+2&lt;=$E$206),10,0))</f>
        <v>0</v>
      </c>
      <c r="S205" s="1908">
        <f ca="1">IF(ENTRADAS!$O$1252="J",IF(AND(S176+$D$213&gt;=$E$205,S176+$D$213&lt;=$E$206),10,0),IF(AND(S176+$D$213+2&gt;=$E$205,S176+$D$213+2&lt;=$E$206),10,0))</f>
        <v>0</v>
      </c>
      <c r="T205" s="1908">
        <f ca="1">IF(ENTRADAS!$O$1252="J",IF(AND(T176+$D$213&gt;=$E$205,T176+$D$213&lt;=$E$206),10,0),IF(AND(T176+$D$213+2&gt;=$E$205,T176+$D$213+2&lt;=$E$206),10,0))</f>
        <v>0</v>
      </c>
      <c r="U205" s="1908">
        <f ca="1">IF(ENTRADAS!$O$1252="J",IF(AND(U176+$D$213&gt;=$E$205,U176+$D$213&lt;=$E$206),10,0),IF(AND(U176+$D$213+2&gt;=$E$205,U176+$D$213+2&lt;=$E$206),10,0))</f>
        <v>0</v>
      </c>
      <c r="V205" s="1907">
        <f ca="1">IF(ENTRADAS!$O$1252="J",IF(AND(V176+$D$213&gt;=$E$205,V176+$D$213&lt;=$E$206),10,0),IF(AND(V176+$D$213+2&gt;=$E$205,V176+$D$213+2&lt;=$E$206),10,0))</f>
        <v>0</v>
      </c>
      <c r="W205" s="1908">
        <f ca="1">IF(ENTRADAS!$O$1252="J",IF(AND(W176+$D$213&gt;=$E$205,W176+$D$213&lt;=$E$206),10,0),IF(AND(W176+$D$213+2&gt;=$E$205,W176+$D$213+2&lt;=$E$206),10,0))</f>
        <v>0</v>
      </c>
      <c r="X205" s="1908">
        <f ca="1">IF(ENTRADAS!$O$1252="J",IF(AND(X176+$D$213&gt;=$E$205,X176+$D$213&lt;=$E$206),10,0),IF(AND(X176+$D$213+2&gt;=$E$205,X176+$D$213+2&lt;=$E$206),10,0))</f>
        <v>0</v>
      </c>
      <c r="Y205" s="1908">
        <f ca="1">IF(ENTRADAS!$O$1252="J",IF(AND(Y176+$D$213&gt;=$E$205,Y176+$D$213&lt;=$E$206),10,0),IF(AND(Y176+$D$213+2&gt;=$E$205,Y176+$D$213+2&lt;=$E$206),10,0))</f>
        <v>0</v>
      </c>
      <c r="Z205" s="1908">
        <f ca="1">IF(ENTRADAS!$O$1252="J",IF(AND(Z176+$D$213&gt;=$E$205,Z176+$D$213&lt;=$E$206),10,0),IF(AND(Z176+$D$213+2&gt;=$E$205,Z176+$D$213+2&lt;=$E$206),10,0))</f>
        <v>0</v>
      </c>
      <c r="AA205" s="1908">
        <f ca="1">IF(ENTRADAS!$O$1252="J",IF(AND(AA176+$D$213&gt;=$E$205,AA176+$D$213&lt;=$E$206),10,0),IF(AND(AA176+$D$213+2&gt;=$E$205,AA176+$D$213+2&lt;=$E$206),10,0))</f>
        <v>0</v>
      </c>
      <c r="AB205" s="1908">
        <f ca="1">IF(ENTRADAS!$O$1252="J",IF(AND(AB176+$D$213&gt;=$E$205,AB176+$D$213&lt;=$E$206),10,0),IF(AND(AB176+$D$213+2&gt;=$E$205,AB176+$D$213+2&lt;=$E$206),10,0))</f>
        <v>0</v>
      </c>
      <c r="AC205" s="1907">
        <f ca="1">IF(ENTRADAS!$O$1252="J",IF(AND(AC176+$D$213&gt;=$E$205,AC176+$D$213&lt;=$E$206),10,0),IF(AND(AC176+$D$213+2&gt;=$E$205,AC176+$D$213+2&lt;=$E$206),10,0))</f>
        <v>0</v>
      </c>
      <c r="AD205" s="1908">
        <f ca="1">IF(ENTRADAS!$O$1252="J",IF(AND(AD176+$D$213&gt;=$E$205,AD176+$D$213&lt;=$E$206),10,0),IF(AND(AD176+$D$213+2&gt;=$E$205,AD176+$D$213+2&lt;=$E$206),10,0))</f>
        <v>0</v>
      </c>
      <c r="AE205" s="1908">
        <f ca="1">IF(ENTRADAS!$O$1252="J",IF(AND(AE176+$D$213&gt;=$E$205,AE176+$D$213&lt;=$E$206),10,0),IF(AND(AE176+$D$213+2&gt;=$E$205,AE176+$D$213+2&lt;=$E$206),10,0))</f>
        <v>0</v>
      </c>
      <c r="AF205" s="1908">
        <f ca="1">IF(ENTRADAS!$O$1252="J",IF(AND(AF176+$D$213&gt;=$E$205,AF176+$D$213&lt;=$E$206),10,0),IF(AND(AF176+$D$213+2&gt;=$E$205,AF176+$D$213+2&lt;=$E$206),10,0))</f>
        <v>0</v>
      </c>
      <c r="AG205" s="1908">
        <f ca="1">IF(ENTRADAS!$O$1252="J",IF(AND(AG176+$D$213&gt;=$E$205,AG176+$D$213&lt;=$E$206),10,0),IF(AND(AG176+$D$213+2&gt;=$E$205,AG176+$D$213+2&lt;=$E$206),10,0))</f>
        <v>0</v>
      </c>
      <c r="AH205" s="1908">
        <f ca="1">IF(ENTRADAS!$O$1252="J",IF(AND(AH176+$D$213&gt;=$E$205,AH176+$D$213&lt;=$E$206),10,0),IF(AND(AH176+$D$213+2&gt;=$E$205,AH176+$D$213+2&lt;=$E$206),10,0))</f>
        <v>0</v>
      </c>
      <c r="AI205" s="1908">
        <f ca="1">IF(ENTRADAS!$O$1252="J",IF(AND(AI176+$D$213&gt;=$E$205,AI176+$D$213&lt;=$E$206),10,0),IF(AND(AI176+$D$213+2&gt;=$E$205,AI176+$D$213+2&lt;=$E$206),10,0))</f>
        <v>0</v>
      </c>
      <c r="AJ205" s="1907">
        <f ca="1">IF(ENTRADAS!$O$1252="J",IF(AND(AJ176+$D$213&gt;=$E$205,AJ176+$D$213&lt;=$E$206),10,0),IF(AND(AJ176+$D$213+2&gt;=$E$205,AJ176+$D$213+2&lt;=$E$206),10,0))</f>
        <v>0</v>
      </c>
      <c r="AK205" s="1908">
        <f ca="1">IF(ENTRADAS!$O$1252="J",IF(AND(AK176+$D$213&gt;=$E$205,AK176+$D$213&lt;=$E$206),10,0),IF(AND(AK176+$D$213+2&gt;=$E$205,AK176+$D$213+2&lt;=$E$206),10,0))</f>
        <v>0</v>
      </c>
      <c r="AL205" s="1908">
        <f ca="1">IF(ENTRADAS!$O$1252="J",IF(AND(AL176+$D$213&gt;=$E$205,AL176+$D$213&lt;=$E$206),10,0),IF(AND(AL176+$D$213+2&gt;=$E$205,AL176+$D$213+2&lt;=$E$206),10,0))</f>
        <v>0</v>
      </c>
      <c r="AM205" s="1908">
        <f ca="1">IF(ENTRADAS!$O$1252="J",IF(AND(AM176+$D$213&gt;=$E$205,AM176+$D$213&lt;=$E$206),10,0),IF(AND(AM176+$D$213+2&gt;=$E$205,AM176+$D$213+2&lt;=$E$206),10,0))</f>
        <v>0</v>
      </c>
      <c r="AN205" s="1908">
        <f ca="1">IF(ENTRADAS!$O$1252="J",IF(AND(AN176+$D$213&gt;=$E$205,AN176+$D$213&lt;=$E$206),10,0),IF(AND(AN176+$D$213+2&gt;=$E$205,AN176+$D$213+2&lt;=$E$206),10,0))</f>
        <v>0</v>
      </c>
      <c r="AO205" s="1908">
        <f ca="1">IF(ENTRADAS!$O$1252="J",IF(AND(AO176+$D$213&gt;=$E$205,AO176+$D$213&lt;=$E$206),10,0),IF(AND(AO176+$D$213+2&gt;=$E$205,AO176+$D$213+2&lt;=$E$206),10,0))</f>
        <v>0</v>
      </c>
      <c r="AP205" s="1908">
        <f ca="1">IF(ENTRADAS!$O$1252="J",IF(AND(AP176+$D$213&gt;=$E$205,AP176+$D$213&lt;=$E$206),10,0),IF(AND(AP176+$D$213+2&gt;=$E$205,AP176+$D$213+2&lt;=$E$206),10,0))</f>
        <v>0</v>
      </c>
      <c r="AQ205" s="1907">
        <f ca="1">IF(ENTRADAS!$O$1252="J",IF(AND(AQ176+$D$213&gt;=$E$205,AQ176+$D$213&lt;=$E$206),10,0),IF(AND(AQ176+$D$213+2&gt;=$E$205,AQ176+$D$213+2&lt;=$E$206),10,0))</f>
        <v>0</v>
      </c>
      <c r="AR205" s="1908">
        <f ca="1">IF(ENTRADAS!$O$1252="J",IF(AND(AR176+$D$213&gt;=$E$205,AR176+$D$213&lt;=$E$206),10,0),IF(AND(AR176+$D$213+2&gt;=$E$205,AR176+$D$213+2&lt;=$E$206),10,0))</f>
        <v>0</v>
      </c>
      <c r="AS205" s="1908">
        <f ca="1">IF(ENTRADAS!$O$1252="J",IF(AND(AS176+$D$213&gt;=$E$205,AS176+$D$213&lt;=$E$206),10,0),IF(AND(AS176+$D$213+2&gt;=$E$205,AS176+$D$213+2&lt;=$E$206),10,0))</f>
        <v>0</v>
      </c>
      <c r="AT205" s="1908">
        <f ca="1">IF(ENTRADAS!$O$1252="J",IF(AND(AT176+$D$213&gt;=$E$205,AT176+$D$213&lt;=$E$206),10,0),IF(AND(AT176+$D$213+2&gt;=$E$205,AT176+$D$213+2&lt;=$E$206),10,0))</f>
        <v>0</v>
      </c>
      <c r="AU205" s="1908">
        <f ca="1">IF(ENTRADAS!$O$1252="J",IF(AND(AU176+$D$213&gt;=$E$205,AU176+$D$213&lt;=$E$206),10,0),IF(AND(AU176+$D$213+2&gt;=$E$205,AU176+$D$213+2&lt;=$E$206),10,0))</f>
        <v>0</v>
      </c>
      <c r="AV205" s="1908">
        <f ca="1">IF(ENTRADAS!$O$1252="J",IF(AND(AV176+$D$213&gt;=$E$205,AV176+$D$213&lt;=$E$206),10,0),IF(AND(AV176+$D$213+2&gt;=$E$205,AV176+$D$213+2&lt;=$E$206),10,0))</f>
        <v>0</v>
      </c>
      <c r="AW205" s="1908">
        <f ca="1">IF(ENTRADAS!$O$1252="J",IF(AND(AW176+$D$213&gt;=$E$205,AW176+$D$213&lt;=$E$206),10,0),IF(AND(AW176+$D$213+2&gt;=$E$205,AW176+$D$213+2&lt;=$E$206),10,0))</f>
        <v>0</v>
      </c>
      <c r="AX205" s="1907">
        <f ca="1">IF(ENTRADAS!$O$1252="J",IF(AND(AX176+$D$213&gt;=$E$205,AX176+$D$213&lt;=$E$206),10,0),IF(AND(AX176+$D$213+2&gt;=$E$205,AX176+$D$213+2&lt;=$E$206),10,0))</f>
        <v>0</v>
      </c>
      <c r="AY205" s="1908">
        <f ca="1">IF(ENTRADAS!$O$1252="J",IF(AND(AY176+$D$213&gt;=$E$205,AY176+$D$213&lt;=$E$206),10,0),IF(AND(AY176+$D$213+2&gt;=$E$205,AY176+$D$213+2&lt;=$E$206),10,0))</f>
        <v>0</v>
      </c>
      <c r="AZ205" s="1908">
        <f ca="1">IF(ENTRADAS!$O$1252="J",IF(AND(AZ176+$D$213&gt;=$E$205,AZ176+$D$213&lt;=$E$206),10,0),IF(AND(AZ176+$D$213+2&gt;=$E$205,AZ176+$D$213+2&lt;=$E$206),10,0))</f>
        <v>0</v>
      </c>
      <c r="BA205" s="1908">
        <f ca="1">IF(ENTRADAS!$O$1252="J",IF(AND(BA176+$D$213&gt;=$E$205,BA176+$D$213&lt;=$E$206),10,0),IF(AND(BA176+$D$213+2&gt;=$E$205,BA176+$D$213+2&lt;=$E$206),10,0))</f>
        <v>0</v>
      </c>
      <c r="BB205" s="1908">
        <f ca="1">IF(ENTRADAS!$O$1252="J",IF(AND(BB176+$D$213&gt;=$E$205,BB176+$D$213&lt;=$E$206),10,0),IF(AND(BB176+$D$213+2&gt;=$E$205,BB176+$D$213+2&lt;=$E$206),10,0))</f>
        <v>0</v>
      </c>
      <c r="BC205" s="1908">
        <f ca="1">IF(ENTRADAS!$O$1252="J",IF(AND(BC176+$D$213&gt;=$E$205,BC176+$D$213&lt;=$E$206),10,0),IF(AND(BC176+$D$213+2&gt;=$E$205,BC176+$D$213+2&lt;=$E$206),10,0))</f>
        <v>0</v>
      </c>
      <c r="BD205" s="1908">
        <f ca="1">IF(ENTRADAS!$O$1252="J",IF(AND(BD176+$D$213&gt;=$E$205,BD176+$D$213&lt;=$E$206),10,0),IF(AND(BD176+$D$213+2&gt;=$E$205,BD176+$D$213+2&lt;=$E$206),10,0))</f>
        <v>0</v>
      </c>
      <c r="BE205" s="1907">
        <f ca="1">IF(ENTRADAS!$O$1252="J",IF(AND(BE176+$D$213&gt;=$E$205,BE176+$D$213&lt;=$E$206),10,0),IF(AND(BE176+$D$213+2&gt;=$E$205,BE176+$D$213+2&lt;=$E$206),10,0))</f>
        <v>0</v>
      </c>
      <c r="BF205" s="1908">
        <f ca="1">IF(ENTRADAS!$O$1252="J",IF(AND(BF176+$D$213&gt;=$E$205,BF176+$D$213&lt;=$E$206),10,0),IF(AND(BF176+$D$213+2&gt;=$E$205,BF176+$D$213+2&lt;=$E$206),10,0))</f>
        <v>0</v>
      </c>
      <c r="BG205" s="1908">
        <f ca="1">IF(ENTRADAS!$O$1252="J",IF(AND(BG176+$D$213&gt;=$E$205,BG176+$D$213&lt;=$E$206),10,0),IF(AND(BG176+$D$213+2&gt;=$E$205,BG176+$D$213+2&lt;=$E$206),10,0))</f>
        <v>0</v>
      </c>
      <c r="BH205" s="1908">
        <f ca="1">IF(ENTRADAS!$O$1252="J",IF(AND(BH176+$D$213&gt;=$E$205,BH176+$D$213&lt;=$E$206),10,0),IF(AND(BH176+$D$213+2&gt;=$E$205,BH176+$D$213+2&lt;=$E$206),10,0))</f>
        <v>0</v>
      </c>
      <c r="BI205" s="1908">
        <f ca="1">IF(ENTRADAS!$O$1252="J",IF(AND(BI176+$D$213&gt;=$E$205,BI176+$D$213&lt;=$E$206),10,0),IF(AND(BI176+$D$213+2&gt;=$E$205,BI176+$D$213+2&lt;=$E$206),10,0))</f>
        <v>0</v>
      </c>
      <c r="BJ205" s="1908">
        <f ca="1">IF(ENTRADAS!$O$1252="J",IF(AND(BJ176+$D$213&gt;=$E$205,BJ176+$D$213&lt;=$E$206),10,0),IF(AND(BJ176+$D$213+2&gt;=$E$205,BJ176+$D$213+2&lt;=$E$206),10,0))</f>
        <v>0</v>
      </c>
      <c r="BK205" s="1908">
        <f ca="1">IF(ENTRADAS!$O$1252="J",IF(AND(BK176+$D$213&gt;=$E$205,BK176+$D$213&lt;=$E$206),10,0),IF(AND(BK176+$D$213+2&gt;=$E$205,BK176+$D$213+2&lt;=$E$206),10,0))</f>
        <v>0</v>
      </c>
      <c r="BL205" s="1907">
        <f ca="1">IF(ENTRADAS!$O$1252="J",IF(AND(BL176+$D$213&gt;=$E$205,BL176+$D$213&lt;=$E$206),10,0),IF(AND(BL176+$D$213+2&gt;=$E$205,BL176+$D$213+2&lt;=$E$206),10,0))</f>
        <v>0</v>
      </c>
      <c r="BM205" s="1908">
        <f ca="1">IF(ENTRADAS!$O$1252="J",IF(AND(BM176+$D$213&gt;=$E$205,BM176+$D$213&lt;=$E$206),10,0),IF(AND(BM176+$D$213+2&gt;=$E$205,BM176+$D$213+2&lt;=$E$206),10,0))</f>
        <v>0</v>
      </c>
      <c r="BN205" s="1908">
        <f ca="1">IF(ENTRADAS!$O$1252="J",IF(AND(BN176+$D$213&gt;=$E$205,BN176+$D$213&lt;=$E$206),10,0),IF(AND(BN176+$D$213+2&gt;=$E$205,BN176+$D$213+2&lt;=$E$206),10,0))</f>
        <v>0</v>
      </c>
      <c r="BO205" s="1908">
        <f ca="1">IF(ENTRADAS!$O$1252="J",IF(AND(BO176+$D$213&gt;=$E$205,BO176+$D$213&lt;=$E$206),10,0),IF(AND(BO176+$D$213+2&gt;=$E$205,BO176+$D$213+2&lt;=$E$206),10,0))</f>
        <v>0</v>
      </c>
      <c r="BP205" s="1908">
        <f ca="1">IF(ENTRADAS!$O$1252="J",IF(AND(BP176+$D$213&gt;=$E$205,BP176+$D$213&lt;=$E$206),10,0),IF(AND(BP176+$D$213+2&gt;=$E$205,BP176+$D$213+2&lt;=$E$206),10,0))</f>
        <v>0</v>
      </c>
      <c r="BQ205" s="1908">
        <f ca="1">IF(ENTRADAS!$O$1252="J",IF(AND(BQ176+$D$213&gt;=$E$205,BQ176+$D$213&lt;=$E$206),10,0),IF(AND(BQ176+$D$213+2&gt;=$E$205,BQ176+$D$213+2&lt;=$E$206),10,0))</f>
        <v>0</v>
      </c>
      <c r="BR205" s="1908">
        <f ca="1">IF(ENTRADAS!$O$1252="J",IF(AND(BR176+$D$213&gt;=$E$205,BR176+$D$213&lt;=$E$206),10,0),IF(AND(BR176+$D$213+2&gt;=$E$205,BR176+$D$213+2&lt;=$E$206),10,0))</f>
        <v>0</v>
      </c>
      <c r="BS205" s="1907">
        <f ca="1">IF(ENTRADAS!$O$1252="J",IF(AND(BS176+$D$213&gt;=$E$205,BS176+$D$213&lt;=$E$206),10,0),IF(AND(BS176+$D$213+2&gt;=$E$205,BS176+$D$213+2&lt;=$E$206),10,0))</f>
        <v>0</v>
      </c>
      <c r="BT205" s="1908">
        <f ca="1">IF(ENTRADAS!$O$1252="J",IF(AND(BT176+$D$213&gt;=$E$205,BT176+$D$213&lt;=$E$206),10,0),IF(AND(BT176+$D$213+2&gt;=$E$205,BT176+$D$213+2&lt;=$E$206),10,0))</f>
        <v>0</v>
      </c>
      <c r="BU205" s="1908">
        <f ca="1">IF(ENTRADAS!$O$1252="J",IF(AND(BU176+$D$213&gt;=$E$205,BU176+$D$213&lt;=$E$206),10,0),IF(AND(BU176+$D$213+2&gt;=$E$205,BU176+$D$213+2&lt;=$E$206),10,0))</f>
        <v>0</v>
      </c>
      <c r="BV205" s="1908">
        <f ca="1">IF(ENTRADAS!$O$1252="J",IF(AND(BV176+$D$213&gt;=$E$205,BV176+$D$213&lt;=$E$206),10,0),IF(AND(BV176+$D$213+2&gt;=$E$205,BV176+$D$213+2&lt;=$E$206),10,0))</f>
        <v>0</v>
      </c>
      <c r="BW205" s="1908">
        <f ca="1">IF(ENTRADAS!$O$1252="J",IF(AND(BW176+$D$213&gt;=$E$205,BW176+$D$213&lt;=$E$206),10,0),IF(AND(BW176+$D$213+2&gt;=$E$205,BW176+$D$213+2&lt;=$E$206),10,0))</f>
        <v>0</v>
      </c>
      <c r="BX205" s="1908">
        <f ca="1">IF(ENTRADAS!$O$1252="J",IF(AND(BX176+$D$213&gt;=$E$205,BX176+$D$213&lt;=$E$206),10,0),IF(AND(BX176+$D$213+2&gt;=$E$205,BX176+$D$213+2&lt;=$E$206),10,0))</f>
        <v>0</v>
      </c>
      <c r="BY205" s="1908">
        <f ca="1">IF(ENTRADAS!$O$1252="J",IF(AND(BY176+$D$213&gt;=$E$205,BY176+$D$213&lt;=$E$206),10,0),IF(AND(BY176+$D$213+2&gt;=$E$205,BY176+$D$213+2&lt;=$E$206),10,0))</f>
        <v>0</v>
      </c>
      <c r="BZ205" s="1907">
        <f ca="1">IF(ENTRADAS!$O$1252="J",IF(AND(BZ176+$D$213&gt;=$E$205,BZ176+$D$213&lt;=$E$206),10,0),IF(AND(BZ176+$D$213+2&gt;=$E$205,BZ176+$D$213+2&lt;=$E$206),10,0))</f>
        <v>0</v>
      </c>
      <c r="CA205" s="1908">
        <f ca="1">IF(ENTRADAS!$O$1252="J",IF(AND(CA176+$D$213&gt;=$E$205,CA176+$D$213&lt;=$E$206),10,0),IF(AND(CA176+$D$213+2&gt;=$E$205,CA176+$D$213+2&lt;=$E$206),10,0))</f>
        <v>0</v>
      </c>
      <c r="CB205" s="1908">
        <f ca="1">IF(ENTRADAS!$O$1252="J",IF(AND(CB176+$D$213&gt;=$E$205,CB176+$D$213&lt;=$E$206),10,0),IF(AND(CB176+$D$213+2&gt;=$E$205,CB176+$D$213+2&lt;=$E$206),10,0))</f>
        <v>0</v>
      </c>
      <c r="CC205" s="1908">
        <f ca="1">IF(ENTRADAS!$O$1252="J",IF(AND(CC176+$D$213&gt;=$E$205,CC176+$D$213&lt;=$E$206),10,0),IF(AND(CC176+$D$213+2&gt;=$E$205,CC176+$D$213+2&lt;=$E$206),10,0))</f>
        <v>0</v>
      </c>
      <c r="CD205" s="1908">
        <f ca="1">IF(ENTRADAS!$O$1252="J",IF(AND(CD176+$D$213&gt;=$E$205,CD176+$D$213&lt;=$E$206),10,0),IF(AND(CD176+$D$213+2&gt;=$E$205,CD176+$D$213+2&lt;=$E$206),10,0))</f>
        <v>0</v>
      </c>
      <c r="CE205" s="1908">
        <f ca="1">IF(ENTRADAS!$O$1252="J",IF(AND(CE176+$D$213&gt;=$E$205,CE176+$D$213&lt;=$E$206),10,0),IF(AND(CE176+$D$213+2&gt;=$E$205,CE176+$D$213+2&lt;=$E$206),10,0))</f>
        <v>0</v>
      </c>
      <c r="CF205" s="1908">
        <f ca="1">IF(ENTRADAS!$O$1252="J",IF(AND(CF176+$D$213&gt;=$E$205,CF176+$D$213&lt;=$E$206),10,0),IF(AND(CF176+$D$213+2&gt;=$E$205,CF176+$D$213+2&lt;=$E$206),10,0))</f>
        <v>0</v>
      </c>
      <c r="CG205" s="1907">
        <f ca="1">IF(ENTRADAS!$O$1252="J",IF(AND(CG176+$D$213&gt;=$E$205,CG176+$D$213&lt;=$E$206),10,0),IF(AND(CG176+$D$213+2&gt;=$E$205,CG176+$D$213+2&lt;=$E$206),10,0))</f>
        <v>0</v>
      </c>
      <c r="CH205" s="1908">
        <f ca="1">IF(ENTRADAS!$O$1252="J",IF(AND(CH176+$D$213&gt;=$E$205,CH176+$D$213&lt;=$E$206),10,0),IF(AND(CH176+$D$213+2&gt;=$E$205,CH176+$D$213+2&lt;=$E$206),10,0))</f>
        <v>0</v>
      </c>
      <c r="CI205" s="1908">
        <f ca="1">IF(ENTRADAS!$O$1252="J",IF(AND(CI176+$D$213&gt;=$E$205,CI176+$D$213&lt;=$E$206),10,0),IF(AND(CI176+$D$213+2&gt;=$E$205,CI176+$D$213+2&lt;=$E$206),10,0))</f>
        <v>0</v>
      </c>
      <c r="CJ205" s="1908">
        <f ca="1">IF(ENTRADAS!$O$1252="J",IF(AND(CJ176+$D$213&gt;=$E$205,CJ176+$D$213&lt;=$E$206),10,0),IF(AND(CJ176+$D$213+2&gt;=$E$205,CJ176+$D$213+2&lt;=$E$206),10,0))</f>
        <v>0</v>
      </c>
      <c r="CK205" s="1908">
        <f ca="1">IF(ENTRADAS!$O$1252="J",IF(AND(CK176+$D$213&gt;=$E$205,CK176+$D$213&lt;=$E$206),10,0),IF(AND(CK176+$D$213+2&gt;=$E$205,CK176+$D$213+2&lt;=$E$206),10,0))</f>
        <v>0</v>
      </c>
      <c r="CL205" s="1908">
        <f ca="1">IF(ENTRADAS!$O$1252="J",IF(AND(CL176+$D$213&gt;=$E$205,CL176+$D$213&lt;=$E$206),10,0),IF(AND(CL176+$D$213+2&gt;=$E$205,CL176+$D$213+2&lt;=$E$206),10,0))</f>
        <v>0</v>
      </c>
      <c r="CM205" s="1908">
        <f ca="1">IF(ENTRADAS!$O$1252="J",IF(AND(CM176+$D$213&gt;=$E$205,CM176+$D$213&lt;=$E$206),10,0),IF(AND(CM176+$D$213+2&gt;=$E$205,CM176+$D$213+2&lt;=$E$206),10,0))</f>
        <v>0</v>
      </c>
      <c r="CN205" s="1907">
        <f ca="1">IF(ENTRADAS!$O$1252="J",IF(AND(CN176+$D$213&gt;=$E$205,CN176+$D$213&lt;=$E$206),10,0),IF(AND(CN176+$D$213+2&gt;=$E$205,CN176+$D$213+2&lt;=$E$206),10,0))</f>
        <v>0</v>
      </c>
      <c r="CO205" s="1908">
        <f ca="1">IF(ENTRADAS!$O$1252="J",IF(AND(CO176+$D$213&gt;=$E$205,CO176+$D$213&lt;=$E$206),10,0),IF(AND(CO176+$D$213+2&gt;=$E$205,CO176+$D$213+2&lt;=$E$206),10,0))</f>
        <v>0</v>
      </c>
      <c r="CP205" s="1908">
        <f ca="1">IF(ENTRADAS!$O$1252="J",IF(AND(CP176+$D$213&gt;=$E$205,CP176+$D$213&lt;=$E$206),10,0),IF(AND(CP176+$D$213+2&gt;=$E$205,CP176+$D$213+2&lt;=$E$206),10,0))</f>
        <v>0</v>
      </c>
      <c r="CQ205" s="1908">
        <f ca="1">IF(ENTRADAS!$O$1252="J",IF(AND(CQ176+$D$213&gt;=$E$205,CQ176+$D$213&lt;=$E$206),10,0),IF(AND(CQ176+$D$213+2&gt;=$E$205,CQ176+$D$213+2&lt;=$E$206),10,0))</f>
        <v>0</v>
      </c>
      <c r="CR205" s="1908">
        <f ca="1">IF(ENTRADAS!$O$1252="J",IF(AND(CR176+$D$213&gt;=$E$205,CR176+$D$213&lt;=$E$206),10,0),IF(AND(CR176+$D$213+2&gt;=$E$205,CR176+$D$213+2&lt;=$E$206),10,0))</f>
        <v>0</v>
      </c>
      <c r="CS205" s="1908">
        <f ca="1">IF(ENTRADAS!$O$1252="J",IF(AND(CS176+$D$213&gt;=$E$205,CS176+$D$213&lt;=$E$206),10,0),IF(AND(CS176+$D$213+2&gt;=$E$205,CS176+$D$213+2&lt;=$E$206),10,0))</f>
        <v>0</v>
      </c>
      <c r="CT205" s="1908">
        <f ca="1">IF(ENTRADAS!$O$1252="J",IF(AND(CT176+$D$213&gt;=$E$205,CT176+$D$213&lt;=$E$206),10,0),IF(AND(CT176+$D$213+2&gt;=$E$205,CT176+$D$213+2&lt;=$E$206),10,0))</f>
        <v>0</v>
      </c>
      <c r="CU205" s="1907">
        <f ca="1">IF(ENTRADAS!$O$1252="J",IF(AND(CU176+$D$213&gt;=$E$205,CU176+$D$213&lt;=$E$206),10,0),IF(AND(CU176+$D$213+2&gt;=$E$205,CU176+$D$213+2&lt;=$E$206),10,0))</f>
        <v>0</v>
      </c>
      <c r="CV205" s="1908">
        <f ca="1">IF(ENTRADAS!$O$1252="J",IF(AND(CV176+$D$213&gt;=$E$205,CV176+$D$213&lt;=$E$206),10,0),IF(AND(CV176+$D$213+2&gt;=$E$205,CV176+$D$213+2&lt;=$E$206),10,0))</f>
        <v>0</v>
      </c>
      <c r="CW205" s="1908">
        <f ca="1">IF(ENTRADAS!$O$1252="J",IF(AND(CW176+$D$213&gt;=$E$205,CW176+$D$213&lt;=$E$206),10,0),IF(AND(CW176+$D$213+2&gt;=$E$205,CW176+$D$213+2&lt;=$E$206),10,0))</f>
        <v>0</v>
      </c>
      <c r="CX205" s="1908">
        <f ca="1">IF(ENTRADAS!$O$1252="J",IF(AND(CX176+$D$213&gt;=$E$205,CX176+$D$213&lt;=$E$206),10,0),IF(AND(CX176+$D$213+2&gt;=$E$205,CX176+$D$213+2&lt;=$E$206),10,0))</f>
        <v>0</v>
      </c>
      <c r="CY205" s="1908">
        <f ca="1">IF(ENTRADAS!$O$1252="J",IF(AND(CY176+$D$213&gt;=$E$205,CY176+$D$213&lt;=$E$206),10,0),IF(AND(CY176+$D$213+2&gt;=$E$205,CY176+$D$213+2&lt;=$E$206),10,0))</f>
        <v>0</v>
      </c>
      <c r="CZ205" s="1908">
        <f ca="1">IF(ENTRADAS!$O$1252="J",IF(AND(CZ176+$D$213&gt;=$E$205,CZ176+$D$213&lt;=$E$206),10,0),IF(AND(CZ176+$D$213+2&gt;=$E$205,CZ176+$D$213+2&lt;=$E$206),10,0))</f>
        <v>0</v>
      </c>
      <c r="DA205" s="1908">
        <f ca="1">IF(ENTRADAS!$O$1252="J",IF(AND(DA176+$D$213&gt;=$E$205,DA176+$D$213&lt;=$E$206),10,0),IF(AND(DA176+$D$213+2&gt;=$E$205,DA176+$D$213+2&lt;=$E$206),10,0))</f>
        <v>0</v>
      </c>
      <c r="DB205" s="1907">
        <f ca="1">IF(ENTRADAS!$O$1252="J",IF(AND(DB176+$D$213&gt;=$E$205,DB176+$D$213&lt;=$E$206),10,0),IF(AND(DB176+$D$213+2&gt;=$E$205,DB176+$D$213+2&lt;=$E$206),10,0))</f>
        <v>0</v>
      </c>
      <c r="DC205" s="1908">
        <f ca="1">IF(ENTRADAS!$O$1252="J",IF(AND(DC176+$D$213&gt;=$E$205,DC176+$D$213&lt;=$E$206),10,0),IF(AND(DC176+$D$213+2&gt;=$E$205,DC176+$D$213+2&lt;=$E$206),10,0))</f>
        <v>0</v>
      </c>
      <c r="DD205" s="1908">
        <f ca="1">IF(ENTRADAS!$O$1252="J",IF(AND(DD176+$D$213&gt;=$E$205,DD176+$D$213&lt;=$E$206),10,0),IF(AND(DD176+$D$213+2&gt;=$E$205,DD176+$D$213+2&lt;=$E$206),10,0))</f>
        <v>0</v>
      </c>
      <c r="DE205" s="1908">
        <f ca="1">IF(ENTRADAS!$O$1252="J",IF(AND(DE176+$D$213&gt;=$E$205,DE176+$D$213&lt;=$E$206),10,0),IF(AND(DE176+$D$213+2&gt;=$E$205,DE176+$D$213+2&lt;=$E$206),10,0))</f>
        <v>0</v>
      </c>
      <c r="DF205" s="1908">
        <f ca="1">IF(ENTRADAS!$O$1252="J",IF(AND(DF176+$D$213&gt;=$E$205,DF176+$D$213&lt;=$E$206),10,0),IF(AND(DF176+$D$213+2&gt;=$E$205,DF176+$D$213+2&lt;=$E$206),10,0))</f>
        <v>0</v>
      </c>
      <c r="DG205" s="1908">
        <f ca="1">IF(ENTRADAS!$O$1252="J",IF(AND(DG176+$D$213&gt;=$E$205,DG176+$D$213&lt;=$E$206),10,0),IF(AND(DG176+$D$213+2&gt;=$E$205,DG176+$D$213+2&lt;=$E$206),10,0))</f>
        <v>0</v>
      </c>
      <c r="DH205" s="1908">
        <f ca="1">IF(ENTRADAS!$O$1252="J",IF(AND(DH176+$D$213&gt;=$E$205,DH176+$D$213&lt;=$E$206),10,0),IF(AND(DH176+$D$213+2&gt;=$E$205,DH176+$D$213+2&lt;=$E$206),10,0))</f>
        <v>0</v>
      </c>
      <c r="DI205" s="1907">
        <f ca="1">IF(ENTRADAS!$O$1252="J",IF(AND(DI176+$D$213&gt;=$E$205,DI176+$D$213&lt;=$E$206),10,0),IF(AND(DI176+$D$213+2&gt;=$E$205,DI176+$D$213+2&lt;=$E$206),10,0))</f>
        <v>0</v>
      </c>
      <c r="DJ205" s="1908">
        <f ca="1">IF(ENTRADAS!$O$1252="J",IF(AND(DJ176+$D$213&gt;=$E$205,DJ176+$D$213&lt;=$E$206),10,0),IF(AND(DJ176+$D$213+2&gt;=$E$205,DJ176+$D$213+2&lt;=$E$206),10,0))</f>
        <v>0</v>
      </c>
      <c r="DK205" s="1908">
        <f ca="1">IF(ENTRADAS!$O$1252="J",IF(AND(DK176+$D$213&gt;=$E$205,DK176+$D$213&lt;=$E$206),10,0),IF(AND(DK176+$D$213+2&gt;=$E$205,DK176+$D$213+2&lt;=$E$206),10,0))</f>
        <v>0</v>
      </c>
      <c r="DL205" s="1908">
        <f ca="1">IF(ENTRADAS!$O$1252="J",IF(AND(DL176+$D$213&gt;=$E$205,DL176+$D$213&lt;=$E$206),10,0),IF(AND(DL176+$D$213+2&gt;=$E$205,DL176+$D$213+2&lt;=$E$206),10,0))</f>
        <v>0</v>
      </c>
      <c r="DM205" s="1908">
        <f ca="1">IF(ENTRADAS!$O$1252="J",IF(AND(DM176+$D$213&gt;=$E$205,DM176+$D$213&lt;=$E$206),10,0),IF(AND(DM176+$D$213+2&gt;=$E$205,DM176+$D$213+2&lt;=$E$206),10,0))</f>
        <v>0</v>
      </c>
      <c r="DN205" s="1908">
        <f ca="1">IF(ENTRADAS!$O$1252="J",IF(AND(DN176+$D$213&gt;=$E$205,DN176+$D$213&lt;=$E$206),10,0),IF(AND(DN176+$D$213+2&gt;=$E$205,DN176+$D$213+2&lt;=$E$206),10,0))</f>
        <v>0</v>
      </c>
      <c r="DO205" s="1908">
        <f ca="1">IF(ENTRADAS!$O$1252="J",IF(AND(DO176+$D$213&gt;=$E$205,DO176+$D$213&lt;=$E$206),10,0),IF(AND(DO176+$D$213+2&gt;=$E$205,DO176+$D$213+2&lt;=$E$206),10,0))</f>
        <v>0</v>
      </c>
      <c r="DP205" s="1907">
        <f ca="1">IF(ENTRADAS!$O$1252="J",IF(AND(DP176+$D$213&gt;=$E$205,DP176+$D$213&lt;=$E$206),10,0),IF(AND(DP176+$D$213+2&gt;=$E$205,DP176+$D$213+2&lt;=$E$206),10,0))</f>
        <v>0</v>
      </c>
      <c r="DQ205" s="1908">
        <f ca="1">IF(ENTRADAS!$O$1252="J",IF(AND(DQ176+$D$213&gt;=$E$205,DQ176+$D$213&lt;=$E$206),10,0),IF(AND(DQ176+$D$213+2&gt;=$E$205,DQ176+$D$213+2&lt;=$E$206),10,0))</f>
        <v>0</v>
      </c>
      <c r="DR205" s="1908">
        <f ca="1">IF(ENTRADAS!$O$1252="J",IF(AND(DR176+$D$213&gt;=$E$205,DR176+$D$213&lt;=$E$206),10,0),IF(AND(DR176+$D$213+2&gt;=$E$205,DR176+$D$213+2&lt;=$E$206),10,0))</f>
        <v>0</v>
      </c>
      <c r="DS205" s="1908">
        <f ca="1">IF(ENTRADAS!$O$1252="J",IF(AND(DS176+$D$213&gt;=$E$205,DS176+$D$213&lt;=$E$206),10,0),IF(AND(DS176+$D$213+2&gt;=$E$205,DS176+$D$213+2&lt;=$E$206),10,0))</f>
        <v>0</v>
      </c>
      <c r="DT205" s="1908">
        <f ca="1">IF(ENTRADAS!$O$1252="J",IF(AND(DT176+$D$213&gt;=$E$205,DT176+$D$213&lt;=$E$206),10,0),IF(AND(DT176+$D$213+2&gt;=$E$205,DT176+$D$213+2&lt;=$E$206),10,0))</f>
        <v>0</v>
      </c>
      <c r="DU205" s="1908">
        <f ca="1">IF(ENTRADAS!$O$1252="J",IF(AND(DU176+$D$213&gt;=$E$205,DU176+$D$213&lt;=$E$206),10,0),IF(AND(DU176+$D$213+2&gt;=$E$205,DU176+$D$213+2&lt;=$E$206),10,0))</f>
        <v>0</v>
      </c>
      <c r="DV205" s="1908">
        <f ca="1">IF(ENTRADAS!$O$1252="J",IF(AND(DV176+$D$213&gt;=$E$205,DV176+$D$213&lt;=$E$206),10,0),IF(AND(DV176+$D$213+2&gt;=$E$205,DV176+$D$213+2&lt;=$E$206),10,0))</f>
        <v>0</v>
      </c>
      <c r="DW205" s="1907">
        <f ca="1">IF(ENTRADAS!$O$1252="J",IF(AND(DW176+$D$213&gt;=$E$205,DW176+$D$213&lt;=$E$206),10,0),IF(AND(DW176+$D$213+2&gt;=$E$205,DW176+$D$213+2&lt;=$E$206),10,0))</f>
        <v>0</v>
      </c>
      <c r="DX205" s="1908">
        <f ca="1">IF(ENTRADAS!$O$1252="J",IF(AND(DX176+$D$213&gt;=$E$205,DX176+$D$213&lt;=$E$206),10,0),IF(AND(DX176+$D$213+2&gt;=$E$205,DX176+$D$213+2&lt;=$E$206),10,0))</f>
        <v>0</v>
      </c>
      <c r="DY205" s="1908">
        <f ca="1">IF(ENTRADAS!$O$1252="J",IF(AND(DY176+$D$213&gt;=$E$205,DY176+$D$213&lt;=$E$206),10,0),IF(AND(DY176+$D$213+2&gt;=$E$205,DY176+$D$213+2&lt;=$E$206),10,0))</f>
        <v>0</v>
      </c>
      <c r="DZ205" s="1908">
        <f ca="1">IF(ENTRADAS!$O$1252="J",IF(AND(DZ176+$D$213&gt;=$E$205,DZ176+$D$213&lt;=$E$206),10,0),IF(AND(DZ176+$D$213+2&gt;=$E$205,DZ176+$D$213+2&lt;=$E$206),10,0))</f>
        <v>0</v>
      </c>
      <c r="EA205" s="1908">
        <f ca="1">IF(ENTRADAS!$O$1252="J",IF(AND(EA176+$D$213&gt;=$E$205,EA176+$D$213&lt;=$E$206),10,0),IF(AND(EA176+$D$213+2&gt;=$E$205,EA176+$D$213+2&lt;=$E$206),10,0))</f>
        <v>0</v>
      </c>
      <c r="EB205" s="1908">
        <f ca="1">IF(ENTRADAS!$O$1252="J",IF(AND(EB176+$D$213&gt;=$E$205,EB176+$D$213&lt;=$E$206),10,0),IF(AND(EB176+$D$213+2&gt;=$E$205,EB176+$D$213+2&lt;=$E$206),10,0))</f>
        <v>0</v>
      </c>
      <c r="EC205" s="1908">
        <f ca="1">IF(ENTRADAS!$O$1252="J",IF(AND(EC176+$D$213&gt;=$E$205,EC176+$D$213&lt;=$E$206),10,0),IF(AND(EC176+$D$213+2&gt;=$E$205,EC176+$D$213+2&lt;=$E$206),10,0))</f>
        <v>0</v>
      </c>
      <c r="ED205" s="1907">
        <f ca="1">IF(ENTRADAS!$O$1252="J",IF(AND(ED176+$D$213&gt;=$E$205,ED176+$D$213&lt;=$E$206),10,0),IF(AND(ED176+$D$213+2&gt;=$E$205,ED176+$D$213+2&lt;=$E$206),10,0))</f>
        <v>0</v>
      </c>
      <c r="EE205" s="1908">
        <f ca="1">IF(ENTRADAS!$O$1252="J",IF(AND(EE176+$D$213&gt;=$E$205,EE176+$D$213&lt;=$E$206),10,0),IF(AND(EE176+$D$213+2&gt;=$E$205,EE176+$D$213+2&lt;=$E$206),10,0))</f>
        <v>0</v>
      </c>
      <c r="EF205" s="1908">
        <f ca="1">IF(ENTRADAS!$O$1252="J",IF(AND(EF176+$D$213&gt;=$E$205,EF176+$D$213&lt;=$E$206),10,0),IF(AND(EF176+$D$213+2&gt;=$E$205,EF176+$D$213+2&lt;=$E$206),10,0))</f>
        <v>0</v>
      </c>
      <c r="EG205" s="1908">
        <f ca="1">IF(ENTRADAS!$O$1252="J",IF(AND(EG176+$D$213&gt;=$E$205,EG176+$D$213&lt;=$E$206),10,0),IF(AND(EG176+$D$213+2&gt;=$E$205,EG176+$D$213+2&lt;=$E$206),10,0))</f>
        <v>0</v>
      </c>
      <c r="EH205" s="1908">
        <f ca="1">IF(ENTRADAS!$O$1252="J",IF(AND(EH176+$D$213&gt;=$E$205,EH176+$D$213&lt;=$E$206),10,0),IF(AND(EH176+$D$213+2&gt;=$E$205,EH176+$D$213+2&lt;=$E$206),10,0))</f>
        <v>0</v>
      </c>
      <c r="EI205" s="1908">
        <f ca="1">IF(ENTRADAS!$O$1252="J",IF(AND(EI176+$D$213&gt;=$E$205,EI176+$D$213&lt;=$E$206),10,0),IF(AND(EI176+$D$213+2&gt;=$E$205,EI176+$D$213+2&lt;=$E$206),10,0))</f>
        <v>0</v>
      </c>
      <c r="EJ205" s="1908">
        <f ca="1">IF(ENTRADAS!$O$1252="J",IF(AND(EJ176+$D$213&gt;=$E$205,EJ176+$D$213&lt;=$E$206),10,0),IF(AND(EJ176+$D$213+2&gt;=$E$205,EJ176+$D$213+2&lt;=$E$206),10,0))</f>
        <v>0</v>
      </c>
      <c r="EK205" s="1907">
        <f ca="1">IF(ENTRADAS!$O$1252="J",IF(AND(EK176+$D$213&gt;=$E$205,EK176+$D$213&lt;=$E$206),10,0),IF(AND(EK176+$D$213+2&gt;=$E$205,EK176+$D$213+2&lt;=$E$206),10,0))</f>
        <v>0</v>
      </c>
      <c r="EL205" s="1908">
        <f ca="1">IF(ENTRADAS!$O$1252="J",IF(AND(EL176+$D$213&gt;=$E$205,EL176+$D$213&lt;=$E$206),10,0),IF(AND(EL176+$D$213+2&gt;=$E$205,EL176+$D$213+2&lt;=$E$206),10,0))</f>
        <v>0</v>
      </c>
      <c r="EM205" s="1908">
        <f ca="1">IF(ENTRADAS!$O$1252="J",IF(AND(EM176+$D$213&gt;=$E$205,EM176+$D$213&lt;=$E$206),10,0),IF(AND(EM176+$D$213+2&gt;=$E$205,EM176+$D$213+2&lt;=$E$206),10,0))</f>
        <v>0</v>
      </c>
      <c r="EN205" s="1908">
        <f ca="1">IF(ENTRADAS!$O$1252="J",IF(AND(EN176+$D$213&gt;=$E$205,EN176+$D$213&lt;=$E$206),10,0),IF(AND(EN176+$D$213+2&gt;=$E$205,EN176+$D$213+2&lt;=$E$206),10,0))</f>
        <v>0</v>
      </c>
      <c r="EO205" s="1908">
        <f ca="1">IF(ENTRADAS!$O$1252="J",IF(AND(EO176+$D$213&gt;=$E$205,EO176+$D$213&lt;=$E$206),10,0),IF(AND(EO176+$D$213+2&gt;=$E$205,EO176+$D$213+2&lt;=$E$206),10,0))</f>
        <v>0</v>
      </c>
      <c r="EP205" s="1908">
        <f ca="1">IF(ENTRADAS!$O$1252="J",IF(AND(EP176+$D$213&gt;=$E$205,EP176+$D$213&lt;=$E$206),10,0),IF(AND(EP176+$D$213+2&gt;=$E$205,EP176+$D$213+2&lt;=$E$206),10,0))</f>
        <v>0</v>
      </c>
      <c r="EQ205" s="1908">
        <f ca="1">IF(ENTRADAS!$O$1252="J",IF(AND(EQ176+$D$213&gt;=$E$205,EQ176+$D$213&lt;=$E$206),10,0),IF(AND(EQ176+$D$213+2&gt;=$E$205,EQ176+$D$213+2&lt;=$E$206),10,0))</f>
        <v>0</v>
      </c>
      <c r="ER205" s="1907">
        <f ca="1">IF(ENTRADAS!$O$1252="J",IF(AND(ER176+$D$213&gt;=$E$205,ER176+$D$213&lt;=$E$206),10,0),IF(AND(ER176+$D$213+2&gt;=$E$205,ER176+$D$213+2&lt;=$E$206),10,0))</f>
        <v>0</v>
      </c>
      <c r="ES205" s="1908">
        <f ca="1">IF(ENTRADAS!$O$1252="J",IF(AND(ES176+$D$213&gt;=$E$205,ES176+$D$213&lt;=$E$206),10,0),IF(AND(ES176+$D$213+2&gt;=$E$205,ES176+$D$213+2&lt;=$E$206),10,0))</f>
        <v>0</v>
      </c>
      <c r="ET205" s="1908">
        <f ca="1">IF(ENTRADAS!$O$1252="J",IF(AND(ET176+$D$213&gt;=$E$205,ET176+$D$213&lt;=$E$206),10,0),IF(AND(ET176+$D$213+2&gt;=$E$205,ET176+$D$213+2&lt;=$E$206),10,0))</f>
        <v>0</v>
      </c>
      <c r="EU205" s="1908">
        <f ca="1">IF(ENTRADAS!$O$1252="J",IF(AND(EU176+$D$213&gt;=$E$205,EU176+$D$213&lt;=$E$206),10,0),IF(AND(EU176+$D$213+2&gt;=$E$205,EU176+$D$213+2&lt;=$E$206),10,0))</f>
        <v>0</v>
      </c>
      <c r="EV205" s="1908">
        <f ca="1">IF(ENTRADAS!$O$1252="J",IF(AND(EV176+$D$213&gt;=$E$205,EV176+$D$213&lt;=$E$206),10,0),IF(AND(EV176+$D$213+2&gt;=$E$205,EV176+$D$213+2&lt;=$E$206),10,0))</f>
        <v>0</v>
      </c>
      <c r="EW205" s="1908">
        <f ca="1">IF(ENTRADAS!$O$1252="J",IF(AND(EW176+$D$213&gt;=$E$205,EW176+$D$213&lt;=$E$206),10,0),IF(AND(EW176+$D$213+2&gt;=$E$205,EW176+$D$213+2&lt;=$E$206),10,0))</f>
        <v>0</v>
      </c>
      <c r="EX205" s="1908">
        <f ca="1">IF(ENTRADAS!$O$1252="J",IF(AND(EX176+$D$213&gt;=$E$205,EX176+$D$213&lt;=$E$206),10,0),IF(AND(EX176+$D$213+2&gt;=$E$205,EX176+$D$213+2&lt;=$E$206),10,0))</f>
        <v>0</v>
      </c>
      <c r="EY205" s="1907">
        <f ca="1">IF(ENTRADAS!$O$1252="J",IF(AND(EY176+$D$213&gt;=$E$205,EY176+$D$213&lt;=$E$206),10,0),IF(AND(EY176+$D$213+2&gt;=$E$205,EY176+$D$213+2&lt;=$E$206),10,0))</f>
        <v>0</v>
      </c>
      <c r="EZ205" s="1908">
        <f ca="1">IF(ENTRADAS!$O$1252="J",IF(AND(EZ176+$D$213&gt;=$E$205,EZ176+$D$213&lt;=$E$206),10,0),IF(AND(EZ176+$D$213+2&gt;=$E$205,EZ176+$D$213+2&lt;=$E$206),10,0))</f>
        <v>0</v>
      </c>
      <c r="FA205" s="1908">
        <f ca="1">IF(ENTRADAS!$O$1252="J",IF(AND(FA176+$D$213&gt;=$E$205,FA176+$D$213&lt;=$E$206),10,0),IF(AND(FA176+$D$213+2&gt;=$E$205,FA176+$D$213+2&lt;=$E$206),10,0))</f>
        <v>0</v>
      </c>
      <c r="FB205" s="1908">
        <f ca="1">IF(ENTRADAS!$O$1252="J",IF(AND(FB176+$D$213&gt;=$E$205,FB176+$D$213&lt;=$E$206),10,0),IF(AND(FB176+$D$213+2&gt;=$E$205,FB176+$D$213+2&lt;=$E$206),10,0))</f>
        <v>0</v>
      </c>
      <c r="FC205" s="1908">
        <f ca="1">IF(ENTRADAS!$O$1252="J",IF(AND(FC176+$D$213&gt;=$E$205,FC176+$D$213&lt;=$E$206),10,0),IF(AND(FC176+$D$213+2&gt;=$E$205,FC176+$D$213+2&lt;=$E$206),10,0))</f>
        <v>0</v>
      </c>
      <c r="FD205" s="1908">
        <f ca="1">IF(ENTRADAS!$O$1252="J",IF(AND(FD176+$D$213&gt;=$E$205,FD176+$D$213&lt;=$E$206),10,0),IF(AND(FD176+$D$213+2&gt;=$E$205,FD176+$D$213+2&lt;=$E$206),10,0))</f>
        <v>0</v>
      </c>
      <c r="FE205" s="1908">
        <f ca="1">IF(ENTRADAS!$O$1252="J",IF(AND(FE176+$D$213&gt;=$E$205,FE176+$D$213&lt;=$E$206),10,0),IF(AND(FE176+$D$213+2&gt;=$E$205,FE176+$D$213+2&lt;=$E$206),10,0))</f>
        <v>0</v>
      </c>
      <c r="FF205" s="1907">
        <f ca="1">IF(ENTRADAS!$O$1252="J",IF(AND(FF176+$D$213&gt;=$E$205,FF176+$D$213&lt;=$E$206),10,0),IF(AND(FF176+$D$213+2&gt;=$E$205,FF176+$D$213+2&lt;=$E$206),10,0))</f>
        <v>0</v>
      </c>
      <c r="FG205" s="1908">
        <f ca="1">IF(ENTRADAS!$O$1252="J",IF(AND(FG176+$D$213&gt;=$E$205,FG176+$D$213&lt;=$E$206),10,0),IF(AND(FG176+$D$213+2&gt;=$E$205,FG176+$D$213+2&lt;=$E$206),10,0))</f>
        <v>0</v>
      </c>
      <c r="FH205" s="1908">
        <f ca="1">IF(ENTRADAS!$O$1252="J",IF(AND(FH176+$D$213&gt;=$E$205,FH176+$D$213&lt;=$E$206),10,0),IF(AND(FH176+$D$213+2&gt;=$E$205,FH176+$D$213+2&lt;=$E$206),10,0))</f>
        <v>0</v>
      </c>
      <c r="FI205" s="1908">
        <f ca="1">IF(ENTRADAS!$O$1252="J",IF(AND(FI176+$D$213&gt;=$E$205,FI176+$D$213&lt;=$E$206),10,0),IF(AND(FI176+$D$213+2&gt;=$E$205,FI176+$D$213+2&lt;=$E$206),10,0))</f>
        <v>0</v>
      </c>
      <c r="FJ205" s="1908">
        <f ca="1">IF(ENTRADAS!$O$1252="J",IF(AND(FJ176+$D$213&gt;=$E$205,FJ176+$D$213&lt;=$E$206),10,0),IF(AND(FJ176+$D$213+2&gt;=$E$205,FJ176+$D$213+2&lt;=$E$206),10,0))</f>
        <v>0</v>
      </c>
      <c r="FK205" s="1908">
        <f ca="1">IF(ENTRADAS!$O$1252="J",IF(AND(FK176+$D$213&gt;=$E$205,FK176+$D$213&lt;=$E$206),10,0),IF(AND(FK176+$D$213+2&gt;=$E$205,FK176+$D$213+2&lt;=$E$206),10,0))</f>
        <v>0</v>
      </c>
      <c r="FL205" s="1908">
        <f ca="1">IF(ENTRADAS!$O$1252="J",IF(AND(FL176+$D$213&gt;=$E$205,FL176+$D$213&lt;=$E$206),10,0),IF(AND(FL176+$D$213+2&gt;=$E$205,FL176+$D$213+2&lt;=$E$206),10,0))</f>
        <v>0</v>
      </c>
      <c r="FM205" s="1907">
        <f ca="1">IF(ENTRADAS!$O$1252="J",IF(AND(FM176+$D$213&gt;=$E$205,FM176+$D$213&lt;=$E$206),10,0),IF(AND(FM176+$D$213+2&gt;=$E$205,FM176+$D$213+2&lt;=$E$206),10,0))</f>
        <v>0</v>
      </c>
      <c r="FN205" s="1908">
        <f ca="1">IF(ENTRADAS!$O$1252="J",IF(AND(FN176+$D$213&gt;=$E$205,FN176+$D$213&lt;=$E$206),10,0),IF(AND(FN176+$D$213+2&gt;=$E$205,FN176+$D$213+2&lt;=$E$206),10,0))</f>
        <v>0</v>
      </c>
      <c r="FO205" s="1908">
        <f ca="1">IF(ENTRADAS!$O$1252="J",IF(AND(FO176+$D$213&gt;=$E$205,FO176+$D$213&lt;=$E$206),10,0),IF(AND(FO176+$D$213+2&gt;=$E$205,FO176+$D$213+2&lt;=$E$206),10,0))</f>
        <v>0</v>
      </c>
      <c r="FP205" s="1908">
        <f ca="1">IF(ENTRADAS!$O$1252="J",IF(AND(FP176+$D$213&gt;=$E$205,FP176+$D$213&lt;=$E$206),10,0),IF(AND(FP176+$D$213+2&gt;=$E$205,FP176+$D$213+2&lt;=$E$206),10,0))</f>
        <v>0</v>
      </c>
      <c r="FQ205" s="1908">
        <f ca="1">IF(ENTRADAS!$O$1252="J",IF(AND(FQ176+$D$213&gt;=$E$205,FQ176+$D$213&lt;=$E$206),10,0),IF(AND(FQ176+$D$213+2&gt;=$E$205,FQ176+$D$213+2&lt;=$E$206),10,0))</f>
        <v>0</v>
      </c>
      <c r="FR205" s="1908">
        <f ca="1">IF(ENTRADAS!$O$1252="J",IF(AND(FR176+$D$213&gt;=$E$205,FR176+$D$213&lt;=$E$206),10,0),IF(AND(FR176+$D$213+2&gt;=$E$205,FR176+$D$213+2&lt;=$E$206),10,0))</f>
        <v>0</v>
      </c>
      <c r="FS205" s="1908">
        <f ca="1">IF(ENTRADAS!$O$1252="J",IF(AND(FS176+$D$213&gt;=$E$205,FS176+$D$213&lt;=$E$206),10,0),IF(AND(FS176+$D$213+2&gt;=$E$205,FS176+$D$213+2&lt;=$E$206),10,0))</f>
        <v>0</v>
      </c>
      <c r="FT205" s="1907">
        <f ca="1">IF(ENTRADAS!$O$1252="J",IF(AND(FT176+$D$213&gt;=$E$205,FT176+$D$213&lt;=$E$206),10,0),IF(AND(FT176+$D$213+2&gt;=$E$205,FT176+$D$213+2&lt;=$E$206),10,0))</f>
        <v>0</v>
      </c>
      <c r="FU205" s="1908">
        <f ca="1">IF(ENTRADAS!$O$1252="J",IF(AND(FU176+$D$213&gt;=$E$205,FU176+$D$213&lt;=$E$206),10,0),IF(AND(FU176+$D$213+2&gt;=$E$205,FU176+$D$213+2&lt;=$E$206),10,0))</f>
        <v>0</v>
      </c>
      <c r="FV205" s="1908">
        <f ca="1">IF(ENTRADAS!$O$1252="J",IF(AND(FV176+$D$213&gt;=$E$205,FV176+$D$213&lt;=$E$206),10,0),IF(AND(FV176+$D$213+2&gt;=$E$205,FV176+$D$213+2&lt;=$E$206),10,0))</f>
        <v>0</v>
      </c>
      <c r="FW205" s="1908">
        <f ca="1">IF(ENTRADAS!$O$1252="J",IF(AND(FW176+$D$213&gt;=$E$205,FW176+$D$213&lt;=$E$206),10,0),IF(AND(FW176+$D$213+2&gt;=$E$205,FW176+$D$213+2&lt;=$E$206),10,0))</f>
        <v>0</v>
      </c>
      <c r="FX205" s="1908">
        <f ca="1">IF(ENTRADAS!$O$1252="J",IF(AND(FX176+$D$213&gt;=$E$205,FX176+$D$213&lt;=$E$206),10,0),IF(AND(FX176+$D$213+2&gt;=$E$205,FX176+$D$213+2&lt;=$E$206),10,0))</f>
        <v>0</v>
      </c>
      <c r="FY205" s="1908">
        <f ca="1">IF(ENTRADAS!$O$1252="J",IF(AND(FY176+$D$213&gt;=$E$205,FY176+$D$213&lt;=$E$206),10,0),IF(AND(FY176+$D$213+2&gt;=$E$205,FY176+$D$213+2&lt;=$E$206),10,0))</f>
        <v>0</v>
      </c>
      <c r="FZ205" s="1908">
        <f ca="1">IF(ENTRADAS!$O$1252="J",IF(AND(FZ176+$D$213&gt;=$E$205,FZ176+$D$213&lt;=$E$206),10,0),IF(AND(FZ176+$D$213+2&gt;=$E$205,FZ176+$D$213+2&lt;=$E$206),10,0))</f>
        <v>0</v>
      </c>
      <c r="GA205" s="1907">
        <f ca="1">IF(ENTRADAS!$O$1252="J",IF(AND(GA176+$D$213&gt;=$E$205,GA176+$D$213&lt;=$E$206),10,0),IF(AND(GA176+$D$213+2&gt;=$E$205,GA176+$D$213+2&lt;=$E$206),10,0))</f>
        <v>0</v>
      </c>
      <c r="GB205" s="1908">
        <f ca="1">IF(ENTRADAS!$O$1252="J",IF(AND(GB176+$D$213&gt;=$E$205,GB176+$D$213&lt;=$E$206),10,0),IF(AND(GB176+$D$213+2&gt;=$E$205,GB176+$D$213+2&lt;=$E$206),10,0))</f>
        <v>0</v>
      </c>
      <c r="GC205" s="1908">
        <f ca="1">IF(ENTRADAS!$O$1252="J",IF(AND(GC176+$D$213&gt;=$E$205,GC176+$D$213&lt;=$E$206),10,0),IF(AND(GC176+$D$213+2&gt;=$E$205,GC176+$D$213+2&lt;=$E$206),10,0))</f>
        <v>0</v>
      </c>
      <c r="GD205" s="1908">
        <f ca="1">IF(ENTRADAS!$O$1252="J",IF(AND(GD176+$D$213&gt;=$E$205,GD176+$D$213&lt;=$E$206),10,0),IF(AND(GD176+$D$213+2&gt;=$E$205,GD176+$D$213+2&lt;=$E$206),10,0))</f>
        <v>0</v>
      </c>
      <c r="GE205" s="1908">
        <f ca="1">IF(ENTRADAS!$O$1252="J",IF(AND(GE176+$D$213&gt;=$E$205,GE176+$D$213&lt;=$E$206),10,0),IF(AND(GE176+$D$213+2&gt;=$E$205,GE176+$D$213+2&lt;=$E$206),10,0))</f>
        <v>0</v>
      </c>
      <c r="GF205" s="1908">
        <f ca="1">IF(ENTRADAS!$O$1252="J",IF(AND(GF176+$D$213&gt;=$E$205,GF176+$D$213&lt;=$E$206),10,0),IF(AND(GF176+$D$213+2&gt;=$E$205,GF176+$D$213+2&lt;=$E$206),10,0))</f>
        <v>0</v>
      </c>
      <c r="GG205" s="1908">
        <f ca="1">IF(ENTRADAS!$O$1252="J",IF(AND(GG176+$D$213&gt;=$E$205,GG176+$D$213&lt;=$E$206),10,0),IF(AND(GG176+$D$213+2&gt;=$E$205,GG176+$D$213+2&lt;=$E$206),10,0))</f>
        <v>0</v>
      </c>
      <c r="GH205" s="1907">
        <f ca="1">IF(ENTRADAS!$O$1252="J",IF(AND(GH176+$D$213&gt;=$E$205,GH176+$D$213&lt;=$E$206),10,0),IF(AND(GH176+$D$213+2&gt;=$E$205,GH176+$D$213+2&lt;=$E$206),10,0))</f>
        <v>0</v>
      </c>
      <c r="GI205" s="1908">
        <f ca="1">IF(ENTRADAS!$O$1252="J",IF(AND(GI176+$D$213&gt;=$E$205,GI176+$D$213&lt;=$E$206),10,0),IF(AND(GI176+$D$213+2&gt;=$E$205,GI176+$D$213+2&lt;=$E$206),10,0))</f>
        <v>0</v>
      </c>
      <c r="GJ205" s="1908">
        <f ca="1">IF(ENTRADAS!$O$1252="J",IF(AND(GJ176+$D$213&gt;=$E$205,GJ176+$D$213&lt;=$E$206),10,0),IF(AND(GJ176+$D$213+2&gt;=$E$205,GJ176+$D$213+2&lt;=$E$206),10,0))</f>
        <v>0</v>
      </c>
      <c r="GK205" s="1908">
        <f ca="1">IF(ENTRADAS!$O$1252="J",IF(AND(GK176+$D$213&gt;=$E$205,GK176+$D$213&lt;=$E$206),10,0),IF(AND(GK176+$D$213+2&gt;=$E$205,GK176+$D$213+2&lt;=$E$206),10,0))</f>
        <v>0</v>
      </c>
      <c r="GL205" s="1908">
        <f ca="1">IF(ENTRADAS!$O$1252="J",IF(AND(GL176+$D$213&gt;=$E$205,GL176+$D$213&lt;=$E$206),10,0),IF(AND(GL176+$D$213+2&gt;=$E$205,GL176+$D$213+2&lt;=$E$206),10,0))</f>
        <v>0</v>
      </c>
      <c r="GM205" s="1908">
        <f ca="1">IF(ENTRADAS!$O$1252="J",IF(AND(GM176+$D$213&gt;=$E$205,GM176+$D$213&lt;=$E$206),10,0),IF(AND(GM176+$D$213+2&gt;=$E$205,GM176+$D$213+2&lt;=$E$206),10,0))</f>
        <v>0</v>
      </c>
      <c r="GN205" s="1908">
        <f ca="1">IF(ENTRADAS!$O$1252="J",IF(AND(GN176+$D$213&gt;=$E$205,GN176+$D$213&lt;=$E$206),10,0),IF(AND(GN176+$D$213+2&gt;=$E$205,GN176+$D$213+2&lt;=$E$206),10,0))</f>
        <v>0</v>
      </c>
      <c r="GO205" s="1907">
        <f ca="1">IF(ENTRADAS!$O$1252="J",IF(AND(GO176+$D$213&gt;=$E$205,GO176+$D$213&lt;=$E$206),10,0),IF(AND(GO176+$D$213+2&gt;=$E$205,GO176+$D$213+2&lt;=$E$206),10,0))</f>
        <v>0</v>
      </c>
      <c r="GP205" s="1908">
        <f ca="1">IF(ENTRADAS!$O$1252="J",IF(AND(GP176+$D$213&gt;=$E$205,GP176+$D$213&lt;=$E$206),10,0),IF(AND(GP176+$D$213+2&gt;=$E$205,GP176+$D$213+2&lt;=$E$206),10,0))</f>
        <v>0</v>
      </c>
      <c r="GQ205" s="1908">
        <f ca="1">IF(ENTRADAS!$O$1252="J",IF(AND(GQ176+$D$213&gt;=$E$205,GQ176+$D$213&lt;=$E$206),10,0),IF(AND(GQ176+$D$213+2&gt;=$E$205,GQ176+$D$213+2&lt;=$E$206),10,0))</f>
        <v>0</v>
      </c>
      <c r="GR205" s="1908">
        <f ca="1">IF(ENTRADAS!$O$1252="J",IF(AND(GR176+$D$213&gt;=$E$205,GR176+$D$213&lt;=$E$206),10,0),IF(AND(GR176+$D$213+2&gt;=$E$205,GR176+$D$213+2&lt;=$E$206),10,0))</f>
        <v>0</v>
      </c>
      <c r="GS205" s="1908">
        <f ca="1">IF(ENTRADAS!$O$1252="J",IF(AND(GS176+$D$213&gt;=$E$205,GS176+$D$213&lt;=$E$206),10,0),IF(AND(GS176+$D$213+2&gt;=$E$205,GS176+$D$213+2&lt;=$E$206),10,0))</f>
        <v>0</v>
      </c>
      <c r="GT205" s="1908">
        <f ca="1">IF(ENTRADAS!$O$1252="J",IF(AND(GT176+$D$213&gt;=$E$205,GT176+$D$213&lt;=$E$206),10,0),IF(AND(GT176+$D$213+2&gt;=$E$205,GT176+$D$213+2&lt;=$E$206),10,0))</f>
        <v>0</v>
      </c>
      <c r="GU205" s="1908">
        <f ca="1">IF(ENTRADAS!$O$1252="J",IF(AND(GU176+$D$213&gt;=$E$205,GU176+$D$213&lt;=$E$206),10,0),IF(AND(GU176+$D$213+2&gt;=$E$205,GU176+$D$213+2&lt;=$E$206),10,0))</f>
        <v>0</v>
      </c>
      <c r="GV205" s="1907">
        <f ca="1">IF(ENTRADAS!$O$1252="J",IF(AND(GV176+$D$213&gt;=$E$205,GV176+$D$213&lt;=$E$206),10,0),IF(AND(GV176+$D$213+2&gt;=$E$205,GV176+$D$213+2&lt;=$E$206),10,0))</f>
        <v>0</v>
      </c>
      <c r="GW205" s="1908">
        <f ca="1">IF(ENTRADAS!$O$1252="J",IF(AND(GW176+$D$213&gt;=$E$205,GW176+$D$213&lt;=$E$206),10,0),IF(AND(GW176+$D$213+2&gt;=$E$205,GW176+$D$213+2&lt;=$E$206),10,0))</f>
        <v>0</v>
      </c>
      <c r="GX205" s="1908">
        <f ca="1">IF(ENTRADAS!$O$1252="J",IF(AND(GX176+$D$213&gt;=$E$205,GX176+$D$213&lt;=$E$206),10,0),IF(AND(GX176+$D$213+2&gt;=$E$205,GX176+$D$213+2&lt;=$E$206),10,0))</f>
        <v>0</v>
      </c>
      <c r="GY205" s="1908">
        <f ca="1">IF(ENTRADAS!$O$1252="J",IF(AND(GY176+$D$213&gt;=$E$205,GY176+$D$213&lt;=$E$206),10,0),IF(AND(GY176+$D$213+2&gt;=$E$205,GY176+$D$213+2&lt;=$E$206),10,0))</f>
        <v>0</v>
      </c>
      <c r="GZ205" s="1908">
        <f ca="1">IF(ENTRADAS!$O$1252="J",IF(AND(GZ176+$D$213&gt;=$E$205,GZ176+$D$213&lt;=$E$206),10,0),IF(AND(GZ176+$D$213+2&gt;=$E$205,GZ176+$D$213+2&lt;=$E$206),10,0))</f>
        <v>0</v>
      </c>
      <c r="HA205" s="1908">
        <f ca="1">IF(ENTRADAS!$O$1252="J",IF(AND(HA176+$D$213&gt;=$E$205,HA176+$D$213&lt;=$E$206),10,0),IF(AND(HA176+$D$213+2&gt;=$E$205,HA176+$D$213+2&lt;=$E$206),10,0))</f>
        <v>0</v>
      </c>
      <c r="HB205" s="1908">
        <f ca="1">IF(ENTRADAS!$O$1252="J",IF(AND(HB176+$D$213&gt;=$E$205,HB176+$D$213&lt;=$E$206),10,0),IF(AND(HB176+$D$213+2&gt;=$E$205,HB176+$D$213+2&lt;=$E$206),10,0))</f>
        <v>0</v>
      </c>
      <c r="HC205" s="1907">
        <f ca="1">IF(ENTRADAS!$O$1252="J",IF(AND(HC176+$D$213&gt;=$E$205,HC176+$D$213&lt;=$E$206),10,0),IF(AND(HC176+$D$213+2&gt;=$E$205,HC176+$D$213+2&lt;=$E$206),10,0))</f>
        <v>0</v>
      </c>
      <c r="HD205" s="1908">
        <f ca="1">IF(ENTRADAS!$O$1252="J",IF(AND(HD176+$D$213&gt;=$E$205,HD176+$D$213&lt;=$E$206),10,0),IF(AND(HD176+$D$213+2&gt;=$E$205,HD176+$D$213+2&lt;=$E$206),10,0))</f>
        <v>0</v>
      </c>
      <c r="HE205" s="1908">
        <f ca="1">IF(ENTRADAS!$O$1252="J",IF(AND(HE176+$D$213&gt;=$E$205,HE176+$D$213&lt;=$E$206),10,0),IF(AND(HE176+$D$213+2&gt;=$E$205,HE176+$D$213+2&lt;=$E$206),10,0))</f>
        <v>0</v>
      </c>
      <c r="HF205" s="1908">
        <f ca="1">IF(ENTRADAS!$O$1252="J",IF(AND(HF176+$D$213&gt;=$E$205,HF176+$D$213&lt;=$E$206),10,0),IF(AND(HF176+$D$213+2&gt;=$E$205,HF176+$D$213+2&lt;=$E$206),10,0))</f>
        <v>0</v>
      </c>
      <c r="HG205" s="1908">
        <f ca="1">IF(ENTRADAS!$O$1252="J",IF(AND(HG176+$D$213&gt;=$E$205,HG176+$D$213&lt;=$E$206),10,0),IF(AND(HG176+$D$213+2&gt;=$E$205,HG176+$D$213+2&lt;=$E$206),10,0))</f>
        <v>0</v>
      </c>
      <c r="HH205" s="1908">
        <f ca="1">IF(ENTRADAS!$O$1252="J",IF(AND(HH176+$D$213&gt;=$E$205,HH176+$D$213&lt;=$E$206),10,0),IF(AND(HH176+$D$213+2&gt;=$E$205,HH176+$D$213+2&lt;=$E$206),10,0))</f>
        <v>0</v>
      </c>
      <c r="HI205" s="1908">
        <f ca="1">IF(ENTRADAS!$O$1252="J",IF(AND(HI176+$D$213&gt;=$E$205,HI176+$D$213&lt;=$E$206),10,0),IF(AND(HI176+$D$213+2&gt;=$E$205,HI176+$D$213+2&lt;=$E$206),10,0))</f>
        <v>0</v>
      </c>
      <c r="HJ205" s="1907">
        <f ca="1">IF(ENTRADAS!$O$1252="J",IF(AND(HJ176+$D$213&gt;=$E$205,HJ176+$D$213&lt;=$E$206),10,0),IF(AND(HJ176+$D$213+2&gt;=$E$205,HJ176+$D$213+2&lt;=$E$206),10,0))</f>
        <v>0</v>
      </c>
      <c r="HK205" s="1908">
        <f ca="1">IF(ENTRADAS!$O$1252="J",IF(AND(HK176+$D$213&gt;=$E$205,HK176+$D$213&lt;=$E$206),10,0),IF(AND(HK176+$D$213+2&gt;=$E$205,HK176+$D$213+2&lt;=$E$206),10,0))</f>
        <v>0</v>
      </c>
      <c r="HL205" s="1908">
        <f ca="1">IF(ENTRADAS!$O$1252="J",IF(AND(HL176+$D$213&gt;=$E$205,HL176+$D$213&lt;=$E$206),10,0),IF(AND(HL176+$D$213+2&gt;=$E$205,HL176+$D$213+2&lt;=$E$206),10,0))</f>
        <v>0</v>
      </c>
      <c r="HM205" s="1908">
        <f ca="1">IF(ENTRADAS!$O$1252="J",IF(AND(HM176+$D$213&gt;=$E$205,HM176+$D$213&lt;=$E$206),10,0),IF(AND(HM176+$D$213+2&gt;=$E$205,HM176+$D$213+2&lt;=$E$206),10,0))</f>
        <v>0</v>
      </c>
      <c r="HN205" s="1908">
        <f ca="1">IF(ENTRADAS!$O$1252="J",IF(AND(HN176+$D$213&gt;=$E$205,HN176+$D$213&lt;=$E$206),10,0),IF(AND(HN176+$D$213+2&gt;=$E$205,HN176+$D$213+2&lt;=$E$206),10,0))</f>
        <v>0</v>
      </c>
      <c r="HO205" s="1908">
        <f ca="1">IF(ENTRADAS!$O$1252="J",IF(AND(HO176+$D$213&gt;=$E$205,HO176+$D$213&lt;=$E$206),10,0),IF(AND(HO176+$D$213+2&gt;=$E$205,HO176+$D$213+2&lt;=$E$206),10,0))</f>
        <v>0</v>
      </c>
      <c r="HP205" s="1908">
        <f ca="1">IF(ENTRADAS!$O$1252="J",IF(AND(HP176+$D$213&gt;=$E$205,HP176+$D$213&lt;=$E$206),10,0),IF(AND(HP176+$D$213+2&gt;=$E$205,HP176+$D$213+2&lt;=$E$206),10,0))</f>
        <v>0</v>
      </c>
      <c r="HQ205" s="1907">
        <f ca="1">IF(ENTRADAS!$O$1252="J",IF(AND(HQ176+$D$213&gt;=$E$205,HQ176+$D$213&lt;=$E$206),10,0),IF(AND(HQ176+$D$213+2&gt;=$E$205,HQ176+$D$213+2&lt;=$E$206),10,0))</f>
        <v>0</v>
      </c>
      <c r="HR205" s="1908">
        <f ca="1">IF(ENTRADAS!$O$1252="J",IF(AND(HR176+$D$213&gt;=$E$205,HR176+$D$213&lt;=$E$206),10,0),IF(AND(HR176+$D$213+2&gt;=$E$205,HR176+$D$213+2&lt;=$E$206),10,0))</f>
        <v>0</v>
      </c>
      <c r="HS205" s="1908">
        <f ca="1">IF(ENTRADAS!$O$1252="J",IF(AND(HS176+$D$213&gt;=$E$205,HS176+$D$213&lt;=$E$206),10,0),IF(AND(HS176+$D$213+2&gt;=$E$205,HS176+$D$213+2&lt;=$E$206),10,0))</f>
        <v>0</v>
      </c>
      <c r="HT205" s="1908">
        <f ca="1">IF(ENTRADAS!$O$1252="J",IF(AND(HT176+$D$213&gt;=$E$205,HT176+$D$213&lt;=$E$206),10,0),IF(AND(HT176+$D$213+2&gt;=$E$205,HT176+$D$213+2&lt;=$E$206),10,0))</f>
        <v>0</v>
      </c>
      <c r="HU205" s="1908">
        <f ca="1">IF(ENTRADAS!$O$1252="J",IF(AND(HU176+$D$213&gt;=$E$205,HU176+$D$213&lt;=$E$206),10,0),IF(AND(HU176+$D$213+2&gt;=$E$205,HU176+$D$213+2&lt;=$E$206),10,0))</f>
        <v>0</v>
      </c>
      <c r="HV205" s="1908">
        <f ca="1">IF(ENTRADAS!$O$1252="J",IF(AND(HV176+$D$213&gt;=$E$205,HV176+$D$213&lt;=$E$206),10,0),IF(AND(HV176+$D$213+2&gt;=$E$205,HV176+$D$213+2&lt;=$E$206),10,0))</f>
        <v>0</v>
      </c>
      <c r="HW205" s="1908">
        <f ca="1">IF(ENTRADAS!$O$1252="J",IF(AND(HW176+$D$213&gt;=$E$205,HW176+$D$213&lt;=$E$206),10,0),IF(AND(HW176+$D$213+2&gt;=$E$205,HW176+$D$213+2&lt;=$E$206),10,0))</f>
        <v>0</v>
      </c>
      <c r="HX205" s="1907">
        <f ca="1">IF(ENTRADAS!$O$1252="J",IF(AND(HX176+$D$213&gt;=$E$205,HX176+$D$213&lt;=$E$206),10,0),IF(AND(HX176+$D$213+2&gt;=$E$205,HX176+$D$213+2&lt;=$E$206),10,0))</f>
        <v>0</v>
      </c>
      <c r="HY205" s="1908">
        <f ca="1">IF(ENTRADAS!$O$1252="J",IF(AND(HY176+$D$213&gt;=$E$205,HY176+$D$213&lt;=$E$206),10,0),IF(AND(HY176+$D$213+2&gt;=$E$205,HY176+$D$213+2&lt;=$E$206),10,0))</f>
        <v>0</v>
      </c>
      <c r="HZ205" s="1908">
        <f ca="1">IF(ENTRADAS!$O$1252="J",IF(AND(HZ176+$D$213&gt;=$E$205,HZ176+$D$213&lt;=$E$206),10,0),IF(AND(HZ176+$D$213+2&gt;=$E$205,HZ176+$D$213+2&lt;=$E$206),10,0))</f>
        <v>0</v>
      </c>
      <c r="IA205" s="1908">
        <f ca="1">IF(ENTRADAS!$O$1252="J",IF(AND(IA176+$D$213&gt;=$E$205,IA176+$D$213&lt;=$E$206),10,0),IF(AND(IA176+$D$213+2&gt;=$E$205,IA176+$D$213+2&lt;=$E$206),10,0))</f>
        <v>0</v>
      </c>
      <c r="IB205" s="1908">
        <f ca="1">IF(ENTRADAS!$O$1252="J",IF(AND(IB176+$D$213&gt;=$E$205,IB176+$D$213&lt;=$E$206),10,0),IF(AND(IB176+$D$213+2&gt;=$E$205,IB176+$D$213+2&lt;=$E$206),10,0))</f>
        <v>0</v>
      </c>
      <c r="IC205" s="1908">
        <f ca="1">IF(ENTRADAS!$O$1252="J",IF(AND(IC176+$D$213&gt;=$E$205,IC176+$D$213&lt;=$E$206),10,0),IF(AND(IC176+$D$213+2&gt;=$E$205,IC176+$D$213+2&lt;=$E$206),10,0))</f>
        <v>0</v>
      </c>
      <c r="ID205" s="1908">
        <f ca="1">IF(ENTRADAS!$O$1252="J",IF(AND(ID176+$D$213&gt;=$E$205,ID176+$D$213&lt;=$E$206),10,0),IF(AND(ID176+$D$213+2&gt;=$E$205,ID176+$D$213+2&lt;=$E$206),10,0))</f>
        <v>0</v>
      </c>
      <c r="IE205" s="1907">
        <f ca="1">IF(ENTRADAS!$O$1252="J",IF(AND(IE176+$D$213&gt;=$E$205,IE176+$D$213&lt;=$E$206),10,0),IF(AND(IE176+$D$213+2&gt;=$E$205,IE176+$D$213+2&lt;=$E$206),10,0))</f>
        <v>0</v>
      </c>
      <c r="IF205" s="1908">
        <f ca="1">IF(ENTRADAS!$O$1252="J",IF(AND(IF176+$D$213&gt;=$E$205,IF176+$D$213&lt;=$E$206),10,0),IF(AND(IF176+$D$213+2&gt;=$E$205,IF176+$D$213+2&lt;=$E$206),10,0))</f>
        <v>0</v>
      </c>
      <c r="IG205" s="1908">
        <f ca="1">IF(ENTRADAS!$O$1252="J",IF(AND(IG176+$D$213&gt;=$E$205,IG176+$D$213&lt;=$E$206),10,0),IF(AND(IG176+$D$213+2&gt;=$E$205,IG176+$D$213+2&lt;=$E$206),10,0))</f>
        <v>0</v>
      </c>
      <c r="IH205" s="1908">
        <f ca="1">IF(ENTRADAS!$O$1252="J",IF(AND(IH176+$D$213&gt;=$E$205,IH176+$D$213&lt;=$E$206),10,0),IF(AND(IH176+$D$213+2&gt;=$E$205,IH176+$D$213+2&lt;=$E$206),10,0))</f>
        <v>0</v>
      </c>
      <c r="II205" s="1908">
        <f ca="1">IF(ENTRADAS!$O$1252="J",IF(AND(II176+$D$213&gt;=$E$205,II176+$D$213&lt;=$E$206),10,0),IF(AND(II176+$D$213+2&gt;=$E$205,II176+$D$213+2&lt;=$E$206),10,0))</f>
        <v>0</v>
      </c>
      <c r="IJ205" s="1908">
        <f ca="1">IF(ENTRADAS!$O$1252="J",IF(AND(IJ176+$D$213&gt;=$E$205,IJ176+$D$213&lt;=$E$206),10,0),IF(AND(IJ176+$D$213+2&gt;=$E$205,IJ176+$D$213+2&lt;=$E$206),10,0))</f>
        <v>0</v>
      </c>
      <c r="IK205" s="1909">
        <f ca="1">IF(ENTRADAS!$O$1252="J",IF(AND(IK176+$D$213&gt;=$E$205,IK176+$D$213&lt;=$E$206),10,0),IF(AND(IK176+$D$213+2&gt;=$E$205,IK176+$D$213+2&lt;=$E$206),10,0))</f>
        <v>0</v>
      </c>
    </row>
    <row r="206" spans="1:245" ht="7.5" hidden="1" customHeight="1" x14ac:dyDescent="0.35">
      <c r="A206" s="195">
        <f>IF(B205=0,0,"XXX")</f>
        <v>0</v>
      </c>
      <c r="B206" s="1910"/>
      <c r="C206" s="1912"/>
      <c r="D206" s="360" t="str">
        <f>IF(ENTRADAS!$F$22=0,0,"término:")</f>
        <v>término:</v>
      </c>
      <c r="E206" s="361">
        <f>IF(C205=0,0,E205+F205)</f>
        <v>0</v>
      </c>
      <c r="F206" s="1913"/>
      <c r="G206" s="1914"/>
      <c r="H206" s="1907"/>
      <c r="I206" s="1908"/>
      <c r="J206" s="1908"/>
      <c r="K206" s="1908"/>
      <c r="L206" s="1908"/>
      <c r="M206" s="1908"/>
      <c r="N206" s="1908"/>
      <c r="O206" s="1907"/>
      <c r="P206" s="1908"/>
      <c r="Q206" s="1908"/>
      <c r="R206" s="1908"/>
      <c r="S206" s="1908"/>
      <c r="T206" s="1908"/>
      <c r="U206" s="1908"/>
      <c r="V206" s="1907"/>
      <c r="W206" s="1908"/>
      <c r="X206" s="1908"/>
      <c r="Y206" s="1908"/>
      <c r="Z206" s="1908"/>
      <c r="AA206" s="1908"/>
      <c r="AB206" s="1908"/>
      <c r="AC206" s="1907"/>
      <c r="AD206" s="1908"/>
      <c r="AE206" s="1908"/>
      <c r="AF206" s="1908"/>
      <c r="AG206" s="1908"/>
      <c r="AH206" s="1908"/>
      <c r="AI206" s="1908"/>
      <c r="AJ206" s="1907"/>
      <c r="AK206" s="1908"/>
      <c r="AL206" s="1908"/>
      <c r="AM206" s="1908"/>
      <c r="AN206" s="1908"/>
      <c r="AO206" s="1908"/>
      <c r="AP206" s="1908"/>
      <c r="AQ206" s="1907"/>
      <c r="AR206" s="1908"/>
      <c r="AS206" s="1908"/>
      <c r="AT206" s="1908"/>
      <c r="AU206" s="1908"/>
      <c r="AV206" s="1908"/>
      <c r="AW206" s="1908"/>
      <c r="AX206" s="1907"/>
      <c r="AY206" s="1908"/>
      <c r="AZ206" s="1908"/>
      <c r="BA206" s="1908"/>
      <c r="BB206" s="1908"/>
      <c r="BC206" s="1908"/>
      <c r="BD206" s="1908"/>
      <c r="BE206" s="1907"/>
      <c r="BF206" s="1908"/>
      <c r="BG206" s="1908"/>
      <c r="BH206" s="1908"/>
      <c r="BI206" s="1908"/>
      <c r="BJ206" s="1908"/>
      <c r="BK206" s="1908"/>
      <c r="BL206" s="1907"/>
      <c r="BM206" s="1908"/>
      <c r="BN206" s="1908"/>
      <c r="BO206" s="1908"/>
      <c r="BP206" s="1908"/>
      <c r="BQ206" s="1908"/>
      <c r="BR206" s="1908"/>
      <c r="BS206" s="1907"/>
      <c r="BT206" s="1908"/>
      <c r="BU206" s="1908"/>
      <c r="BV206" s="1908"/>
      <c r="BW206" s="1908"/>
      <c r="BX206" s="1908"/>
      <c r="BY206" s="1908"/>
      <c r="BZ206" s="1907"/>
      <c r="CA206" s="1908"/>
      <c r="CB206" s="1908"/>
      <c r="CC206" s="1908"/>
      <c r="CD206" s="1908"/>
      <c r="CE206" s="1908"/>
      <c r="CF206" s="1908"/>
      <c r="CG206" s="1907"/>
      <c r="CH206" s="1908"/>
      <c r="CI206" s="1908"/>
      <c r="CJ206" s="1908"/>
      <c r="CK206" s="1908"/>
      <c r="CL206" s="1908"/>
      <c r="CM206" s="1908"/>
      <c r="CN206" s="1907"/>
      <c r="CO206" s="1908"/>
      <c r="CP206" s="1908"/>
      <c r="CQ206" s="1908"/>
      <c r="CR206" s="1908"/>
      <c r="CS206" s="1908"/>
      <c r="CT206" s="1908"/>
      <c r="CU206" s="1907"/>
      <c r="CV206" s="1908"/>
      <c r="CW206" s="1908"/>
      <c r="CX206" s="1908"/>
      <c r="CY206" s="1908"/>
      <c r="CZ206" s="1908"/>
      <c r="DA206" s="1908"/>
      <c r="DB206" s="1907"/>
      <c r="DC206" s="1908"/>
      <c r="DD206" s="1908"/>
      <c r="DE206" s="1908"/>
      <c r="DF206" s="1908"/>
      <c r="DG206" s="1908"/>
      <c r="DH206" s="1908"/>
      <c r="DI206" s="1907"/>
      <c r="DJ206" s="1908"/>
      <c r="DK206" s="1908"/>
      <c r="DL206" s="1908"/>
      <c r="DM206" s="1908"/>
      <c r="DN206" s="1908"/>
      <c r="DO206" s="1908"/>
      <c r="DP206" s="1907"/>
      <c r="DQ206" s="1908"/>
      <c r="DR206" s="1908"/>
      <c r="DS206" s="1908"/>
      <c r="DT206" s="1908"/>
      <c r="DU206" s="1908"/>
      <c r="DV206" s="1908"/>
      <c r="DW206" s="1907"/>
      <c r="DX206" s="1908"/>
      <c r="DY206" s="1908"/>
      <c r="DZ206" s="1908"/>
      <c r="EA206" s="1908"/>
      <c r="EB206" s="1908"/>
      <c r="EC206" s="1908"/>
      <c r="ED206" s="1907"/>
      <c r="EE206" s="1908"/>
      <c r="EF206" s="1908"/>
      <c r="EG206" s="1908"/>
      <c r="EH206" s="1908"/>
      <c r="EI206" s="1908"/>
      <c r="EJ206" s="1908"/>
      <c r="EK206" s="1907"/>
      <c r="EL206" s="1908"/>
      <c r="EM206" s="1908"/>
      <c r="EN206" s="1908"/>
      <c r="EO206" s="1908"/>
      <c r="EP206" s="1908"/>
      <c r="EQ206" s="1908"/>
      <c r="ER206" s="1907"/>
      <c r="ES206" s="1908"/>
      <c r="ET206" s="1908"/>
      <c r="EU206" s="1908"/>
      <c r="EV206" s="1908"/>
      <c r="EW206" s="1908"/>
      <c r="EX206" s="1908"/>
      <c r="EY206" s="1907"/>
      <c r="EZ206" s="1908"/>
      <c r="FA206" s="1908"/>
      <c r="FB206" s="1908"/>
      <c r="FC206" s="1908"/>
      <c r="FD206" s="1908"/>
      <c r="FE206" s="1908"/>
      <c r="FF206" s="1907"/>
      <c r="FG206" s="1908"/>
      <c r="FH206" s="1908"/>
      <c r="FI206" s="1908"/>
      <c r="FJ206" s="1908"/>
      <c r="FK206" s="1908"/>
      <c r="FL206" s="1908"/>
      <c r="FM206" s="1907"/>
      <c r="FN206" s="1908"/>
      <c r="FO206" s="1908"/>
      <c r="FP206" s="1908"/>
      <c r="FQ206" s="1908"/>
      <c r="FR206" s="1908"/>
      <c r="FS206" s="1908"/>
      <c r="FT206" s="1907"/>
      <c r="FU206" s="1908"/>
      <c r="FV206" s="1908"/>
      <c r="FW206" s="1908"/>
      <c r="FX206" s="1908"/>
      <c r="FY206" s="1908"/>
      <c r="FZ206" s="1908"/>
      <c r="GA206" s="1907"/>
      <c r="GB206" s="1908"/>
      <c r="GC206" s="1908"/>
      <c r="GD206" s="1908"/>
      <c r="GE206" s="1908"/>
      <c r="GF206" s="1908"/>
      <c r="GG206" s="1908"/>
      <c r="GH206" s="1907"/>
      <c r="GI206" s="1908"/>
      <c r="GJ206" s="1908"/>
      <c r="GK206" s="1908"/>
      <c r="GL206" s="1908"/>
      <c r="GM206" s="1908"/>
      <c r="GN206" s="1908"/>
      <c r="GO206" s="1907"/>
      <c r="GP206" s="1908"/>
      <c r="GQ206" s="1908"/>
      <c r="GR206" s="1908"/>
      <c r="GS206" s="1908"/>
      <c r="GT206" s="1908"/>
      <c r="GU206" s="1908"/>
      <c r="GV206" s="1907"/>
      <c r="GW206" s="1908"/>
      <c r="GX206" s="1908"/>
      <c r="GY206" s="1908"/>
      <c r="GZ206" s="1908"/>
      <c r="HA206" s="1908"/>
      <c r="HB206" s="1908"/>
      <c r="HC206" s="1907"/>
      <c r="HD206" s="1908"/>
      <c r="HE206" s="1908"/>
      <c r="HF206" s="1908"/>
      <c r="HG206" s="1908"/>
      <c r="HH206" s="1908"/>
      <c r="HI206" s="1908"/>
      <c r="HJ206" s="1907"/>
      <c r="HK206" s="1908"/>
      <c r="HL206" s="1908"/>
      <c r="HM206" s="1908"/>
      <c r="HN206" s="1908"/>
      <c r="HO206" s="1908"/>
      <c r="HP206" s="1908"/>
      <c r="HQ206" s="1907"/>
      <c r="HR206" s="1908"/>
      <c r="HS206" s="1908"/>
      <c r="HT206" s="1908"/>
      <c r="HU206" s="1908"/>
      <c r="HV206" s="1908"/>
      <c r="HW206" s="1908"/>
      <c r="HX206" s="1907"/>
      <c r="HY206" s="1908"/>
      <c r="HZ206" s="1908"/>
      <c r="IA206" s="1908"/>
      <c r="IB206" s="1908"/>
      <c r="IC206" s="1908"/>
      <c r="ID206" s="1908"/>
      <c r="IE206" s="1907"/>
      <c r="IF206" s="1908"/>
      <c r="IG206" s="1908"/>
      <c r="IH206" s="1908"/>
      <c r="II206" s="1908"/>
      <c r="IJ206" s="1908"/>
      <c r="IK206" s="1909"/>
    </row>
    <row r="207" spans="1:245" ht="11.1" customHeight="1" x14ac:dyDescent="0.4">
      <c r="A207" s="195" t="str">
        <f>IF(B207=0,0,"XXX")</f>
        <v>XXX</v>
      </c>
      <c r="B207" s="195" t="s">
        <v>10</v>
      </c>
      <c r="C207" s="349">
        <f ca="1">IF(IK178&lt;LARGE(E191:E200,1),"A CAPACIDADE DO CRONOGRAMA FOI ULTRAPASSADA !",0)</f>
        <v>0</v>
      </c>
    </row>
    <row r="208" spans="1:245" ht="5.0999999999999996" hidden="1" customHeight="1" x14ac:dyDescent="0.4">
      <c r="A208" s="195">
        <f>IF(B208=0,0,"XXX")</f>
        <v>0</v>
      </c>
      <c r="B208" s="451"/>
      <c r="F208" s="486">
        <f>IF(AND(ENTRADAS!$C$397="X",F198=0),IF((E114-D213+ENTRADAS!BS402)=0,0,IF((F197+(E114-D213+ENTRADAS!BS402))&lt;=F191," CRONOGRAMA INCONSISTENTE ! REVISE !",0)),IF(F198=0,0,IF((F197+F198)&lt;=F191," CRONOGRAMA INCONSISTENTE ! REVISE !",0)))</f>
        <v>0</v>
      </c>
    </row>
    <row r="209" spans="1:245" ht="13.15" hidden="1" x14ac:dyDescent="0.4">
      <c r="A209" s="195">
        <f>IF(B209=0,0,"XXX")</f>
        <v>0</v>
      </c>
      <c r="B209" s="5"/>
      <c r="F209" s="464">
        <f>IF(AND(ENTRADAS!$C$397="X",F198=0),IF((E114-D213+ENTRADAS!BS402)=0,IF(F200=0,0,IF(F199+F200&lt;F197+F191," CRONOGRAMA INCONSISTENTE ! REVISE !",0)),IF(F200=0,0,IF(F199+F200&lt;F197+(E114-D213+ENTRADAS!BS402)," CRONOGRAMA INCONSISTENTE ! REVISE !",0))),IF(F198=0,IF(F200=0,0,IF(F199+F200&lt;F197+F191," CRONOGRAMA INCONSISTENTE ! REVISE !",0)),IF(F200=0,0,IF(F199+F200&lt;F197+F198," CRONOGRAMA INCONSISTENTE ! REVISE !",0))))</f>
        <v>0</v>
      </c>
      <c r="V209" s="3"/>
      <c r="W209" s="17"/>
      <c r="X209" s="630">
        <f ca="1">IF(AND(ENTRADAS!$C$397="X",F198=0),IF(F200=0,IF(F199+(E114-D213+ENTRADAS!BS402)+F197+(E114-D213+ENTRADAS!BS402)&lt;F195+F191,10,0)),IF(F200=0,IF(F199+F198+F197&lt;F195+F191,10,0)))</f>
        <v>0</v>
      </c>
      <c r="Y209" s="32">
        <f>IF(AND(ENTRADAS!$C$397="X",F198=0),IF(F200&gt;0,IF(F199+F200&lt;(E114-D213+ENTRADAS!BS402)+F197,10,0),0),IF(F200&gt;0,IF(F199+F200&lt;F198+F197,10,0),0))</f>
        <v>0</v>
      </c>
    </row>
    <row r="210" spans="1:245" ht="13.15" hidden="1" x14ac:dyDescent="0.4">
      <c r="A210" s="195">
        <f>IF(B210=0,0,"XXX")</f>
        <v>0</v>
      </c>
      <c r="B210" s="5"/>
      <c r="C210" s="775" t="s">
        <v>1603</v>
      </c>
      <c r="D210" s="484">
        <f>$GH$3</f>
        <v>5</v>
      </c>
      <c r="E210" s="12"/>
      <c r="F210" s="12"/>
      <c r="V210" s="630">
        <f ca="1">IF(AND(ENTRADAS!$C$397="X",F198=0),IF((E114-D213+ENTRADAS!BS402)=0,IF(F200=0,IF(F199+F191+F195&lt;F191+F195,10,0),IF(F199+F200&lt;F191+F197+1,10,0)),0),IF(F198=0,IF(F200=0,IF(F199+F191+F195&lt;F191+F195,10,0),IF(F199+F200&lt;F191+F197+1,10,0)),0))</f>
        <v>0</v>
      </c>
      <c r="W210" s="630">
        <f ca="1">IF(AND(ENTRADAS!$C$397="X",F198=0),IF((E114-D213+ENTRADAS!BS402)&gt;0,W209,X209),IF(F198&gt;0,W209,X209))</f>
        <v>0</v>
      </c>
      <c r="X210" s="13"/>
      <c r="Y210" s="14"/>
      <c r="EI210" s="32" t="e">
        <f>IF(#REF!=0,0,"X")</f>
        <v>#REF!</v>
      </c>
    </row>
    <row r="211" spans="1:245" ht="13.15" hidden="1" x14ac:dyDescent="0.4">
      <c r="A211" s="195">
        <f>IF(B211=0,0,"XXX")</f>
        <v>0</v>
      </c>
      <c r="B211" s="5"/>
      <c r="C211" s="81" t="s">
        <v>1570</v>
      </c>
      <c r="D211" s="81">
        <f>D127+1</f>
        <v>3</v>
      </c>
      <c r="F211" s="464">
        <f>IF(AND(ENTRADAS!$C$397="X",F198=0),IF(F200+(E114-D213+ENTRADAS!BS402)=0,0,IF(V210=10," CRONOGRAMA INCONSISTENTE ! REVISE !",IF(W210=10," CRONOGRAMA INCONSISTENTE ! REVISE !",0))),IF(F200+F198=0,0,IF(V210=10," CRONOGRAMA INCONSISTENTE ! REVISE !",IF(W210=10," CRONOGRAMA INCONSISTENTE ! REVISE !",0))))</f>
        <v>0</v>
      </c>
    </row>
    <row r="212" spans="1:245" ht="13.15" hidden="1" x14ac:dyDescent="0.4">
      <c r="A212" s="195"/>
      <c r="B212" s="5"/>
      <c r="C212" s="81" t="s">
        <v>1571</v>
      </c>
      <c r="D212" s="470">
        <f>ENTRADAS!$F$22</f>
        <v>4</v>
      </c>
      <c r="F212" s="464">
        <f ca="1">IF(E196-E200&gt;0," CRONOGRAMA INCONSISTENTE ! REVISE !",0)</f>
        <v>0</v>
      </c>
    </row>
    <row r="213" spans="1:245" hidden="1" x14ac:dyDescent="0.35">
      <c r="A213" s="195"/>
      <c r="B213" s="5"/>
      <c r="C213" s="472" t="s">
        <v>1572</v>
      </c>
      <c r="D213" s="473">
        <f ca="1">$J$3</f>
        <v>45919</v>
      </c>
    </row>
    <row r="214" spans="1:245" hidden="1" x14ac:dyDescent="0.35">
      <c r="A214" s="195"/>
      <c r="B214" s="5"/>
      <c r="C214" s="472" t="str">
        <f>"térnimo confec parede tq "&amp;D211-1</f>
        <v>térnimo confec parede tq 2</v>
      </c>
      <c r="D214" s="475">
        <f ca="1">IF(D211&lt;=D212,D134,0)</f>
        <v>45968.5</v>
      </c>
    </row>
    <row r="215" spans="1:245" hidden="1" x14ac:dyDescent="0.35">
      <c r="A215" s="195"/>
      <c r="B215" s="5"/>
      <c r="C215" s="472" t="str">
        <f>"término confec cobert tq "&amp;D211-1</f>
        <v>término confec cobert tq 2</v>
      </c>
      <c r="D215" s="475">
        <f ca="1">LARGE(G167:G169,1)</f>
        <v>0</v>
      </c>
      <c r="E215" s="478">
        <f ca="1">(LARGE(G167:G169,1)-D213)-1</f>
        <v>-45920</v>
      </c>
    </row>
    <row r="216" spans="1:245" hidden="1" x14ac:dyDescent="0.35">
      <c r="A216" s="195"/>
      <c r="B216" s="5"/>
      <c r="C216" s="639" t="s">
        <v>1573</v>
      </c>
      <c r="D216" s="681">
        <f ca="1">IF(ENTRADAS!$F$22=0,0,IF($J$3=0,0,CÁLCULOS!$M$679/ENTRADAS!$F$22))</f>
        <v>25.25</v>
      </c>
      <c r="E216" s="32"/>
      <c r="H216" s="348">
        <f t="shared" ref="H216:AM216" ca="1" si="247">IF(AND(H176&gt;=$E$217,H176&lt;$E$218),10,0)</f>
        <v>0</v>
      </c>
      <c r="I216" s="348">
        <f t="shared" ca="1" si="247"/>
        <v>0</v>
      </c>
      <c r="J216" s="348">
        <f t="shared" ca="1" si="247"/>
        <v>0</v>
      </c>
      <c r="K216" s="348">
        <f t="shared" ca="1" si="247"/>
        <v>0</v>
      </c>
      <c r="L216" s="348">
        <f t="shared" ca="1" si="247"/>
        <v>0</v>
      </c>
      <c r="M216" s="348">
        <f t="shared" ca="1" si="247"/>
        <v>0</v>
      </c>
      <c r="N216" s="348">
        <f t="shared" ca="1" si="247"/>
        <v>0</v>
      </c>
      <c r="O216" s="348">
        <f t="shared" ca="1" si="247"/>
        <v>0</v>
      </c>
      <c r="P216" s="348">
        <f t="shared" ca="1" si="247"/>
        <v>0</v>
      </c>
      <c r="Q216" s="348">
        <f t="shared" ca="1" si="247"/>
        <v>0</v>
      </c>
      <c r="R216" s="348">
        <f t="shared" ca="1" si="247"/>
        <v>0</v>
      </c>
      <c r="S216" s="348">
        <f t="shared" ca="1" si="247"/>
        <v>0</v>
      </c>
      <c r="T216" s="348">
        <f t="shared" ca="1" si="247"/>
        <v>0</v>
      </c>
      <c r="U216" s="348">
        <f t="shared" ca="1" si="247"/>
        <v>0</v>
      </c>
      <c r="V216" s="348">
        <f t="shared" ca="1" si="247"/>
        <v>0</v>
      </c>
      <c r="W216" s="348">
        <f t="shared" ca="1" si="247"/>
        <v>0</v>
      </c>
      <c r="X216" s="348">
        <f t="shared" ca="1" si="247"/>
        <v>0</v>
      </c>
      <c r="Y216" s="348">
        <f t="shared" ca="1" si="247"/>
        <v>0</v>
      </c>
      <c r="Z216" s="348">
        <f t="shared" ca="1" si="247"/>
        <v>0</v>
      </c>
      <c r="AA216" s="348">
        <f t="shared" ca="1" si="247"/>
        <v>0</v>
      </c>
      <c r="AB216" s="348">
        <f t="shared" ca="1" si="247"/>
        <v>0</v>
      </c>
      <c r="AC216" s="348">
        <f t="shared" ca="1" si="247"/>
        <v>0</v>
      </c>
      <c r="AD216" s="348">
        <f t="shared" ca="1" si="247"/>
        <v>0</v>
      </c>
      <c r="AE216" s="348">
        <f t="shared" ca="1" si="247"/>
        <v>0</v>
      </c>
      <c r="AF216" s="348">
        <f t="shared" ca="1" si="247"/>
        <v>0</v>
      </c>
      <c r="AG216" s="348">
        <f t="shared" ca="1" si="247"/>
        <v>0</v>
      </c>
      <c r="AH216" s="348">
        <f t="shared" ca="1" si="247"/>
        <v>0</v>
      </c>
      <c r="AI216" s="348">
        <f t="shared" ca="1" si="247"/>
        <v>0</v>
      </c>
      <c r="AJ216" s="348">
        <f t="shared" ca="1" si="247"/>
        <v>0</v>
      </c>
      <c r="AK216" s="348">
        <f t="shared" ca="1" si="247"/>
        <v>0</v>
      </c>
      <c r="AL216" s="348">
        <f t="shared" ca="1" si="247"/>
        <v>0</v>
      </c>
      <c r="AM216" s="348">
        <f t="shared" ca="1" si="247"/>
        <v>0</v>
      </c>
      <c r="AN216" s="348">
        <f t="shared" ref="AN216:BT216" ca="1" si="248">IF(AND(AN176&gt;=$E$217,AN176&lt;$E$218),10,0)</f>
        <v>0</v>
      </c>
      <c r="AO216" s="348">
        <f t="shared" ca="1" si="248"/>
        <v>0</v>
      </c>
      <c r="AP216" s="348">
        <f t="shared" ca="1" si="248"/>
        <v>0</v>
      </c>
      <c r="AQ216" s="348">
        <f t="shared" ca="1" si="248"/>
        <v>0</v>
      </c>
      <c r="AR216" s="348">
        <f t="shared" ca="1" si="248"/>
        <v>0</v>
      </c>
      <c r="AS216" s="348">
        <f t="shared" ca="1" si="248"/>
        <v>0</v>
      </c>
      <c r="AT216" s="348">
        <f t="shared" ca="1" si="248"/>
        <v>0</v>
      </c>
      <c r="AU216" s="348">
        <f t="shared" ca="1" si="248"/>
        <v>0</v>
      </c>
      <c r="AV216" s="348">
        <f t="shared" ca="1" si="248"/>
        <v>0</v>
      </c>
      <c r="AW216" s="348">
        <f t="shared" ca="1" si="248"/>
        <v>0</v>
      </c>
      <c r="AX216" s="348">
        <f t="shared" ca="1" si="248"/>
        <v>0</v>
      </c>
      <c r="AY216" s="348">
        <f t="shared" ca="1" si="248"/>
        <v>0</v>
      </c>
      <c r="AZ216" s="348">
        <f t="shared" ca="1" si="248"/>
        <v>0</v>
      </c>
      <c r="BA216" s="348">
        <f t="shared" ca="1" si="248"/>
        <v>0</v>
      </c>
      <c r="BB216" s="348">
        <f t="shared" ca="1" si="248"/>
        <v>0</v>
      </c>
      <c r="BC216" s="348">
        <f t="shared" ca="1" si="248"/>
        <v>0</v>
      </c>
      <c r="BD216" s="348">
        <f t="shared" ca="1" si="248"/>
        <v>0</v>
      </c>
      <c r="BE216" s="348">
        <f t="shared" ca="1" si="248"/>
        <v>0</v>
      </c>
      <c r="BF216" s="348">
        <f t="shared" ca="1" si="248"/>
        <v>0</v>
      </c>
      <c r="BG216" s="348">
        <f t="shared" ca="1" si="248"/>
        <v>0</v>
      </c>
      <c r="BH216" s="348">
        <f t="shared" ca="1" si="248"/>
        <v>0</v>
      </c>
      <c r="BI216" s="348">
        <f t="shared" ca="1" si="248"/>
        <v>0</v>
      </c>
      <c r="BJ216" s="348">
        <f t="shared" ca="1" si="248"/>
        <v>0</v>
      </c>
      <c r="BK216" s="348">
        <f t="shared" ca="1" si="248"/>
        <v>0</v>
      </c>
      <c r="BL216" s="348">
        <f t="shared" ca="1" si="248"/>
        <v>10</v>
      </c>
      <c r="BM216" s="348">
        <f t="shared" ca="1" si="248"/>
        <v>10</v>
      </c>
      <c r="BN216" s="348">
        <f t="shared" ca="1" si="248"/>
        <v>10</v>
      </c>
      <c r="BO216" s="348">
        <f t="shared" ca="1" si="248"/>
        <v>10</v>
      </c>
      <c r="BP216" s="348">
        <f t="shared" ca="1" si="248"/>
        <v>10</v>
      </c>
      <c r="BQ216" s="348">
        <f t="shared" ca="1" si="248"/>
        <v>10</v>
      </c>
      <c r="BR216" s="348">
        <f t="shared" ca="1" si="248"/>
        <v>10</v>
      </c>
      <c r="BS216" s="348">
        <f t="shared" ca="1" si="248"/>
        <v>10</v>
      </c>
      <c r="BT216" s="348">
        <f t="shared" ca="1" si="248"/>
        <v>10</v>
      </c>
      <c r="BU216" s="348">
        <f t="shared" ref="BU216:EF216" ca="1" si="249">IF(AND(BU176&gt;=$E$217,BU176&lt;$E$218),10,0)</f>
        <v>10</v>
      </c>
      <c r="BV216" s="348">
        <f t="shared" ca="1" si="249"/>
        <v>10</v>
      </c>
      <c r="BW216" s="348">
        <f t="shared" ca="1" si="249"/>
        <v>10</v>
      </c>
      <c r="BX216" s="348">
        <f t="shared" ca="1" si="249"/>
        <v>10</v>
      </c>
      <c r="BY216" s="348">
        <f t="shared" ca="1" si="249"/>
        <v>10</v>
      </c>
      <c r="BZ216" s="348">
        <f t="shared" ca="1" si="249"/>
        <v>10</v>
      </c>
      <c r="CA216" s="348">
        <f t="shared" ca="1" si="249"/>
        <v>10</v>
      </c>
      <c r="CB216" s="348">
        <f t="shared" ca="1" si="249"/>
        <v>10</v>
      </c>
      <c r="CC216" s="348">
        <f t="shared" ca="1" si="249"/>
        <v>10</v>
      </c>
      <c r="CD216" s="348">
        <f t="shared" ca="1" si="249"/>
        <v>10</v>
      </c>
      <c r="CE216" s="348">
        <f t="shared" ca="1" si="249"/>
        <v>10</v>
      </c>
      <c r="CF216" s="348">
        <f t="shared" ca="1" si="249"/>
        <v>10</v>
      </c>
      <c r="CG216" s="348">
        <f t="shared" ca="1" si="249"/>
        <v>10</v>
      </c>
      <c r="CH216" s="348">
        <f t="shared" ca="1" si="249"/>
        <v>10</v>
      </c>
      <c r="CI216" s="348">
        <f t="shared" ca="1" si="249"/>
        <v>10</v>
      </c>
      <c r="CJ216" s="348">
        <f t="shared" ca="1" si="249"/>
        <v>10</v>
      </c>
      <c r="CK216" s="348">
        <f t="shared" ca="1" si="249"/>
        <v>0</v>
      </c>
      <c r="CL216" s="348">
        <f t="shared" ca="1" si="249"/>
        <v>0</v>
      </c>
      <c r="CM216" s="348">
        <f t="shared" ca="1" si="249"/>
        <v>0</v>
      </c>
      <c r="CN216" s="348">
        <f t="shared" ca="1" si="249"/>
        <v>0</v>
      </c>
      <c r="CO216" s="348">
        <f t="shared" ca="1" si="249"/>
        <v>0</v>
      </c>
      <c r="CP216" s="348">
        <f t="shared" ca="1" si="249"/>
        <v>0</v>
      </c>
      <c r="CQ216" s="348">
        <f t="shared" ca="1" si="249"/>
        <v>0</v>
      </c>
      <c r="CR216" s="348">
        <f t="shared" ca="1" si="249"/>
        <v>0</v>
      </c>
      <c r="CS216" s="348">
        <f t="shared" ca="1" si="249"/>
        <v>0</v>
      </c>
      <c r="CT216" s="348">
        <f t="shared" ca="1" si="249"/>
        <v>0</v>
      </c>
      <c r="CU216" s="348">
        <f t="shared" ca="1" si="249"/>
        <v>0</v>
      </c>
      <c r="CV216" s="348">
        <f t="shared" ca="1" si="249"/>
        <v>0</v>
      </c>
      <c r="CW216" s="348">
        <f t="shared" ca="1" si="249"/>
        <v>0</v>
      </c>
      <c r="CX216" s="348">
        <f t="shared" ca="1" si="249"/>
        <v>0</v>
      </c>
      <c r="CY216" s="348">
        <f t="shared" ca="1" si="249"/>
        <v>0</v>
      </c>
      <c r="CZ216" s="348">
        <f t="shared" ca="1" si="249"/>
        <v>0</v>
      </c>
      <c r="DA216" s="348">
        <f t="shared" ca="1" si="249"/>
        <v>0</v>
      </c>
      <c r="DB216" s="348">
        <f t="shared" ca="1" si="249"/>
        <v>0</v>
      </c>
      <c r="DC216" s="348">
        <f t="shared" ca="1" si="249"/>
        <v>0</v>
      </c>
      <c r="DD216" s="348">
        <f t="shared" ca="1" si="249"/>
        <v>0</v>
      </c>
      <c r="DE216" s="348">
        <f t="shared" ca="1" si="249"/>
        <v>0</v>
      </c>
      <c r="DF216" s="348">
        <f t="shared" ca="1" si="249"/>
        <v>0</v>
      </c>
      <c r="DG216" s="348">
        <f t="shared" ca="1" si="249"/>
        <v>0</v>
      </c>
      <c r="DH216" s="348">
        <f t="shared" ca="1" si="249"/>
        <v>0</v>
      </c>
      <c r="DI216" s="348">
        <f t="shared" ca="1" si="249"/>
        <v>0</v>
      </c>
      <c r="DJ216" s="348">
        <f t="shared" ca="1" si="249"/>
        <v>0</v>
      </c>
      <c r="DK216" s="348">
        <f t="shared" ca="1" si="249"/>
        <v>0</v>
      </c>
      <c r="DL216" s="348">
        <f t="shared" ca="1" si="249"/>
        <v>0</v>
      </c>
      <c r="DM216" s="348">
        <f t="shared" ca="1" si="249"/>
        <v>0</v>
      </c>
      <c r="DN216" s="348">
        <f t="shared" ca="1" si="249"/>
        <v>0</v>
      </c>
      <c r="DO216" s="348">
        <f t="shared" ca="1" si="249"/>
        <v>0</v>
      </c>
      <c r="DP216" s="348">
        <f t="shared" ca="1" si="249"/>
        <v>0</v>
      </c>
      <c r="DQ216" s="348">
        <f t="shared" ca="1" si="249"/>
        <v>0</v>
      </c>
      <c r="DR216" s="348">
        <f t="shared" ca="1" si="249"/>
        <v>0</v>
      </c>
      <c r="DS216" s="348">
        <f t="shared" ca="1" si="249"/>
        <v>0</v>
      </c>
      <c r="DT216" s="348">
        <f t="shared" ca="1" si="249"/>
        <v>0</v>
      </c>
      <c r="DU216" s="348">
        <f t="shared" ca="1" si="249"/>
        <v>0</v>
      </c>
      <c r="DV216" s="348">
        <f t="shared" ca="1" si="249"/>
        <v>0</v>
      </c>
      <c r="DW216" s="348">
        <f t="shared" ca="1" si="249"/>
        <v>0</v>
      </c>
      <c r="DX216" s="348">
        <f t="shared" ca="1" si="249"/>
        <v>0</v>
      </c>
      <c r="DY216" s="348">
        <f t="shared" ca="1" si="249"/>
        <v>0</v>
      </c>
      <c r="DZ216" s="348">
        <f t="shared" ca="1" si="249"/>
        <v>0</v>
      </c>
      <c r="EA216" s="348">
        <f t="shared" ca="1" si="249"/>
        <v>0</v>
      </c>
      <c r="EB216" s="348">
        <f t="shared" ca="1" si="249"/>
        <v>0</v>
      </c>
      <c r="EC216" s="348">
        <f t="shared" ca="1" si="249"/>
        <v>0</v>
      </c>
      <c r="ED216" s="348">
        <f t="shared" ca="1" si="249"/>
        <v>0</v>
      </c>
      <c r="EE216" s="348">
        <f t="shared" ca="1" si="249"/>
        <v>0</v>
      </c>
      <c r="EF216" s="348">
        <f t="shared" ca="1" si="249"/>
        <v>0</v>
      </c>
      <c r="EG216" s="348">
        <f t="shared" ref="EG216:GR216" ca="1" si="250">IF(AND(EG176&gt;=$E$217,EG176&lt;$E$218),10,0)</f>
        <v>0</v>
      </c>
      <c r="EH216" s="348">
        <f t="shared" ca="1" si="250"/>
        <v>0</v>
      </c>
      <c r="EI216" s="348">
        <f t="shared" ca="1" si="250"/>
        <v>0</v>
      </c>
      <c r="EJ216" s="348">
        <f t="shared" ca="1" si="250"/>
        <v>0</v>
      </c>
      <c r="EK216" s="348">
        <f t="shared" ca="1" si="250"/>
        <v>0</v>
      </c>
      <c r="EL216" s="348">
        <f t="shared" ca="1" si="250"/>
        <v>0</v>
      </c>
      <c r="EM216" s="348">
        <f t="shared" ca="1" si="250"/>
        <v>0</v>
      </c>
      <c r="EN216" s="348">
        <f t="shared" ca="1" si="250"/>
        <v>0</v>
      </c>
      <c r="EO216" s="348">
        <f t="shared" ca="1" si="250"/>
        <v>0</v>
      </c>
      <c r="EP216" s="348">
        <f t="shared" ca="1" si="250"/>
        <v>0</v>
      </c>
      <c r="EQ216" s="348">
        <f t="shared" ca="1" si="250"/>
        <v>0</v>
      </c>
      <c r="ER216" s="348">
        <f t="shared" ca="1" si="250"/>
        <v>0</v>
      </c>
      <c r="ES216" s="348">
        <f t="shared" ca="1" si="250"/>
        <v>0</v>
      </c>
      <c r="ET216" s="348">
        <f t="shared" ca="1" si="250"/>
        <v>0</v>
      </c>
      <c r="EU216" s="348">
        <f t="shared" ca="1" si="250"/>
        <v>0</v>
      </c>
      <c r="EV216" s="348">
        <f t="shared" ca="1" si="250"/>
        <v>0</v>
      </c>
      <c r="EW216" s="348">
        <f t="shared" ca="1" si="250"/>
        <v>0</v>
      </c>
      <c r="EX216" s="348">
        <f t="shared" ca="1" si="250"/>
        <v>0</v>
      </c>
      <c r="EY216" s="348">
        <f t="shared" ca="1" si="250"/>
        <v>0</v>
      </c>
      <c r="EZ216" s="348">
        <f t="shared" ca="1" si="250"/>
        <v>0</v>
      </c>
      <c r="FA216" s="348">
        <f t="shared" ca="1" si="250"/>
        <v>0</v>
      </c>
      <c r="FB216" s="348">
        <f t="shared" ca="1" si="250"/>
        <v>0</v>
      </c>
      <c r="FC216" s="348">
        <f t="shared" ca="1" si="250"/>
        <v>0</v>
      </c>
      <c r="FD216" s="348">
        <f t="shared" ca="1" si="250"/>
        <v>0</v>
      </c>
      <c r="FE216" s="348">
        <f t="shared" ca="1" si="250"/>
        <v>0</v>
      </c>
      <c r="FF216" s="348">
        <f t="shared" ca="1" si="250"/>
        <v>0</v>
      </c>
      <c r="FG216" s="348">
        <f t="shared" ca="1" si="250"/>
        <v>0</v>
      </c>
      <c r="FH216" s="348">
        <f t="shared" ca="1" si="250"/>
        <v>0</v>
      </c>
      <c r="FI216" s="348">
        <f t="shared" ca="1" si="250"/>
        <v>0</v>
      </c>
      <c r="FJ216" s="348">
        <f t="shared" ca="1" si="250"/>
        <v>0</v>
      </c>
      <c r="FK216" s="348">
        <f t="shared" ca="1" si="250"/>
        <v>0</v>
      </c>
      <c r="FL216" s="348">
        <f t="shared" ca="1" si="250"/>
        <v>0</v>
      </c>
      <c r="FM216" s="348">
        <f t="shared" ca="1" si="250"/>
        <v>0</v>
      </c>
      <c r="FN216" s="348">
        <f t="shared" ca="1" si="250"/>
        <v>0</v>
      </c>
      <c r="FO216" s="348">
        <f t="shared" ca="1" si="250"/>
        <v>0</v>
      </c>
      <c r="FP216" s="348">
        <f t="shared" ca="1" si="250"/>
        <v>0</v>
      </c>
      <c r="FQ216" s="348">
        <f t="shared" ca="1" si="250"/>
        <v>0</v>
      </c>
      <c r="FR216" s="348">
        <f t="shared" ca="1" si="250"/>
        <v>0</v>
      </c>
      <c r="FS216" s="348">
        <f t="shared" ca="1" si="250"/>
        <v>0</v>
      </c>
      <c r="FT216" s="348">
        <f t="shared" ca="1" si="250"/>
        <v>0</v>
      </c>
      <c r="FU216" s="348">
        <f t="shared" ca="1" si="250"/>
        <v>0</v>
      </c>
      <c r="FV216" s="348">
        <f t="shared" ca="1" si="250"/>
        <v>0</v>
      </c>
      <c r="FW216" s="348">
        <f t="shared" ca="1" si="250"/>
        <v>0</v>
      </c>
      <c r="FX216" s="348">
        <f t="shared" ca="1" si="250"/>
        <v>0</v>
      </c>
      <c r="FY216" s="348">
        <f t="shared" ca="1" si="250"/>
        <v>0</v>
      </c>
      <c r="FZ216" s="348">
        <f t="shared" ca="1" si="250"/>
        <v>0</v>
      </c>
      <c r="GA216" s="348">
        <f t="shared" ca="1" si="250"/>
        <v>0</v>
      </c>
      <c r="GB216" s="348">
        <f t="shared" ca="1" si="250"/>
        <v>0</v>
      </c>
      <c r="GC216" s="348">
        <f t="shared" ca="1" si="250"/>
        <v>0</v>
      </c>
      <c r="GD216" s="348">
        <f t="shared" ca="1" si="250"/>
        <v>0</v>
      </c>
      <c r="GE216" s="348">
        <f t="shared" ca="1" si="250"/>
        <v>0</v>
      </c>
      <c r="GF216" s="348">
        <f t="shared" ca="1" si="250"/>
        <v>0</v>
      </c>
      <c r="GG216" s="348">
        <f t="shared" ca="1" si="250"/>
        <v>0</v>
      </c>
      <c r="GH216" s="348">
        <f t="shared" ca="1" si="250"/>
        <v>0</v>
      </c>
      <c r="GI216" s="348">
        <f t="shared" ca="1" si="250"/>
        <v>0</v>
      </c>
      <c r="GJ216" s="348">
        <f t="shared" ca="1" si="250"/>
        <v>0</v>
      </c>
      <c r="GK216" s="348">
        <f t="shared" ca="1" si="250"/>
        <v>0</v>
      </c>
      <c r="GL216" s="348">
        <f t="shared" ca="1" si="250"/>
        <v>0</v>
      </c>
      <c r="GM216" s="348">
        <f t="shared" ca="1" si="250"/>
        <v>0</v>
      </c>
      <c r="GN216" s="348">
        <f t="shared" ca="1" si="250"/>
        <v>0</v>
      </c>
      <c r="GO216" s="348">
        <f t="shared" ca="1" si="250"/>
        <v>0</v>
      </c>
      <c r="GP216" s="348">
        <f t="shared" ca="1" si="250"/>
        <v>0</v>
      </c>
      <c r="GQ216" s="348">
        <f t="shared" ca="1" si="250"/>
        <v>0</v>
      </c>
      <c r="GR216" s="348">
        <f t="shared" ca="1" si="250"/>
        <v>0</v>
      </c>
      <c r="GS216" s="348">
        <f t="shared" ref="GS216:IK216" ca="1" si="251">IF(AND(GS176&gt;=$E$217,GS176&lt;$E$218),10,0)</f>
        <v>0</v>
      </c>
      <c r="GT216" s="348">
        <f t="shared" ca="1" si="251"/>
        <v>0</v>
      </c>
      <c r="GU216" s="348">
        <f t="shared" ca="1" si="251"/>
        <v>0</v>
      </c>
      <c r="GV216" s="348">
        <f t="shared" ca="1" si="251"/>
        <v>0</v>
      </c>
      <c r="GW216" s="348">
        <f t="shared" ca="1" si="251"/>
        <v>0</v>
      </c>
      <c r="GX216" s="348">
        <f t="shared" ca="1" si="251"/>
        <v>0</v>
      </c>
      <c r="GY216" s="348">
        <f t="shared" ca="1" si="251"/>
        <v>0</v>
      </c>
      <c r="GZ216" s="348">
        <f t="shared" ca="1" si="251"/>
        <v>0</v>
      </c>
      <c r="HA216" s="348">
        <f t="shared" ca="1" si="251"/>
        <v>0</v>
      </c>
      <c r="HB216" s="348">
        <f t="shared" ca="1" si="251"/>
        <v>0</v>
      </c>
      <c r="HC216" s="348">
        <f t="shared" ca="1" si="251"/>
        <v>0</v>
      </c>
      <c r="HD216" s="348">
        <f t="shared" ca="1" si="251"/>
        <v>0</v>
      </c>
      <c r="HE216" s="348">
        <f t="shared" ca="1" si="251"/>
        <v>0</v>
      </c>
      <c r="HF216" s="348">
        <f t="shared" ca="1" si="251"/>
        <v>0</v>
      </c>
      <c r="HG216" s="348">
        <f t="shared" ca="1" si="251"/>
        <v>0</v>
      </c>
      <c r="HH216" s="348">
        <f t="shared" ca="1" si="251"/>
        <v>0</v>
      </c>
      <c r="HI216" s="348">
        <f t="shared" ca="1" si="251"/>
        <v>0</v>
      </c>
      <c r="HJ216" s="348">
        <f t="shared" ca="1" si="251"/>
        <v>0</v>
      </c>
      <c r="HK216" s="348">
        <f t="shared" ca="1" si="251"/>
        <v>0</v>
      </c>
      <c r="HL216" s="348">
        <f t="shared" ca="1" si="251"/>
        <v>0</v>
      </c>
      <c r="HM216" s="348">
        <f t="shared" ca="1" si="251"/>
        <v>0</v>
      </c>
      <c r="HN216" s="348">
        <f t="shared" ca="1" si="251"/>
        <v>0</v>
      </c>
      <c r="HO216" s="348">
        <f t="shared" ca="1" si="251"/>
        <v>0</v>
      </c>
      <c r="HP216" s="348">
        <f t="shared" ca="1" si="251"/>
        <v>0</v>
      </c>
      <c r="HQ216" s="348">
        <f t="shared" ca="1" si="251"/>
        <v>0</v>
      </c>
      <c r="HR216" s="348">
        <f t="shared" ca="1" si="251"/>
        <v>0</v>
      </c>
      <c r="HS216" s="348">
        <f t="shared" ca="1" si="251"/>
        <v>0</v>
      </c>
      <c r="HT216" s="348">
        <f t="shared" ca="1" si="251"/>
        <v>0</v>
      </c>
      <c r="HU216" s="348">
        <f t="shared" ca="1" si="251"/>
        <v>0</v>
      </c>
      <c r="HV216" s="348">
        <f t="shared" ca="1" si="251"/>
        <v>0</v>
      </c>
      <c r="HW216" s="348">
        <f t="shared" ca="1" si="251"/>
        <v>0</v>
      </c>
      <c r="HX216" s="348">
        <f t="shared" ca="1" si="251"/>
        <v>0</v>
      </c>
      <c r="HY216" s="348">
        <f t="shared" ca="1" si="251"/>
        <v>0</v>
      </c>
      <c r="HZ216" s="348">
        <f t="shared" ca="1" si="251"/>
        <v>0</v>
      </c>
      <c r="IA216" s="348">
        <f t="shared" ca="1" si="251"/>
        <v>0</v>
      </c>
      <c r="IB216" s="348">
        <f t="shared" ca="1" si="251"/>
        <v>0</v>
      </c>
      <c r="IC216" s="348">
        <f t="shared" ca="1" si="251"/>
        <v>0</v>
      </c>
      <c r="ID216" s="348">
        <f t="shared" ca="1" si="251"/>
        <v>0</v>
      </c>
      <c r="IE216" s="348">
        <f t="shared" ca="1" si="251"/>
        <v>0</v>
      </c>
      <c r="IF216" s="348">
        <f t="shared" ca="1" si="251"/>
        <v>0</v>
      </c>
      <c r="IG216" s="348">
        <f t="shared" ca="1" si="251"/>
        <v>0</v>
      </c>
      <c r="IH216" s="348">
        <f t="shared" ca="1" si="251"/>
        <v>0</v>
      </c>
      <c r="II216" s="348">
        <f t="shared" ca="1" si="251"/>
        <v>0</v>
      </c>
      <c r="IJ216" s="348">
        <f t="shared" ca="1" si="251"/>
        <v>0</v>
      </c>
      <c r="IK216" s="348">
        <f t="shared" ca="1" si="251"/>
        <v>0</v>
      </c>
    </row>
    <row r="217" spans="1:245" hidden="1" x14ac:dyDescent="0.35">
      <c r="A217" s="195"/>
      <c r="B217" s="5"/>
      <c r="C217" s="630" t="s">
        <v>1574</v>
      </c>
      <c r="D217" s="467">
        <f ca="1">IF(ENTRADAS!$F$22=0,0,D214+1)</f>
        <v>45969.5</v>
      </c>
      <c r="E217" s="679">
        <f ca="1">1+(D211-1)*D216+0</f>
        <v>51.5</v>
      </c>
    </row>
    <row r="218" spans="1:245" hidden="1" x14ac:dyDescent="0.35">
      <c r="A218" s="195"/>
      <c r="B218" s="5"/>
      <c r="C218" s="630" t="s">
        <v>1575</v>
      </c>
      <c r="D218" s="467">
        <f ca="1">IF(ENTRADAS!$F$22=0,0,IF($J$3=0,0,E191+F191-1))</f>
        <v>45993.75</v>
      </c>
      <c r="E218" s="32">
        <f ca="1">E217+D216</f>
        <v>76.75</v>
      </c>
    </row>
    <row r="219" spans="1:245" hidden="1" x14ac:dyDescent="0.35">
      <c r="A219" s="195"/>
      <c r="B219" s="5"/>
      <c r="C219" s="750" t="s">
        <v>1576</v>
      </c>
      <c r="D219" s="32"/>
      <c r="E219" s="32">
        <f ca="1">IF(D211&lt;=D212,LAJES!$H$486/D212,0)</f>
        <v>0</v>
      </c>
      <c r="G219" s="32">
        <f ca="1">IF(E151&gt;E140,E151,IF(E140&gt;E151,E140,0))</f>
        <v>0</v>
      </c>
    </row>
    <row r="220" spans="1:245" hidden="1" x14ac:dyDescent="0.35">
      <c r="A220" s="195"/>
      <c r="B220" s="5"/>
      <c r="C220" s="630" t="s">
        <v>1577</v>
      </c>
      <c r="D220" s="483">
        <f>IF(ENTRADAS!$E$1038=0,0,IF(D212=0,0,IF(D211=D212,IF(G219&gt;D211*D216,0,E219),IF(E215+(D211*E219)&gt;(D211+1)*D216,(D211+1)*D216-E215,((D211-1)*E219)))))</f>
        <v>0</v>
      </c>
      <c r="E220" s="32"/>
      <c r="H220" s="348">
        <f>IF($D$222&gt;0,IF(AND(H176&gt;=$E$222,H176&lt;$E$224),10,0),IF($D$223&gt;0,IF(AND(H176&gt;=$E$223,H176&lt;$E$224),10),0))</f>
        <v>0</v>
      </c>
      <c r="I220" s="348">
        <f>IF($D$222&gt;0,IF(AND(I176&gt;=$E$222,I176&lt;$E$224),10,0),IF($D$223&gt;0,IF(AND(I176&gt;=$E$223,I176&lt;$E$224),10),0))</f>
        <v>0</v>
      </c>
      <c r="J220" s="348">
        <f t="shared" ref="J220:BT220" si="252">IF($D$222&gt;0,IF(AND(J176&gt;=$E$222,J176&lt;$E$224),10,0),IF($D$223&gt;0,IF(AND(J176&gt;=$E$223,J176&lt;$E$224),10),0))</f>
        <v>0</v>
      </c>
      <c r="K220" s="348">
        <f t="shared" si="252"/>
        <v>0</v>
      </c>
      <c r="L220" s="348">
        <f t="shared" si="252"/>
        <v>0</v>
      </c>
      <c r="M220" s="348">
        <f t="shared" si="252"/>
        <v>0</v>
      </c>
      <c r="N220" s="348">
        <f t="shared" si="252"/>
        <v>0</v>
      </c>
      <c r="O220" s="348">
        <f t="shared" si="252"/>
        <v>0</v>
      </c>
      <c r="P220" s="348">
        <f t="shared" si="252"/>
        <v>0</v>
      </c>
      <c r="Q220" s="348">
        <f t="shared" si="252"/>
        <v>0</v>
      </c>
      <c r="R220" s="348">
        <f t="shared" si="252"/>
        <v>0</v>
      </c>
      <c r="S220" s="348">
        <f t="shared" si="252"/>
        <v>0</v>
      </c>
      <c r="T220" s="348">
        <f t="shared" si="252"/>
        <v>0</v>
      </c>
      <c r="U220" s="348">
        <f t="shared" si="252"/>
        <v>0</v>
      </c>
      <c r="V220" s="348">
        <f t="shared" si="252"/>
        <v>0</v>
      </c>
      <c r="W220" s="348">
        <f t="shared" si="252"/>
        <v>0</v>
      </c>
      <c r="X220" s="348">
        <f t="shared" si="252"/>
        <v>0</v>
      </c>
      <c r="Y220" s="348">
        <f t="shared" si="252"/>
        <v>0</v>
      </c>
      <c r="Z220" s="348">
        <f t="shared" si="252"/>
        <v>0</v>
      </c>
      <c r="AA220" s="348">
        <f t="shared" si="252"/>
        <v>0</v>
      </c>
      <c r="AB220" s="348">
        <f t="shared" si="252"/>
        <v>0</v>
      </c>
      <c r="AC220" s="348">
        <f t="shared" si="252"/>
        <v>0</v>
      </c>
      <c r="AD220" s="348">
        <f t="shared" si="252"/>
        <v>0</v>
      </c>
      <c r="AE220" s="348">
        <f t="shared" si="252"/>
        <v>0</v>
      </c>
      <c r="AF220" s="348">
        <f t="shared" si="252"/>
        <v>0</v>
      </c>
      <c r="AG220" s="348">
        <f t="shared" si="252"/>
        <v>0</v>
      </c>
      <c r="AH220" s="348">
        <f t="shared" si="252"/>
        <v>0</v>
      </c>
      <c r="AI220" s="348">
        <f t="shared" si="252"/>
        <v>0</v>
      </c>
      <c r="AJ220" s="348">
        <f t="shared" si="252"/>
        <v>0</v>
      </c>
      <c r="AK220" s="348">
        <f t="shared" si="252"/>
        <v>0</v>
      </c>
      <c r="AL220" s="348">
        <f t="shared" si="252"/>
        <v>0</v>
      </c>
      <c r="AM220" s="348">
        <f t="shared" si="252"/>
        <v>0</v>
      </c>
      <c r="AN220" s="348">
        <f t="shared" si="252"/>
        <v>0</v>
      </c>
      <c r="AO220" s="348">
        <f t="shared" si="252"/>
        <v>0</v>
      </c>
      <c r="AP220" s="348">
        <f t="shared" si="252"/>
        <v>0</v>
      </c>
      <c r="AQ220" s="348">
        <f t="shared" si="252"/>
        <v>0</v>
      </c>
      <c r="AR220" s="348">
        <f t="shared" si="252"/>
        <v>0</v>
      </c>
      <c r="AS220" s="348">
        <f t="shared" si="252"/>
        <v>0</v>
      </c>
      <c r="AT220" s="348">
        <f t="shared" si="252"/>
        <v>0</v>
      </c>
      <c r="AU220" s="348">
        <f t="shared" si="252"/>
        <v>0</v>
      </c>
      <c r="AV220" s="348">
        <f t="shared" si="252"/>
        <v>0</v>
      </c>
      <c r="AW220" s="348">
        <f t="shared" si="252"/>
        <v>0</v>
      </c>
      <c r="AX220" s="348">
        <f t="shared" si="252"/>
        <v>0</v>
      </c>
      <c r="AY220" s="348">
        <f t="shared" si="252"/>
        <v>0</v>
      </c>
      <c r="AZ220" s="348">
        <f t="shared" si="252"/>
        <v>0</v>
      </c>
      <c r="BA220" s="348">
        <f t="shared" si="252"/>
        <v>0</v>
      </c>
      <c r="BB220" s="348">
        <f t="shared" si="252"/>
        <v>0</v>
      </c>
      <c r="BC220" s="348">
        <f t="shared" si="252"/>
        <v>0</v>
      </c>
      <c r="BD220" s="348">
        <f t="shared" si="252"/>
        <v>0</v>
      </c>
      <c r="BE220" s="348">
        <f t="shared" si="252"/>
        <v>0</v>
      </c>
      <c r="BF220" s="348">
        <f t="shared" si="252"/>
        <v>0</v>
      </c>
      <c r="BG220" s="348">
        <f t="shared" si="252"/>
        <v>0</v>
      </c>
      <c r="BH220" s="348">
        <f t="shared" si="252"/>
        <v>0</v>
      </c>
      <c r="BI220" s="348">
        <f t="shared" si="252"/>
        <v>0</v>
      </c>
      <c r="BJ220" s="348">
        <f t="shared" si="252"/>
        <v>0</v>
      </c>
      <c r="BK220" s="348">
        <f t="shared" si="252"/>
        <v>0</v>
      </c>
      <c r="BL220" s="348">
        <f t="shared" si="252"/>
        <v>0</v>
      </c>
      <c r="BM220" s="348">
        <f t="shared" si="252"/>
        <v>0</v>
      </c>
      <c r="BN220" s="348">
        <f t="shared" si="252"/>
        <v>0</v>
      </c>
      <c r="BO220" s="348">
        <f t="shared" si="252"/>
        <v>0</v>
      </c>
      <c r="BP220" s="348">
        <f t="shared" si="252"/>
        <v>0</v>
      </c>
      <c r="BQ220" s="348">
        <f t="shared" si="252"/>
        <v>0</v>
      </c>
      <c r="BR220" s="348">
        <f t="shared" si="252"/>
        <v>0</v>
      </c>
      <c r="BS220" s="348">
        <f t="shared" si="252"/>
        <v>0</v>
      </c>
      <c r="BT220" s="348">
        <f t="shared" si="252"/>
        <v>0</v>
      </c>
      <c r="BU220" s="348">
        <f t="shared" ref="BU220:EF220" si="253">IF($D$222&gt;0,IF(AND(BU176&gt;=$E$222,BU176&lt;$E$224),10,0),IF($D$223&gt;0,IF(AND(BU176&gt;=$E$223,BU176&lt;$E$224),10),0))</f>
        <v>0</v>
      </c>
      <c r="BV220" s="348">
        <f t="shared" si="253"/>
        <v>0</v>
      </c>
      <c r="BW220" s="348">
        <f t="shared" si="253"/>
        <v>0</v>
      </c>
      <c r="BX220" s="348">
        <f t="shared" si="253"/>
        <v>0</v>
      </c>
      <c r="BY220" s="348">
        <f t="shared" si="253"/>
        <v>0</v>
      </c>
      <c r="BZ220" s="348">
        <f t="shared" si="253"/>
        <v>0</v>
      </c>
      <c r="CA220" s="348">
        <f t="shared" si="253"/>
        <v>0</v>
      </c>
      <c r="CB220" s="348">
        <f t="shared" si="253"/>
        <v>0</v>
      </c>
      <c r="CC220" s="348">
        <f t="shared" si="253"/>
        <v>0</v>
      </c>
      <c r="CD220" s="348">
        <f t="shared" si="253"/>
        <v>0</v>
      </c>
      <c r="CE220" s="348">
        <f t="shared" si="253"/>
        <v>0</v>
      </c>
      <c r="CF220" s="348">
        <f t="shared" si="253"/>
        <v>0</v>
      </c>
      <c r="CG220" s="348">
        <f t="shared" si="253"/>
        <v>0</v>
      </c>
      <c r="CH220" s="348">
        <f t="shared" si="253"/>
        <v>0</v>
      </c>
      <c r="CI220" s="348">
        <f t="shared" si="253"/>
        <v>0</v>
      </c>
      <c r="CJ220" s="348">
        <f t="shared" si="253"/>
        <v>0</v>
      </c>
      <c r="CK220" s="348">
        <f t="shared" si="253"/>
        <v>0</v>
      </c>
      <c r="CL220" s="348">
        <f t="shared" si="253"/>
        <v>0</v>
      </c>
      <c r="CM220" s="348">
        <f t="shared" si="253"/>
        <v>0</v>
      </c>
      <c r="CN220" s="348">
        <f t="shared" si="253"/>
        <v>0</v>
      </c>
      <c r="CO220" s="348">
        <f t="shared" si="253"/>
        <v>0</v>
      </c>
      <c r="CP220" s="348">
        <f t="shared" si="253"/>
        <v>0</v>
      </c>
      <c r="CQ220" s="348">
        <f t="shared" si="253"/>
        <v>0</v>
      </c>
      <c r="CR220" s="348">
        <f t="shared" si="253"/>
        <v>0</v>
      </c>
      <c r="CS220" s="348">
        <f t="shared" si="253"/>
        <v>0</v>
      </c>
      <c r="CT220" s="348">
        <f t="shared" si="253"/>
        <v>0</v>
      </c>
      <c r="CU220" s="348">
        <f t="shared" si="253"/>
        <v>0</v>
      </c>
      <c r="CV220" s="348">
        <f t="shared" si="253"/>
        <v>0</v>
      </c>
      <c r="CW220" s="348">
        <f t="shared" si="253"/>
        <v>0</v>
      </c>
      <c r="CX220" s="348">
        <f t="shared" si="253"/>
        <v>0</v>
      </c>
      <c r="CY220" s="348">
        <f t="shared" si="253"/>
        <v>0</v>
      </c>
      <c r="CZ220" s="348">
        <f t="shared" si="253"/>
        <v>0</v>
      </c>
      <c r="DA220" s="348">
        <f t="shared" si="253"/>
        <v>0</v>
      </c>
      <c r="DB220" s="348">
        <f t="shared" si="253"/>
        <v>0</v>
      </c>
      <c r="DC220" s="348">
        <f t="shared" si="253"/>
        <v>0</v>
      </c>
      <c r="DD220" s="348">
        <f t="shared" si="253"/>
        <v>0</v>
      </c>
      <c r="DE220" s="348">
        <f t="shared" si="253"/>
        <v>0</v>
      </c>
      <c r="DF220" s="348">
        <f t="shared" si="253"/>
        <v>0</v>
      </c>
      <c r="DG220" s="348">
        <f t="shared" si="253"/>
        <v>0</v>
      </c>
      <c r="DH220" s="348">
        <f t="shared" si="253"/>
        <v>0</v>
      </c>
      <c r="DI220" s="348">
        <f t="shared" si="253"/>
        <v>0</v>
      </c>
      <c r="DJ220" s="348">
        <f t="shared" si="253"/>
        <v>0</v>
      </c>
      <c r="DK220" s="348">
        <f t="shared" si="253"/>
        <v>0</v>
      </c>
      <c r="DL220" s="348">
        <f t="shared" si="253"/>
        <v>0</v>
      </c>
      <c r="DM220" s="348">
        <f t="shared" si="253"/>
        <v>0</v>
      </c>
      <c r="DN220" s="348">
        <f t="shared" si="253"/>
        <v>0</v>
      </c>
      <c r="DO220" s="348">
        <f t="shared" si="253"/>
        <v>0</v>
      </c>
      <c r="DP220" s="348">
        <f t="shared" si="253"/>
        <v>0</v>
      </c>
      <c r="DQ220" s="348">
        <f t="shared" si="253"/>
        <v>0</v>
      </c>
      <c r="DR220" s="348">
        <f t="shared" si="253"/>
        <v>0</v>
      </c>
      <c r="DS220" s="348">
        <f t="shared" si="253"/>
        <v>0</v>
      </c>
      <c r="DT220" s="348">
        <f t="shared" si="253"/>
        <v>0</v>
      </c>
      <c r="DU220" s="348">
        <f t="shared" si="253"/>
        <v>0</v>
      </c>
      <c r="DV220" s="348">
        <f t="shared" si="253"/>
        <v>0</v>
      </c>
      <c r="DW220" s="348">
        <f t="shared" si="253"/>
        <v>0</v>
      </c>
      <c r="DX220" s="348">
        <f t="shared" si="253"/>
        <v>0</v>
      </c>
      <c r="DY220" s="348">
        <f t="shared" si="253"/>
        <v>0</v>
      </c>
      <c r="DZ220" s="348">
        <f t="shared" si="253"/>
        <v>0</v>
      </c>
      <c r="EA220" s="348">
        <f t="shared" si="253"/>
        <v>0</v>
      </c>
      <c r="EB220" s="348">
        <f t="shared" si="253"/>
        <v>0</v>
      </c>
      <c r="EC220" s="348">
        <f t="shared" si="253"/>
        <v>0</v>
      </c>
      <c r="ED220" s="348">
        <f t="shared" si="253"/>
        <v>0</v>
      </c>
      <c r="EE220" s="348">
        <f t="shared" si="253"/>
        <v>0</v>
      </c>
      <c r="EF220" s="348">
        <f t="shared" si="253"/>
        <v>0</v>
      </c>
      <c r="EG220" s="348">
        <f t="shared" ref="EG220:GR220" si="254">IF($D$222&gt;0,IF(AND(EG176&gt;=$E$222,EG176&lt;$E$224),10,0),IF($D$223&gt;0,IF(AND(EG176&gt;=$E$223,EG176&lt;$E$224),10),0))</f>
        <v>0</v>
      </c>
      <c r="EH220" s="348">
        <f t="shared" si="254"/>
        <v>0</v>
      </c>
      <c r="EI220" s="348">
        <f t="shared" si="254"/>
        <v>0</v>
      </c>
      <c r="EJ220" s="348">
        <f t="shared" si="254"/>
        <v>0</v>
      </c>
      <c r="EK220" s="348">
        <f t="shared" si="254"/>
        <v>0</v>
      </c>
      <c r="EL220" s="348">
        <f t="shared" si="254"/>
        <v>0</v>
      </c>
      <c r="EM220" s="348">
        <f t="shared" si="254"/>
        <v>0</v>
      </c>
      <c r="EN220" s="348">
        <f t="shared" si="254"/>
        <v>0</v>
      </c>
      <c r="EO220" s="348">
        <f t="shared" si="254"/>
        <v>0</v>
      </c>
      <c r="EP220" s="348">
        <f t="shared" si="254"/>
        <v>0</v>
      </c>
      <c r="EQ220" s="348">
        <f t="shared" si="254"/>
        <v>0</v>
      </c>
      <c r="ER220" s="348">
        <f t="shared" si="254"/>
        <v>0</v>
      </c>
      <c r="ES220" s="348">
        <f t="shared" si="254"/>
        <v>0</v>
      </c>
      <c r="ET220" s="348">
        <f t="shared" si="254"/>
        <v>0</v>
      </c>
      <c r="EU220" s="348">
        <f t="shared" si="254"/>
        <v>0</v>
      </c>
      <c r="EV220" s="348">
        <f t="shared" si="254"/>
        <v>0</v>
      </c>
      <c r="EW220" s="348">
        <f t="shared" si="254"/>
        <v>0</v>
      </c>
      <c r="EX220" s="348">
        <f t="shared" si="254"/>
        <v>0</v>
      </c>
      <c r="EY220" s="348">
        <f t="shared" si="254"/>
        <v>0</v>
      </c>
      <c r="EZ220" s="348">
        <f t="shared" si="254"/>
        <v>0</v>
      </c>
      <c r="FA220" s="348">
        <f t="shared" si="254"/>
        <v>0</v>
      </c>
      <c r="FB220" s="348">
        <f t="shared" si="254"/>
        <v>0</v>
      </c>
      <c r="FC220" s="348">
        <f t="shared" si="254"/>
        <v>0</v>
      </c>
      <c r="FD220" s="348">
        <f t="shared" si="254"/>
        <v>0</v>
      </c>
      <c r="FE220" s="348">
        <f t="shared" si="254"/>
        <v>0</v>
      </c>
      <c r="FF220" s="348">
        <f t="shared" si="254"/>
        <v>0</v>
      </c>
      <c r="FG220" s="348">
        <f t="shared" si="254"/>
        <v>0</v>
      </c>
      <c r="FH220" s="348">
        <f t="shared" si="254"/>
        <v>0</v>
      </c>
      <c r="FI220" s="348">
        <f t="shared" si="254"/>
        <v>0</v>
      </c>
      <c r="FJ220" s="348">
        <f t="shared" si="254"/>
        <v>0</v>
      </c>
      <c r="FK220" s="348">
        <f t="shared" si="254"/>
        <v>0</v>
      </c>
      <c r="FL220" s="348">
        <f t="shared" si="254"/>
        <v>0</v>
      </c>
      <c r="FM220" s="348">
        <f t="shared" si="254"/>
        <v>0</v>
      </c>
      <c r="FN220" s="348">
        <f t="shared" si="254"/>
        <v>0</v>
      </c>
      <c r="FO220" s="348">
        <f t="shared" si="254"/>
        <v>0</v>
      </c>
      <c r="FP220" s="348">
        <f t="shared" si="254"/>
        <v>0</v>
      </c>
      <c r="FQ220" s="348">
        <f t="shared" si="254"/>
        <v>0</v>
      </c>
      <c r="FR220" s="348">
        <f t="shared" si="254"/>
        <v>0</v>
      </c>
      <c r="FS220" s="348">
        <f t="shared" si="254"/>
        <v>0</v>
      </c>
      <c r="FT220" s="348">
        <f t="shared" si="254"/>
        <v>0</v>
      </c>
      <c r="FU220" s="348">
        <f t="shared" si="254"/>
        <v>0</v>
      </c>
      <c r="FV220" s="348">
        <f t="shared" si="254"/>
        <v>0</v>
      </c>
      <c r="FW220" s="348">
        <f t="shared" si="254"/>
        <v>0</v>
      </c>
      <c r="FX220" s="348">
        <f t="shared" si="254"/>
        <v>0</v>
      </c>
      <c r="FY220" s="348">
        <f t="shared" si="254"/>
        <v>0</v>
      </c>
      <c r="FZ220" s="348">
        <f t="shared" si="254"/>
        <v>0</v>
      </c>
      <c r="GA220" s="348">
        <f t="shared" si="254"/>
        <v>0</v>
      </c>
      <c r="GB220" s="348">
        <f t="shared" si="254"/>
        <v>0</v>
      </c>
      <c r="GC220" s="348">
        <f t="shared" si="254"/>
        <v>0</v>
      </c>
      <c r="GD220" s="348">
        <f t="shared" si="254"/>
        <v>0</v>
      </c>
      <c r="GE220" s="348">
        <f t="shared" si="254"/>
        <v>0</v>
      </c>
      <c r="GF220" s="348">
        <f t="shared" si="254"/>
        <v>0</v>
      </c>
      <c r="GG220" s="348">
        <f t="shared" si="254"/>
        <v>0</v>
      </c>
      <c r="GH220" s="348">
        <f t="shared" si="254"/>
        <v>0</v>
      </c>
      <c r="GI220" s="348">
        <f t="shared" si="254"/>
        <v>0</v>
      </c>
      <c r="GJ220" s="348">
        <f t="shared" si="254"/>
        <v>0</v>
      </c>
      <c r="GK220" s="348">
        <f t="shared" si="254"/>
        <v>0</v>
      </c>
      <c r="GL220" s="348">
        <f t="shared" si="254"/>
        <v>0</v>
      </c>
      <c r="GM220" s="348">
        <f t="shared" si="254"/>
        <v>0</v>
      </c>
      <c r="GN220" s="348">
        <f t="shared" si="254"/>
        <v>0</v>
      </c>
      <c r="GO220" s="348">
        <f t="shared" si="254"/>
        <v>0</v>
      </c>
      <c r="GP220" s="348">
        <f t="shared" si="254"/>
        <v>0</v>
      </c>
      <c r="GQ220" s="348">
        <f t="shared" si="254"/>
        <v>0</v>
      </c>
      <c r="GR220" s="348">
        <f t="shared" si="254"/>
        <v>0</v>
      </c>
      <c r="GS220" s="348">
        <f t="shared" ref="GS220:IK220" si="255">IF($D$222&gt;0,IF(AND(GS176&gt;=$E$222,GS176&lt;$E$224),10,0),IF($D$223&gt;0,IF(AND(GS176&gt;=$E$223,GS176&lt;$E$224),10),0))</f>
        <v>0</v>
      </c>
      <c r="GT220" s="348">
        <f t="shared" si="255"/>
        <v>0</v>
      </c>
      <c r="GU220" s="348">
        <f t="shared" si="255"/>
        <v>0</v>
      </c>
      <c r="GV220" s="348">
        <f t="shared" si="255"/>
        <v>0</v>
      </c>
      <c r="GW220" s="348">
        <f t="shared" si="255"/>
        <v>0</v>
      </c>
      <c r="GX220" s="348">
        <f t="shared" si="255"/>
        <v>0</v>
      </c>
      <c r="GY220" s="348">
        <f t="shared" si="255"/>
        <v>0</v>
      </c>
      <c r="GZ220" s="348">
        <f t="shared" si="255"/>
        <v>0</v>
      </c>
      <c r="HA220" s="348">
        <f t="shared" si="255"/>
        <v>0</v>
      </c>
      <c r="HB220" s="348">
        <f t="shared" si="255"/>
        <v>0</v>
      </c>
      <c r="HC220" s="348">
        <f t="shared" si="255"/>
        <v>0</v>
      </c>
      <c r="HD220" s="348">
        <f t="shared" si="255"/>
        <v>0</v>
      </c>
      <c r="HE220" s="348">
        <f t="shared" si="255"/>
        <v>0</v>
      </c>
      <c r="HF220" s="348">
        <f t="shared" si="255"/>
        <v>0</v>
      </c>
      <c r="HG220" s="348">
        <f t="shared" si="255"/>
        <v>0</v>
      </c>
      <c r="HH220" s="348">
        <f t="shared" si="255"/>
        <v>0</v>
      </c>
      <c r="HI220" s="348">
        <f t="shared" si="255"/>
        <v>0</v>
      </c>
      <c r="HJ220" s="348">
        <f t="shared" si="255"/>
        <v>0</v>
      </c>
      <c r="HK220" s="348">
        <f t="shared" si="255"/>
        <v>0</v>
      </c>
      <c r="HL220" s="348">
        <f t="shared" si="255"/>
        <v>0</v>
      </c>
      <c r="HM220" s="348">
        <f t="shared" si="255"/>
        <v>0</v>
      </c>
      <c r="HN220" s="348">
        <f t="shared" si="255"/>
        <v>0</v>
      </c>
      <c r="HO220" s="348">
        <f t="shared" si="255"/>
        <v>0</v>
      </c>
      <c r="HP220" s="348">
        <f t="shared" si="255"/>
        <v>0</v>
      </c>
      <c r="HQ220" s="348">
        <f t="shared" si="255"/>
        <v>0</v>
      </c>
      <c r="HR220" s="348">
        <f t="shared" si="255"/>
        <v>0</v>
      </c>
      <c r="HS220" s="348">
        <f t="shared" si="255"/>
        <v>0</v>
      </c>
      <c r="HT220" s="348">
        <f t="shared" si="255"/>
        <v>0</v>
      </c>
      <c r="HU220" s="348">
        <f t="shared" si="255"/>
        <v>0</v>
      </c>
      <c r="HV220" s="348">
        <f t="shared" si="255"/>
        <v>0</v>
      </c>
      <c r="HW220" s="348">
        <f t="shared" si="255"/>
        <v>0</v>
      </c>
      <c r="HX220" s="348">
        <f t="shared" si="255"/>
        <v>0</v>
      </c>
      <c r="HY220" s="348">
        <f t="shared" si="255"/>
        <v>0</v>
      </c>
      <c r="HZ220" s="348">
        <f t="shared" si="255"/>
        <v>0</v>
      </c>
      <c r="IA220" s="348">
        <f t="shared" si="255"/>
        <v>0</v>
      </c>
      <c r="IB220" s="348">
        <f t="shared" si="255"/>
        <v>0</v>
      </c>
      <c r="IC220" s="348">
        <f t="shared" si="255"/>
        <v>0</v>
      </c>
      <c r="ID220" s="348">
        <f t="shared" si="255"/>
        <v>0</v>
      </c>
      <c r="IE220" s="348">
        <f t="shared" si="255"/>
        <v>0</v>
      </c>
      <c r="IF220" s="348">
        <f t="shared" si="255"/>
        <v>0</v>
      </c>
      <c r="IG220" s="348">
        <f t="shared" si="255"/>
        <v>0</v>
      </c>
      <c r="IH220" s="348">
        <f t="shared" si="255"/>
        <v>0</v>
      </c>
      <c r="II220" s="348">
        <f t="shared" si="255"/>
        <v>0</v>
      </c>
      <c r="IJ220" s="348">
        <f t="shared" si="255"/>
        <v>0</v>
      </c>
      <c r="IK220" s="348">
        <f t="shared" si="255"/>
        <v>0</v>
      </c>
    </row>
    <row r="221" spans="1:245" hidden="1" x14ac:dyDescent="0.35">
      <c r="A221" s="195"/>
      <c r="B221" s="5"/>
      <c r="C221" s="630"/>
      <c r="D221" s="468"/>
      <c r="E221" s="32"/>
      <c r="G221" s="476">
        <f ca="1">LARGE(G167:G169,1)</f>
        <v>0</v>
      </c>
    </row>
    <row r="222" spans="1:245" hidden="1" x14ac:dyDescent="0.35">
      <c r="A222" s="195"/>
      <c r="B222" s="5"/>
      <c r="C222" s="630" t="s">
        <v>1578</v>
      </c>
      <c r="D222" s="467">
        <f>IF(D212&lt;D211,0,IF(ENTRADAS!$E$1038=0,0,IF(D220=0,0,IF(D212=D211,IF(D218-G221&gt;0,D218-(E218-G222)+3,0),IF(D212&gt;D211,G221+1,0)))))</f>
        <v>0</v>
      </c>
      <c r="E222" s="32">
        <f>IF(D222&gt;0,D222-D217+E217,IF(D223&gt;0,D223-D217+E217,0))</f>
        <v>0</v>
      </c>
      <c r="G222" s="477">
        <f ca="1">G221-$J$3</f>
        <v>-45919</v>
      </c>
    </row>
    <row r="223" spans="1:245" hidden="1" x14ac:dyDescent="0.35">
      <c r="A223" s="195"/>
      <c r="B223" s="5"/>
      <c r="C223" s="630" t="s">
        <v>1579</v>
      </c>
      <c r="D223" s="467">
        <f>IF(ENTRADAS!$F$22=0,0,IF(ENTRADAS!$E$1038=0,0,IF(D216-D220&lt;0,$J$3+D216,0)))</f>
        <v>0</v>
      </c>
      <c r="E223" s="32"/>
    </row>
    <row r="224" spans="1:245" hidden="1" x14ac:dyDescent="0.35">
      <c r="A224" s="195"/>
      <c r="B224" s="5"/>
      <c r="C224" s="630" t="s">
        <v>1580</v>
      </c>
      <c r="D224" s="467">
        <f ca="1">IF(E224=0,0,E224+D213-2)</f>
        <v>0</v>
      </c>
      <c r="E224" s="81">
        <f ca="1">IF(E219*D211+$G$77&lt;D217,E219*D211+$G$77-D213+1,IF(G227=FALSE,D225,G227))</f>
        <v>0</v>
      </c>
      <c r="G224" s="471">
        <f>IF(D212&lt;D211,0,IF(ENTRADAS!$E$1038=0,0,IF(D212=D211+1,IF((D211+1)*D216&gt;E222+LAJES!$H$486/D212,D222+LAJES!$H$486/D212+1,0),0)))</f>
        <v>0</v>
      </c>
    </row>
    <row r="225" spans="1:245" hidden="1" x14ac:dyDescent="0.35">
      <c r="A225" s="195"/>
      <c r="B225" s="5"/>
      <c r="C225" s="680" t="b">
        <f ca="1">IF(D212*D216+D213&lt;=(E215+(D211-1)*E219)+D213,LARGE(D225:E225,1))</f>
        <v>0</v>
      </c>
      <c r="D225" s="32">
        <f>LARGE(D226:E226,1)</f>
        <v>0</v>
      </c>
      <c r="E225" s="32">
        <f ca="1">IF(G226=FALSE,0,G226)</f>
        <v>0</v>
      </c>
      <c r="G225" s="471">
        <f>IF(D212=0,0,IF(ENTRADAS!$E$1038=0,0,IF(ENTRADAS!$F$22&gt;D211+1,D222+LAJES!$H$486/D212+1,0)))</f>
        <v>0</v>
      </c>
    </row>
    <row r="226" spans="1:245" ht="12.75" hidden="1" customHeight="1" x14ac:dyDescent="0.35">
      <c r="A226" s="195"/>
      <c r="B226" s="5"/>
      <c r="C226" s="680">
        <f ca="1">D212*D216+D213</f>
        <v>46020</v>
      </c>
      <c r="D226" s="32">
        <f>IF(D211=D212,IF(E222=0,0,IF(D211*E219+$G$77-D213&gt;=D211*D216,D211*D216+1,(E219*(D211-1))+E222)),0)</f>
        <v>0</v>
      </c>
      <c r="E226" s="32">
        <f>IF(D211+1=D212,IF(E222=0,0,IF(D212*D216+D213&gt;=(E215+(D211-1)*E219)+D213,E222+E219,D211*D216+1)),0)</f>
        <v>0</v>
      </c>
      <c r="G226" s="510" t="b">
        <f ca="1">IF(G224&gt;0,G224-D213,IF(G225&gt;0,G225-D213,IF(E138+(D212*E219)&gt;D212*D216,IF(D211*D216&lt;(LAJES!$H$486/D212)*D211+E222+E223,D211*D216+1,D212*D216+1))))</f>
        <v>0</v>
      </c>
    </row>
    <row r="227" spans="1:245" ht="12" hidden="1" customHeight="1" x14ac:dyDescent="0.35">
      <c r="A227" s="195"/>
      <c r="B227" s="5"/>
      <c r="C227" s="680">
        <f ca="1">(E215+(D211-1)*E219)+D213</f>
        <v>-1</v>
      </c>
      <c r="E227" s="32">
        <f>IF(D211+1=D212,IF(E222=0,0,IF(D212*D216+D213&gt;=(E215+(D211-1)*E219)+D213,E222+E219,D212*D216+1)),0)</f>
        <v>0</v>
      </c>
      <c r="G227" s="509">
        <f ca="1">IF(D211=D212,IF(D212*D216+D213&lt;=(E215+(D211-1)*E219)+D213,LARGE(D225:E225,1)),IF(D225=E225,E227,LARGE(D225:E225,1)))</f>
        <v>0</v>
      </c>
    </row>
    <row r="228" spans="1:245" ht="3.75" hidden="1" customHeight="1" x14ac:dyDescent="0.35">
      <c r="A228" s="195"/>
      <c r="B228" s="5"/>
    </row>
    <row r="229" spans="1:245" hidden="1" x14ac:dyDescent="0.35">
      <c r="A229" s="195"/>
      <c r="B229" s="5"/>
      <c r="C229" s="32" t="s">
        <v>1581</v>
      </c>
      <c r="D229" s="342">
        <f>IF(ENTRADAS!$D$912=0,0,IF(ENTRADAS!$E$1038=0,LAJES!$H$486/D212,0))</f>
        <v>0</v>
      </c>
      <c r="E229" s="32"/>
      <c r="H229" s="348">
        <f>IF(AND(H176&gt;=$E$230,H176&lt;$E$231),10,0)</f>
        <v>0</v>
      </c>
      <c r="I229" s="348">
        <f t="shared" ref="I229:BT229" si="256">IF(AND(I176&gt;=$E$230,I176&lt;$E$231),10,0)</f>
        <v>0</v>
      </c>
      <c r="J229" s="348">
        <f t="shared" si="256"/>
        <v>0</v>
      </c>
      <c r="K229" s="348">
        <f t="shared" si="256"/>
        <v>0</v>
      </c>
      <c r="L229" s="348">
        <f t="shared" si="256"/>
        <v>0</v>
      </c>
      <c r="M229" s="348">
        <f t="shared" si="256"/>
        <v>0</v>
      </c>
      <c r="N229" s="348">
        <f t="shared" si="256"/>
        <v>0</v>
      </c>
      <c r="O229" s="348">
        <f t="shared" si="256"/>
        <v>0</v>
      </c>
      <c r="P229" s="348">
        <f t="shared" si="256"/>
        <v>0</v>
      </c>
      <c r="Q229" s="348">
        <f t="shared" si="256"/>
        <v>0</v>
      </c>
      <c r="R229" s="348">
        <f t="shared" si="256"/>
        <v>0</v>
      </c>
      <c r="S229" s="348">
        <f t="shared" si="256"/>
        <v>0</v>
      </c>
      <c r="T229" s="348">
        <f t="shared" si="256"/>
        <v>0</v>
      </c>
      <c r="U229" s="348">
        <f t="shared" si="256"/>
        <v>0</v>
      </c>
      <c r="V229" s="348">
        <f t="shared" si="256"/>
        <v>0</v>
      </c>
      <c r="W229" s="348">
        <f t="shared" si="256"/>
        <v>0</v>
      </c>
      <c r="X229" s="348">
        <f t="shared" si="256"/>
        <v>0</v>
      </c>
      <c r="Y229" s="348">
        <f t="shared" si="256"/>
        <v>0</v>
      </c>
      <c r="Z229" s="348">
        <f t="shared" si="256"/>
        <v>0</v>
      </c>
      <c r="AA229" s="348">
        <f t="shared" si="256"/>
        <v>0</v>
      </c>
      <c r="AB229" s="348">
        <f t="shared" si="256"/>
        <v>0</v>
      </c>
      <c r="AC229" s="348">
        <f t="shared" si="256"/>
        <v>0</v>
      </c>
      <c r="AD229" s="348">
        <f t="shared" si="256"/>
        <v>0</v>
      </c>
      <c r="AE229" s="348">
        <f t="shared" si="256"/>
        <v>0</v>
      </c>
      <c r="AF229" s="348">
        <f t="shared" si="256"/>
        <v>0</v>
      </c>
      <c r="AG229" s="348">
        <f t="shared" si="256"/>
        <v>0</v>
      </c>
      <c r="AH229" s="348">
        <f t="shared" si="256"/>
        <v>0</v>
      </c>
      <c r="AI229" s="348">
        <f t="shared" si="256"/>
        <v>0</v>
      </c>
      <c r="AJ229" s="348">
        <f t="shared" si="256"/>
        <v>0</v>
      </c>
      <c r="AK229" s="348">
        <f t="shared" si="256"/>
        <v>0</v>
      </c>
      <c r="AL229" s="348">
        <f t="shared" si="256"/>
        <v>0</v>
      </c>
      <c r="AM229" s="348">
        <f t="shared" si="256"/>
        <v>0</v>
      </c>
      <c r="AN229" s="348">
        <f t="shared" si="256"/>
        <v>0</v>
      </c>
      <c r="AO229" s="348">
        <f t="shared" si="256"/>
        <v>0</v>
      </c>
      <c r="AP229" s="348">
        <f t="shared" si="256"/>
        <v>0</v>
      </c>
      <c r="AQ229" s="348">
        <f t="shared" si="256"/>
        <v>0</v>
      </c>
      <c r="AR229" s="348">
        <f t="shared" si="256"/>
        <v>0</v>
      </c>
      <c r="AS229" s="348">
        <f t="shared" si="256"/>
        <v>0</v>
      </c>
      <c r="AT229" s="348">
        <f t="shared" si="256"/>
        <v>0</v>
      </c>
      <c r="AU229" s="348">
        <f t="shared" si="256"/>
        <v>0</v>
      </c>
      <c r="AV229" s="348">
        <f t="shared" si="256"/>
        <v>0</v>
      </c>
      <c r="AW229" s="348">
        <f t="shared" si="256"/>
        <v>0</v>
      </c>
      <c r="AX229" s="348">
        <f t="shared" si="256"/>
        <v>0</v>
      </c>
      <c r="AY229" s="348">
        <f t="shared" si="256"/>
        <v>0</v>
      </c>
      <c r="AZ229" s="348">
        <f t="shared" si="256"/>
        <v>0</v>
      </c>
      <c r="BA229" s="348">
        <f t="shared" si="256"/>
        <v>0</v>
      </c>
      <c r="BB229" s="348">
        <f t="shared" si="256"/>
        <v>0</v>
      </c>
      <c r="BC229" s="348">
        <f t="shared" si="256"/>
        <v>0</v>
      </c>
      <c r="BD229" s="348">
        <f t="shared" si="256"/>
        <v>0</v>
      </c>
      <c r="BE229" s="348">
        <f t="shared" si="256"/>
        <v>0</v>
      </c>
      <c r="BF229" s="348">
        <f t="shared" si="256"/>
        <v>0</v>
      </c>
      <c r="BG229" s="348">
        <f t="shared" si="256"/>
        <v>0</v>
      </c>
      <c r="BH229" s="348">
        <f t="shared" si="256"/>
        <v>0</v>
      </c>
      <c r="BI229" s="348">
        <f t="shared" si="256"/>
        <v>0</v>
      </c>
      <c r="BJ229" s="348">
        <f t="shared" si="256"/>
        <v>0</v>
      </c>
      <c r="BK229" s="348">
        <f t="shared" si="256"/>
        <v>0</v>
      </c>
      <c r="BL229" s="348">
        <f t="shared" si="256"/>
        <v>0</v>
      </c>
      <c r="BM229" s="348">
        <f t="shared" si="256"/>
        <v>0</v>
      </c>
      <c r="BN229" s="348">
        <f t="shared" si="256"/>
        <v>0</v>
      </c>
      <c r="BO229" s="348">
        <f t="shared" si="256"/>
        <v>0</v>
      </c>
      <c r="BP229" s="348">
        <f t="shared" si="256"/>
        <v>0</v>
      </c>
      <c r="BQ229" s="348">
        <f t="shared" si="256"/>
        <v>0</v>
      </c>
      <c r="BR229" s="348">
        <f t="shared" si="256"/>
        <v>0</v>
      </c>
      <c r="BS229" s="348">
        <f t="shared" si="256"/>
        <v>0</v>
      </c>
      <c r="BT229" s="348">
        <f t="shared" si="256"/>
        <v>0</v>
      </c>
      <c r="BU229" s="348">
        <f t="shared" ref="BU229:EF229" si="257">IF(AND(BU176&gt;=$E$230,BU176&lt;$E$231),10,0)</f>
        <v>0</v>
      </c>
      <c r="BV229" s="348">
        <f t="shared" si="257"/>
        <v>0</v>
      </c>
      <c r="BW229" s="348">
        <f t="shared" si="257"/>
        <v>0</v>
      </c>
      <c r="BX229" s="348">
        <f t="shared" si="257"/>
        <v>0</v>
      </c>
      <c r="BY229" s="348">
        <f t="shared" si="257"/>
        <v>0</v>
      </c>
      <c r="BZ229" s="348">
        <f t="shared" si="257"/>
        <v>0</v>
      </c>
      <c r="CA229" s="348">
        <f t="shared" si="257"/>
        <v>0</v>
      </c>
      <c r="CB229" s="348">
        <f t="shared" si="257"/>
        <v>0</v>
      </c>
      <c r="CC229" s="348">
        <f t="shared" si="257"/>
        <v>0</v>
      </c>
      <c r="CD229" s="348">
        <f t="shared" si="257"/>
        <v>0</v>
      </c>
      <c r="CE229" s="348">
        <f t="shared" si="257"/>
        <v>0</v>
      </c>
      <c r="CF229" s="348">
        <f t="shared" si="257"/>
        <v>0</v>
      </c>
      <c r="CG229" s="348">
        <f t="shared" si="257"/>
        <v>0</v>
      </c>
      <c r="CH229" s="348">
        <f t="shared" si="257"/>
        <v>0</v>
      </c>
      <c r="CI229" s="348">
        <f t="shared" si="257"/>
        <v>0</v>
      </c>
      <c r="CJ229" s="348">
        <f t="shared" si="257"/>
        <v>0</v>
      </c>
      <c r="CK229" s="348">
        <f t="shared" si="257"/>
        <v>0</v>
      </c>
      <c r="CL229" s="348">
        <f t="shared" si="257"/>
        <v>0</v>
      </c>
      <c r="CM229" s="348">
        <f t="shared" si="257"/>
        <v>0</v>
      </c>
      <c r="CN229" s="348">
        <f t="shared" si="257"/>
        <v>0</v>
      </c>
      <c r="CO229" s="348">
        <f t="shared" si="257"/>
        <v>0</v>
      </c>
      <c r="CP229" s="348">
        <f t="shared" si="257"/>
        <v>0</v>
      </c>
      <c r="CQ229" s="348">
        <f t="shared" si="257"/>
        <v>0</v>
      </c>
      <c r="CR229" s="348">
        <f t="shared" si="257"/>
        <v>0</v>
      </c>
      <c r="CS229" s="348">
        <f t="shared" si="257"/>
        <v>0</v>
      </c>
      <c r="CT229" s="348">
        <f t="shared" si="257"/>
        <v>0</v>
      </c>
      <c r="CU229" s="348">
        <f t="shared" si="257"/>
        <v>0</v>
      </c>
      <c r="CV229" s="348">
        <f t="shared" si="257"/>
        <v>0</v>
      </c>
      <c r="CW229" s="348">
        <f t="shared" si="257"/>
        <v>0</v>
      </c>
      <c r="CX229" s="348">
        <f t="shared" si="257"/>
        <v>0</v>
      </c>
      <c r="CY229" s="348">
        <f t="shared" si="257"/>
        <v>0</v>
      </c>
      <c r="CZ229" s="348">
        <f t="shared" si="257"/>
        <v>0</v>
      </c>
      <c r="DA229" s="348">
        <f t="shared" si="257"/>
        <v>0</v>
      </c>
      <c r="DB229" s="348">
        <f t="shared" si="257"/>
        <v>0</v>
      </c>
      <c r="DC229" s="348">
        <f t="shared" si="257"/>
        <v>0</v>
      </c>
      <c r="DD229" s="348">
        <f t="shared" si="257"/>
        <v>0</v>
      </c>
      <c r="DE229" s="348">
        <f t="shared" si="257"/>
        <v>0</v>
      </c>
      <c r="DF229" s="348">
        <f t="shared" si="257"/>
        <v>0</v>
      </c>
      <c r="DG229" s="348">
        <f t="shared" si="257"/>
        <v>0</v>
      </c>
      <c r="DH229" s="348">
        <f t="shared" si="257"/>
        <v>0</v>
      </c>
      <c r="DI229" s="348">
        <f t="shared" si="257"/>
        <v>0</v>
      </c>
      <c r="DJ229" s="348">
        <f t="shared" si="257"/>
        <v>0</v>
      </c>
      <c r="DK229" s="348">
        <f t="shared" si="257"/>
        <v>0</v>
      </c>
      <c r="DL229" s="348">
        <f t="shared" si="257"/>
        <v>0</v>
      </c>
      <c r="DM229" s="348">
        <f t="shared" si="257"/>
        <v>0</v>
      </c>
      <c r="DN229" s="348">
        <f t="shared" si="257"/>
        <v>0</v>
      </c>
      <c r="DO229" s="348">
        <f t="shared" si="257"/>
        <v>0</v>
      </c>
      <c r="DP229" s="348">
        <f t="shared" si="257"/>
        <v>0</v>
      </c>
      <c r="DQ229" s="348">
        <f t="shared" si="257"/>
        <v>0</v>
      </c>
      <c r="DR229" s="348">
        <f t="shared" si="257"/>
        <v>0</v>
      </c>
      <c r="DS229" s="348">
        <f t="shared" si="257"/>
        <v>0</v>
      </c>
      <c r="DT229" s="348">
        <f t="shared" si="257"/>
        <v>0</v>
      </c>
      <c r="DU229" s="348">
        <f t="shared" si="257"/>
        <v>0</v>
      </c>
      <c r="DV229" s="348">
        <f t="shared" si="257"/>
        <v>0</v>
      </c>
      <c r="DW229" s="348">
        <f t="shared" si="257"/>
        <v>0</v>
      </c>
      <c r="DX229" s="348">
        <f t="shared" si="257"/>
        <v>0</v>
      </c>
      <c r="DY229" s="348">
        <f t="shared" si="257"/>
        <v>0</v>
      </c>
      <c r="DZ229" s="348">
        <f t="shared" si="257"/>
        <v>0</v>
      </c>
      <c r="EA229" s="348">
        <f t="shared" si="257"/>
        <v>0</v>
      </c>
      <c r="EB229" s="348">
        <f t="shared" si="257"/>
        <v>0</v>
      </c>
      <c r="EC229" s="348">
        <f t="shared" si="257"/>
        <v>0</v>
      </c>
      <c r="ED229" s="348">
        <f t="shared" si="257"/>
        <v>0</v>
      </c>
      <c r="EE229" s="348">
        <f t="shared" si="257"/>
        <v>0</v>
      </c>
      <c r="EF229" s="348">
        <f t="shared" si="257"/>
        <v>0</v>
      </c>
      <c r="EG229" s="348">
        <f t="shared" ref="EG229:GR229" si="258">IF(AND(EG176&gt;=$E$230,EG176&lt;$E$231),10,0)</f>
        <v>0</v>
      </c>
      <c r="EH229" s="348">
        <f t="shared" si="258"/>
        <v>0</v>
      </c>
      <c r="EI229" s="348">
        <f t="shared" si="258"/>
        <v>0</v>
      </c>
      <c r="EJ229" s="348">
        <f t="shared" si="258"/>
        <v>0</v>
      </c>
      <c r="EK229" s="348">
        <f t="shared" si="258"/>
        <v>0</v>
      </c>
      <c r="EL229" s="348">
        <f t="shared" si="258"/>
        <v>0</v>
      </c>
      <c r="EM229" s="348">
        <f t="shared" si="258"/>
        <v>0</v>
      </c>
      <c r="EN229" s="348">
        <f t="shared" si="258"/>
        <v>0</v>
      </c>
      <c r="EO229" s="348">
        <f t="shared" si="258"/>
        <v>0</v>
      </c>
      <c r="EP229" s="348">
        <f t="shared" si="258"/>
        <v>0</v>
      </c>
      <c r="EQ229" s="348">
        <f t="shared" si="258"/>
        <v>0</v>
      </c>
      <c r="ER229" s="348">
        <f t="shared" si="258"/>
        <v>0</v>
      </c>
      <c r="ES229" s="348">
        <f t="shared" si="258"/>
        <v>0</v>
      </c>
      <c r="ET229" s="348">
        <f t="shared" si="258"/>
        <v>0</v>
      </c>
      <c r="EU229" s="348">
        <f t="shared" si="258"/>
        <v>0</v>
      </c>
      <c r="EV229" s="348">
        <f t="shared" si="258"/>
        <v>0</v>
      </c>
      <c r="EW229" s="348">
        <f t="shared" si="258"/>
        <v>0</v>
      </c>
      <c r="EX229" s="348">
        <f t="shared" si="258"/>
        <v>0</v>
      </c>
      <c r="EY229" s="348">
        <f t="shared" si="258"/>
        <v>0</v>
      </c>
      <c r="EZ229" s="348">
        <f t="shared" si="258"/>
        <v>0</v>
      </c>
      <c r="FA229" s="348">
        <f t="shared" si="258"/>
        <v>0</v>
      </c>
      <c r="FB229" s="348">
        <f t="shared" si="258"/>
        <v>0</v>
      </c>
      <c r="FC229" s="348">
        <f t="shared" si="258"/>
        <v>0</v>
      </c>
      <c r="FD229" s="348">
        <f t="shared" si="258"/>
        <v>0</v>
      </c>
      <c r="FE229" s="348">
        <f t="shared" si="258"/>
        <v>0</v>
      </c>
      <c r="FF229" s="348">
        <f t="shared" si="258"/>
        <v>0</v>
      </c>
      <c r="FG229" s="348">
        <f t="shared" si="258"/>
        <v>0</v>
      </c>
      <c r="FH229" s="348">
        <f t="shared" si="258"/>
        <v>0</v>
      </c>
      <c r="FI229" s="348">
        <f t="shared" si="258"/>
        <v>0</v>
      </c>
      <c r="FJ229" s="348">
        <f t="shared" si="258"/>
        <v>0</v>
      </c>
      <c r="FK229" s="348">
        <f t="shared" si="258"/>
        <v>0</v>
      </c>
      <c r="FL229" s="348">
        <f t="shared" si="258"/>
        <v>0</v>
      </c>
      <c r="FM229" s="348">
        <f t="shared" si="258"/>
        <v>0</v>
      </c>
      <c r="FN229" s="348">
        <f t="shared" si="258"/>
        <v>0</v>
      </c>
      <c r="FO229" s="348">
        <f t="shared" si="258"/>
        <v>0</v>
      </c>
      <c r="FP229" s="348">
        <f t="shared" si="258"/>
        <v>0</v>
      </c>
      <c r="FQ229" s="348">
        <f t="shared" si="258"/>
        <v>0</v>
      </c>
      <c r="FR229" s="348">
        <f t="shared" si="258"/>
        <v>0</v>
      </c>
      <c r="FS229" s="348">
        <f t="shared" si="258"/>
        <v>0</v>
      </c>
      <c r="FT229" s="348">
        <f t="shared" si="258"/>
        <v>0</v>
      </c>
      <c r="FU229" s="348">
        <f t="shared" si="258"/>
        <v>0</v>
      </c>
      <c r="FV229" s="348">
        <f t="shared" si="258"/>
        <v>0</v>
      </c>
      <c r="FW229" s="348">
        <f t="shared" si="258"/>
        <v>0</v>
      </c>
      <c r="FX229" s="348">
        <f t="shared" si="258"/>
        <v>0</v>
      </c>
      <c r="FY229" s="348">
        <f t="shared" si="258"/>
        <v>0</v>
      </c>
      <c r="FZ229" s="348">
        <f t="shared" si="258"/>
        <v>0</v>
      </c>
      <c r="GA229" s="348">
        <f t="shared" si="258"/>
        <v>0</v>
      </c>
      <c r="GB229" s="348">
        <f t="shared" si="258"/>
        <v>0</v>
      </c>
      <c r="GC229" s="348">
        <f t="shared" si="258"/>
        <v>0</v>
      </c>
      <c r="GD229" s="348">
        <f t="shared" si="258"/>
        <v>0</v>
      </c>
      <c r="GE229" s="348">
        <f t="shared" si="258"/>
        <v>0</v>
      </c>
      <c r="GF229" s="348">
        <f t="shared" si="258"/>
        <v>0</v>
      </c>
      <c r="GG229" s="348">
        <f t="shared" si="258"/>
        <v>0</v>
      </c>
      <c r="GH229" s="348">
        <f t="shared" si="258"/>
        <v>0</v>
      </c>
      <c r="GI229" s="348">
        <f t="shared" si="258"/>
        <v>0</v>
      </c>
      <c r="GJ229" s="348">
        <f t="shared" si="258"/>
        <v>0</v>
      </c>
      <c r="GK229" s="348">
        <f t="shared" si="258"/>
        <v>0</v>
      </c>
      <c r="GL229" s="348">
        <f t="shared" si="258"/>
        <v>0</v>
      </c>
      <c r="GM229" s="348">
        <f t="shared" si="258"/>
        <v>0</v>
      </c>
      <c r="GN229" s="348">
        <f t="shared" si="258"/>
        <v>0</v>
      </c>
      <c r="GO229" s="348">
        <f t="shared" si="258"/>
        <v>0</v>
      </c>
      <c r="GP229" s="348">
        <f t="shared" si="258"/>
        <v>0</v>
      </c>
      <c r="GQ229" s="348">
        <f t="shared" si="258"/>
        <v>0</v>
      </c>
      <c r="GR229" s="348">
        <f t="shared" si="258"/>
        <v>0</v>
      </c>
      <c r="GS229" s="348">
        <f t="shared" ref="GS229:IK229" si="259">IF(AND(GS176&gt;=$E$230,GS176&lt;$E$231),10,0)</f>
        <v>0</v>
      </c>
      <c r="GT229" s="348">
        <f t="shared" si="259"/>
        <v>0</v>
      </c>
      <c r="GU229" s="348">
        <f t="shared" si="259"/>
        <v>0</v>
      </c>
      <c r="GV229" s="348">
        <f t="shared" si="259"/>
        <v>0</v>
      </c>
      <c r="GW229" s="348">
        <f t="shared" si="259"/>
        <v>0</v>
      </c>
      <c r="GX229" s="348">
        <f t="shared" si="259"/>
        <v>0</v>
      </c>
      <c r="GY229" s="348">
        <f t="shared" si="259"/>
        <v>0</v>
      </c>
      <c r="GZ229" s="348">
        <f t="shared" si="259"/>
        <v>0</v>
      </c>
      <c r="HA229" s="348">
        <f t="shared" si="259"/>
        <v>0</v>
      </c>
      <c r="HB229" s="348">
        <f t="shared" si="259"/>
        <v>0</v>
      </c>
      <c r="HC229" s="348">
        <f t="shared" si="259"/>
        <v>0</v>
      </c>
      <c r="HD229" s="348">
        <f t="shared" si="259"/>
        <v>0</v>
      </c>
      <c r="HE229" s="348">
        <f t="shared" si="259"/>
        <v>0</v>
      </c>
      <c r="HF229" s="348">
        <f t="shared" si="259"/>
        <v>0</v>
      </c>
      <c r="HG229" s="348">
        <f t="shared" si="259"/>
        <v>0</v>
      </c>
      <c r="HH229" s="348">
        <f t="shared" si="259"/>
        <v>0</v>
      </c>
      <c r="HI229" s="348">
        <f t="shared" si="259"/>
        <v>0</v>
      </c>
      <c r="HJ229" s="348">
        <f t="shared" si="259"/>
        <v>0</v>
      </c>
      <c r="HK229" s="348">
        <f t="shared" si="259"/>
        <v>0</v>
      </c>
      <c r="HL229" s="348">
        <f t="shared" si="259"/>
        <v>0</v>
      </c>
      <c r="HM229" s="348">
        <f t="shared" si="259"/>
        <v>0</v>
      </c>
      <c r="HN229" s="348">
        <f t="shared" si="259"/>
        <v>0</v>
      </c>
      <c r="HO229" s="348">
        <f t="shared" si="259"/>
        <v>0</v>
      </c>
      <c r="HP229" s="348">
        <f t="shared" si="259"/>
        <v>0</v>
      </c>
      <c r="HQ229" s="348">
        <f t="shared" si="259"/>
        <v>0</v>
      </c>
      <c r="HR229" s="348">
        <f t="shared" si="259"/>
        <v>0</v>
      </c>
      <c r="HS229" s="348">
        <f t="shared" si="259"/>
        <v>0</v>
      </c>
      <c r="HT229" s="348">
        <f t="shared" si="259"/>
        <v>0</v>
      </c>
      <c r="HU229" s="348">
        <f t="shared" si="259"/>
        <v>0</v>
      </c>
      <c r="HV229" s="348">
        <f t="shared" si="259"/>
        <v>0</v>
      </c>
      <c r="HW229" s="348">
        <f t="shared" si="259"/>
        <v>0</v>
      </c>
      <c r="HX229" s="348">
        <f t="shared" si="259"/>
        <v>0</v>
      </c>
      <c r="HY229" s="348">
        <f t="shared" si="259"/>
        <v>0</v>
      </c>
      <c r="HZ229" s="348">
        <f t="shared" si="259"/>
        <v>0</v>
      </c>
      <c r="IA229" s="348">
        <f t="shared" si="259"/>
        <v>0</v>
      </c>
      <c r="IB229" s="348">
        <f t="shared" si="259"/>
        <v>0</v>
      </c>
      <c r="IC229" s="348">
        <f t="shared" si="259"/>
        <v>0</v>
      </c>
      <c r="ID229" s="348">
        <f t="shared" si="259"/>
        <v>0</v>
      </c>
      <c r="IE229" s="348">
        <f t="shared" si="259"/>
        <v>0</v>
      </c>
      <c r="IF229" s="348">
        <f t="shared" si="259"/>
        <v>0</v>
      </c>
      <c r="IG229" s="348">
        <f t="shared" si="259"/>
        <v>0</v>
      </c>
      <c r="IH229" s="348">
        <f t="shared" si="259"/>
        <v>0</v>
      </c>
      <c r="II229" s="348">
        <f t="shared" si="259"/>
        <v>0</v>
      </c>
      <c r="IJ229" s="348">
        <f t="shared" si="259"/>
        <v>0</v>
      </c>
      <c r="IK229" s="348">
        <f t="shared" si="259"/>
        <v>0</v>
      </c>
    </row>
    <row r="230" spans="1:245" hidden="1" x14ac:dyDescent="0.35">
      <c r="A230" s="195"/>
      <c r="B230" s="5"/>
      <c r="C230" s="630" t="s">
        <v>1582</v>
      </c>
      <c r="D230" s="467">
        <f>IF(ENTRADAS!$D$912=0,0,IF(ENTRADAS!$E$1038=0,D215+1,0))</f>
        <v>0</v>
      </c>
      <c r="E230" s="32">
        <f>IF(D230=0,0,D230-D213)</f>
        <v>0</v>
      </c>
      <c r="G230" s="32" t="b">
        <f ca="1">IF(G231&lt;0,G231*-1)</f>
        <v>0</v>
      </c>
    </row>
    <row r="231" spans="1:245" hidden="1" x14ac:dyDescent="0.35">
      <c r="A231" s="195"/>
      <c r="B231" s="5"/>
      <c r="C231" s="630" t="s">
        <v>1583</v>
      </c>
      <c r="D231" s="467">
        <f>IF(ENTRADAS!$D$912=0,0,IF(ENTRADAS!$E$1038=0,D230+D229-1,0))</f>
        <v>0</v>
      </c>
      <c r="E231" s="32">
        <f>IF(D229=0,0,D229+E230)</f>
        <v>0</v>
      </c>
      <c r="G231">
        <f ca="1">IF(ENTRADAS!$F$22=0,0,IF(D234=0,0,LAJES!$H$486/D212-D220))</f>
        <v>0</v>
      </c>
    </row>
    <row r="232" spans="1:245" hidden="1" x14ac:dyDescent="0.35">
      <c r="A232" s="195"/>
      <c r="B232" s="5"/>
      <c r="C232" s="630" t="s">
        <v>1584</v>
      </c>
      <c r="D232" s="468">
        <f ca="1">IF(D212=0,0,IF(D234=0,0,IF(G232&gt;0,G232,IF(G231&lt;0,G230,G231))))</f>
        <v>0</v>
      </c>
      <c r="E232" s="32"/>
      <c r="G232" s="32">
        <f>IF(D211=D212,IF(D211*E219+$G$77&gt;D211*D216+D213,(D211*E219+$G$77)-(D211*D216+D213),0),0)</f>
        <v>0</v>
      </c>
      <c r="H232" s="481">
        <f ca="1">IF($D$232&gt;0,IF(AND(H176&gt;=$E$234,H176&lt;$E$235),10,0),0)</f>
        <v>0</v>
      </c>
      <c r="I232" s="348">
        <f t="shared" ref="I232:BT232" ca="1" si="260">IF($D$232&gt;0,IF(AND(I176&gt;=$E$234,I176&lt;$E$235),10,0),0)</f>
        <v>0</v>
      </c>
      <c r="J232" s="348">
        <f t="shared" ca="1" si="260"/>
        <v>0</v>
      </c>
      <c r="K232" s="348">
        <f t="shared" ca="1" si="260"/>
        <v>0</v>
      </c>
      <c r="L232" s="348">
        <f t="shared" ca="1" si="260"/>
        <v>0</v>
      </c>
      <c r="M232" s="348">
        <f t="shared" ca="1" si="260"/>
        <v>0</v>
      </c>
      <c r="N232" s="348">
        <f t="shared" ca="1" si="260"/>
        <v>0</v>
      </c>
      <c r="O232" s="348">
        <f t="shared" ca="1" si="260"/>
        <v>0</v>
      </c>
      <c r="P232" s="348">
        <f t="shared" ca="1" si="260"/>
        <v>0</v>
      </c>
      <c r="Q232" s="348">
        <f t="shared" ca="1" si="260"/>
        <v>0</v>
      </c>
      <c r="R232" s="348">
        <f t="shared" ca="1" si="260"/>
        <v>0</v>
      </c>
      <c r="S232" s="348">
        <f t="shared" ca="1" si="260"/>
        <v>0</v>
      </c>
      <c r="T232" s="348">
        <f t="shared" ca="1" si="260"/>
        <v>0</v>
      </c>
      <c r="U232" s="348">
        <f t="shared" ca="1" si="260"/>
        <v>0</v>
      </c>
      <c r="V232" s="348">
        <f t="shared" ca="1" si="260"/>
        <v>0</v>
      </c>
      <c r="W232" s="348">
        <f t="shared" ca="1" si="260"/>
        <v>0</v>
      </c>
      <c r="X232" s="348">
        <f t="shared" ca="1" si="260"/>
        <v>0</v>
      </c>
      <c r="Y232" s="348">
        <f t="shared" ca="1" si="260"/>
        <v>0</v>
      </c>
      <c r="Z232" s="348">
        <f t="shared" ca="1" si="260"/>
        <v>0</v>
      </c>
      <c r="AA232" s="348">
        <f t="shared" ca="1" si="260"/>
        <v>0</v>
      </c>
      <c r="AB232" s="348">
        <f t="shared" ca="1" si="260"/>
        <v>0</v>
      </c>
      <c r="AC232" s="348">
        <f t="shared" ca="1" si="260"/>
        <v>0</v>
      </c>
      <c r="AD232" s="348">
        <f t="shared" ca="1" si="260"/>
        <v>0</v>
      </c>
      <c r="AE232" s="348">
        <f t="shared" ca="1" si="260"/>
        <v>0</v>
      </c>
      <c r="AF232" s="348">
        <f t="shared" ca="1" si="260"/>
        <v>0</v>
      </c>
      <c r="AG232" s="348">
        <f t="shared" ca="1" si="260"/>
        <v>0</v>
      </c>
      <c r="AH232" s="348">
        <f t="shared" ca="1" si="260"/>
        <v>0</v>
      </c>
      <c r="AI232" s="348">
        <f t="shared" ca="1" si="260"/>
        <v>0</v>
      </c>
      <c r="AJ232" s="348">
        <f t="shared" ca="1" si="260"/>
        <v>0</v>
      </c>
      <c r="AK232" s="348">
        <f t="shared" ca="1" si="260"/>
        <v>0</v>
      </c>
      <c r="AL232" s="348">
        <f t="shared" ca="1" si="260"/>
        <v>0</v>
      </c>
      <c r="AM232" s="348">
        <f t="shared" ca="1" si="260"/>
        <v>0</v>
      </c>
      <c r="AN232" s="348">
        <f t="shared" ca="1" si="260"/>
        <v>0</v>
      </c>
      <c r="AO232" s="348">
        <f t="shared" ca="1" si="260"/>
        <v>0</v>
      </c>
      <c r="AP232" s="348">
        <f t="shared" ca="1" si="260"/>
        <v>0</v>
      </c>
      <c r="AQ232" s="348">
        <f t="shared" ca="1" si="260"/>
        <v>0</v>
      </c>
      <c r="AR232" s="348">
        <f t="shared" ca="1" si="260"/>
        <v>0</v>
      </c>
      <c r="AS232" s="348">
        <f t="shared" ca="1" si="260"/>
        <v>0</v>
      </c>
      <c r="AT232" s="348">
        <f t="shared" ca="1" si="260"/>
        <v>0</v>
      </c>
      <c r="AU232" s="348">
        <f t="shared" ca="1" si="260"/>
        <v>0</v>
      </c>
      <c r="AV232" s="348">
        <f t="shared" ca="1" si="260"/>
        <v>0</v>
      </c>
      <c r="AW232" s="348">
        <f t="shared" ca="1" si="260"/>
        <v>0</v>
      </c>
      <c r="AX232" s="348">
        <f t="shared" ca="1" si="260"/>
        <v>0</v>
      </c>
      <c r="AY232" s="348">
        <f t="shared" ca="1" si="260"/>
        <v>0</v>
      </c>
      <c r="AZ232" s="348">
        <f t="shared" ca="1" si="260"/>
        <v>0</v>
      </c>
      <c r="BA232" s="348">
        <f t="shared" ca="1" si="260"/>
        <v>0</v>
      </c>
      <c r="BB232" s="348">
        <f t="shared" ca="1" si="260"/>
        <v>0</v>
      </c>
      <c r="BC232" s="348">
        <f t="shared" ca="1" si="260"/>
        <v>0</v>
      </c>
      <c r="BD232" s="348">
        <f t="shared" ca="1" si="260"/>
        <v>0</v>
      </c>
      <c r="BE232" s="348">
        <f t="shared" ca="1" si="260"/>
        <v>0</v>
      </c>
      <c r="BF232" s="348">
        <f t="shared" ca="1" si="260"/>
        <v>0</v>
      </c>
      <c r="BG232" s="348">
        <f t="shared" ca="1" si="260"/>
        <v>0</v>
      </c>
      <c r="BH232" s="348">
        <f t="shared" ca="1" si="260"/>
        <v>0</v>
      </c>
      <c r="BI232" s="348">
        <f t="shared" ca="1" si="260"/>
        <v>0</v>
      </c>
      <c r="BJ232" s="348">
        <f t="shared" ca="1" si="260"/>
        <v>0</v>
      </c>
      <c r="BK232" s="348">
        <f t="shared" ca="1" si="260"/>
        <v>0</v>
      </c>
      <c r="BL232" s="348">
        <f t="shared" ca="1" si="260"/>
        <v>0</v>
      </c>
      <c r="BM232" s="348">
        <f t="shared" ca="1" si="260"/>
        <v>0</v>
      </c>
      <c r="BN232" s="348">
        <f t="shared" ca="1" si="260"/>
        <v>0</v>
      </c>
      <c r="BO232" s="348">
        <f t="shared" ca="1" si="260"/>
        <v>0</v>
      </c>
      <c r="BP232" s="348">
        <f t="shared" ca="1" si="260"/>
        <v>0</v>
      </c>
      <c r="BQ232" s="348">
        <f t="shared" ca="1" si="260"/>
        <v>0</v>
      </c>
      <c r="BR232" s="348">
        <f t="shared" ca="1" si="260"/>
        <v>0</v>
      </c>
      <c r="BS232" s="348">
        <f t="shared" ca="1" si="260"/>
        <v>0</v>
      </c>
      <c r="BT232" s="348">
        <f t="shared" ca="1" si="260"/>
        <v>0</v>
      </c>
      <c r="BU232" s="348">
        <f t="shared" ref="BU232:EF232" ca="1" si="261">IF($D$232&gt;0,IF(AND(BU176&gt;=$E$234,BU176&lt;$E$235),10,0),0)</f>
        <v>0</v>
      </c>
      <c r="BV232" s="348">
        <f t="shared" ca="1" si="261"/>
        <v>0</v>
      </c>
      <c r="BW232" s="348">
        <f t="shared" ca="1" si="261"/>
        <v>0</v>
      </c>
      <c r="BX232" s="348">
        <f t="shared" ca="1" si="261"/>
        <v>0</v>
      </c>
      <c r="BY232" s="348">
        <f t="shared" ca="1" si="261"/>
        <v>0</v>
      </c>
      <c r="BZ232" s="348">
        <f t="shared" ca="1" si="261"/>
        <v>0</v>
      </c>
      <c r="CA232" s="348">
        <f t="shared" ca="1" si="261"/>
        <v>0</v>
      </c>
      <c r="CB232" s="348">
        <f t="shared" ca="1" si="261"/>
        <v>0</v>
      </c>
      <c r="CC232" s="348">
        <f t="shared" ca="1" si="261"/>
        <v>0</v>
      </c>
      <c r="CD232" s="348">
        <f t="shared" ca="1" si="261"/>
        <v>0</v>
      </c>
      <c r="CE232" s="348">
        <f t="shared" ca="1" si="261"/>
        <v>0</v>
      </c>
      <c r="CF232" s="348">
        <f t="shared" ca="1" si="261"/>
        <v>0</v>
      </c>
      <c r="CG232" s="348">
        <f t="shared" ca="1" si="261"/>
        <v>0</v>
      </c>
      <c r="CH232" s="348">
        <f t="shared" ca="1" si="261"/>
        <v>0</v>
      </c>
      <c r="CI232" s="348">
        <f t="shared" ca="1" si="261"/>
        <v>0</v>
      </c>
      <c r="CJ232" s="348">
        <f t="shared" ca="1" si="261"/>
        <v>0</v>
      </c>
      <c r="CK232" s="348">
        <f t="shared" ca="1" si="261"/>
        <v>0</v>
      </c>
      <c r="CL232" s="348">
        <f t="shared" ca="1" si="261"/>
        <v>0</v>
      </c>
      <c r="CM232" s="348">
        <f t="shared" ca="1" si="261"/>
        <v>0</v>
      </c>
      <c r="CN232" s="348">
        <f t="shared" ca="1" si="261"/>
        <v>0</v>
      </c>
      <c r="CO232" s="348">
        <f t="shared" ca="1" si="261"/>
        <v>0</v>
      </c>
      <c r="CP232" s="348">
        <f t="shared" ca="1" si="261"/>
        <v>0</v>
      </c>
      <c r="CQ232" s="348">
        <f t="shared" ca="1" si="261"/>
        <v>0</v>
      </c>
      <c r="CR232" s="348">
        <f t="shared" ca="1" si="261"/>
        <v>0</v>
      </c>
      <c r="CS232" s="348">
        <f t="shared" ca="1" si="261"/>
        <v>0</v>
      </c>
      <c r="CT232" s="348">
        <f t="shared" ca="1" si="261"/>
        <v>0</v>
      </c>
      <c r="CU232" s="348">
        <f t="shared" ca="1" si="261"/>
        <v>0</v>
      </c>
      <c r="CV232" s="348">
        <f t="shared" ca="1" si="261"/>
        <v>0</v>
      </c>
      <c r="CW232" s="348">
        <f t="shared" ca="1" si="261"/>
        <v>0</v>
      </c>
      <c r="CX232" s="348">
        <f t="shared" ca="1" si="261"/>
        <v>0</v>
      </c>
      <c r="CY232" s="348">
        <f t="shared" ca="1" si="261"/>
        <v>0</v>
      </c>
      <c r="CZ232" s="348">
        <f t="shared" ca="1" si="261"/>
        <v>0</v>
      </c>
      <c r="DA232" s="348">
        <f t="shared" ca="1" si="261"/>
        <v>0</v>
      </c>
      <c r="DB232" s="348">
        <f t="shared" ca="1" si="261"/>
        <v>0</v>
      </c>
      <c r="DC232" s="348">
        <f t="shared" ca="1" si="261"/>
        <v>0</v>
      </c>
      <c r="DD232" s="348">
        <f t="shared" ca="1" si="261"/>
        <v>0</v>
      </c>
      <c r="DE232" s="348">
        <f t="shared" ca="1" si="261"/>
        <v>0</v>
      </c>
      <c r="DF232" s="348">
        <f t="shared" ca="1" si="261"/>
        <v>0</v>
      </c>
      <c r="DG232" s="348">
        <f t="shared" ca="1" si="261"/>
        <v>0</v>
      </c>
      <c r="DH232" s="348">
        <f t="shared" ca="1" si="261"/>
        <v>0</v>
      </c>
      <c r="DI232" s="348">
        <f t="shared" ca="1" si="261"/>
        <v>0</v>
      </c>
      <c r="DJ232" s="348">
        <f t="shared" ca="1" si="261"/>
        <v>0</v>
      </c>
      <c r="DK232" s="348">
        <f t="shared" ca="1" si="261"/>
        <v>0</v>
      </c>
      <c r="DL232" s="348">
        <f t="shared" ca="1" si="261"/>
        <v>0</v>
      </c>
      <c r="DM232" s="348">
        <f t="shared" ca="1" si="261"/>
        <v>0</v>
      </c>
      <c r="DN232" s="348">
        <f t="shared" ca="1" si="261"/>
        <v>0</v>
      </c>
      <c r="DO232" s="348">
        <f t="shared" ca="1" si="261"/>
        <v>0</v>
      </c>
      <c r="DP232" s="348">
        <f t="shared" ca="1" si="261"/>
        <v>0</v>
      </c>
      <c r="DQ232" s="348">
        <f t="shared" ca="1" si="261"/>
        <v>0</v>
      </c>
      <c r="DR232" s="348">
        <f t="shared" ca="1" si="261"/>
        <v>0</v>
      </c>
      <c r="DS232" s="348">
        <f t="shared" ca="1" si="261"/>
        <v>0</v>
      </c>
      <c r="DT232" s="348">
        <f t="shared" ca="1" si="261"/>
        <v>0</v>
      </c>
      <c r="DU232" s="348">
        <f t="shared" ca="1" si="261"/>
        <v>0</v>
      </c>
      <c r="DV232" s="348">
        <f t="shared" ca="1" si="261"/>
        <v>0</v>
      </c>
      <c r="DW232" s="348">
        <f t="shared" ca="1" si="261"/>
        <v>0</v>
      </c>
      <c r="DX232" s="348">
        <f t="shared" ca="1" si="261"/>
        <v>0</v>
      </c>
      <c r="DY232" s="348">
        <f t="shared" ca="1" si="261"/>
        <v>0</v>
      </c>
      <c r="DZ232" s="348">
        <f t="shared" ca="1" si="261"/>
        <v>0</v>
      </c>
      <c r="EA232" s="348">
        <f t="shared" ca="1" si="261"/>
        <v>0</v>
      </c>
      <c r="EB232" s="348">
        <f t="shared" ca="1" si="261"/>
        <v>0</v>
      </c>
      <c r="EC232" s="348">
        <f t="shared" ca="1" si="261"/>
        <v>0</v>
      </c>
      <c r="ED232" s="348">
        <f t="shared" ca="1" si="261"/>
        <v>0</v>
      </c>
      <c r="EE232" s="348">
        <f t="shared" ca="1" si="261"/>
        <v>0</v>
      </c>
      <c r="EF232" s="348">
        <f t="shared" ca="1" si="261"/>
        <v>0</v>
      </c>
      <c r="EG232" s="348">
        <f t="shared" ref="EG232:GR232" ca="1" si="262">IF($D$232&gt;0,IF(AND(EG176&gt;=$E$234,EG176&lt;$E$235),10,0),0)</f>
        <v>0</v>
      </c>
      <c r="EH232" s="348">
        <f t="shared" ca="1" si="262"/>
        <v>0</v>
      </c>
      <c r="EI232" s="348">
        <f t="shared" ca="1" si="262"/>
        <v>0</v>
      </c>
      <c r="EJ232" s="348">
        <f t="shared" ca="1" si="262"/>
        <v>0</v>
      </c>
      <c r="EK232" s="348">
        <f t="shared" ca="1" si="262"/>
        <v>0</v>
      </c>
      <c r="EL232" s="348">
        <f t="shared" ca="1" si="262"/>
        <v>0</v>
      </c>
      <c r="EM232" s="348">
        <f t="shared" ca="1" si="262"/>
        <v>0</v>
      </c>
      <c r="EN232" s="348">
        <f t="shared" ca="1" si="262"/>
        <v>0</v>
      </c>
      <c r="EO232" s="348">
        <f t="shared" ca="1" si="262"/>
        <v>0</v>
      </c>
      <c r="EP232" s="348">
        <f t="shared" ca="1" si="262"/>
        <v>0</v>
      </c>
      <c r="EQ232" s="348">
        <f t="shared" ca="1" si="262"/>
        <v>0</v>
      </c>
      <c r="ER232" s="348">
        <f t="shared" ca="1" si="262"/>
        <v>0</v>
      </c>
      <c r="ES232" s="348">
        <f t="shared" ca="1" si="262"/>
        <v>0</v>
      </c>
      <c r="ET232" s="348">
        <f t="shared" ca="1" si="262"/>
        <v>0</v>
      </c>
      <c r="EU232" s="348">
        <f t="shared" ca="1" si="262"/>
        <v>0</v>
      </c>
      <c r="EV232" s="348">
        <f t="shared" ca="1" si="262"/>
        <v>0</v>
      </c>
      <c r="EW232" s="348">
        <f t="shared" ca="1" si="262"/>
        <v>0</v>
      </c>
      <c r="EX232" s="348">
        <f t="shared" ca="1" si="262"/>
        <v>0</v>
      </c>
      <c r="EY232" s="348">
        <f t="shared" ca="1" si="262"/>
        <v>0</v>
      </c>
      <c r="EZ232" s="348">
        <f t="shared" ca="1" si="262"/>
        <v>0</v>
      </c>
      <c r="FA232" s="348">
        <f t="shared" ca="1" si="262"/>
        <v>0</v>
      </c>
      <c r="FB232" s="348">
        <f t="shared" ca="1" si="262"/>
        <v>0</v>
      </c>
      <c r="FC232" s="348">
        <f t="shared" ca="1" si="262"/>
        <v>0</v>
      </c>
      <c r="FD232" s="348">
        <f t="shared" ca="1" si="262"/>
        <v>0</v>
      </c>
      <c r="FE232" s="348">
        <f t="shared" ca="1" si="262"/>
        <v>0</v>
      </c>
      <c r="FF232" s="348">
        <f t="shared" ca="1" si="262"/>
        <v>0</v>
      </c>
      <c r="FG232" s="348">
        <f t="shared" ca="1" si="262"/>
        <v>0</v>
      </c>
      <c r="FH232" s="348">
        <f t="shared" ca="1" si="262"/>
        <v>0</v>
      </c>
      <c r="FI232" s="348">
        <f t="shared" ca="1" si="262"/>
        <v>0</v>
      </c>
      <c r="FJ232" s="348">
        <f t="shared" ca="1" si="262"/>
        <v>0</v>
      </c>
      <c r="FK232" s="348">
        <f t="shared" ca="1" si="262"/>
        <v>0</v>
      </c>
      <c r="FL232" s="348">
        <f t="shared" ca="1" si="262"/>
        <v>0</v>
      </c>
      <c r="FM232" s="348">
        <f t="shared" ca="1" si="262"/>
        <v>0</v>
      </c>
      <c r="FN232" s="348">
        <f t="shared" ca="1" si="262"/>
        <v>0</v>
      </c>
      <c r="FO232" s="348">
        <f t="shared" ca="1" si="262"/>
        <v>0</v>
      </c>
      <c r="FP232" s="348">
        <f t="shared" ca="1" si="262"/>
        <v>0</v>
      </c>
      <c r="FQ232" s="348">
        <f t="shared" ca="1" si="262"/>
        <v>0</v>
      </c>
      <c r="FR232" s="348">
        <f t="shared" ca="1" si="262"/>
        <v>0</v>
      </c>
      <c r="FS232" s="348">
        <f t="shared" ca="1" si="262"/>
        <v>0</v>
      </c>
      <c r="FT232" s="348">
        <f t="shared" ca="1" si="262"/>
        <v>0</v>
      </c>
      <c r="FU232" s="348">
        <f t="shared" ca="1" si="262"/>
        <v>0</v>
      </c>
      <c r="FV232" s="348">
        <f t="shared" ca="1" si="262"/>
        <v>0</v>
      </c>
      <c r="FW232" s="348">
        <f t="shared" ca="1" si="262"/>
        <v>0</v>
      </c>
      <c r="FX232" s="348">
        <f t="shared" ca="1" si="262"/>
        <v>0</v>
      </c>
      <c r="FY232" s="348">
        <f t="shared" ca="1" si="262"/>
        <v>0</v>
      </c>
      <c r="FZ232" s="348">
        <f t="shared" ca="1" si="262"/>
        <v>0</v>
      </c>
      <c r="GA232" s="348">
        <f t="shared" ca="1" si="262"/>
        <v>0</v>
      </c>
      <c r="GB232" s="348">
        <f t="shared" ca="1" si="262"/>
        <v>0</v>
      </c>
      <c r="GC232" s="348">
        <f t="shared" ca="1" si="262"/>
        <v>0</v>
      </c>
      <c r="GD232" s="348">
        <f t="shared" ca="1" si="262"/>
        <v>0</v>
      </c>
      <c r="GE232" s="348">
        <f t="shared" ca="1" si="262"/>
        <v>0</v>
      </c>
      <c r="GF232" s="348">
        <f t="shared" ca="1" si="262"/>
        <v>0</v>
      </c>
      <c r="GG232" s="348">
        <f t="shared" ca="1" si="262"/>
        <v>0</v>
      </c>
      <c r="GH232" s="348">
        <f t="shared" ca="1" si="262"/>
        <v>0</v>
      </c>
      <c r="GI232" s="348">
        <f t="shared" ca="1" si="262"/>
        <v>0</v>
      </c>
      <c r="GJ232" s="348">
        <f t="shared" ca="1" si="262"/>
        <v>0</v>
      </c>
      <c r="GK232" s="348">
        <f t="shared" ca="1" si="262"/>
        <v>0</v>
      </c>
      <c r="GL232" s="348">
        <f t="shared" ca="1" si="262"/>
        <v>0</v>
      </c>
      <c r="GM232" s="348">
        <f t="shared" ca="1" si="262"/>
        <v>0</v>
      </c>
      <c r="GN232" s="348">
        <f t="shared" ca="1" si="262"/>
        <v>0</v>
      </c>
      <c r="GO232" s="348">
        <f t="shared" ca="1" si="262"/>
        <v>0</v>
      </c>
      <c r="GP232" s="348">
        <f t="shared" ca="1" si="262"/>
        <v>0</v>
      </c>
      <c r="GQ232" s="348">
        <f t="shared" ca="1" si="262"/>
        <v>0</v>
      </c>
      <c r="GR232" s="348">
        <f t="shared" ca="1" si="262"/>
        <v>0</v>
      </c>
      <c r="GS232" s="348">
        <f t="shared" ref="GS232:IK232" ca="1" si="263">IF($D$232&gt;0,IF(AND(GS176&gt;=$E$234,GS176&lt;$E$235),10,0),0)</f>
        <v>0</v>
      </c>
      <c r="GT232" s="348">
        <f t="shared" ca="1" si="263"/>
        <v>0</v>
      </c>
      <c r="GU232" s="348">
        <f t="shared" ca="1" si="263"/>
        <v>0</v>
      </c>
      <c r="GV232" s="348">
        <f t="shared" ca="1" si="263"/>
        <v>0</v>
      </c>
      <c r="GW232" s="348">
        <f t="shared" ca="1" si="263"/>
        <v>0</v>
      </c>
      <c r="GX232" s="348">
        <f t="shared" ca="1" si="263"/>
        <v>0</v>
      </c>
      <c r="GY232" s="348">
        <f t="shared" ca="1" si="263"/>
        <v>0</v>
      </c>
      <c r="GZ232" s="348">
        <f t="shared" ca="1" si="263"/>
        <v>0</v>
      </c>
      <c r="HA232" s="348">
        <f t="shared" ca="1" si="263"/>
        <v>0</v>
      </c>
      <c r="HB232" s="348">
        <f t="shared" ca="1" si="263"/>
        <v>0</v>
      </c>
      <c r="HC232" s="348">
        <f t="shared" ca="1" si="263"/>
        <v>0</v>
      </c>
      <c r="HD232" s="348">
        <f t="shared" ca="1" si="263"/>
        <v>0</v>
      </c>
      <c r="HE232" s="348">
        <f t="shared" ca="1" si="263"/>
        <v>0</v>
      </c>
      <c r="HF232" s="348">
        <f t="shared" ca="1" si="263"/>
        <v>0</v>
      </c>
      <c r="HG232" s="348">
        <f t="shared" ca="1" si="263"/>
        <v>0</v>
      </c>
      <c r="HH232" s="348">
        <f t="shared" ca="1" si="263"/>
        <v>0</v>
      </c>
      <c r="HI232" s="348">
        <f t="shared" ca="1" si="263"/>
        <v>0</v>
      </c>
      <c r="HJ232" s="348">
        <f t="shared" ca="1" si="263"/>
        <v>0</v>
      </c>
      <c r="HK232" s="348">
        <f t="shared" ca="1" si="263"/>
        <v>0</v>
      </c>
      <c r="HL232" s="348">
        <f t="shared" ca="1" si="263"/>
        <v>0</v>
      </c>
      <c r="HM232" s="348">
        <f t="shared" ca="1" si="263"/>
        <v>0</v>
      </c>
      <c r="HN232" s="348">
        <f t="shared" ca="1" si="263"/>
        <v>0</v>
      </c>
      <c r="HO232" s="348">
        <f t="shared" ca="1" si="263"/>
        <v>0</v>
      </c>
      <c r="HP232" s="348">
        <f t="shared" ca="1" si="263"/>
        <v>0</v>
      </c>
      <c r="HQ232" s="348">
        <f t="shared" ca="1" si="263"/>
        <v>0</v>
      </c>
      <c r="HR232" s="348">
        <f t="shared" ca="1" si="263"/>
        <v>0</v>
      </c>
      <c r="HS232" s="348">
        <f t="shared" ca="1" si="263"/>
        <v>0</v>
      </c>
      <c r="HT232" s="348">
        <f t="shared" ca="1" si="263"/>
        <v>0</v>
      </c>
      <c r="HU232" s="348">
        <f t="shared" ca="1" si="263"/>
        <v>0</v>
      </c>
      <c r="HV232" s="348">
        <f t="shared" ca="1" si="263"/>
        <v>0</v>
      </c>
      <c r="HW232" s="348">
        <f t="shared" ca="1" si="263"/>
        <v>0</v>
      </c>
      <c r="HX232" s="348">
        <f t="shared" ca="1" si="263"/>
        <v>0</v>
      </c>
      <c r="HY232" s="348">
        <f t="shared" ca="1" si="263"/>
        <v>0</v>
      </c>
      <c r="HZ232" s="348">
        <f t="shared" ca="1" si="263"/>
        <v>0</v>
      </c>
      <c r="IA232" s="348">
        <f t="shared" ca="1" si="263"/>
        <v>0</v>
      </c>
      <c r="IB232" s="348">
        <f t="shared" ca="1" si="263"/>
        <v>0</v>
      </c>
      <c r="IC232" s="348">
        <f t="shared" ca="1" si="263"/>
        <v>0</v>
      </c>
      <c r="ID232" s="348">
        <f t="shared" ca="1" si="263"/>
        <v>0</v>
      </c>
      <c r="IE232" s="348">
        <f t="shared" ca="1" si="263"/>
        <v>0</v>
      </c>
      <c r="IF232" s="348">
        <f t="shared" ca="1" si="263"/>
        <v>0</v>
      </c>
      <c r="IG232" s="348">
        <f t="shared" ca="1" si="263"/>
        <v>0</v>
      </c>
      <c r="IH232" s="348">
        <f t="shared" ca="1" si="263"/>
        <v>0</v>
      </c>
      <c r="II232" s="348">
        <f t="shared" ca="1" si="263"/>
        <v>0</v>
      </c>
      <c r="IJ232" s="348">
        <f t="shared" ca="1" si="263"/>
        <v>0</v>
      </c>
      <c r="IK232" s="348">
        <f t="shared" ca="1" si="263"/>
        <v>0</v>
      </c>
    </row>
    <row r="233" spans="1:245" hidden="1" x14ac:dyDescent="0.35">
      <c r="A233" s="195"/>
      <c r="B233" s="5"/>
      <c r="C233" s="630"/>
      <c r="D233" s="468"/>
      <c r="E233" s="32"/>
    </row>
    <row r="234" spans="1:245" hidden="1" x14ac:dyDescent="0.35">
      <c r="A234" s="195"/>
      <c r="B234" s="5"/>
      <c r="C234" s="630" t="s">
        <v>1585</v>
      </c>
      <c r="D234" s="471">
        <f ca="1">IF(D212&gt;D211+1,0,IF(D211=D212,IF(D212*D216&lt;D151,G235,G234),IF(D220&gt;E219,0,IF(D211+1=D212,0,D224+1))))</f>
        <v>0</v>
      </c>
      <c r="E234" s="32">
        <f ca="1">IF(D234=0,0,D234-D213+1)</f>
        <v>0</v>
      </c>
      <c r="G234" s="471">
        <f>IF(ENTRADAS!$E$1038=0,0,IF(ENTRADAS!$F$22=D211,IF(D211*D216&lt;E224,IF(E222+D211*(LAJES!$H$486/D212)&lt;(D211*D216)+D213,(D211*D216)+D213,E151+D213-1),0)))</f>
        <v>0</v>
      </c>
    </row>
    <row r="235" spans="1:245" hidden="1" x14ac:dyDescent="0.35">
      <c r="A235" s="195"/>
      <c r="B235" s="5"/>
      <c r="C235" s="630" t="s">
        <v>1586</v>
      </c>
      <c r="D235" s="467">
        <f ca="1">IF(D234=0,0,D234+D232-1)</f>
        <v>0</v>
      </c>
      <c r="E235" s="32">
        <f ca="1">D232+E234</f>
        <v>0</v>
      </c>
      <c r="G235" s="471">
        <f>IF(ENTRADAS!$E$1038=0,0,IF(D212=D211,IF(D211*D216&lt;E227,IF(E222+D211*(LAJES!$H$486/D212)&lt;(D211*D216)+D213,(D211*D216)+D213,E151+D213-1),IF(E227=0,D215+1))))</f>
        <v>0</v>
      </c>
    </row>
    <row r="236" spans="1:245" ht="12.75" hidden="1" customHeight="1" x14ac:dyDescent="0.35">
      <c r="A236" s="195"/>
      <c r="B236" s="5"/>
      <c r="G236" s="473">
        <f ca="1">IF(D235&gt;D224,D235,IF(D224&gt;D235,D224,0))</f>
        <v>0</v>
      </c>
    </row>
    <row r="237" spans="1:245" ht="4.5" hidden="1" customHeight="1" x14ac:dyDescent="0.35">
      <c r="A237" s="195"/>
      <c r="B237" s="5"/>
    </row>
    <row r="238" spans="1:245" ht="15.75" hidden="1" customHeight="1" x14ac:dyDescent="0.35">
      <c r="A238" s="195"/>
      <c r="B238" s="5"/>
      <c r="D238" s="1203"/>
    </row>
    <row r="239" spans="1:245" ht="4.5" hidden="1" customHeight="1" x14ac:dyDescent="0.35">
      <c r="A239" s="195"/>
      <c r="B239" s="5"/>
    </row>
    <row r="240" spans="1:245" hidden="1" x14ac:dyDescent="0.35">
      <c r="A240" s="195"/>
      <c r="B240" s="5"/>
      <c r="C240" s="630" t="s">
        <v>1587</v>
      </c>
      <c r="D240" s="468">
        <f ca="1">IF(ENTRADAS!$F$22=0,0,IF($J$3=0,0,ROUNDUP(CÁLCULOS!$L$536/ENTRADAS!$F$22,0)))</f>
        <v>29</v>
      </c>
      <c r="E240" s="32"/>
      <c r="H240" s="348">
        <f ca="1">IF($E$242&gt;0,IF(AND(H176&gt;=$E$245,H176&lt;$E$246+1),10,0),IF(AND(H176&gt;=$E$245-1,H176&lt;$E$246-1),10,0))</f>
        <v>0</v>
      </c>
      <c r="I240" s="348">
        <f t="shared" ref="I240:BT240" ca="1" si="264">IF($E$242&gt;0,IF(AND(I176&gt;=$E$245,I176&lt;$E$246+1),10,0),IF(AND(I176&gt;=$E$245-1,I176&lt;$E$246-1),10,0))</f>
        <v>0</v>
      </c>
      <c r="J240" s="348">
        <f t="shared" ca="1" si="264"/>
        <v>0</v>
      </c>
      <c r="K240" s="348">
        <f t="shared" ca="1" si="264"/>
        <v>0</v>
      </c>
      <c r="L240" s="348">
        <f t="shared" ca="1" si="264"/>
        <v>0</v>
      </c>
      <c r="M240" s="348">
        <f t="shared" ca="1" si="264"/>
        <v>0</v>
      </c>
      <c r="N240" s="348">
        <f ca="1">IF($E$242&gt;0,IF(AND(N176&gt;=$E$245,N176&lt;$E$246+1),10,0),IF(AND(N176&gt;=$E$245-1,N176&lt;$E$246-1),10,0))</f>
        <v>0</v>
      </c>
      <c r="O240" s="348">
        <f t="shared" ca="1" si="264"/>
        <v>0</v>
      </c>
      <c r="P240" s="348">
        <f t="shared" ca="1" si="264"/>
        <v>0</v>
      </c>
      <c r="Q240" s="348">
        <f t="shared" ca="1" si="264"/>
        <v>0</v>
      </c>
      <c r="R240" s="348">
        <f t="shared" ca="1" si="264"/>
        <v>0</v>
      </c>
      <c r="S240" s="348">
        <f t="shared" ca="1" si="264"/>
        <v>0</v>
      </c>
      <c r="T240" s="348">
        <f t="shared" ca="1" si="264"/>
        <v>0</v>
      </c>
      <c r="U240" s="348">
        <f t="shared" ca="1" si="264"/>
        <v>0</v>
      </c>
      <c r="V240" s="348">
        <f t="shared" ca="1" si="264"/>
        <v>0</v>
      </c>
      <c r="W240" s="348">
        <f t="shared" ca="1" si="264"/>
        <v>0</v>
      </c>
      <c r="X240" s="348">
        <f t="shared" ca="1" si="264"/>
        <v>0</v>
      </c>
      <c r="Y240" s="348">
        <f t="shared" ca="1" si="264"/>
        <v>0</v>
      </c>
      <c r="Z240" s="348">
        <f t="shared" ca="1" si="264"/>
        <v>0</v>
      </c>
      <c r="AA240" s="348">
        <f t="shared" ca="1" si="264"/>
        <v>0</v>
      </c>
      <c r="AB240" s="348">
        <f t="shared" ca="1" si="264"/>
        <v>0</v>
      </c>
      <c r="AC240" s="348">
        <f t="shared" ca="1" si="264"/>
        <v>0</v>
      </c>
      <c r="AD240" s="348">
        <f t="shared" ca="1" si="264"/>
        <v>0</v>
      </c>
      <c r="AE240" s="348">
        <f t="shared" ca="1" si="264"/>
        <v>0</v>
      </c>
      <c r="AF240" s="348">
        <f t="shared" ca="1" si="264"/>
        <v>0</v>
      </c>
      <c r="AG240" s="348">
        <f t="shared" ca="1" si="264"/>
        <v>0</v>
      </c>
      <c r="AH240" s="348">
        <f t="shared" ca="1" si="264"/>
        <v>0</v>
      </c>
      <c r="AI240" s="348">
        <f t="shared" ca="1" si="264"/>
        <v>0</v>
      </c>
      <c r="AJ240" s="348">
        <f t="shared" ca="1" si="264"/>
        <v>0</v>
      </c>
      <c r="AK240" s="348">
        <f t="shared" ca="1" si="264"/>
        <v>0</v>
      </c>
      <c r="AL240" s="348">
        <f t="shared" ca="1" si="264"/>
        <v>0</v>
      </c>
      <c r="AM240" s="348">
        <f t="shared" ca="1" si="264"/>
        <v>0</v>
      </c>
      <c r="AN240" s="348">
        <f t="shared" ca="1" si="264"/>
        <v>0</v>
      </c>
      <c r="AO240" s="348">
        <f t="shared" ca="1" si="264"/>
        <v>0</v>
      </c>
      <c r="AP240" s="348">
        <f t="shared" ca="1" si="264"/>
        <v>0</v>
      </c>
      <c r="AQ240" s="348">
        <f t="shared" ca="1" si="264"/>
        <v>0</v>
      </c>
      <c r="AR240" s="348">
        <f t="shared" ca="1" si="264"/>
        <v>0</v>
      </c>
      <c r="AS240" s="348">
        <f t="shared" ca="1" si="264"/>
        <v>0</v>
      </c>
      <c r="AT240" s="348">
        <f t="shared" ca="1" si="264"/>
        <v>0</v>
      </c>
      <c r="AU240" s="348">
        <f t="shared" ca="1" si="264"/>
        <v>0</v>
      </c>
      <c r="AV240" s="348">
        <f t="shared" ca="1" si="264"/>
        <v>0</v>
      </c>
      <c r="AW240" s="348">
        <f t="shared" ca="1" si="264"/>
        <v>0</v>
      </c>
      <c r="AX240" s="348">
        <f t="shared" ca="1" si="264"/>
        <v>0</v>
      </c>
      <c r="AY240" s="348">
        <f t="shared" ca="1" si="264"/>
        <v>0</v>
      </c>
      <c r="AZ240" s="348">
        <f t="shared" ca="1" si="264"/>
        <v>0</v>
      </c>
      <c r="BA240" s="348">
        <f t="shared" ca="1" si="264"/>
        <v>0</v>
      </c>
      <c r="BB240" s="348">
        <f t="shared" ca="1" si="264"/>
        <v>0</v>
      </c>
      <c r="BC240" s="348">
        <f t="shared" ca="1" si="264"/>
        <v>0</v>
      </c>
      <c r="BD240" s="348">
        <f t="shared" ca="1" si="264"/>
        <v>0</v>
      </c>
      <c r="BE240" s="348">
        <f t="shared" ca="1" si="264"/>
        <v>0</v>
      </c>
      <c r="BF240" s="348">
        <f t="shared" ca="1" si="264"/>
        <v>0</v>
      </c>
      <c r="BG240" s="348">
        <f t="shared" ca="1" si="264"/>
        <v>0</v>
      </c>
      <c r="BH240" s="348">
        <f t="shared" ca="1" si="264"/>
        <v>0</v>
      </c>
      <c r="BI240" s="348">
        <f t="shared" ca="1" si="264"/>
        <v>0</v>
      </c>
      <c r="BJ240" s="348">
        <f t="shared" ca="1" si="264"/>
        <v>0</v>
      </c>
      <c r="BK240" s="348">
        <f t="shared" ca="1" si="264"/>
        <v>0</v>
      </c>
      <c r="BL240" s="348">
        <f t="shared" ca="1" si="264"/>
        <v>0</v>
      </c>
      <c r="BM240" s="348">
        <f t="shared" ca="1" si="264"/>
        <v>0</v>
      </c>
      <c r="BN240" s="348">
        <f t="shared" ca="1" si="264"/>
        <v>0</v>
      </c>
      <c r="BO240" s="348">
        <f t="shared" ca="1" si="264"/>
        <v>0</v>
      </c>
      <c r="BP240" s="348">
        <f t="shared" ca="1" si="264"/>
        <v>0</v>
      </c>
      <c r="BQ240" s="348">
        <f t="shared" ca="1" si="264"/>
        <v>0</v>
      </c>
      <c r="BR240" s="348">
        <f t="shared" ca="1" si="264"/>
        <v>0</v>
      </c>
      <c r="BS240" s="348">
        <f t="shared" ca="1" si="264"/>
        <v>0</v>
      </c>
      <c r="BT240" s="348">
        <f t="shared" ca="1" si="264"/>
        <v>0</v>
      </c>
      <c r="BU240" s="348">
        <f t="shared" ref="BU240:EF240" ca="1" si="265">IF($E$242&gt;0,IF(AND(BU176&gt;=$E$245,BU176&lt;$E$246+1),10,0),IF(AND(BU176&gt;=$E$245-1,BU176&lt;$E$246-1),10,0))</f>
        <v>0</v>
      </c>
      <c r="BV240" s="348">
        <f t="shared" ca="1" si="265"/>
        <v>0</v>
      </c>
      <c r="BW240" s="348">
        <f t="shared" ca="1" si="265"/>
        <v>0</v>
      </c>
      <c r="BX240" s="348">
        <f t="shared" ca="1" si="265"/>
        <v>0</v>
      </c>
      <c r="BY240" s="348">
        <f t="shared" ca="1" si="265"/>
        <v>0</v>
      </c>
      <c r="BZ240" s="348">
        <f t="shared" ca="1" si="265"/>
        <v>0</v>
      </c>
      <c r="CA240" s="348">
        <f t="shared" ca="1" si="265"/>
        <v>0</v>
      </c>
      <c r="CB240" s="348">
        <f t="shared" ca="1" si="265"/>
        <v>0</v>
      </c>
      <c r="CC240" s="348">
        <f t="shared" ca="1" si="265"/>
        <v>0</v>
      </c>
      <c r="CD240" s="348">
        <f t="shared" ca="1" si="265"/>
        <v>0</v>
      </c>
      <c r="CE240" s="348">
        <f t="shared" ca="1" si="265"/>
        <v>0</v>
      </c>
      <c r="CF240" s="348">
        <f t="shared" ca="1" si="265"/>
        <v>0</v>
      </c>
      <c r="CG240" s="348">
        <f t="shared" ca="1" si="265"/>
        <v>0</v>
      </c>
      <c r="CH240" s="348">
        <f t="shared" ca="1" si="265"/>
        <v>0</v>
      </c>
      <c r="CI240" s="348">
        <f t="shared" ca="1" si="265"/>
        <v>10</v>
      </c>
      <c r="CJ240" s="348">
        <f t="shared" ca="1" si="265"/>
        <v>10</v>
      </c>
      <c r="CK240" s="348">
        <f t="shared" ca="1" si="265"/>
        <v>10</v>
      </c>
      <c r="CL240" s="348">
        <f t="shared" ca="1" si="265"/>
        <v>10</v>
      </c>
      <c r="CM240" s="348">
        <f t="shared" ca="1" si="265"/>
        <v>10</v>
      </c>
      <c r="CN240" s="348">
        <f t="shared" ca="1" si="265"/>
        <v>10</v>
      </c>
      <c r="CO240" s="348">
        <f t="shared" ca="1" si="265"/>
        <v>10</v>
      </c>
      <c r="CP240" s="348">
        <f t="shared" ca="1" si="265"/>
        <v>10</v>
      </c>
      <c r="CQ240" s="348">
        <f t="shared" ca="1" si="265"/>
        <v>10</v>
      </c>
      <c r="CR240" s="348">
        <f t="shared" ca="1" si="265"/>
        <v>10</v>
      </c>
      <c r="CS240" s="348">
        <f t="shared" ca="1" si="265"/>
        <v>10</v>
      </c>
      <c r="CT240" s="348">
        <f t="shared" ca="1" si="265"/>
        <v>10</v>
      </c>
      <c r="CU240" s="348">
        <f t="shared" ca="1" si="265"/>
        <v>10</v>
      </c>
      <c r="CV240" s="348">
        <f t="shared" ca="1" si="265"/>
        <v>10</v>
      </c>
      <c r="CW240" s="348">
        <f t="shared" ca="1" si="265"/>
        <v>10</v>
      </c>
      <c r="CX240" s="348">
        <f t="shared" ca="1" si="265"/>
        <v>10</v>
      </c>
      <c r="CY240" s="348">
        <f t="shared" ca="1" si="265"/>
        <v>10</v>
      </c>
      <c r="CZ240" s="348">
        <f t="shared" ca="1" si="265"/>
        <v>10</v>
      </c>
      <c r="DA240" s="348">
        <f t="shared" ca="1" si="265"/>
        <v>10</v>
      </c>
      <c r="DB240" s="348">
        <f t="shared" ca="1" si="265"/>
        <v>10</v>
      </c>
      <c r="DC240" s="348">
        <f t="shared" ca="1" si="265"/>
        <v>10</v>
      </c>
      <c r="DD240" s="348">
        <f t="shared" ca="1" si="265"/>
        <v>10</v>
      </c>
      <c r="DE240" s="348">
        <f t="shared" ca="1" si="265"/>
        <v>10</v>
      </c>
      <c r="DF240" s="348">
        <f t="shared" ca="1" si="265"/>
        <v>10</v>
      </c>
      <c r="DG240" s="348">
        <f t="shared" ca="1" si="265"/>
        <v>10</v>
      </c>
      <c r="DH240" s="348">
        <f t="shared" ca="1" si="265"/>
        <v>10</v>
      </c>
      <c r="DI240" s="348">
        <f t="shared" ca="1" si="265"/>
        <v>10</v>
      </c>
      <c r="DJ240" s="348">
        <f t="shared" ca="1" si="265"/>
        <v>10</v>
      </c>
      <c r="DK240" s="348">
        <f t="shared" ca="1" si="265"/>
        <v>10</v>
      </c>
      <c r="DL240" s="348">
        <f t="shared" ca="1" si="265"/>
        <v>0</v>
      </c>
      <c r="DM240" s="348">
        <f t="shared" ca="1" si="265"/>
        <v>0</v>
      </c>
      <c r="DN240" s="348">
        <f t="shared" ca="1" si="265"/>
        <v>0</v>
      </c>
      <c r="DO240" s="348">
        <f t="shared" ca="1" si="265"/>
        <v>0</v>
      </c>
      <c r="DP240" s="348">
        <f t="shared" ca="1" si="265"/>
        <v>0</v>
      </c>
      <c r="DQ240" s="348">
        <f t="shared" ca="1" si="265"/>
        <v>0</v>
      </c>
      <c r="DR240" s="348">
        <f t="shared" ca="1" si="265"/>
        <v>0</v>
      </c>
      <c r="DS240" s="348">
        <f t="shared" ca="1" si="265"/>
        <v>0</v>
      </c>
      <c r="DT240" s="348">
        <f t="shared" ca="1" si="265"/>
        <v>0</v>
      </c>
      <c r="DU240" s="348">
        <f t="shared" ca="1" si="265"/>
        <v>0</v>
      </c>
      <c r="DV240" s="348">
        <f t="shared" ca="1" si="265"/>
        <v>0</v>
      </c>
      <c r="DW240" s="348">
        <f t="shared" ca="1" si="265"/>
        <v>0</v>
      </c>
      <c r="DX240" s="348">
        <f t="shared" ca="1" si="265"/>
        <v>0</v>
      </c>
      <c r="DY240" s="348">
        <f t="shared" ca="1" si="265"/>
        <v>0</v>
      </c>
      <c r="DZ240" s="348">
        <f t="shared" ca="1" si="265"/>
        <v>0</v>
      </c>
      <c r="EA240" s="348">
        <f t="shared" ca="1" si="265"/>
        <v>0</v>
      </c>
      <c r="EB240" s="348">
        <f t="shared" ca="1" si="265"/>
        <v>0</v>
      </c>
      <c r="EC240" s="348">
        <f t="shared" ca="1" si="265"/>
        <v>0</v>
      </c>
      <c r="ED240" s="348">
        <f t="shared" ca="1" si="265"/>
        <v>0</v>
      </c>
      <c r="EE240" s="348">
        <f t="shared" ca="1" si="265"/>
        <v>0</v>
      </c>
      <c r="EF240" s="348">
        <f t="shared" ca="1" si="265"/>
        <v>0</v>
      </c>
      <c r="EG240" s="348">
        <f t="shared" ref="EG240:GR240" ca="1" si="266">IF($E$242&gt;0,IF(AND(EG176&gt;=$E$245,EG176&lt;$E$246+1),10,0),IF(AND(EG176&gt;=$E$245-1,EG176&lt;$E$246-1),10,0))</f>
        <v>0</v>
      </c>
      <c r="EH240" s="348">
        <f t="shared" ca="1" si="266"/>
        <v>0</v>
      </c>
      <c r="EI240" s="348">
        <f t="shared" ca="1" si="266"/>
        <v>0</v>
      </c>
      <c r="EJ240" s="348">
        <f t="shared" ca="1" si="266"/>
        <v>0</v>
      </c>
      <c r="EK240" s="348">
        <f t="shared" ca="1" si="266"/>
        <v>0</v>
      </c>
      <c r="EL240" s="348">
        <f t="shared" ca="1" si="266"/>
        <v>0</v>
      </c>
      <c r="EM240" s="348">
        <f t="shared" ca="1" si="266"/>
        <v>0</v>
      </c>
      <c r="EN240" s="348">
        <f t="shared" ca="1" si="266"/>
        <v>0</v>
      </c>
      <c r="EO240" s="348">
        <f t="shared" ca="1" si="266"/>
        <v>0</v>
      </c>
      <c r="EP240" s="348">
        <f t="shared" ca="1" si="266"/>
        <v>0</v>
      </c>
      <c r="EQ240" s="348">
        <f t="shared" ca="1" si="266"/>
        <v>0</v>
      </c>
      <c r="ER240" s="348">
        <f t="shared" ca="1" si="266"/>
        <v>0</v>
      </c>
      <c r="ES240" s="348">
        <f t="shared" ca="1" si="266"/>
        <v>0</v>
      </c>
      <c r="ET240" s="348">
        <f t="shared" ca="1" si="266"/>
        <v>0</v>
      </c>
      <c r="EU240" s="348">
        <f t="shared" ca="1" si="266"/>
        <v>0</v>
      </c>
      <c r="EV240" s="348">
        <f t="shared" ca="1" si="266"/>
        <v>0</v>
      </c>
      <c r="EW240" s="348">
        <f t="shared" ca="1" si="266"/>
        <v>0</v>
      </c>
      <c r="EX240" s="348">
        <f t="shared" ca="1" si="266"/>
        <v>0</v>
      </c>
      <c r="EY240" s="348">
        <f t="shared" ca="1" si="266"/>
        <v>0</v>
      </c>
      <c r="EZ240" s="348">
        <f t="shared" ca="1" si="266"/>
        <v>0</v>
      </c>
      <c r="FA240" s="348">
        <f t="shared" ca="1" si="266"/>
        <v>0</v>
      </c>
      <c r="FB240" s="348">
        <f t="shared" ca="1" si="266"/>
        <v>0</v>
      </c>
      <c r="FC240" s="348">
        <f t="shared" ca="1" si="266"/>
        <v>0</v>
      </c>
      <c r="FD240" s="348">
        <f t="shared" ca="1" si="266"/>
        <v>0</v>
      </c>
      <c r="FE240" s="348">
        <f t="shared" ca="1" si="266"/>
        <v>0</v>
      </c>
      <c r="FF240" s="348">
        <f t="shared" ca="1" si="266"/>
        <v>0</v>
      </c>
      <c r="FG240" s="348">
        <f t="shared" ca="1" si="266"/>
        <v>0</v>
      </c>
      <c r="FH240" s="348">
        <f t="shared" ca="1" si="266"/>
        <v>0</v>
      </c>
      <c r="FI240" s="348">
        <f t="shared" ca="1" si="266"/>
        <v>0</v>
      </c>
      <c r="FJ240" s="348">
        <f t="shared" ca="1" si="266"/>
        <v>0</v>
      </c>
      <c r="FK240" s="348">
        <f t="shared" ca="1" si="266"/>
        <v>0</v>
      </c>
      <c r="FL240" s="348">
        <f t="shared" ca="1" si="266"/>
        <v>0</v>
      </c>
      <c r="FM240" s="348">
        <f t="shared" ca="1" si="266"/>
        <v>0</v>
      </c>
      <c r="FN240" s="348">
        <f t="shared" ca="1" si="266"/>
        <v>0</v>
      </c>
      <c r="FO240" s="348">
        <f t="shared" ca="1" si="266"/>
        <v>0</v>
      </c>
      <c r="FP240" s="348">
        <f t="shared" ca="1" si="266"/>
        <v>0</v>
      </c>
      <c r="FQ240" s="348">
        <f t="shared" ca="1" si="266"/>
        <v>0</v>
      </c>
      <c r="FR240" s="348">
        <f t="shared" ca="1" si="266"/>
        <v>0</v>
      </c>
      <c r="FS240" s="348">
        <f t="shared" ca="1" si="266"/>
        <v>0</v>
      </c>
      <c r="FT240" s="348">
        <f t="shared" ca="1" si="266"/>
        <v>0</v>
      </c>
      <c r="FU240" s="348">
        <f t="shared" ca="1" si="266"/>
        <v>0</v>
      </c>
      <c r="FV240" s="348">
        <f t="shared" ca="1" si="266"/>
        <v>0</v>
      </c>
      <c r="FW240" s="348">
        <f t="shared" ca="1" si="266"/>
        <v>0</v>
      </c>
      <c r="FX240" s="348">
        <f t="shared" ca="1" si="266"/>
        <v>0</v>
      </c>
      <c r="FY240" s="348">
        <f t="shared" ca="1" si="266"/>
        <v>0</v>
      </c>
      <c r="FZ240" s="348">
        <f t="shared" ca="1" si="266"/>
        <v>0</v>
      </c>
      <c r="GA240" s="348">
        <f t="shared" ca="1" si="266"/>
        <v>0</v>
      </c>
      <c r="GB240" s="348">
        <f t="shared" ca="1" si="266"/>
        <v>0</v>
      </c>
      <c r="GC240" s="348">
        <f t="shared" ca="1" si="266"/>
        <v>0</v>
      </c>
      <c r="GD240" s="348">
        <f t="shared" ca="1" si="266"/>
        <v>0</v>
      </c>
      <c r="GE240" s="348">
        <f t="shared" ca="1" si="266"/>
        <v>0</v>
      </c>
      <c r="GF240" s="348">
        <f t="shared" ca="1" si="266"/>
        <v>0</v>
      </c>
      <c r="GG240" s="348">
        <f t="shared" ca="1" si="266"/>
        <v>0</v>
      </c>
      <c r="GH240" s="348">
        <f t="shared" ca="1" si="266"/>
        <v>0</v>
      </c>
      <c r="GI240" s="348">
        <f t="shared" ca="1" si="266"/>
        <v>0</v>
      </c>
      <c r="GJ240" s="348">
        <f t="shared" ca="1" si="266"/>
        <v>0</v>
      </c>
      <c r="GK240" s="348">
        <f t="shared" ca="1" si="266"/>
        <v>0</v>
      </c>
      <c r="GL240" s="348">
        <f t="shared" ca="1" si="266"/>
        <v>0</v>
      </c>
      <c r="GM240" s="348">
        <f t="shared" ca="1" si="266"/>
        <v>0</v>
      </c>
      <c r="GN240" s="348">
        <f t="shared" ca="1" si="266"/>
        <v>0</v>
      </c>
      <c r="GO240" s="348">
        <f t="shared" ca="1" si="266"/>
        <v>0</v>
      </c>
      <c r="GP240" s="348">
        <f t="shared" ca="1" si="266"/>
        <v>0</v>
      </c>
      <c r="GQ240" s="348">
        <f t="shared" ca="1" si="266"/>
        <v>0</v>
      </c>
      <c r="GR240" s="348">
        <f t="shared" ca="1" si="266"/>
        <v>0</v>
      </c>
      <c r="GS240" s="348">
        <f t="shared" ref="GS240:IK240" ca="1" si="267">IF($E$242&gt;0,IF(AND(GS176&gt;=$E$245,GS176&lt;$E$246+1),10,0),IF(AND(GS176&gt;=$E$245-1,GS176&lt;$E$246-1),10,0))</f>
        <v>0</v>
      </c>
      <c r="GT240" s="348">
        <f t="shared" ca="1" si="267"/>
        <v>0</v>
      </c>
      <c r="GU240" s="348">
        <f t="shared" ca="1" si="267"/>
        <v>0</v>
      </c>
      <c r="GV240" s="348">
        <f t="shared" ca="1" si="267"/>
        <v>0</v>
      </c>
      <c r="GW240" s="348">
        <f t="shared" ca="1" si="267"/>
        <v>0</v>
      </c>
      <c r="GX240" s="348">
        <f t="shared" ca="1" si="267"/>
        <v>0</v>
      </c>
      <c r="GY240" s="348">
        <f t="shared" ca="1" si="267"/>
        <v>0</v>
      </c>
      <c r="GZ240" s="348">
        <f t="shared" ca="1" si="267"/>
        <v>0</v>
      </c>
      <c r="HA240" s="348">
        <f t="shared" ca="1" si="267"/>
        <v>0</v>
      </c>
      <c r="HB240" s="348">
        <f t="shared" ca="1" si="267"/>
        <v>0</v>
      </c>
      <c r="HC240" s="348">
        <f t="shared" ca="1" si="267"/>
        <v>0</v>
      </c>
      <c r="HD240" s="348">
        <f t="shared" ca="1" si="267"/>
        <v>0</v>
      </c>
      <c r="HE240" s="348">
        <f t="shared" ca="1" si="267"/>
        <v>0</v>
      </c>
      <c r="HF240" s="348">
        <f t="shared" ca="1" si="267"/>
        <v>0</v>
      </c>
      <c r="HG240" s="348">
        <f t="shared" ca="1" si="267"/>
        <v>0</v>
      </c>
      <c r="HH240" s="348">
        <f t="shared" ca="1" si="267"/>
        <v>0</v>
      </c>
      <c r="HI240" s="348">
        <f t="shared" ca="1" si="267"/>
        <v>0</v>
      </c>
      <c r="HJ240" s="348">
        <f t="shared" ca="1" si="267"/>
        <v>0</v>
      </c>
      <c r="HK240" s="348">
        <f t="shared" ca="1" si="267"/>
        <v>0</v>
      </c>
      <c r="HL240" s="348">
        <f t="shared" ca="1" si="267"/>
        <v>0</v>
      </c>
      <c r="HM240" s="348">
        <f t="shared" ca="1" si="267"/>
        <v>0</v>
      </c>
      <c r="HN240" s="348">
        <f t="shared" ca="1" si="267"/>
        <v>0</v>
      </c>
      <c r="HO240" s="348">
        <f t="shared" ca="1" si="267"/>
        <v>0</v>
      </c>
      <c r="HP240" s="348">
        <f t="shared" ca="1" si="267"/>
        <v>0</v>
      </c>
      <c r="HQ240" s="348">
        <f t="shared" ca="1" si="267"/>
        <v>0</v>
      </c>
      <c r="HR240" s="348">
        <f t="shared" ca="1" si="267"/>
        <v>0</v>
      </c>
      <c r="HS240" s="348">
        <f t="shared" ca="1" si="267"/>
        <v>0</v>
      </c>
      <c r="HT240" s="348">
        <f t="shared" ca="1" si="267"/>
        <v>0</v>
      </c>
      <c r="HU240" s="348">
        <f t="shared" ca="1" si="267"/>
        <v>0</v>
      </c>
      <c r="HV240" s="348">
        <f t="shared" ca="1" si="267"/>
        <v>0</v>
      </c>
      <c r="HW240" s="348">
        <f t="shared" ca="1" si="267"/>
        <v>0</v>
      </c>
      <c r="HX240" s="348">
        <f t="shared" ca="1" si="267"/>
        <v>0</v>
      </c>
      <c r="HY240" s="348">
        <f t="shared" ca="1" si="267"/>
        <v>0</v>
      </c>
      <c r="HZ240" s="348">
        <f t="shared" ca="1" si="267"/>
        <v>0</v>
      </c>
      <c r="IA240" s="348">
        <f t="shared" ca="1" si="267"/>
        <v>0</v>
      </c>
      <c r="IB240" s="348">
        <f t="shared" ca="1" si="267"/>
        <v>0</v>
      </c>
      <c r="IC240" s="348">
        <f t="shared" ca="1" si="267"/>
        <v>0</v>
      </c>
      <c r="ID240" s="348">
        <f t="shared" ca="1" si="267"/>
        <v>0</v>
      </c>
      <c r="IE240" s="348">
        <f t="shared" ca="1" si="267"/>
        <v>0</v>
      </c>
      <c r="IF240" s="348">
        <f t="shared" ca="1" si="267"/>
        <v>0</v>
      </c>
      <c r="IG240" s="348">
        <f t="shared" ca="1" si="267"/>
        <v>0</v>
      </c>
      <c r="IH240" s="348">
        <f t="shared" ca="1" si="267"/>
        <v>0</v>
      </c>
      <c r="II240" s="348">
        <f t="shared" ca="1" si="267"/>
        <v>0</v>
      </c>
      <c r="IJ240" s="348">
        <f t="shared" ca="1" si="267"/>
        <v>0</v>
      </c>
      <c r="IK240" s="348">
        <f t="shared" ca="1" si="267"/>
        <v>0</v>
      </c>
    </row>
    <row r="241" spans="1:245" hidden="1" x14ac:dyDescent="0.35">
      <c r="A241" s="195"/>
      <c r="B241" s="5"/>
      <c r="C241" s="630" t="s">
        <v>1588</v>
      </c>
      <c r="D241" s="467">
        <f ca="1">IF(AND(ENTRADAS!$C$397="X",F198=0),IF($CV$5=1,IF((E114-D213+ENTRADAS!BS402)&gt;0,0,IF(D212&lt;D211,0,IF($J$3=0,0,D218+1))),IF($CV$5=2,IF((E114-D213+ENTRADAS!BS402)&gt;0,0,IF(D212&lt;D211,0,IF($J$3=0,0,IF(D159-D174&lt;D218-(D210/100*D216),D218-(D210/100*D216),D159-D174)))),IF($CV$5=3,IF((E114-D213+ENTRADAS!BS402)&gt;0,0,IF(D212&lt;D211,0,IF($J$3=0,0,D159-D174))),IF($CV$5=4,IF(D211=D212,D218+1-D258,IF(D212&gt;D211,D325-D240+D258,0)))))),IF($CV$5=1,IF(F198&gt;0,0,IF(D212&lt;D211,0,IF($J$3=0,0,D218+1))),IF($CV$5=2,IF(F198&gt;0,0,IF(D212&lt;D211,0,IF($J$3=0,0,IF(D159-D174&lt;D218-(D210/100*D216),D218-(D210/100*D216),D159-D174)))),IF($CV$5=3,IF(F198&gt;0,0,IF(D212&lt;D211,0,IF($J$3=0,0,D159-D174))),IF($CV$5=4,IF(D211=D212,D218+1-D258,IF(D212&gt;D211,D325-D240+D258,0)))))))</f>
        <v>45992.487500000003</v>
      </c>
      <c r="E241" s="32">
        <f ca="1">IF($CV$5=1,IF(D241=0,0,E218+1),IF($CV$5=2,IF(D241=0,0,IF(E159-D174&lt;E218-(D210/100*D216),E218-(D210/100*D216),E159-D174)),IF($CV$5=3,IF(D241=0,0,E159-D174),IF($CV$5=4,IF(D211=D212,E218+1,IF(D212&gt;D211,E325-D240+D258,0))))))</f>
        <v>75.487499999999997</v>
      </c>
    </row>
    <row r="242" spans="1:245" hidden="1" x14ac:dyDescent="0.35">
      <c r="A242" s="195"/>
      <c r="B242" s="5"/>
      <c r="C242" s="630" t="s">
        <v>1589</v>
      </c>
      <c r="D242" s="467">
        <f>IF(ENTRADAS!$D$912="X",IF(AND(ENTRADAS!$C$397="X",F198=0),IF((E116-D213+ENTRADAS!BS402)=0,0,IF(ENTRADAS!$F$22=0,0,IF($J$3=0,0,$J$3+(E116-D213+ENTRADAS!BS402)-1))),IF(F198=0,0,IF(ENTRADAS!$F$22=0,0,IF($J$3=0,0,$J$3+F198-1)))),IF(AND(ENTRADAS!$C$397="X",F198=0),IF((E114-D213+ENTRADAS!BS402)=0,0,IF(ENTRADAS!$F$22=0,0,IF($J$3=0,0,$J$3+(E114-D213+ENTRADAS!BS402)-1))),IF(F198=0,0,IF(ENTRADAS!$F$22=0,0,IF($J$3=0,0,$J$3+F198-1)))))</f>
        <v>0</v>
      </c>
      <c r="E242" s="631">
        <f>IF(ENTRADAS!$D$912="X",IF(AND(ENTRADAS!$C$397="X",F198=0),(E116-D213+ENTRADAS!BS402-1),F198),IF(AND(ENTRADAS!$C$397="X",F198=0),(E114-D213+ENTRADAS!BS402),F198))</f>
        <v>0</v>
      </c>
      <c r="G242" s="482">
        <f ca="1">IF(D230=0,1000+D213,D230)</f>
        <v>46919</v>
      </c>
    </row>
    <row r="243" spans="1:245" hidden="1" x14ac:dyDescent="0.35">
      <c r="A243" s="195"/>
      <c r="B243" s="5"/>
      <c r="C243" s="630" t="s">
        <v>1590</v>
      </c>
      <c r="D243" s="467">
        <f ca="1">IF(D241=0,0,D241+D240-1)</f>
        <v>46020.487500000003</v>
      </c>
      <c r="E243" s="630">
        <f ca="1">IF(AND(ENTRADAS!$C$397="X",F198=0),IF((E114-D213+ENTRADAS!BS402)&gt;0,0,D240+E241),IF(F198&gt;0,0,D240+E241))</f>
        <v>104.4875</v>
      </c>
      <c r="G243" s="471">
        <f ca="1">IF(D222+D223=0,1000+D213,LARGE(D222:D223,1))</f>
        <v>46919</v>
      </c>
    </row>
    <row r="244" spans="1:245" hidden="1" x14ac:dyDescent="0.35">
      <c r="A244" s="195"/>
      <c r="B244" s="5"/>
      <c r="C244" s="630" t="s">
        <v>1591</v>
      </c>
      <c r="D244" s="467">
        <f>IF(ENTRADAS!D912="X",IF(AND(ENTRADAS!$C$397="X",F198=0),IF((E116-D213+ENTRADAS!BS402)=0,0,IF(ENTRADAS!$F$22=0,0,IF($J$3=0,0,$J$3+(E116-D213+ENTRADAS!BS402)+D240-2))),IF(F198=0,0,IF(ENTRADAS!$F$22=0,0,IF($J$3=0,0,$J$3+F198+D240-2)))),IF(AND(ENTRADAS!$C$397="X",F198=0),IF((E114-D213+ENTRADAS!BS402)=0,0,IF(ENTRADAS!$F$22=0,0,IF($J$3=0,0,$J$3+(E114-D213+ENTRADAS!BS402)+D240-2))),IF(F198=0,0,IF(ENTRADAS!$F$22=0,0,IF($J$3=0,0,$J$3+F198+D240-2)))))</f>
        <v>0</v>
      </c>
      <c r="E244" s="631">
        <f>IF(ENTRADAS!D912="X",IF(AND(ENTRADAS!$C$397="X",F198=0),IF((E116-D213+ENTRADAS!BS402)=0,0,(E116-D213+ENTRADAS!BS402-1)+D240-1),IF(F198=0,0,F198+D240-1)),IF(AND(ENTRADAS!$C$397="X",F198=0),IF((E114-D213+ENTRADAS!BS402)=0,0,(E114-D213+ENTRADAS!BS402)+D240-1),IF(F198=0,0,F198+D240-1)))</f>
        <v>0</v>
      </c>
      <c r="G244" s="471">
        <f ca="1">IF(D234=0,1000+D213,D234)</f>
        <v>46919</v>
      </c>
    </row>
    <row r="245" spans="1:245" hidden="1" x14ac:dyDescent="0.35">
      <c r="A245" s="195"/>
      <c r="B245" s="5"/>
      <c r="C245" s="630" t="s">
        <v>1592</v>
      </c>
      <c r="D245" s="467">
        <f ca="1">D241+D242</f>
        <v>45992.487500000003</v>
      </c>
      <c r="E245" s="385">
        <f ca="1">E241+E242</f>
        <v>75.487499999999997</v>
      </c>
      <c r="G245" s="471">
        <f ca="1">SMALL(G242:G244,1)</f>
        <v>46919</v>
      </c>
    </row>
    <row r="246" spans="1:245" hidden="1" x14ac:dyDescent="0.35">
      <c r="A246" s="195"/>
      <c r="B246" s="5"/>
      <c r="C246" s="630" t="s">
        <v>1594</v>
      </c>
      <c r="D246" s="467">
        <f ca="1">D243+D244</f>
        <v>46020.487500000003</v>
      </c>
      <c r="E246" s="385">
        <f ca="1">E243+E244</f>
        <v>104.4875</v>
      </c>
    </row>
    <row r="247" spans="1:245" ht="4.5" hidden="1" customHeight="1" x14ac:dyDescent="0.35">
      <c r="A247" s="195"/>
      <c r="B247" s="5"/>
      <c r="C247" s="627"/>
      <c r="D247" s="474"/>
      <c r="E247" s="450"/>
    </row>
    <row r="248" spans="1:245" ht="4.5" hidden="1" customHeight="1" x14ac:dyDescent="0.35">
      <c r="A248" s="195"/>
      <c r="B248" s="5"/>
      <c r="C248" s="627"/>
      <c r="D248" s="474"/>
      <c r="E248" s="450"/>
    </row>
    <row r="249" spans="1:245" ht="4.5" hidden="1" customHeight="1" x14ac:dyDescent="0.35">
      <c r="A249" s="195"/>
      <c r="B249" s="5"/>
    </row>
    <row r="250" spans="1:245" ht="4.5" hidden="1" customHeight="1" x14ac:dyDescent="0.35">
      <c r="A250" s="195"/>
      <c r="B250" s="5"/>
    </row>
    <row r="251" spans="1:245" hidden="1" x14ac:dyDescent="0.35">
      <c r="A251" s="195"/>
      <c r="B251" s="5"/>
      <c r="C251" s="630" t="s">
        <v>1595</v>
      </c>
      <c r="D251" s="468">
        <f ca="1">IF(ENTRADAS!$F$22=0,0,LAJES!$H$116/D212)</f>
        <v>0</v>
      </c>
      <c r="E251" s="32"/>
      <c r="G251" s="471">
        <f>D231</f>
        <v>0</v>
      </c>
      <c r="H251" s="348">
        <f ca="1">IF(AND(H176&gt;=$E$256,H176&lt;$E$257+1),10,0)</f>
        <v>0</v>
      </c>
      <c r="I251" s="348">
        <f t="shared" ref="I251:BT251" ca="1" si="268">IF(AND(I176&gt;=$E$256,I176&lt;$E$257+1),10,0)</f>
        <v>0</v>
      </c>
      <c r="J251" s="348">
        <f t="shared" ca="1" si="268"/>
        <v>0</v>
      </c>
      <c r="K251" s="348">
        <f t="shared" ca="1" si="268"/>
        <v>0</v>
      </c>
      <c r="L251" s="348">
        <f t="shared" ca="1" si="268"/>
        <v>0</v>
      </c>
      <c r="M251" s="348">
        <f t="shared" ca="1" si="268"/>
        <v>0</v>
      </c>
      <c r="N251" s="348">
        <f t="shared" ca="1" si="268"/>
        <v>0</v>
      </c>
      <c r="O251" s="348">
        <f t="shared" ca="1" si="268"/>
        <v>0</v>
      </c>
      <c r="P251" s="348">
        <f t="shared" ca="1" si="268"/>
        <v>0</v>
      </c>
      <c r="Q251" s="348">
        <f t="shared" ca="1" si="268"/>
        <v>0</v>
      </c>
      <c r="R251" s="348">
        <f t="shared" ca="1" si="268"/>
        <v>0</v>
      </c>
      <c r="S251" s="348">
        <f t="shared" ca="1" si="268"/>
        <v>0</v>
      </c>
      <c r="T251" s="348">
        <f t="shared" ca="1" si="268"/>
        <v>0</v>
      </c>
      <c r="U251" s="348">
        <f t="shared" ca="1" si="268"/>
        <v>0</v>
      </c>
      <c r="V251" s="348">
        <f t="shared" ca="1" si="268"/>
        <v>0</v>
      </c>
      <c r="W251" s="348">
        <f t="shared" ca="1" si="268"/>
        <v>0</v>
      </c>
      <c r="X251" s="348">
        <f t="shared" ca="1" si="268"/>
        <v>0</v>
      </c>
      <c r="Y251" s="348">
        <f t="shared" ca="1" si="268"/>
        <v>0</v>
      </c>
      <c r="Z251" s="348">
        <f t="shared" ca="1" si="268"/>
        <v>0</v>
      </c>
      <c r="AA251" s="348">
        <f t="shared" ca="1" si="268"/>
        <v>0</v>
      </c>
      <c r="AB251" s="348">
        <f t="shared" ca="1" si="268"/>
        <v>0</v>
      </c>
      <c r="AC251" s="348">
        <f t="shared" ca="1" si="268"/>
        <v>0</v>
      </c>
      <c r="AD251" s="348">
        <f t="shared" ca="1" si="268"/>
        <v>0</v>
      </c>
      <c r="AE251" s="348">
        <f t="shared" ca="1" si="268"/>
        <v>0</v>
      </c>
      <c r="AF251" s="348">
        <f t="shared" ca="1" si="268"/>
        <v>0</v>
      </c>
      <c r="AG251" s="348">
        <f t="shared" ca="1" si="268"/>
        <v>0</v>
      </c>
      <c r="AH251" s="348">
        <f t="shared" ca="1" si="268"/>
        <v>0</v>
      </c>
      <c r="AI251" s="348">
        <f t="shared" ca="1" si="268"/>
        <v>0</v>
      </c>
      <c r="AJ251" s="348">
        <f t="shared" ca="1" si="268"/>
        <v>0</v>
      </c>
      <c r="AK251" s="348">
        <f t="shared" ca="1" si="268"/>
        <v>0</v>
      </c>
      <c r="AL251" s="348">
        <f t="shared" ca="1" si="268"/>
        <v>0</v>
      </c>
      <c r="AM251" s="348">
        <f t="shared" ca="1" si="268"/>
        <v>0</v>
      </c>
      <c r="AN251" s="348">
        <f t="shared" ca="1" si="268"/>
        <v>0</v>
      </c>
      <c r="AO251" s="348">
        <f t="shared" ca="1" si="268"/>
        <v>0</v>
      </c>
      <c r="AP251" s="348">
        <f t="shared" ca="1" si="268"/>
        <v>0</v>
      </c>
      <c r="AQ251" s="348">
        <f t="shared" ca="1" si="268"/>
        <v>0</v>
      </c>
      <c r="AR251" s="348">
        <f t="shared" ca="1" si="268"/>
        <v>0</v>
      </c>
      <c r="AS251" s="348">
        <f t="shared" ca="1" si="268"/>
        <v>0</v>
      </c>
      <c r="AT251" s="348">
        <f t="shared" ca="1" si="268"/>
        <v>0</v>
      </c>
      <c r="AU251" s="348">
        <f t="shared" ca="1" si="268"/>
        <v>0</v>
      </c>
      <c r="AV251" s="348">
        <f t="shared" ca="1" si="268"/>
        <v>0</v>
      </c>
      <c r="AW251" s="348">
        <f t="shared" ca="1" si="268"/>
        <v>0</v>
      </c>
      <c r="AX251" s="348">
        <f t="shared" ca="1" si="268"/>
        <v>0</v>
      </c>
      <c r="AY251" s="348">
        <f t="shared" ca="1" si="268"/>
        <v>0</v>
      </c>
      <c r="AZ251" s="348">
        <f t="shared" ca="1" si="268"/>
        <v>0</v>
      </c>
      <c r="BA251" s="348">
        <f t="shared" ca="1" si="268"/>
        <v>0</v>
      </c>
      <c r="BB251" s="348">
        <f t="shared" ca="1" si="268"/>
        <v>0</v>
      </c>
      <c r="BC251" s="348">
        <f t="shared" ca="1" si="268"/>
        <v>0</v>
      </c>
      <c r="BD251" s="348">
        <f t="shared" ca="1" si="268"/>
        <v>0</v>
      </c>
      <c r="BE251" s="348">
        <f t="shared" ca="1" si="268"/>
        <v>0</v>
      </c>
      <c r="BF251" s="348">
        <f t="shared" ca="1" si="268"/>
        <v>0</v>
      </c>
      <c r="BG251" s="348">
        <f t="shared" ca="1" si="268"/>
        <v>0</v>
      </c>
      <c r="BH251" s="348">
        <f t="shared" ca="1" si="268"/>
        <v>0</v>
      </c>
      <c r="BI251" s="348">
        <f t="shared" ca="1" si="268"/>
        <v>0</v>
      </c>
      <c r="BJ251" s="348">
        <f t="shared" ca="1" si="268"/>
        <v>0</v>
      </c>
      <c r="BK251" s="348">
        <f t="shared" ca="1" si="268"/>
        <v>0</v>
      </c>
      <c r="BL251" s="348">
        <f t="shared" ca="1" si="268"/>
        <v>0</v>
      </c>
      <c r="BM251" s="348">
        <f t="shared" ca="1" si="268"/>
        <v>0</v>
      </c>
      <c r="BN251" s="348">
        <f t="shared" ca="1" si="268"/>
        <v>0</v>
      </c>
      <c r="BO251" s="348">
        <f t="shared" ca="1" si="268"/>
        <v>0</v>
      </c>
      <c r="BP251" s="348">
        <f t="shared" ca="1" si="268"/>
        <v>0</v>
      </c>
      <c r="BQ251" s="348">
        <f t="shared" ca="1" si="268"/>
        <v>0</v>
      </c>
      <c r="BR251" s="348">
        <f t="shared" ca="1" si="268"/>
        <v>0</v>
      </c>
      <c r="BS251" s="348">
        <f t="shared" ca="1" si="268"/>
        <v>0</v>
      </c>
      <c r="BT251" s="348">
        <f t="shared" ca="1" si="268"/>
        <v>0</v>
      </c>
      <c r="BU251" s="348">
        <f t="shared" ref="BU251:EF251" ca="1" si="269">IF(AND(BU176&gt;=$E$256,BU176&lt;$E$257+1),10,0)</f>
        <v>0</v>
      </c>
      <c r="BV251" s="348">
        <f t="shared" ca="1" si="269"/>
        <v>0</v>
      </c>
      <c r="BW251" s="348">
        <f t="shared" ca="1" si="269"/>
        <v>0</v>
      </c>
      <c r="BX251" s="348">
        <f t="shared" ca="1" si="269"/>
        <v>0</v>
      </c>
      <c r="BY251" s="348">
        <f t="shared" ca="1" si="269"/>
        <v>0</v>
      </c>
      <c r="BZ251" s="348">
        <f t="shared" ca="1" si="269"/>
        <v>0</v>
      </c>
      <c r="CA251" s="348">
        <f t="shared" ca="1" si="269"/>
        <v>0</v>
      </c>
      <c r="CB251" s="348">
        <f t="shared" ca="1" si="269"/>
        <v>0</v>
      </c>
      <c r="CC251" s="348">
        <f t="shared" ca="1" si="269"/>
        <v>0</v>
      </c>
      <c r="CD251" s="348">
        <f t="shared" ca="1" si="269"/>
        <v>0</v>
      </c>
      <c r="CE251" s="348">
        <f t="shared" ca="1" si="269"/>
        <v>0</v>
      </c>
      <c r="CF251" s="348">
        <f t="shared" ca="1" si="269"/>
        <v>0</v>
      </c>
      <c r="CG251" s="348">
        <f t="shared" ca="1" si="269"/>
        <v>0</v>
      </c>
      <c r="CH251" s="348">
        <f t="shared" ca="1" si="269"/>
        <v>0</v>
      </c>
      <c r="CI251" s="348">
        <f t="shared" ca="1" si="269"/>
        <v>0</v>
      </c>
      <c r="CJ251" s="348">
        <f t="shared" ca="1" si="269"/>
        <v>0</v>
      </c>
      <c r="CK251" s="348">
        <f t="shared" ca="1" si="269"/>
        <v>0</v>
      </c>
      <c r="CL251" s="348">
        <f t="shared" ca="1" si="269"/>
        <v>0</v>
      </c>
      <c r="CM251" s="348">
        <f t="shared" ca="1" si="269"/>
        <v>0</v>
      </c>
      <c r="CN251" s="348">
        <f t="shared" ca="1" si="269"/>
        <v>0</v>
      </c>
      <c r="CO251" s="348">
        <f t="shared" ca="1" si="269"/>
        <v>0</v>
      </c>
      <c r="CP251" s="348">
        <f t="shared" ca="1" si="269"/>
        <v>0</v>
      </c>
      <c r="CQ251" s="348">
        <f t="shared" ca="1" si="269"/>
        <v>0</v>
      </c>
      <c r="CR251" s="348">
        <f t="shared" ca="1" si="269"/>
        <v>0</v>
      </c>
      <c r="CS251" s="348">
        <f t="shared" ca="1" si="269"/>
        <v>0</v>
      </c>
      <c r="CT251" s="348">
        <f t="shared" ca="1" si="269"/>
        <v>0</v>
      </c>
      <c r="CU251" s="348">
        <f t="shared" ca="1" si="269"/>
        <v>0</v>
      </c>
      <c r="CV251" s="348">
        <f t="shared" ca="1" si="269"/>
        <v>0</v>
      </c>
      <c r="CW251" s="348">
        <f t="shared" ca="1" si="269"/>
        <v>0</v>
      </c>
      <c r="CX251" s="348">
        <f t="shared" ca="1" si="269"/>
        <v>0</v>
      </c>
      <c r="CY251" s="348">
        <f t="shared" ca="1" si="269"/>
        <v>0</v>
      </c>
      <c r="CZ251" s="348">
        <f t="shared" ca="1" si="269"/>
        <v>0</v>
      </c>
      <c r="DA251" s="348">
        <f t="shared" ca="1" si="269"/>
        <v>0</v>
      </c>
      <c r="DB251" s="348">
        <f t="shared" ca="1" si="269"/>
        <v>0</v>
      </c>
      <c r="DC251" s="348">
        <f t="shared" ca="1" si="269"/>
        <v>0</v>
      </c>
      <c r="DD251" s="348">
        <f t="shared" ca="1" si="269"/>
        <v>0</v>
      </c>
      <c r="DE251" s="348">
        <f t="shared" ca="1" si="269"/>
        <v>0</v>
      </c>
      <c r="DF251" s="348">
        <f t="shared" ca="1" si="269"/>
        <v>0</v>
      </c>
      <c r="DG251" s="348">
        <f t="shared" ca="1" si="269"/>
        <v>0</v>
      </c>
      <c r="DH251" s="348">
        <f t="shared" ca="1" si="269"/>
        <v>0</v>
      </c>
      <c r="DI251" s="348">
        <f t="shared" ca="1" si="269"/>
        <v>0</v>
      </c>
      <c r="DJ251" s="348">
        <f t="shared" ca="1" si="269"/>
        <v>0</v>
      </c>
      <c r="DK251" s="348">
        <f t="shared" ca="1" si="269"/>
        <v>0</v>
      </c>
      <c r="DL251" s="348">
        <f t="shared" ca="1" si="269"/>
        <v>0</v>
      </c>
      <c r="DM251" s="348">
        <f t="shared" ca="1" si="269"/>
        <v>0</v>
      </c>
      <c r="DN251" s="348">
        <f t="shared" ca="1" si="269"/>
        <v>0</v>
      </c>
      <c r="DO251" s="348">
        <f t="shared" ca="1" si="269"/>
        <v>0</v>
      </c>
      <c r="DP251" s="348">
        <f t="shared" ca="1" si="269"/>
        <v>0</v>
      </c>
      <c r="DQ251" s="348">
        <f t="shared" ca="1" si="269"/>
        <v>0</v>
      </c>
      <c r="DR251" s="348">
        <f t="shared" ca="1" si="269"/>
        <v>0</v>
      </c>
      <c r="DS251" s="348">
        <f t="shared" ca="1" si="269"/>
        <v>0</v>
      </c>
      <c r="DT251" s="348">
        <f t="shared" ca="1" si="269"/>
        <v>0</v>
      </c>
      <c r="DU251" s="348">
        <f t="shared" ca="1" si="269"/>
        <v>0</v>
      </c>
      <c r="DV251" s="348">
        <f t="shared" ca="1" si="269"/>
        <v>0</v>
      </c>
      <c r="DW251" s="348">
        <f t="shared" ca="1" si="269"/>
        <v>0</v>
      </c>
      <c r="DX251" s="348">
        <f t="shared" ca="1" si="269"/>
        <v>0</v>
      </c>
      <c r="DY251" s="348">
        <f t="shared" ca="1" si="269"/>
        <v>0</v>
      </c>
      <c r="DZ251" s="348">
        <f t="shared" ca="1" si="269"/>
        <v>0</v>
      </c>
      <c r="EA251" s="348">
        <f t="shared" ca="1" si="269"/>
        <v>0</v>
      </c>
      <c r="EB251" s="348">
        <f t="shared" ca="1" si="269"/>
        <v>0</v>
      </c>
      <c r="EC251" s="348">
        <f t="shared" ca="1" si="269"/>
        <v>0</v>
      </c>
      <c r="ED251" s="348">
        <f t="shared" ca="1" si="269"/>
        <v>0</v>
      </c>
      <c r="EE251" s="348">
        <f t="shared" ca="1" si="269"/>
        <v>0</v>
      </c>
      <c r="EF251" s="348">
        <f t="shared" ca="1" si="269"/>
        <v>0</v>
      </c>
      <c r="EG251" s="348">
        <f t="shared" ref="EG251:GR251" ca="1" si="270">IF(AND(EG176&gt;=$E$256,EG176&lt;$E$257+1),10,0)</f>
        <v>0</v>
      </c>
      <c r="EH251" s="348">
        <f t="shared" ca="1" si="270"/>
        <v>0</v>
      </c>
      <c r="EI251" s="348">
        <f t="shared" ca="1" si="270"/>
        <v>0</v>
      </c>
      <c r="EJ251" s="348">
        <f t="shared" ca="1" si="270"/>
        <v>0</v>
      </c>
      <c r="EK251" s="348">
        <f t="shared" ca="1" si="270"/>
        <v>0</v>
      </c>
      <c r="EL251" s="348">
        <f t="shared" ca="1" si="270"/>
        <v>0</v>
      </c>
      <c r="EM251" s="348">
        <f t="shared" ca="1" si="270"/>
        <v>0</v>
      </c>
      <c r="EN251" s="348">
        <f t="shared" ca="1" si="270"/>
        <v>0</v>
      </c>
      <c r="EO251" s="348">
        <f t="shared" ca="1" si="270"/>
        <v>0</v>
      </c>
      <c r="EP251" s="348">
        <f t="shared" ca="1" si="270"/>
        <v>0</v>
      </c>
      <c r="EQ251" s="348">
        <f t="shared" ca="1" si="270"/>
        <v>0</v>
      </c>
      <c r="ER251" s="348">
        <f t="shared" ca="1" si="270"/>
        <v>0</v>
      </c>
      <c r="ES251" s="348">
        <f t="shared" ca="1" si="270"/>
        <v>0</v>
      </c>
      <c r="ET251" s="348">
        <f t="shared" ca="1" si="270"/>
        <v>0</v>
      </c>
      <c r="EU251" s="348">
        <f t="shared" ca="1" si="270"/>
        <v>0</v>
      </c>
      <c r="EV251" s="348">
        <f t="shared" ca="1" si="270"/>
        <v>0</v>
      </c>
      <c r="EW251" s="348">
        <f t="shared" ca="1" si="270"/>
        <v>0</v>
      </c>
      <c r="EX251" s="348">
        <f t="shared" ca="1" si="270"/>
        <v>0</v>
      </c>
      <c r="EY251" s="348">
        <f t="shared" ca="1" si="270"/>
        <v>0</v>
      </c>
      <c r="EZ251" s="348">
        <f t="shared" ca="1" si="270"/>
        <v>0</v>
      </c>
      <c r="FA251" s="348">
        <f t="shared" ca="1" si="270"/>
        <v>0</v>
      </c>
      <c r="FB251" s="348">
        <f t="shared" ca="1" si="270"/>
        <v>0</v>
      </c>
      <c r="FC251" s="348">
        <f t="shared" ca="1" si="270"/>
        <v>0</v>
      </c>
      <c r="FD251" s="348">
        <f t="shared" ca="1" si="270"/>
        <v>0</v>
      </c>
      <c r="FE251" s="348">
        <f t="shared" ca="1" si="270"/>
        <v>0</v>
      </c>
      <c r="FF251" s="348">
        <f t="shared" ca="1" si="270"/>
        <v>0</v>
      </c>
      <c r="FG251" s="348">
        <f t="shared" ca="1" si="270"/>
        <v>0</v>
      </c>
      <c r="FH251" s="348">
        <f t="shared" ca="1" si="270"/>
        <v>0</v>
      </c>
      <c r="FI251" s="348">
        <f t="shared" ca="1" si="270"/>
        <v>0</v>
      </c>
      <c r="FJ251" s="348">
        <f t="shared" ca="1" si="270"/>
        <v>0</v>
      </c>
      <c r="FK251" s="348">
        <f t="shared" ca="1" si="270"/>
        <v>0</v>
      </c>
      <c r="FL251" s="348">
        <f t="shared" ca="1" si="270"/>
        <v>0</v>
      </c>
      <c r="FM251" s="348">
        <f t="shared" ca="1" si="270"/>
        <v>0</v>
      </c>
      <c r="FN251" s="348">
        <f t="shared" ca="1" si="270"/>
        <v>0</v>
      </c>
      <c r="FO251" s="348">
        <f t="shared" ca="1" si="270"/>
        <v>0</v>
      </c>
      <c r="FP251" s="348">
        <f t="shared" ca="1" si="270"/>
        <v>0</v>
      </c>
      <c r="FQ251" s="348">
        <f t="shared" ca="1" si="270"/>
        <v>0</v>
      </c>
      <c r="FR251" s="348">
        <f t="shared" ca="1" si="270"/>
        <v>0</v>
      </c>
      <c r="FS251" s="348">
        <f t="shared" ca="1" si="270"/>
        <v>0</v>
      </c>
      <c r="FT251" s="348">
        <f t="shared" ca="1" si="270"/>
        <v>0</v>
      </c>
      <c r="FU251" s="348">
        <f t="shared" ca="1" si="270"/>
        <v>0</v>
      </c>
      <c r="FV251" s="348">
        <f t="shared" ca="1" si="270"/>
        <v>0</v>
      </c>
      <c r="FW251" s="348">
        <f t="shared" ca="1" si="270"/>
        <v>0</v>
      </c>
      <c r="FX251" s="348">
        <f t="shared" ca="1" si="270"/>
        <v>0</v>
      </c>
      <c r="FY251" s="348">
        <f t="shared" ca="1" si="270"/>
        <v>0</v>
      </c>
      <c r="FZ251" s="348">
        <f t="shared" ca="1" si="270"/>
        <v>0</v>
      </c>
      <c r="GA251" s="348">
        <f t="shared" ca="1" si="270"/>
        <v>0</v>
      </c>
      <c r="GB251" s="348">
        <f t="shared" ca="1" si="270"/>
        <v>0</v>
      </c>
      <c r="GC251" s="348">
        <f t="shared" ca="1" si="270"/>
        <v>0</v>
      </c>
      <c r="GD251" s="348">
        <f t="shared" ca="1" si="270"/>
        <v>0</v>
      </c>
      <c r="GE251" s="348">
        <f t="shared" ca="1" si="270"/>
        <v>0</v>
      </c>
      <c r="GF251" s="348">
        <f t="shared" ca="1" si="270"/>
        <v>0</v>
      </c>
      <c r="GG251" s="348">
        <f t="shared" ca="1" si="270"/>
        <v>0</v>
      </c>
      <c r="GH251" s="348">
        <f t="shared" ca="1" si="270"/>
        <v>0</v>
      </c>
      <c r="GI251" s="348">
        <f t="shared" ca="1" si="270"/>
        <v>0</v>
      </c>
      <c r="GJ251" s="348">
        <f t="shared" ca="1" si="270"/>
        <v>0</v>
      </c>
      <c r="GK251" s="348">
        <f t="shared" ca="1" si="270"/>
        <v>0</v>
      </c>
      <c r="GL251" s="348">
        <f t="shared" ca="1" si="270"/>
        <v>0</v>
      </c>
      <c r="GM251" s="348">
        <f t="shared" ca="1" si="270"/>
        <v>0</v>
      </c>
      <c r="GN251" s="348">
        <f t="shared" ca="1" si="270"/>
        <v>0</v>
      </c>
      <c r="GO251" s="348">
        <f t="shared" ca="1" si="270"/>
        <v>0</v>
      </c>
      <c r="GP251" s="348">
        <f t="shared" ca="1" si="270"/>
        <v>0</v>
      </c>
      <c r="GQ251" s="348">
        <f t="shared" ca="1" si="270"/>
        <v>0</v>
      </c>
      <c r="GR251" s="348">
        <f t="shared" ca="1" si="270"/>
        <v>0</v>
      </c>
      <c r="GS251" s="348">
        <f t="shared" ref="GS251:IK251" ca="1" si="271">IF(AND(GS176&gt;=$E$256,GS176&lt;$E$257+1),10,0)</f>
        <v>0</v>
      </c>
      <c r="GT251" s="348">
        <f t="shared" ca="1" si="271"/>
        <v>0</v>
      </c>
      <c r="GU251" s="348">
        <f t="shared" ca="1" si="271"/>
        <v>0</v>
      </c>
      <c r="GV251" s="348">
        <f t="shared" ca="1" si="271"/>
        <v>0</v>
      </c>
      <c r="GW251" s="348">
        <f t="shared" ca="1" si="271"/>
        <v>0</v>
      </c>
      <c r="GX251" s="348">
        <f t="shared" ca="1" si="271"/>
        <v>0</v>
      </c>
      <c r="GY251" s="348">
        <f t="shared" ca="1" si="271"/>
        <v>0</v>
      </c>
      <c r="GZ251" s="348">
        <f t="shared" ca="1" si="271"/>
        <v>0</v>
      </c>
      <c r="HA251" s="348">
        <f t="shared" ca="1" si="271"/>
        <v>0</v>
      </c>
      <c r="HB251" s="348">
        <f t="shared" ca="1" si="271"/>
        <v>0</v>
      </c>
      <c r="HC251" s="348">
        <f t="shared" ca="1" si="271"/>
        <v>0</v>
      </c>
      <c r="HD251" s="348">
        <f t="shared" ca="1" si="271"/>
        <v>0</v>
      </c>
      <c r="HE251" s="348">
        <f t="shared" ca="1" si="271"/>
        <v>0</v>
      </c>
      <c r="HF251" s="348">
        <f t="shared" ca="1" si="271"/>
        <v>0</v>
      </c>
      <c r="HG251" s="348">
        <f t="shared" ca="1" si="271"/>
        <v>0</v>
      </c>
      <c r="HH251" s="348">
        <f t="shared" ca="1" si="271"/>
        <v>0</v>
      </c>
      <c r="HI251" s="348">
        <f t="shared" ca="1" si="271"/>
        <v>0</v>
      </c>
      <c r="HJ251" s="348">
        <f t="shared" ca="1" si="271"/>
        <v>0</v>
      </c>
      <c r="HK251" s="348">
        <f t="shared" ca="1" si="271"/>
        <v>0</v>
      </c>
      <c r="HL251" s="348">
        <f t="shared" ca="1" si="271"/>
        <v>0</v>
      </c>
      <c r="HM251" s="348">
        <f t="shared" ca="1" si="271"/>
        <v>0</v>
      </c>
      <c r="HN251" s="348">
        <f t="shared" ca="1" si="271"/>
        <v>0</v>
      </c>
      <c r="HO251" s="348">
        <f t="shared" ca="1" si="271"/>
        <v>0</v>
      </c>
      <c r="HP251" s="348">
        <f t="shared" ca="1" si="271"/>
        <v>0</v>
      </c>
      <c r="HQ251" s="348">
        <f t="shared" ca="1" si="271"/>
        <v>0</v>
      </c>
      <c r="HR251" s="348">
        <f t="shared" ca="1" si="271"/>
        <v>0</v>
      </c>
      <c r="HS251" s="348">
        <f t="shared" ca="1" si="271"/>
        <v>0</v>
      </c>
      <c r="HT251" s="348">
        <f t="shared" ca="1" si="271"/>
        <v>0</v>
      </c>
      <c r="HU251" s="348">
        <f t="shared" ca="1" si="271"/>
        <v>0</v>
      </c>
      <c r="HV251" s="348">
        <f t="shared" ca="1" si="271"/>
        <v>0</v>
      </c>
      <c r="HW251" s="348">
        <f t="shared" ca="1" si="271"/>
        <v>0</v>
      </c>
      <c r="HX251" s="348">
        <f t="shared" ca="1" si="271"/>
        <v>0</v>
      </c>
      <c r="HY251" s="348">
        <f t="shared" ca="1" si="271"/>
        <v>0</v>
      </c>
      <c r="HZ251" s="348">
        <f t="shared" ca="1" si="271"/>
        <v>0</v>
      </c>
      <c r="IA251" s="348">
        <f t="shared" ca="1" si="271"/>
        <v>0</v>
      </c>
      <c r="IB251" s="348">
        <f t="shared" ca="1" si="271"/>
        <v>0</v>
      </c>
      <c r="IC251" s="348">
        <f t="shared" ca="1" si="271"/>
        <v>0</v>
      </c>
      <c r="ID251" s="348">
        <f t="shared" ca="1" si="271"/>
        <v>0</v>
      </c>
      <c r="IE251" s="348">
        <f t="shared" ca="1" si="271"/>
        <v>0</v>
      </c>
      <c r="IF251" s="348">
        <f t="shared" ca="1" si="271"/>
        <v>0</v>
      </c>
      <c r="IG251" s="348">
        <f t="shared" ca="1" si="271"/>
        <v>0</v>
      </c>
      <c r="IH251" s="348">
        <f t="shared" ca="1" si="271"/>
        <v>0</v>
      </c>
      <c r="II251" s="348">
        <f t="shared" ca="1" si="271"/>
        <v>0</v>
      </c>
      <c r="IJ251" s="348">
        <f t="shared" ca="1" si="271"/>
        <v>0</v>
      </c>
      <c r="IK251" s="348">
        <f t="shared" ca="1" si="271"/>
        <v>0</v>
      </c>
    </row>
    <row r="252" spans="1:245" hidden="1" x14ac:dyDescent="0.35">
      <c r="A252" s="195"/>
      <c r="B252" s="5"/>
      <c r="C252" s="630" t="s">
        <v>1596</v>
      </c>
      <c r="D252" s="467">
        <f ca="1">IF($CV$5=1,IF(F200&gt;0,0,G255),IF($CV$5=2,IF(F200&gt;0,0,IF(G255+D251&lt;LARGE(G251:G253,1),LARGE(G251:G253,1)-30/100*D216,G255)),IF($CV$5=3,LARGE(G251:G253,1)-20/100*E219,IF($CV$5=4,IF(D211=D212,G236-50/100*D251,IF(D211&lt;D212,D336-D251,0)),0))))</f>
        <v>46017.587500000001</v>
      </c>
      <c r="E252" s="630">
        <f ca="1">IF(AND(ENTRADAS!$C$397="X",F198=0),IF($CV$5=1,IF(D252=0,0,IF((E114-D213+ENTRADAS!BS402)&gt;0,IF(D224&gt;D246,E235,E246+1),G255-D213)),IF($CV$5=2,IF(F200&gt;0,0,IF(G255-D213+D251&lt;LARGE(G251:G253,1)-D213,LARGE(G251:G253,1)-D213-30/100*D216,G255-D213)),IF($CV$5=3,LARGE(G251:G253,1)-20/100*E219-D213,IF($CV$5=4,IF(D211=D212,G236-50/100*D251-D213,IF(D211&lt;D212,E336-D251,0)),0)))),IF($CV$5=1,IF(D252=0,0,IF(F198&gt;0,IF(D224&gt;D246,E235,E246+1),G255-D213)),IF($CV$5=2,IF(F200&gt;0,0,IF(G255-D213+D251&lt;LARGE(G251:G253,1)-D213,LARGE(G251:G253,1)-D213-30/100*D216,G255-D213)),IF($CV$5=3,LARGE(G251:G253,1)-20/100*E219-D213,IF($CV$5=4,IF(D211=D212,G236-50/100*D251-D213,IF(D211&lt;D212,E336-D251,0)),0)))))</f>
        <v>98.587500000001455</v>
      </c>
      <c r="G252" s="471">
        <f ca="1">D224</f>
        <v>0</v>
      </c>
    </row>
    <row r="253" spans="1:245" hidden="1" x14ac:dyDescent="0.35">
      <c r="A253" s="195"/>
      <c r="B253" s="5"/>
      <c r="C253" s="630" t="s">
        <v>1597</v>
      </c>
      <c r="D253" s="467">
        <f>IF(F200&gt;0,$J$3+F200,0)</f>
        <v>0</v>
      </c>
      <c r="E253" s="385">
        <f>IF(F200&gt;0,F200+1,0)</f>
        <v>0</v>
      </c>
      <c r="G253" s="471">
        <f ca="1">D235</f>
        <v>0</v>
      </c>
    </row>
    <row r="254" spans="1:245" hidden="1" x14ac:dyDescent="0.35">
      <c r="A254" s="195"/>
      <c r="B254" s="5"/>
      <c r="C254" s="630" t="s">
        <v>1598</v>
      </c>
      <c r="D254" s="467">
        <f ca="1">IF(D252=0,0,D252+D251-1)</f>
        <v>46016.587500000001</v>
      </c>
      <c r="E254" s="32">
        <f ca="1">IF(D254=0,0,E252+D251-1)</f>
        <v>97.587500000001455</v>
      </c>
      <c r="G254" s="471">
        <f ca="1">D246</f>
        <v>46020.487500000003</v>
      </c>
    </row>
    <row r="255" spans="1:245" hidden="1" x14ac:dyDescent="0.35">
      <c r="A255" s="195"/>
      <c r="B255" s="5"/>
      <c r="C255" s="630" t="s">
        <v>1599</v>
      </c>
      <c r="D255" s="467">
        <f>IF(D253=0,0,D253+D251-1)</f>
        <v>0</v>
      </c>
      <c r="E255" s="385">
        <f>IF(D255=0,0,E253+D251-1)</f>
        <v>0</v>
      </c>
      <c r="G255" s="471">
        <f ca="1">IF(OR(G254&lt;G251,G254&lt;G252,G254&lt;G253),G254-10/100*D240,LARGE(G251:G254,1)-10/100*D240)</f>
        <v>46017.587500000001</v>
      </c>
    </row>
    <row r="256" spans="1:245" hidden="1" x14ac:dyDescent="0.35">
      <c r="A256" s="195"/>
      <c r="B256" s="5"/>
      <c r="C256" s="630" t="s">
        <v>1600</v>
      </c>
      <c r="D256" s="467">
        <f ca="1">D252+D253</f>
        <v>46017.587500000001</v>
      </c>
      <c r="E256" s="385">
        <f ca="1">E252+E253</f>
        <v>98.587500000001455</v>
      </c>
      <c r="G256" s="480">
        <f ca="1">IF(D212&lt;D211,0,IF(AND(H176&gt;=E217,H176&lt;=LARGE(H257:IK257,1)),1000,0))</f>
        <v>0</v>
      </c>
      <c r="H256" s="32">
        <f ca="1">IF($D$212&lt;$D$211,0,IF(AND(H176&gt;=$E$217,H176&lt;=LARGE($H$257:$IK$257,1)),1000,0))</f>
        <v>0</v>
      </c>
      <c r="I256" s="32">
        <f t="shared" ref="I256:BT256" ca="1" si="272">IF($D$212&lt;$D$211,0,IF(AND(I176&gt;=$E$217,I176&lt;=LARGE($H$257:$IK$257,1)),1000,0))</f>
        <v>0</v>
      </c>
      <c r="J256" s="32">
        <f t="shared" ca="1" si="272"/>
        <v>0</v>
      </c>
      <c r="K256" s="32">
        <f t="shared" ca="1" si="272"/>
        <v>0</v>
      </c>
      <c r="L256" s="32">
        <f t="shared" ca="1" si="272"/>
        <v>0</v>
      </c>
      <c r="M256" s="32">
        <f t="shared" ca="1" si="272"/>
        <v>0</v>
      </c>
      <c r="N256" s="32">
        <f t="shared" ca="1" si="272"/>
        <v>0</v>
      </c>
      <c r="O256" s="32">
        <f t="shared" ca="1" si="272"/>
        <v>0</v>
      </c>
      <c r="P256" s="32">
        <f t="shared" ca="1" si="272"/>
        <v>0</v>
      </c>
      <c r="Q256" s="32">
        <f t="shared" ca="1" si="272"/>
        <v>0</v>
      </c>
      <c r="R256" s="32">
        <f t="shared" ca="1" si="272"/>
        <v>0</v>
      </c>
      <c r="S256" s="32">
        <f t="shared" ca="1" si="272"/>
        <v>0</v>
      </c>
      <c r="T256" s="32">
        <f t="shared" ca="1" si="272"/>
        <v>0</v>
      </c>
      <c r="U256" s="32">
        <f t="shared" ca="1" si="272"/>
        <v>0</v>
      </c>
      <c r="V256" s="32">
        <f t="shared" ca="1" si="272"/>
        <v>0</v>
      </c>
      <c r="W256" s="32">
        <f t="shared" ca="1" si="272"/>
        <v>0</v>
      </c>
      <c r="X256" s="32">
        <f t="shared" ca="1" si="272"/>
        <v>0</v>
      </c>
      <c r="Y256" s="32">
        <f t="shared" ca="1" si="272"/>
        <v>0</v>
      </c>
      <c r="Z256" s="32">
        <f t="shared" ca="1" si="272"/>
        <v>0</v>
      </c>
      <c r="AA256" s="32">
        <f t="shared" ca="1" si="272"/>
        <v>0</v>
      </c>
      <c r="AB256" s="32">
        <f t="shared" ca="1" si="272"/>
        <v>0</v>
      </c>
      <c r="AC256" s="32">
        <f t="shared" ca="1" si="272"/>
        <v>0</v>
      </c>
      <c r="AD256" s="32">
        <f t="shared" ca="1" si="272"/>
        <v>0</v>
      </c>
      <c r="AE256" s="32">
        <f t="shared" ca="1" si="272"/>
        <v>0</v>
      </c>
      <c r="AF256" s="32">
        <f t="shared" ca="1" si="272"/>
        <v>0</v>
      </c>
      <c r="AG256" s="32">
        <f t="shared" ca="1" si="272"/>
        <v>0</v>
      </c>
      <c r="AH256" s="32">
        <f t="shared" ca="1" si="272"/>
        <v>0</v>
      </c>
      <c r="AI256" s="32">
        <f t="shared" ca="1" si="272"/>
        <v>0</v>
      </c>
      <c r="AJ256" s="32">
        <f t="shared" ca="1" si="272"/>
        <v>0</v>
      </c>
      <c r="AK256" s="32">
        <f t="shared" ca="1" si="272"/>
        <v>0</v>
      </c>
      <c r="AL256" s="32">
        <f t="shared" ca="1" si="272"/>
        <v>0</v>
      </c>
      <c r="AM256" s="32">
        <f t="shared" ca="1" si="272"/>
        <v>0</v>
      </c>
      <c r="AN256" s="32">
        <f t="shared" ca="1" si="272"/>
        <v>0</v>
      </c>
      <c r="AO256" s="32">
        <f t="shared" ca="1" si="272"/>
        <v>0</v>
      </c>
      <c r="AP256" s="32">
        <f t="shared" ca="1" si="272"/>
        <v>0</v>
      </c>
      <c r="AQ256" s="32">
        <f t="shared" ca="1" si="272"/>
        <v>0</v>
      </c>
      <c r="AR256" s="32">
        <f t="shared" ca="1" si="272"/>
        <v>0</v>
      </c>
      <c r="AS256" s="32">
        <f t="shared" ca="1" si="272"/>
        <v>0</v>
      </c>
      <c r="AT256" s="32">
        <f t="shared" ca="1" si="272"/>
        <v>0</v>
      </c>
      <c r="AU256" s="32">
        <f t="shared" ca="1" si="272"/>
        <v>0</v>
      </c>
      <c r="AV256" s="32">
        <f t="shared" ca="1" si="272"/>
        <v>0</v>
      </c>
      <c r="AW256" s="32">
        <f t="shared" ca="1" si="272"/>
        <v>0</v>
      </c>
      <c r="AX256" s="32">
        <f t="shared" ca="1" si="272"/>
        <v>0</v>
      </c>
      <c r="AY256" s="32">
        <f t="shared" ca="1" si="272"/>
        <v>0</v>
      </c>
      <c r="AZ256" s="32">
        <f t="shared" ca="1" si="272"/>
        <v>0</v>
      </c>
      <c r="BA256" s="32">
        <f t="shared" ca="1" si="272"/>
        <v>0</v>
      </c>
      <c r="BB256" s="32">
        <f t="shared" ca="1" si="272"/>
        <v>0</v>
      </c>
      <c r="BC256" s="32">
        <f t="shared" ca="1" si="272"/>
        <v>0</v>
      </c>
      <c r="BD256" s="32">
        <f t="shared" ca="1" si="272"/>
        <v>0</v>
      </c>
      <c r="BE256" s="32">
        <f t="shared" ca="1" si="272"/>
        <v>0</v>
      </c>
      <c r="BF256" s="32">
        <f t="shared" ca="1" si="272"/>
        <v>0</v>
      </c>
      <c r="BG256" s="32">
        <f t="shared" ca="1" si="272"/>
        <v>0</v>
      </c>
      <c r="BH256" s="32">
        <f t="shared" ca="1" si="272"/>
        <v>0</v>
      </c>
      <c r="BI256" s="32">
        <f t="shared" ca="1" si="272"/>
        <v>0</v>
      </c>
      <c r="BJ256" s="32">
        <f t="shared" ca="1" si="272"/>
        <v>0</v>
      </c>
      <c r="BK256" s="32">
        <f t="shared" ca="1" si="272"/>
        <v>0</v>
      </c>
      <c r="BL256" s="32">
        <f t="shared" ca="1" si="272"/>
        <v>1000</v>
      </c>
      <c r="BM256" s="32">
        <f t="shared" ca="1" si="272"/>
        <v>1000</v>
      </c>
      <c r="BN256" s="32">
        <f t="shared" ca="1" si="272"/>
        <v>1000</v>
      </c>
      <c r="BO256" s="32">
        <f t="shared" ca="1" si="272"/>
        <v>1000</v>
      </c>
      <c r="BP256" s="32">
        <f t="shared" ca="1" si="272"/>
        <v>1000</v>
      </c>
      <c r="BQ256" s="32">
        <f t="shared" ca="1" si="272"/>
        <v>1000</v>
      </c>
      <c r="BR256" s="32">
        <f t="shared" ca="1" si="272"/>
        <v>1000</v>
      </c>
      <c r="BS256" s="32">
        <f t="shared" ca="1" si="272"/>
        <v>1000</v>
      </c>
      <c r="BT256" s="32">
        <f t="shared" ca="1" si="272"/>
        <v>1000</v>
      </c>
      <c r="BU256" s="32">
        <f t="shared" ref="BU256:EF256" ca="1" si="273">IF($D$212&lt;$D$211,0,IF(AND(BU176&gt;=$E$217,BU176&lt;=LARGE($H$257:$IK$257,1)),1000,0))</f>
        <v>1000</v>
      </c>
      <c r="BV256" s="32">
        <f t="shared" ca="1" si="273"/>
        <v>1000</v>
      </c>
      <c r="BW256" s="32">
        <f t="shared" ca="1" si="273"/>
        <v>1000</v>
      </c>
      <c r="BX256" s="32">
        <f t="shared" ca="1" si="273"/>
        <v>1000</v>
      </c>
      <c r="BY256" s="32">
        <f t="shared" ca="1" si="273"/>
        <v>1000</v>
      </c>
      <c r="BZ256" s="32">
        <f t="shared" ca="1" si="273"/>
        <v>1000</v>
      </c>
      <c r="CA256" s="32">
        <f t="shared" ca="1" si="273"/>
        <v>1000</v>
      </c>
      <c r="CB256" s="32">
        <f t="shared" ca="1" si="273"/>
        <v>1000</v>
      </c>
      <c r="CC256" s="32">
        <f t="shared" ca="1" si="273"/>
        <v>1000</v>
      </c>
      <c r="CD256" s="32">
        <f t="shared" ca="1" si="273"/>
        <v>1000</v>
      </c>
      <c r="CE256" s="32">
        <f t="shared" ca="1" si="273"/>
        <v>1000</v>
      </c>
      <c r="CF256" s="32">
        <f t="shared" ca="1" si="273"/>
        <v>1000</v>
      </c>
      <c r="CG256" s="32">
        <f t="shared" ca="1" si="273"/>
        <v>1000</v>
      </c>
      <c r="CH256" s="32">
        <f t="shared" ca="1" si="273"/>
        <v>1000</v>
      </c>
      <c r="CI256" s="32">
        <f t="shared" ca="1" si="273"/>
        <v>1000</v>
      </c>
      <c r="CJ256" s="32">
        <f t="shared" ca="1" si="273"/>
        <v>1000</v>
      </c>
      <c r="CK256" s="32">
        <f t="shared" ca="1" si="273"/>
        <v>1000</v>
      </c>
      <c r="CL256" s="32">
        <f t="shared" ca="1" si="273"/>
        <v>1000</v>
      </c>
      <c r="CM256" s="32">
        <f t="shared" ca="1" si="273"/>
        <v>1000</v>
      </c>
      <c r="CN256" s="32">
        <f t="shared" ca="1" si="273"/>
        <v>1000</v>
      </c>
      <c r="CO256" s="32">
        <f t="shared" ca="1" si="273"/>
        <v>1000</v>
      </c>
      <c r="CP256" s="32">
        <f t="shared" ca="1" si="273"/>
        <v>1000</v>
      </c>
      <c r="CQ256" s="32">
        <f t="shared" ca="1" si="273"/>
        <v>1000</v>
      </c>
      <c r="CR256" s="32">
        <f t="shared" ca="1" si="273"/>
        <v>1000</v>
      </c>
      <c r="CS256" s="32">
        <f t="shared" ca="1" si="273"/>
        <v>1000</v>
      </c>
      <c r="CT256" s="32">
        <f t="shared" ca="1" si="273"/>
        <v>1000</v>
      </c>
      <c r="CU256" s="32">
        <f t="shared" ca="1" si="273"/>
        <v>1000</v>
      </c>
      <c r="CV256" s="32">
        <f t="shared" ca="1" si="273"/>
        <v>1000</v>
      </c>
      <c r="CW256" s="32">
        <f t="shared" ca="1" si="273"/>
        <v>1000</v>
      </c>
      <c r="CX256" s="32">
        <f t="shared" ca="1" si="273"/>
        <v>1000</v>
      </c>
      <c r="CY256" s="32">
        <f t="shared" ca="1" si="273"/>
        <v>1000</v>
      </c>
      <c r="CZ256" s="32">
        <f t="shared" ca="1" si="273"/>
        <v>1000</v>
      </c>
      <c r="DA256" s="32">
        <f t="shared" ca="1" si="273"/>
        <v>1000</v>
      </c>
      <c r="DB256" s="32">
        <f t="shared" ca="1" si="273"/>
        <v>1000</v>
      </c>
      <c r="DC256" s="32">
        <f t="shared" ca="1" si="273"/>
        <v>1000</v>
      </c>
      <c r="DD256" s="32">
        <f t="shared" ca="1" si="273"/>
        <v>1000</v>
      </c>
      <c r="DE256" s="32">
        <f t="shared" ca="1" si="273"/>
        <v>1000</v>
      </c>
      <c r="DF256" s="32">
        <f t="shared" ca="1" si="273"/>
        <v>1000</v>
      </c>
      <c r="DG256" s="32">
        <f t="shared" ca="1" si="273"/>
        <v>1000</v>
      </c>
      <c r="DH256" s="32">
        <f t="shared" ca="1" si="273"/>
        <v>1000</v>
      </c>
      <c r="DI256" s="32">
        <f t="shared" ca="1" si="273"/>
        <v>1000</v>
      </c>
      <c r="DJ256" s="32">
        <f t="shared" ca="1" si="273"/>
        <v>1000</v>
      </c>
      <c r="DK256" s="32">
        <f t="shared" ca="1" si="273"/>
        <v>1000</v>
      </c>
      <c r="DL256" s="32">
        <f t="shared" ca="1" si="273"/>
        <v>0</v>
      </c>
      <c r="DM256" s="32">
        <f t="shared" ca="1" si="273"/>
        <v>0</v>
      </c>
      <c r="DN256" s="32">
        <f t="shared" ca="1" si="273"/>
        <v>0</v>
      </c>
      <c r="DO256" s="32">
        <f t="shared" ca="1" si="273"/>
        <v>0</v>
      </c>
      <c r="DP256" s="32">
        <f t="shared" ca="1" si="273"/>
        <v>0</v>
      </c>
      <c r="DQ256" s="32">
        <f t="shared" ca="1" si="273"/>
        <v>0</v>
      </c>
      <c r="DR256" s="32">
        <f t="shared" ca="1" si="273"/>
        <v>0</v>
      </c>
      <c r="DS256" s="32">
        <f t="shared" ca="1" si="273"/>
        <v>0</v>
      </c>
      <c r="DT256" s="32">
        <f t="shared" ca="1" si="273"/>
        <v>0</v>
      </c>
      <c r="DU256" s="32">
        <f t="shared" ca="1" si="273"/>
        <v>0</v>
      </c>
      <c r="DV256" s="32">
        <f t="shared" ca="1" si="273"/>
        <v>0</v>
      </c>
      <c r="DW256" s="32">
        <f t="shared" ca="1" si="273"/>
        <v>0</v>
      </c>
      <c r="DX256" s="32">
        <f t="shared" ca="1" si="273"/>
        <v>0</v>
      </c>
      <c r="DY256" s="32">
        <f t="shared" ca="1" si="273"/>
        <v>0</v>
      </c>
      <c r="DZ256" s="32">
        <f t="shared" ca="1" si="273"/>
        <v>0</v>
      </c>
      <c r="EA256" s="32">
        <f t="shared" ca="1" si="273"/>
        <v>0</v>
      </c>
      <c r="EB256" s="32">
        <f t="shared" ca="1" si="273"/>
        <v>0</v>
      </c>
      <c r="EC256" s="32">
        <f t="shared" ca="1" si="273"/>
        <v>0</v>
      </c>
      <c r="ED256" s="32">
        <f t="shared" ca="1" si="273"/>
        <v>0</v>
      </c>
      <c r="EE256" s="32">
        <f t="shared" ca="1" si="273"/>
        <v>0</v>
      </c>
      <c r="EF256" s="32">
        <f t="shared" ca="1" si="273"/>
        <v>0</v>
      </c>
      <c r="EG256" s="32">
        <f t="shared" ref="EG256:GR256" ca="1" si="274">IF($D$212&lt;$D$211,0,IF(AND(EG176&gt;=$E$217,EG176&lt;=LARGE($H$257:$IK$257,1)),1000,0))</f>
        <v>0</v>
      </c>
      <c r="EH256" s="32">
        <f t="shared" ca="1" si="274"/>
        <v>0</v>
      </c>
      <c r="EI256" s="32">
        <f t="shared" ca="1" si="274"/>
        <v>0</v>
      </c>
      <c r="EJ256" s="32">
        <f t="shared" ca="1" si="274"/>
        <v>0</v>
      </c>
      <c r="EK256" s="32">
        <f t="shared" ca="1" si="274"/>
        <v>0</v>
      </c>
      <c r="EL256" s="32">
        <f t="shared" ca="1" si="274"/>
        <v>0</v>
      </c>
      <c r="EM256" s="32">
        <f t="shared" ca="1" si="274"/>
        <v>0</v>
      </c>
      <c r="EN256" s="32">
        <f t="shared" ca="1" si="274"/>
        <v>0</v>
      </c>
      <c r="EO256" s="32">
        <f t="shared" ca="1" si="274"/>
        <v>0</v>
      </c>
      <c r="EP256" s="32">
        <f t="shared" ca="1" si="274"/>
        <v>0</v>
      </c>
      <c r="EQ256" s="32">
        <f t="shared" ca="1" si="274"/>
        <v>0</v>
      </c>
      <c r="ER256" s="32">
        <f t="shared" ca="1" si="274"/>
        <v>0</v>
      </c>
      <c r="ES256" s="32">
        <f t="shared" ca="1" si="274"/>
        <v>0</v>
      </c>
      <c r="ET256" s="32">
        <f t="shared" ca="1" si="274"/>
        <v>0</v>
      </c>
      <c r="EU256" s="32">
        <f t="shared" ca="1" si="274"/>
        <v>0</v>
      </c>
      <c r="EV256" s="32">
        <f t="shared" ca="1" si="274"/>
        <v>0</v>
      </c>
      <c r="EW256" s="32">
        <f t="shared" ca="1" si="274"/>
        <v>0</v>
      </c>
      <c r="EX256" s="32">
        <f t="shared" ca="1" si="274"/>
        <v>0</v>
      </c>
      <c r="EY256" s="32">
        <f t="shared" ca="1" si="274"/>
        <v>0</v>
      </c>
      <c r="EZ256" s="32">
        <f t="shared" ca="1" si="274"/>
        <v>0</v>
      </c>
      <c r="FA256" s="32">
        <f t="shared" ca="1" si="274"/>
        <v>0</v>
      </c>
      <c r="FB256" s="32">
        <f t="shared" ca="1" si="274"/>
        <v>0</v>
      </c>
      <c r="FC256" s="32">
        <f t="shared" ca="1" si="274"/>
        <v>0</v>
      </c>
      <c r="FD256" s="32">
        <f t="shared" ca="1" si="274"/>
        <v>0</v>
      </c>
      <c r="FE256" s="32">
        <f t="shared" ca="1" si="274"/>
        <v>0</v>
      </c>
      <c r="FF256" s="32">
        <f t="shared" ca="1" si="274"/>
        <v>0</v>
      </c>
      <c r="FG256" s="32">
        <f t="shared" ca="1" si="274"/>
        <v>0</v>
      </c>
      <c r="FH256" s="32">
        <f t="shared" ca="1" si="274"/>
        <v>0</v>
      </c>
      <c r="FI256" s="32">
        <f t="shared" ca="1" si="274"/>
        <v>0</v>
      </c>
      <c r="FJ256" s="32">
        <f t="shared" ca="1" si="274"/>
        <v>0</v>
      </c>
      <c r="FK256" s="32">
        <f t="shared" ca="1" si="274"/>
        <v>0</v>
      </c>
      <c r="FL256" s="32">
        <f t="shared" ca="1" si="274"/>
        <v>0</v>
      </c>
      <c r="FM256" s="32">
        <f t="shared" ca="1" si="274"/>
        <v>0</v>
      </c>
      <c r="FN256" s="32">
        <f t="shared" ca="1" si="274"/>
        <v>0</v>
      </c>
      <c r="FO256" s="32">
        <f t="shared" ca="1" si="274"/>
        <v>0</v>
      </c>
      <c r="FP256" s="32">
        <f t="shared" ca="1" si="274"/>
        <v>0</v>
      </c>
      <c r="FQ256" s="32">
        <f t="shared" ca="1" si="274"/>
        <v>0</v>
      </c>
      <c r="FR256" s="32">
        <f t="shared" ca="1" si="274"/>
        <v>0</v>
      </c>
      <c r="FS256" s="32">
        <f t="shared" ca="1" si="274"/>
        <v>0</v>
      </c>
      <c r="FT256" s="32">
        <f t="shared" ca="1" si="274"/>
        <v>0</v>
      </c>
      <c r="FU256" s="32">
        <f t="shared" ca="1" si="274"/>
        <v>0</v>
      </c>
      <c r="FV256" s="32">
        <f t="shared" ca="1" si="274"/>
        <v>0</v>
      </c>
      <c r="FW256" s="32">
        <f t="shared" ca="1" si="274"/>
        <v>0</v>
      </c>
      <c r="FX256" s="32">
        <f t="shared" ca="1" si="274"/>
        <v>0</v>
      </c>
      <c r="FY256" s="32">
        <f t="shared" ca="1" si="274"/>
        <v>0</v>
      </c>
      <c r="FZ256" s="32">
        <f t="shared" ca="1" si="274"/>
        <v>0</v>
      </c>
      <c r="GA256" s="32">
        <f t="shared" ca="1" si="274"/>
        <v>0</v>
      </c>
      <c r="GB256" s="32">
        <f t="shared" ca="1" si="274"/>
        <v>0</v>
      </c>
      <c r="GC256" s="32">
        <f t="shared" ca="1" si="274"/>
        <v>0</v>
      </c>
      <c r="GD256" s="32">
        <f t="shared" ca="1" si="274"/>
        <v>0</v>
      </c>
      <c r="GE256" s="32">
        <f t="shared" ca="1" si="274"/>
        <v>0</v>
      </c>
      <c r="GF256" s="32">
        <f t="shared" ca="1" si="274"/>
        <v>0</v>
      </c>
      <c r="GG256" s="32">
        <f t="shared" ca="1" si="274"/>
        <v>0</v>
      </c>
      <c r="GH256" s="32">
        <f t="shared" ca="1" si="274"/>
        <v>0</v>
      </c>
      <c r="GI256" s="32">
        <f t="shared" ca="1" si="274"/>
        <v>0</v>
      </c>
      <c r="GJ256" s="32">
        <f t="shared" ca="1" si="274"/>
        <v>0</v>
      </c>
      <c r="GK256" s="32">
        <f t="shared" ca="1" si="274"/>
        <v>0</v>
      </c>
      <c r="GL256" s="32">
        <f t="shared" ca="1" si="274"/>
        <v>0</v>
      </c>
      <c r="GM256" s="32">
        <f t="shared" ca="1" si="274"/>
        <v>0</v>
      </c>
      <c r="GN256" s="32">
        <f t="shared" ca="1" si="274"/>
        <v>0</v>
      </c>
      <c r="GO256" s="32">
        <f t="shared" ca="1" si="274"/>
        <v>0</v>
      </c>
      <c r="GP256" s="32">
        <f t="shared" ca="1" si="274"/>
        <v>0</v>
      </c>
      <c r="GQ256" s="32">
        <f t="shared" ca="1" si="274"/>
        <v>0</v>
      </c>
      <c r="GR256" s="32">
        <f t="shared" ca="1" si="274"/>
        <v>0</v>
      </c>
      <c r="GS256" s="32">
        <f t="shared" ref="GS256:IK256" ca="1" si="275">IF($D$212&lt;$D$211,0,IF(AND(GS176&gt;=$E$217,GS176&lt;=LARGE($H$257:$IK$257,1)),1000,0))</f>
        <v>0</v>
      </c>
      <c r="GT256" s="32">
        <f t="shared" ca="1" si="275"/>
        <v>0</v>
      </c>
      <c r="GU256" s="32">
        <f t="shared" ca="1" si="275"/>
        <v>0</v>
      </c>
      <c r="GV256" s="32">
        <f t="shared" ca="1" si="275"/>
        <v>0</v>
      </c>
      <c r="GW256" s="32">
        <f t="shared" ca="1" si="275"/>
        <v>0</v>
      </c>
      <c r="GX256" s="32">
        <f t="shared" ca="1" si="275"/>
        <v>0</v>
      </c>
      <c r="GY256" s="32">
        <f t="shared" ca="1" si="275"/>
        <v>0</v>
      </c>
      <c r="GZ256" s="32">
        <f t="shared" ca="1" si="275"/>
        <v>0</v>
      </c>
      <c r="HA256" s="32">
        <f t="shared" ca="1" si="275"/>
        <v>0</v>
      </c>
      <c r="HB256" s="32">
        <f t="shared" ca="1" si="275"/>
        <v>0</v>
      </c>
      <c r="HC256" s="32">
        <f t="shared" ca="1" si="275"/>
        <v>0</v>
      </c>
      <c r="HD256" s="32">
        <f t="shared" ca="1" si="275"/>
        <v>0</v>
      </c>
      <c r="HE256" s="32">
        <f t="shared" ca="1" si="275"/>
        <v>0</v>
      </c>
      <c r="HF256" s="32">
        <f t="shared" ca="1" si="275"/>
        <v>0</v>
      </c>
      <c r="HG256" s="32">
        <f t="shared" ca="1" si="275"/>
        <v>0</v>
      </c>
      <c r="HH256" s="32">
        <f t="shared" ca="1" si="275"/>
        <v>0</v>
      </c>
      <c r="HI256" s="32">
        <f t="shared" ca="1" si="275"/>
        <v>0</v>
      </c>
      <c r="HJ256" s="32">
        <f t="shared" ca="1" si="275"/>
        <v>0</v>
      </c>
      <c r="HK256" s="32">
        <f t="shared" ca="1" si="275"/>
        <v>0</v>
      </c>
      <c r="HL256" s="32">
        <f t="shared" ca="1" si="275"/>
        <v>0</v>
      </c>
      <c r="HM256" s="32">
        <f t="shared" ca="1" si="275"/>
        <v>0</v>
      </c>
      <c r="HN256" s="32">
        <f t="shared" ca="1" si="275"/>
        <v>0</v>
      </c>
      <c r="HO256" s="32">
        <f t="shared" ca="1" si="275"/>
        <v>0</v>
      </c>
      <c r="HP256" s="32">
        <f t="shared" ca="1" si="275"/>
        <v>0</v>
      </c>
      <c r="HQ256" s="32">
        <f t="shared" ca="1" si="275"/>
        <v>0</v>
      </c>
      <c r="HR256" s="32">
        <f t="shared" ca="1" si="275"/>
        <v>0</v>
      </c>
      <c r="HS256" s="32">
        <f t="shared" ca="1" si="275"/>
        <v>0</v>
      </c>
      <c r="HT256" s="32">
        <f t="shared" ca="1" si="275"/>
        <v>0</v>
      </c>
      <c r="HU256" s="32">
        <f t="shared" ca="1" si="275"/>
        <v>0</v>
      </c>
      <c r="HV256" s="32">
        <f t="shared" ca="1" si="275"/>
        <v>0</v>
      </c>
      <c r="HW256" s="32">
        <f t="shared" ca="1" si="275"/>
        <v>0</v>
      </c>
      <c r="HX256" s="32">
        <f t="shared" ca="1" si="275"/>
        <v>0</v>
      </c>
      <c r="HY256" s="32">
        <f t="shared" ca="1" si="275"/>
        <v>0</v>
      </c>
      <c r="HZ256" s="32">
        <f t="shared" ca="1" si="275"/>
        <v>0</v>
      </c>
      <c r="IA256" s="32">
        <f t="shared" ca="1" si="275"/>
        <v>0</v>
      </c>
      <c r="IB256" s="32">
        <f t="shared" ca="1" si="275"/>
        <v>0</v>
      </c>
      <c r="IC256" s="32">
        <f t="shared" ca="1" si="275"/>
        <v>0</v>
      </c>
      <c r="ID256" s="32">
        <f t="shared" ca="1" si="275"/>
        <v>0</v>
      </c>
      <c r="IE256" s="32">
        <f t="shared" ca="1" si="275"/>
        <v>0</v>
      </c>
      <c r="IF256" s="32">
        <f t="shared" ca="1" si="275"/>
        <v>0</v>
      </c>
      <c r="IG256" s="32">
        <f t="shared" ca="1" si="275"/>
        <v>0</v>
      </c>
      <c r="IH256" s="32">
        <f t="shared" ca="1" si="275"/>
        <v>0</v>
      </c>
      <c r="II256" s="32">
        <f t="shared" ca="1" si="275"/>
        <v>0</v>
      </c>
      <c r="IJ256" s="32">
        <f t="shared" ca="1" si="275"/>
        <v>0</v>
      </c>
      <c r="IK256" s="32">
        <f t="shared" ca="1" si="275"/>
        <v>0</v>
      </c>
    </row>
    <row r="257" spans="1:245" hidden="1" x14ac:dyDescent="0.35">
      <c r="A257" s="195"/>
      <c r="B257" s="5"/>
      <c r="C257" s="630" t="s">
        <v>1601</v>
      </c>
      <c r="D257" s="467">
        <f ca="1">D254+D255</f>
        <v>46016.587500000001</v>
      </c>
      <c r="E257" s="385">
        <f ca="1">E254+E255</f>
        <v>97.587500000001455</v>
      </c>
      <c r="H257" s="32">
        <f ca="1">IF(H258&gt;0,H176,0)</f>
        <v>0</v>
      </c>
      <c r="I257" s="32">
        <f t="shared" ref="I257:BT257" ca="1" si="276">IF(I258&gt;0,I176,0)</f>
        <v>0</v>
      </c>
      <c r="J257" s="32">
        <f t="shared" ca="1" si="276"/>
        <v>0</v>
      </c>
      <c r="K257" s="32">
        <f t="shared" ca="1" si="276"/>
        <v>0</v>
      </c>
      <c r="L257" s="32">
        <f t="shared" ca="1" si="276"/>
        <v>0</v>
      </c>
      <c r="M257" s="32">
        <f t="shared" ca="1" si="276"/>
        <v>0</v>
      </c>
      <c r="N257" s="32">
        <f t="shared" ca="1" si="276"/>
        <v>0</v>
      </c>
      <c r="O257" s="32">
        <f t="shared" ca="1" si="276"/>
        <v>0</v>
      </c>
      <c r="P257" s="32">
        <f t="shared" ca="1" si="276"/>
        <v>0</v>
      </c>
      <c r="Q257" s="32">
        <f t="shared" ca="1" si="276"/>
        <v>0</v>
      </c>
      <c r="R257" s="32">
        <f t="shared" ca="1" si="276"/>
        <v>0</v>
      </c>
      <c r="S257" s="32">
        <f t="shared" ca="1" si="276"/>
        <v>0</v>
      </c>
      <c r="T257" s="32">
        <f t="shared" ca="1" si="276"/>
        <v>0</v>
      </c>
      <c r="U257" s="32">
        <f t="shared" ca="1" si="276"/>
        <v>0</v>
      </c>
      <c r="V257" s="32">
        <f t="shared" ca="1" si="276"/>
        <v>0</v>
      </c>
      <c r="W257" s="32">
        <f t="shared" ca="1" si="276"/>
        <v>0</v>
      </c>
      <c r="X257" s="32">
        <f t="shared" ca="1" si="276"/>
        <v>0</v>
      </c>
      <c r="Y257" s="32">
        <f t="shared" ca="1" si="276"/>
        <v>0</v>
      </c>
      <c r="Z257" s="32">
        <f t="shared" ca="1" si="276"/>
        <v>0</v>
      </c>
      <c r="AA257" s="32">
        <f t="shared" ca="1" si="276"/>
        <v>0</v>
      </c>
      <c r="AB257" s="32">
        <f t="shared" ca="1" si="276"/>
        <v>0</v>
      </c>
      <c r="AC257" s="32">
        <f t="shared" ca="1" si="276"/>
        <v>0</v>
      </c>
      <c r="AD257" s="32">
        <f t="shared" ca="1" si="276"/>
        <v>0</v>
      </c>
      <c r="AE257" s="32">
        <f t="shared" ca="1" si="276"/>
        <v>0</v>
      </c>
      <c r="AF257" s="32">
        <f t="shared" ca="1" si="276"/>
        <v>0</v>
      </c>
      <c r="AG257" s="32">
        <f t="shared" ca="1" si="276"/>
        <v>0</v>
      </c>
      <c r="AH257" s="32">
        <f t="shared" ca="1" si="276"/>
        <v>0</v>
      </c>
      <c r="AI257" s="32">
        <f t="shared" ca="1" si="276"/>
        <v>0</v>
      </c>
      <c r="AJ257" s="32">
        <f t="shared" ca="1" si="276"/>
        <v>0</v>
      </c>
      <c r="AK257" s="32">
        <f t="shared" ca="1" si="276"/>
        <v>0</v>
      </c>
      <c r="AL257" s="32">
        <f t="shared" ca="1" si="276"/>
        <v>0</v>
      </c>
      <c r="AM257" s="32">
        <f t="shared" ca="1" si="276"/>
        <v>0</v>
      </c>
      <c r="AN257" s="32">
        <f t="shared" ca="1" si="276"/>
        <v>0</v>
      </c>
      <c r="AO257" s="32">
        <f t="shared" ca="1" si="276"/>
        <v>0</v>
      </c>
      <c r="AP257" s="32">
        <f t="shared" ca="1" si="276"/>
        <v>0</v>
      </c>
      <c r="AQ257" s="32">
        <f t="shared" ca="1" si="276"/>
        <v>0</v>
      </c>
      <c r="AR257" s="32">
        <f t="shared" ca="1" si="276"/>
        <v>0</v>
      </c>
      <c r="AS257" s="32">
        <f t="shared" ca="1" si="276"/>
        <v>0</v>
      </c>
      <c r="AT257" s="32">
        <f t="shared" ca="1" si="276"/>
        <v>0</v>
      </c>
      <c r="AU257" s="32">
        <f t="shared" ca="1" si="276"/>
        <v>0</v>
      </c>
      <c r="AV257" s="32">
        <f t="shared" ca="1" si="276"/>
        <v>0</v>
      </c>
      <c r="AW257" s="32">
        <f t="shared" ca="1" si="276"/>
        <v>0</v>
      </c>
      <c r="AX257" s="32">
        <f t="shared" ca="1" si="276"/>
        <v>0</v>
      </c>
      <c r="AY257" s="32">
        <f t="shared" ca="1" si="276"/>
        <v>0</v>
      </c>
      <c r="AZ257" s="32">
        <f t="shared" ca="1" si="276"/>
        <v>0</v>
      </c>
      <c r="BA257" s="32">
        <f t="shared" ca="1" si="276"/>
        <v>0</v>
      </c>
      <c r="BB257" s="32">
        <f t="shared" ca="1" si="276"/>
        <v>0</v>
      </c>
      <c r="BC257" s="32">
        <f t="shared" ca="1" si="276"/>
        <v>0</v>
      </c>
      <c r="BD257" s="32">
        <f t="shared" ca="1" si="276"/>
        <v>0</v>
      </c>
      <c r="BE257" s="32">
        <f t="shared" ca="1" si="276"/>
        <v>0</v>
      </c>
      <c r="BF257" s="32">
        <f t="shared" ca="1" si="276"/>
        <v>0</v>
      </c>
      <c r="BG257" s="32">
        <f t="shared" ca="1" si="276"/>
        <v>0</v>
      </c>
      <c r="BH257" s="32">
        <f t="shared" ca="1" si="276"/>
        <v>0</v>
      </c>
      <c r="BI257" s="32">
        <f t="shared" ca="1" si="276"/>
        <v>0</v>
      </c>
      <c r="BJ257" s="32">
        <f t="shared" ca="1" si="276"/>
        <v>0</v>
      </c>
      <c r="BK257" s="32">
        <f t="shared" ca="1" si="276"/>
        <v>0</v>
      </c>
      <c r="BL257" s="32">
        <f t="shared" ca="1" si="276"/>
        <v>52</v>
      </c>
      <c r="BM257" s="32">
        <f t="shared" ca="1" si="276"/>
        <v>53</v>
      </c>
      <c r="BN257" s="32">
        <f t="shared" ca="1" si="276"/>
        <v>54</v>
      </c>
      <c r="BO257" s="32">
        <f t="shared" ca="1" si="276"/>
        <v>55</v>
      </c>
      <c r="BP257" s="32">
        <f t="shared" ca="1" si="276"/>
        <v>56</v>
      </c>
      <c r="BQ257" s="32">
        <f t="shared" ca="1" si="276"/>
        <v>57</v>
      </c>
      <c r="BR257" s="32">
        <f t="shared" ca="1" si="276"/>
        <v>58</v>
      </c>
      <c r="BS257" s="32">
        <f t="shared" ca="1" si="276"/>
        <v>59</v>
      </c>
      <c r="BT257" s="32">
        <f t="shared" ca="1" si="276"/>
        <v>60</v>
      </c>
      <c r="BU257" s="32">
        <f t="shared" ref="BU257:EF257" ca="1" si="277">IF(BU258&gt;0,BU176,0)</f>
        <v>61</v>
      </c>
      <c r="BV257" s="32">
        <f t="shared" ca="1" si="277"/>
        <v>62</v>
      </c>
      <c r="BW257" s="32">
        <f t="shared" ca="1" si="277"/>
        <v>63</v>
      </c>
      <c r="BX257" s="32">
        <f t="shared" ca="1" si="277"/>
        <v>64</v>
      </c>
      <c r="BY257" s="32">
        <f t="shared" ca="1" si="277"/>
        <v>65</v>
      </c>
      <c r="BZ257" s="32">
        <f t="shared" ca="1" si="277"/>
        <v>66</v>
      </c>
      <c r="CA257" s="32">
        <f t="shared" ca="1" si="277"/>
        <v>67</v>
      </c>
      <c r="CB257" s="32">
        <f t="shared" ca="1" si="277"/>
        <v>68</v>
      </c>
      <c r="CC257" s="32">
        <f t="shared" ca="1" si="277"/>
        <v>69</v>
      </c>
      <c r="CD257" s="32">
        <f t="shared" ca="1" si="277"/>
        <v>70</v>
      </c>
      <c r="CE257" s="32">
        <f t="shared" ca="1" si="277"/>
        <v>71</v>
      </c>
      <c r="CF257" s="32">
        <f t="shared" ca="1" si="277"/>
        <v>72</v>
      </c>
      <c r="CG257" s="32">
        <f t="shared" ca="1" si="277"/>
        <v>73</v>
      </c>
      <c r="CH257" s="32">
        <f t="shared" ca="1" si="277"/>
        <v>74</v>
      </c>
      <c r="CI257" s="32">
        <f t="shared" ca="1" si="277"/>
        <v>75</v>
      </c>
      <c r="CJ257" s="32">
        <f t="shared" ca="1" si="277"/>
        <v>76</v>
      </c>
      <c r="CK257" s="32">
        <f t="shared" ca="1" si="277"/>
        <v>77</v>
      </c>
      <c r="CL257" s="32">
        <f t="shared" ca="1" si="277"/>
        <v>78</v>
      </c>
      <c r="CM257" s="32">
        <f t="shared" ca="1" si="277"/>
        <v>79</v>
      </c>
      <c r="CN257" s="32">
        <f t="shared" ca="1" si="277"/>
        <v>80</v>
      </c>
      <c r="CO257" s="32">
        <f t="shared" ca="1" si="277"/>
        <v>81</v>
      </c>
      <c r="CP257" s="32">
        <f t="shared" ca="1" si="277"/>
        <v>82</v>
      </c>
      <c r="CQ257" s="32">
        <f t="shared" ca="1" si="277"/>
        <v>83</v>
      </c>
      <c r="CR257" s="32">
        <f t="shared" ca="1" si="277"/>
        <v>84</v>
      </c>
      <c r="CS257" s="32">
        <f t="shared" ca="1" si="277"/>
        <v>85</v>
      </c>
      <c r="CT257" s="32">
        <f t="shared" ca="1" si="277"/>
        <v>86</v>
      </c>
      <c r="CU257" s="32">
        <f t="shared" ca="1" si="277"/>
        <v>87</v>
      </c>
      <c r="CV257" s="32">
        <f t="shared" ca="1" si="277"/>
        <v>88</v>
      </c>
      <c r="CW257" s="32">
        <f t="shared" ca="1" si="277"/>
        <v>89</v>
      </c>
      <c r="CX257" s="32">
        <f t="shared" ca="1" si="277"/>
        <v>90</v>
      </c>
      <c r="CY257" s="32">
        <f t="shared" ca="1" si="277"/>
        <v>91</v>
      </c>
      <c r="CZ257" s="32">
        <f t="shared" ca="1" si="277"/>
        <v>92</v>
      </c>
      <c r="DA257" s="32">
        <f t="shared" ca="1" si="277"/>
        <v>93</v>
      </c>
      <c r="DB257" s="32">
        <f t="shared" ca="1" si="277"/>
        <v>94</v>
      </c>
      <c r="DC257" s="32">
        <f t="shared" ca="1" si="277"/>
        <v>95</v>
      </c>
      <c r="DD257" s="32">
        <f t="shared" ca="1" si="277"/>
        <v>96</v>
      </c>
      <c r="DE257" s="32">
        <f t="shared" ca="1" si="277"/>
        <v>97</v>
      </c>
      <c r="DF257" s="32">
        <f t="shared" ca="1" si="277"/>
        <v>98</v>
      </c>
      <c r="DG257" s="32">
        <f t="shared" ca="1" si="277"/>
        <v>99</v>
      </c>
      <c r="DH257" s="32">
        <f t="shared" ca="1" si="277"/>
        <v>100</v>
      </c>
      <c r="DI257" s="32">
        <f t="shared" ca="1" si="277"/>
        <v>101</v>
      </c>
      <c r="DJ257" s="32">
        <f t="shared" ca="1" si="277"/>
        <v>102</v>
      </c>
      <c r="DK257" s="32">
        <f t="shared" ca="1" si="277"/>
        <v>103</v>
      </c>
      <c r="DL257" s="32">
        <f t="shared" ca="1" si="277"/>
        <v>0</v>
      </c>
      <c r="DM257" s="32">
        <f t="shared" ca="1" si="277"/>
        <v>0</v>
      </c>
      <c r="DN257" s="32">
        <f t="shared" ca="1" si="277"/>
        <v>0</v>
      </c>
      <c r="DO257" s="32">
        <f t="shared" ca="1" si="277"/>
        <v>0</v>
      </c>
      <c r="DP257" s="32">
        <f t="shared" ca="1" si="277"/>
        <v>0</v>
      </c>
      <c r="DQ257" s="32">
        <f t="shared" ca="1" si="277"/>
        <v>0</v>
      </c>
      <c r="DR257" s="32">
        <f t="shared" ca="1" si="277"/>
        <v>0</v>
      </c>
      <c r="DS257" s="32">
        <f t="shared" ca="1" si="277"/>
        <v>0</v>
      </c>
      <c r="DT257" s="32">
        <f t="shared" ca="1" si="277"/>
        <v>0</v>
      </c>
      <c r="DU257" s="32">
        <f t="shared" ca="1" si="277"/>
        <v>0</v>
      </c>
      <c r="DV257" s="32">
        <f t="shared" ca="1" si="277"/>
        <v>0</v>
      </c>
      <c r="DW257" s="32">
        <f t="shared" ca="1" si="277"/>
        <v>0</v>
      </c>
      <c r="DX257" s="32">
        <f t="shared" ca="1" si="277"/>
        <v>0</v>
      </c>
      <c r="DY257" s="32">
        <f t="shared" ca="1" si="277"/>
        <v>0</v>
      </c>
      <c r="DZ257" s="32">
        <f t="shared" ca="1" si="277"/>
        <v>0</v>
      </c>
      <c r="EA257" s="32">
        <f t="shared" ca="1" si="277"/>
        <v>0</v>
      </c>
      <c r="EB257" s="32">
        <f t="shared" ca="1" si="277"/>
        <v>0</v>
      </c>
      <c r="EC257" s="32">
        <f t="shared" ca="1" si="277"/>
        <v>0</v>
      </c>
      <c r="ED257" s="32">
        <f t="shared" ca="1" si="277"/>
        <v>0</v>
      </c>
      <c r="EE257" s="32">
        <f t="shared" ca="1" si="277"/>
        <v>0</v>
      </c>
      <c r="EF257" s="32">
        <f t="shared" ca="1" si="277"/>
        <v>0</v>
      </c>
      <c r="EG257" s="32">
        <f t="shared" ref="EG257:GR257" ca="1" si="278">IF(EG258&gt;0,EG176,0)</f>
        <v>0</v>
      </c>
      <c r="EH257" s="32">
        <f t="shared" ca="1" si="278"/>
        <v>0</v>
      </c>
      <c r="EI257" s="32">
        <f t="shared" ca="1" si="278"/>
        <v>0</v>
      </c>
      <c r="EJ257" s="32">
        <f t="shared" ca="1" si="278"/>
        <v>0</v>
      </c>
      <c r="EK257" s="32">
        <f t="shared" ca="1" si="278"/>
        <v>0</v>
      </c>
      <c r="EL257" s="32">
        <f t="shared" ca="1" si="278"/>
        <v>0</v>
      </c>
      <c r="EM257" s="32">
        <f t="shared" ca="1" si="278"/>
        <v>0</v>
      </c>
      <c r="EN257" s="32">
        <f t="shared" ca="1" si="278"/>
        <v>0</v>
      </c>
      <c r="EO257" s="32">
        <f t="shared" ca="1" si="278"/>
        <v>0</v>
      </c>
      <c r="EP257" s="32">
        <f t="shared" ca="1" si="278"/>
        <v>0</v>
      </c>
      <c r="EQ257" s="32">
        <f t="shared" ca="1" si="278"/>
        <v>0</v>
      </c>
      <c r="ER257" s="32">
        <f t="shared" ca="1" si="278"/>
        <v>0</v>
      </c>
      <c r="ES257" s="32">
        <f t="shared" ca="1" si="278"/>
        <v>0</v>
      </c>
      <c r="ET257" s="32">
        <f t="shared" ca="1" si="278"/>
        <v>0</v>
      </c>
      <c r="EU257" s="32">
        <f t="shared" ca="1" si="278"/>
        <v>0</v>
      </c>
      <c r="EV257" s="32">
        <f t="shared" ca="1" si="278"/>
        <v>0</v>
      </c>
      <c r="EW257" s="32">
        <f t="shared" ca="1" si="278"/>
        <v>0</v>
      </c>
      <c r="EX257" s="32">
        <f t="shared" ca="1" si="278"/>
        <v>0</v>
      </c>
      <c r="EY257" s="32">
        <f t="shared" ca="1" si="278"/>
        <v>0</v>
      </c>
      <c r="EZ257" s="32">
        <f t="shared" ca="1" si="278"/>
        <v>0</v>
      </c>
      <c r="FA257" s="32">
        <f t="shared" ca="1" si="278"/>
        <v>0</v>
      </c>
      <c r="FB257" s="32">
        <f t="shared" ca="1" si="278"/>
        <v>0</v>
      </c>
      <c r="FC257" s="32">
        <f t="shared" ca="1" si="278"/>
        <v>0</v>
      </c>
      <c r="FD257" s="32">
        <f t="shared" ca="1" si="278"/>
        <v>0</v>
      </c>
      <c r="FE257" s="32">
        <f t="shared" ca="1" si="278"/>
        <v>0</v>
      </c>
      <c r="FF257" s="32">
        <f t="shared" ca="1" si="278"/>
        <v>0</v>
      </c>
      <c r="FG257" s="32">
        <f t="shared" ca="1" si="278"/>
        <v>0</v>
      </c>
      <c r="FH257" s="32">
        <f t="shared" ca="1" si="278"/>
        <v>0</v>
      </c>
      <c r="FI257" s="32">
        <f t="shared" ca="1" si="278"/>
        <v>0</v>
      </c>
      <c r="FJ257" s="32">
        <f t="shared" ca="1" si="278"/>
        <v>0</v>
      </c>
      <c r="FK257" s="32">
        <f t="shared" ca="1" si="278"/>
        <v>0</v>
      </c>
      <c r="FL257" s="32">
        <f t="shared" ca="1" si="278"/>
        <v>0</v>
      </c>
      <c r="FM257" s="32">
        <f t="shared" ca="1" si="278"/>
        <v>0</v>
      </c>
      <c r="FN257" s="32">
        <f t="shared" ca="1" si="278"/>
        <v>0</v>
      </c>
      <c r="FO257" s="32">
        <f t="shared" ca="1" si="278"/>
        <v>0</v>
      </c>
      <c r="FP257" s="32">
        <f t="shared" ca="1" si="278"/>
        <v>0</v>
      </c>
      <c r="FQ257" s="32">
        <f t="shared" ca="1" si="278"/>
        <v>0</v>
      </c>
      <c r="FR257" s="32">
        <f t="shared" ca="1" si="278"/>
        <v>0</v>
      </c>
      <c r="FS257" s="32">
        <f t="shared" ca="1" si="278"/>
        <v>0</v>
      </c>
      <c r="FT257" s="32">
        <f t="shared" ca="1" si="278"/>
        <v>0</v>
      </c>
      <c r="FU257" s="32">
        <f t="shared" ca="1" si="278"/>
        <v>0</v>
      </c>
      <c r="FV257" s="32">
        <f t="shared" ca="1" si="278"/>
        <v>0</v>
      </c>
      <c r="FW257" s="32">
        <f t="shared" ca="1" si="278"/>
        <v>0</v>
      </c>
      <c r="FX257" s="32">
        <f t="shared" ca="1" si="278"/>
        <v>0</v>
      </c>
      <c r="FY257" s="32">
        <f t="shared" ca="1" si="278"/>
        <v>0</v>
      </c>
      <c r="FZ257" s="32">
        <f t="shared" ca="1" si="278"/>
        <v>0</v>
      </c>
      <c r="GA257" s="32">
        <f t="shared" ca="1" si="278"/>
        <v>0</v>
      </c>
      <c r="GB257" s="32">
        <f t="shared" ca="1" si="278"/>
        <v>0</v>
      </c>
      <c r="GC257" s="32">
        <f t="shared" ca="1" si="278"/>
        <v>0</v>
      </c>
      <c r="GD257" s="32">
        <f t="shared" ca="1" si="278"/>
        <v>0</v>
      </c>
      <c r="GE257" s="32">
        <f t="shared" ca="1" si="278"/>
        <v>0</v>
      </c>
      <c r="GF257" s="32">
        <f t="shared" ca="1" si="278"/>
        <v>0</v>
      </c>
      <c r="GG257" s="32">
        <f t="shared" ca="1" si="278"/>
        <v>0</v>
      </c>
      <c r="GH257" s="32">
        <f t="shared" ca="1" si="278"/>
        <v>0</v>
      </c>
      <c r="GI257" s="32">
        <f t="shared" ca="1" si="278"/>
        <v>0</v>
      </c>
      <c r="GJ257" s="32">
        <f t="shared" ca="1" si="278"/>
        <v>0</v>
      </c>
      <c r="GK257" s="32">
        <f t="shared" ca="1" si="278"/>
        <v>0</v>
      </c>
      <c r="GL257" s="32">
        <f t="shared" ca="1" si="278"/>
        <v>0</v>
      </c>
      <c r="GM257" s="32">
        <f t="shared" ca="1" si="278"/>
        <v>0</v>
      </c>
      <c r="GN257" s="32">
        <f t="shared" ca="1" si="278"/>
        <v>0</v>
      </c>
      <c r="GO257" s="32">
        <f t="shared" ca="1" si="278"/>
        <v>0</v>
      </c>
      <c r="GP257" s="32">
        <f t="shared" ca="1" si="278"/>
        <v>0</v>
      </c>
      <c r="GQ257" s="32">
        <f t="shared" ca="1" si="278"/>
        <v>0</v>
      </c>
      <c r="GR257" s="32">
        <f t="shared" ca="1" si="278"/>
        <v>0</v>
      </c>
      <c r="GS257" s="32">
        <f t="shared" ref="GS257:IK257" ca="1" si="279">IF(GS258&gt;0,GS176,0)</f>
        <v>0</v>
      </c>
      <c r="GT257" s="32">
        <f t="shared" ca="1" si="279"/>
        <v>0</v>
      </c>
      <c r="GU257" s="32">
        <f t="shared" ca="1" si="279"/>
        <v>0</v>
      </c>
      <c r="GV257" s="32">
        <f t="shared" ca="1" si="279"/>
        <v>0</v>
      </c>
      <c r="GW257" s="32">
        <f t="shared" ca="1" si="279"/>
        <v>0</v>
      </c>
      <c r="GX257" s="32">
        <f t="shared" ca="1" si="279"/>
        <v>0</v>
      </c>
      <c r="GY257" s="32">
        <f t="shared" ca="1" si="279"/>
        <v>0</v>
      </c>
      <c r="GZ257" s="32">
        <f t="shared" ca="1" si="279"/>
        <v>0</v>
      </c>
      <c r="HA257" s="32">
        <f t="shared" ca="1" si="279"/>
        <v>0</v>
      </c>
      <c r="HB257" s="32">
        <f t="shared" ca="1" si="279"/>
        <v>0</v>
      </c>
      <c r="HC257" s="32">
        <f t="shared" ca="1" si="279"/>
        <v>0</v>
      </c>
      <c r="HD257" s="32">
        <f t="shared" ca="1" si="279"/>
        <v>0</v>
      </c>
      <c r="HE257" s="32">
        <f t="shared" ca="1" si="279"/>
        <v>0</v>
      </c>
      <c r="HF257" s="32">
        <f t="shared" ca="1" si="279"/>
        <v>0</v>
      </c>
      <c r="HG257" s="32">
        <f t="shared" ca="1" si="279"/>
        <v>0</v>
      </c>
      <c r="HH257" s="32">
        <f t="shared" ca="1" si="279"/>
        <v>0</v>
      </c>
      <c r="HI257" s="32">
        <f t="shared" ca="1" si="279"/>
        <v>0</v>
      </c>
      <c r="HJ257" s="32">
        <f t="shared" ca="1" si="279"/>
        <v>0</v>
      </c>
      <c r="HK257" s="32">
        <f t="shared" ca="1" si="279"/>
        <v>0</v>
      </c>
      <c r="HL257" s="32">
        <f t="shared" ca="1" si="279"/>
        <v>0</v>
      </c>
      <c r="HM257" s="32">
        <f t="shared" ca="1" si="279"/>
        <v>0</v>
      </c>
      <c r="HN257" s="32">
        <f t="shared" ca="1" si="279"/>
        <v>0</v>
      </c>
      <c r="HO257" s="32">
        <f t="shared" ca="1" si="279"/>
        <v>0</v>
      </c>
      <c r="HP257" s="32">
        <f t="shared" ca="1" si="279"/>
        <v>0</v>
      </c>
      <c r="HQ257" s="32">
        <f t="shared" ca="1" si="279"/>
        <v>0</v>
      </c>
      <c r="HR257" s="32">
        <f t="shared" ca="1" si="279"/>
        <v>0</v>
      </c>
      <c r="HS257" s="32">
        <f t="shared" ca="1" si="279"/>
        <v>0</v>
      </c>
      <c r="HT257" s="32">
        <f t="shared" ca="1" si="279"/>
        <v>0</v>
      </c>
      <c r="HU257" s="32">
        <f t="shared" ca="1" si="279"/>
        <v>0</v>
      </c>
      <c r="HV257" s="32">
        <f t="shared" ca="1" si="279"/>
        <v>0</v>
      </c>
      <c r="HW257" s="32">
        <f t="shared" ca="1" si="279"/>
        <v>0</v>
      </c>
      <c r="HX257" s="32">
        <f t="shared" ca="1" si="279"/>
        <v>0</v>
      </c>
      <c r="HY257" s="32">
        <f t="shared" ca="1" si="279"/>
        <v>0</v>
      </c>
      <c r="HZ257" s="32">
        <f t="shared" ca="1" si="279"/>
        <v>0</v>
      </c>
      <c r="IA257" s="32">
        <f t="shared" ca="1" si="279"/>
        <v>0</v>
      </c>
      <c r="IB257" s="32">
        <f t="shared" ca="1" si="279"/>
        <v>0</v>
      </c>
      <c r="IC257" s="32">
        <f t="shared" ca="1" si="279"/>
        <v>0</v>
      </c>
      <c r="ID257" s="32">
        <f t="shared" ca="1" si="279"/>
        <v>0</v>
      </c>
      <c r="IE257" s="32">
        <f t="shared" ca="1" si="279"/>
        <v>0</v>
      </c>
      <c r="IF257" s="32">
        <f t="shared" ca="1" si="279"/>
        <v>0</v>
      </c>
      <c r="IG257" s="32">
        <f t="shared" ca="1" si="279"/>
        <v>0</v>
      </c>
      <c r="IH257" s="32">
        <f t="shared" ca="1" si="279"/>
        <v>0</v>
      </c>
      <c r="II257" s="32">
        <f t="shared" ca="1" si="279"/>
        <v>0</v>
      </c>
      <c r="IJ257" s="32">
        <f t="shared" ca="1" si="279"/>
        <v>0</v>
      </c>
      <c r="IK257" s="32">
        <f t="shared" ca="1" si="279"/>
        <v>0</v>
      </c>
    </row>
    <row r="258" spans="1:245" hidden="1" x14ac:dyDescent="0.35">
      <c r="A258" s="195">
        <f>IF(B258=0,0,"XXX")</f>
        <v>0</v>
      </c>
      <c r="B258" s="5"/>
      <c r="C258" s="627" t="s">
        <v>1604</v>
      </c>
      <c r="D258">
        <f ca="1">ROUNDDOWN(((CÁLCULOS!$J$362+CÁLCULOS!$J$363+CÁLCULOS!$J$364+CÁLCULOS!$J$412+CÁLCULOS!$J$413+CÁLCULOS!$J$414)/5.5*7)/ENTRADAS!$F$22,0)</f>
        <v>8</v>
      </c>
      <c r="H258" s="32">
        <f ca="1">IF(SUM(H216:H251)&gt;0,100,0)</f>
        <v>0</v>
      </c>
      <c r="I258" s="32">
        <f t="shared" ref="I258:BT258" ca="1" si="280">IF(SUM(I216:I251)&gt;0,100,0)</f>
        <v>0</v>
      </c>
      <c r="J258" s="32">
        <f t="shared" ca="1" si="280"/>
        <v>0</v>
      </c>
      <c r="K258" s="32">
        <f t="shared" ca="1" si="280"/>
        <v>0</v>
      </c>
      <c r="L258" s="32">
        <f t="shared" ca="1" si="280"/>
        <v>0</v>
      </c>
      <c r="M258" s="32">
        <f t="shared" ca="1" si="280"/>
        <v>0</v>
      </c>
      <c r="N258" s="32">
        <f t="shared" ca="1" si="280"/>
        <v>0</v>
      </c>
      <c r="O258" s="32">
        <f t="shared" ca="1" si="280"/>
        <v>0</v>
      </c>
      <c r="P258" s="32">
        <f t="shared" ca="1" si="280"/>
        <v>0</v>
      </c>
      <c r="Q258" s="32">
        <f t="shared" ca="1" si="280"/>
        <v>0</v>
      </c>
      <c r="R258" s="32">
        <f t="shared" ca="1" si="280"/>
        <v>0</v>
      </c>
      <c r="S258" s="32">
        <f t="shared" ca="1" si="280"/>
        <v>0</v>
      </c>
      <c r="T258" s="32">
        <f t="shared" ca="1" si="280"/>
        <v>0</v>
      </c>
      <c r="U258" s="32">
        <f t="shared" ca="1" si="280"/>
        <v>0</v>
      </c>
      <c r="V258" s="32">
        <f t="shared" ca="1" si="280"/>
        <v>0</v>
      </c>
      <c r="W258" s="32">
        <f t="shared" ca="1" si="280"/>
        <v>0</v>
      </c>
      <c r="X258" s="32">
        <f t="shared" ca="1" si="280"/>
        <v>0</v>
      </c>
      <c r="Y258" s="32">
        <f t="shared" ca="1" si="280"/>
        <v>0</v>
      </c>
      <c r="Z258" s="32">
        <f t="shared" ca="1" si="280"/>
        <v>0</v>
      </c>
      <c r="AA258" s="32">
        <f t="shared" ca="1" si="280"/>
        <v>0</v>
      </c>
      <c r="AB258" s="32">
        <f t="shared" ca="1" si="280"/>
        <v>0</v>
      </c>
      <c r="AC258" s="32">
        <f t="shared" ca="1" si="280"/>
        <v>0</v>
      </c>
      <c r="AD258" s="32">
        <f t="shared" ca="1" si="280"/>
        <v>0</v>
      </c>
      <c r="AE258" s="32">
        <f t="shared" ca="1" si="280"/>
        <v>0</v>
      </c>
      <c r="AF258" s="32">
        <f t="shared" ca="1" si="280"/>
        <v>0</v>
      </c>
      <c r="AG258" s="32">
        <f t="shared" ca="1" si="280"/>
        <v>0</v>
      </c>
      <c r="AH258" s="32">
        <f t="shared" ca="1" si="280"/>
        <v>0</v>
      </c>
      <c r="AI258" s="32">
        <f t="shared" ca="1" si="280"/>
        <v>0</v>
      </c>
      <c r="AJ258" s="32">
        <f t="shared" ca="1" si="280"/>
        <v>0</v>
      </c>
      <c r="AK258" s="32">
        <f t="shared" ca="1" si="280"/>
        <v>0</v>
      </c>
      <c r="AL258" s="32">
        <f t="shared" ca="1" si="280"/>
        <v>0</v>
      </c>
      <c r="AM258" s="32">
        <f t="shared" ca="1" si="280"/>
        <v>0</v>
      </c>
      <c r="AN258" s="32">
        <f t="shared" ca="1" si="280"/>
        <v>0</v>
      </c>
      <c r="AO258" s="32">
        <f t="shared" ca="1" si="280"/>
        <v>0</v>
      </c>
      <c r="AP258" s="32">
        <f t="shared" ca="1" si="280"/>
        <v>0</v>
      </c>
      <c r="AQ258" s="32">
        <f t="shared" ca="1" si="280"/>
        <v>0</v>
      </c>
      <c r="AR258" s="32">
        <f t="shared" ca="1" si="280"/>
        <v>0</v>
      </c>
      <c r="AS258" s="32">
        <f t="shared" ca="1" si="280"/>
        <v>0</v>
      </c>
      <c r="AT258" s="32">
        <f t="shared" ca="1" si="280"/>
        <v>0</v>
      </c>
      <c r="AU258" s="32">
        <f t="shared" ca="1" si="280"/>
        <v>0</v>
      </c>
      <c r="AV258" s="32">
        <f t="shared" ca="1" si="280"/>
        <v>0</v>
      </c>
      <c r="AW258" s="32">
        <f t="shared" ca="1" si="280"/>
        <v>0</v>
      </c>
      <c r="AX258" s="32">
        <f t="shared" ca="1" si="280"/>
        <v>0</v>
      </c>
      <c r="AY258" s="32">
        <f t="shared" ca="1" si="280"/>
        <v>0</v>
      </c>
      <c r="AZ258" s="32">
        <f t="shared" ca="1" si="280"/>
        <v>0</v>
      </c>
      <c r="BA258" s="32">
        <f t="shared" ca="1" si="280"/>
        <v>0</v>
      </c>
      <c r="BB258" s="32">
        <f t="shared" ca="1" si="280"/>
        <v>0</v>
      </c>
      <c r="BC258" s="32">
        <f t="shared" ca="1" si="280"/>
        <v>0</v>
      </c>
      <c r="BD258" s="32">
        <f t="shared" ca="1" si="280"/>
        <v>0</v>
      </c>
      <c r="BE258" s="32">
        <f t="shared" ca="1" si="280"/>
        <v>0</v>
      </c>
      <c r="BF258" s="32">
        <f t="shared" ca="1" si="280"/>
        <v>0</v>
      </c>
      <c r="BG258" s="32">
        <f t="shared" ca="1" si="280"/>
        <v>0</v>
      </c>
      <c r="BH258" s="32">
        <f t="shared" ca="1" si="280"/>
        <v>0</v>
      </c>
      <c r="BI258" s="32">
        <f t="shared" ca="1" si="280"/>
        <v>0</v>
      </c>
      <c r="BJ258" s="32">
        <f t="shared" ca="1" si="280"/>
        <v>0</v>
      </c>
      <c r="BK258" s="32">
        <f t="shared" ca="1" si="280"/>
        <v>0</v>
      </c>
      <c r="BL258" s="32">
        <f t="shared" ca="1" si="280"/>
        <v>100</v>
      </c>
      <c r="BM258" s="32">
        <f t="shared" ca="1" si="280"/>
        <v>100</v>
      </c>
      <c r="BN258" s="32">
        <f t="shared" ca="1" si="280"/>
        <v>100</v>
      </c>
      <c r="BO258" s="32">
        <f t="shared" ca="1" si="280"/>
        <v>100</v>
      </c>
      <c r="BP258" s="32">
        <f t="shared" ca="1" si="280"/>
        <v>100</v>
      </c>
      <c r="BQ258" s="32">
        <f t="shared" ca="1" si="280"/>
        <v>100</v>
      </c>
      <c r="BR258" s="32">
        <f t="shared" ca="1" si="280"/>
        <v>100</v>
      </c>
      <c r="BS258" s="32">
        <f t="shared" ca="1" si="280"/>
        <v>100</v>
      </c>
      <c r="BT258" s="32">
        <f t="shared" ca="1" si="280"/>
        <v>100</v>
      </c>
      <c r="BU258" s="32">
        <f t="shared" ref="BU258:EF258" ca="1" si="281">IF(SUM(BU216:BU251)&gt;0,100,0)</f>
        <v>100</v>
      </c>
      <c r="BV258" s="32">
        <f t="shared" ca="1" si="281"/>
        <v>100</v>
      </c>
      <c r="BW258" s="32">
        <f t="shared" ca="1" si="281"/>
        <v>100</v>
      </c>
      <c r="BX258" s="32">
        <f t="shared" ca="1" si="281"/>
        <v>100</v>
      </c>
      <c r="BY258" s="32">
        <f t="shared" ca="1" si="281"/>
        <v>100</v>
      </c>
      <c r="BZ258" s="32">
        <f t="shared" ca="1" si="281"/>
        <v>100</v>
      </c>
      <c r="CA258" s="32">
        <f t="shared" ca="1" si="281"/>
        <v>100</v>
      </c>
      <c r="CB258" s="32">
        <f t="shared" ca="1" si="281"/>
        <v>100</v>
      </c>
      <c r="CC258" s="32">
        <f t="shared" ca="1" si="281"/>
        <v>100</v>
      </c>
      <c r="CD258" s="32">
        <f t="shared" ca="1" si="281"/>
        <v>100</v>
      </c>
      <c r="CE258" s="32">
        <f t="shared" ca="1" si="281"/>
        <v>100</v>
      </c>
      <c r="CF258" s="32">
        <f t="shared" ca="1" si="281"/>
        <v>100</v>
      </c>
      <c r="CG258" s="32">
        <f t="shared" ca="1" si="281"/>
        <v>100</v>
      </c>
      <c r="CH258" s="32">
        <f t="shared" ca="1" si="281"/>
        <v>100</v>
      </c>
      <c r="CI258" s="32">
        <f t="shared" ca="1" si="281"/>
        <v>100</v>
      </c>
      <c r="CJ258" s="32">
        <f t="shared" ca="1" si="281"/>
        <v>100</v>
      </c>
      <c r="CK258" s="32">
        <f t="shared" ca="1" si="281"/>
        <v>100</v>
      </c>
      <c r="CL258" s="32">
        <f t="shared" ca="1" si="281"/>
        <v>100</v>
      </c>
      <c r="CM258" s="32">
        <f t="shared" ca="1" si="281"/>
        <v>100</v>
      </c>
      <c r="CN258" s="32">
        <f t="shared" ca="1" si="281"/>
        <v>100</v>
      </c>
      <c r="CO258" s="32">
        <f t="shared" ca="1" si="281"/>
        <v>100</v>
      </c>
      <c r="CP258" s="32">
        <f t="shared" ca="1" si="281"/>
        <v>100</v>
      </c>
      <c r="CQ258" s="32">
        <f t="shared" ca="1" si="281"/>
        <v>100</v>
      </c>
      <c r="CR258" s="32">
        <f t="shared" ca="1" si="281"/>
        <v>100</v>
      </c>
      <c r="CS258" s="32">
        <f t="shared" ca="1" si="281"/>
        <v>100</v>
      </c>
      <c r="CT258" s="32">
        <f t="shared" ca="1" si="281"/>
        <v>100</v>
      </c>
      <c r="CU258" s="32">
        <f t="shared" ca="1" si="281"/>
        <v>100</v>
      </c>
      <c r="CV258" s="32">
        <f t="shared" ca="1" si="281"/>
        <v>100</v>
      </c>
      <c r="CW258" s="32">
        <f t="shared" ca="1" si="281"/>
        <v>100</v>
      </c>
      <c r="CX258" s="32">
        <f t="shared" ca="1" si="281"/>
        <v>100</v>
      </c>
      <c r="CY258" s="32">
        <f t="shared" ca="1" si="281"/>
        <v>100</v>
      </c>
      <c r="CZ258" s="32">
        <f t="shared" ca="1" si="281"/>
        <v>100</v>
      </c>
      <c r="DA258" s="32">
        <f t="shared" ca="1" si="281"/>
        <v>100</v>
      </c>
      <c r="DB258" s="32">
        <f t="shared" ca="1" si="281"/>
        <v>100</v>
      </c>
      <c r="DC258" s="32">
        <f t="shared" ca="1" si="281"/>
        <v>100</v>
      </c>
      <c r="DD258" s="32">
        <f t="shared" ca="1" si="281"/>
        <v>100</v>
      </c>
      <c r="DE258" s="32">
        <f t="shared" ca="1" si="281"/>
        <v>100</v>
      </c>
      <c r="DF258" s="32">
        <f t="shared" ca="1" si="281"/>
        <v>100</v>
      </c>
      <c r="DG258" s="32">
        <f t="shared" ca="1" si="281"/>
        <v>100</v>
      </c>
      <c r="DH258" s="32">
        <f t="shared" ca="1" si="281"/>
        <v>100</v>
      </c>
      <c r="DI258" s="32">
        <f t="shared" ca="1" si="281"/>
        <v>100</v>
      </c>
      <c r="DJ258" s="32">
        <f t="shared" ca="1" si="281"/>
        <v>100</v>
      </c>
      <c r="DK258" s="32">
        <f t="shared" ca="1" si="281"/>
        <v>100</v>
      </c>
      <c r="DL258" s="32">
        <f t="shared" ca="1" si="281"/>
        <v>0</v>
      </c>
      <c r="DM258" s="32">
        <f t="shared" ca="1" si="281"/>
        <v>0</v>
      </c>
      <c r="DN258" s="32">
        <f t="shared" ca="1" si="281"/>
        <v>0</v>
      </c>
      <c r="DO258" s="32">
        <f t="shared" ca="1" si="281"/>
        <v>0</v>
      </c>
      <c r="DP258" s="32">
        <f t="shared" ca="1" si="281"/>
        <v>0</v>
      </c>
      <c r="DQ258" s="32">
        <f t="shared" ca="1" si="281"/>
        <v>0</v>
      </c>
      <c r="DR258" s="32">
        <f t="shared" ca="1" si="281"/>
        <v>0</v>
      </c>
      <c r="DS258" s="32">
        <f t="shared" ca="1" si="281"/>
        <v>0</v>
      </c>
      <c r="DT258" s="32">
        <f t="shared" ca="1" si="281"/>
        <v>0</v>
      </c>
      <c r="DU258" s="32">
        <f t="shared" ca="1" si="281"/>
        <v>0</v>
      </c>
      <c r="DV258" s="32">
        <f t="shared" ca="1" si="281"/>
        <v>0</v>
      </c>
      <c r="DW258" s="32">
        <f t="shared" ca="1" si="281"/>
        <v>0</v>
      </c>
      <c r="DX258" s="32">
        <f t="shared" ca="1" si="281"/>
        <v>0</v>
      </c>
      <c r="DY258" s="32">
        <f t="shared" ca="1" si="281"/>
        <v>0</v>
      </c>
      <c r="DZ258" s="32">
        <f t="shared" ca="1" si="281"/>
        <v>0</v>
      </c>
      <c r="EA258" s="32">
        <f t="shared" ca="1" si="281"/>
        <v>0</v>
      </c>
      <c r="EB258" s="32">
        <f t="shared" ca="1" si="281"/>
        <v>0</v>
      </c>
      <c r="EC258" s="32">
        <f t="shared" ca="1" si="281"/>
        <v>0</v>
      </c>
      <c r="ED258" s="32">
        <f t="shared" ca="1" si="281"/>
        <v>0</v>
      </c>
      <c r="EE258" s="32">
        <f t="shared" ca="1" si="281"/>
        <v>0</v>
      </c>
      <c r="EF258" s="32">
        <f t="shared" ca="1" si="281"/>
        <v>0</v>
      </c>
      <c r="EG258" s="32">
        <f t="shared" ref="EG258:GR258" ca="1" si="282">IF(SUM(EG216:EG251)&gt;0,100,0)</f>
        <v>0</v>
      </c>
      <c r="EH258" s="32">
        <f t="shared" ca="1" si="282"/>
        <v>0</v>
      </c>
      <c r="EI258" s="32">
        <f t="shared" ca="1" si="282"/>
        <v>0</v>
      </c>
      <c r="EJ258" s="32">
        <f t="shared" ca="1" si="282"/>
        <v>0</v>
      </c>
      <c r="EK258" s="32">
        <f t="shared" ca="1" si="282"/>
        <v>0</v>
      </c>
      <c r="EL258" s="32">
        <f t="shared" ca="1" si="282"/>
        <v>0</v>
      </c>
      <c r="EM258" s="32">
        <f t="shared" ca="1" si="282"/>
        <v>0</v>
      </c>
      <c r="EN258" s="32">
        <f t="shared" ca="1" si="282"/>
        <v>0</v>
      </c>
      <c r="EO258" s="32">
        <f t="shared" ca="1" si="282"/>
        <v>0</v>
      </c>
      <c r="EP258" s="32">
        <f t="shared" ca="1" si="282"/>
        <v>0</v>
      </c>
      <c r="EQ258" s="32">
        <f t="shared" ca="1" si="282"/>
        <v>0</v>
      </c>
      <c r="ER258" s="32">
        <f t="shared" ca="1" si="282"/>
        <v>0</v>
      </c>
      <c r="ES258" s="32">
        <f t="shared" ca="1" si="282"/>
        <v>0</v>
      </c>
      <c r="ET258" s="32">
        <f t="shared" ca="1" si="282"/>
        <v>0</v>
      </c>
      <c r="EU258" s="32">
        <f t="shared" ca="1" si="282"/>
        <v>0</v>
      </c>
      <c r="EV258" s="32">
        <f t="shared" ca="1" si="282"/>
        <v>0</v>
      </c>
      <c r="EW258" s="32">
        <f t="shared" ca="1" si="282"/>
        <v>0</v>
      </c>
      <c r="EX258" s="32">
        <f t="shared" ca="1" si="282"/>
        <v>0</v>
      </c>
      <c r="EY258" s="32">
        <f t="shared" ca="1" si="282"/>
        <v>0</v>
      </c>
      <c r="EZ258" s="32">
        <f t="shared" ca="1" si="282"/>
        <v>0</v>
      </c>
      <c r="FA258" s="32">
        <f t="shared" ca="1" si="282"/>
        <v>0</v>
      </c>
      <c r="FB258" s="32">
        <f t="shared" ca="1" si="282"/>
        <v>0</v>
      </c>
      <c r="FC258" s="32">
        <f t="shared" ca="1" si="282"/>
        <v>0</v>
      </c>
      <c r="FD258" s="32">
        <f t="shared" ca="1" si="282"/>
        <v>0</v>
      </c>
      <c r="FE258" s="32">
        <f t="shared" ca="1" si="282"/>
        <v>0</v>
      </c>
      <c r="FF258" s="32">
        <f t="shared" ca="1" si="282"/>
        <v>0</v>
      </c>
      <c r="FG258" s="32">
        <f t="shared" ca="1" si="282"/>
        <v>0</v>
      </c>
      <c r="FH258" s="32">
        <f t="shared" ca="1" si="282"/>
        <v>0</v>
      </c>
      <c r="FI258" s="32">
        <f t="shared" ca="1" si="282"/>
        <v>0</v>
      </c>
      <c r="FJ258" s="32">
        <f t="shared" ca="1" si="282"/>
        <v>0</v>
      </c>
      <c r="FK258" s="32">
        <f t="shared" ca="1" si="282"/>
        <v>0</v>
      </c>
      <c r="FL258" s="32">
        <f t="shared" ca="1" si="282"/>
        <v>0</v>
      </c>
      <c r="FM258" s="32">
        <f t="shared" ca="1" si="282"/>
        <v>0</v>
      </c>
      <c r="FN258" s="32">
        <f t="shared" ca="1" si="282"/>
        <v>0</v>
      </c>
      <c r="FO258" s="32">
        <f t="shared" ca="1" si="282"/>
        <v>0</v>
      </c>
      <c r="FP258" s="32">
        <f t="shared" ca="1" si="282"/>
        <v>0</v>
      </c>
      <c r="FQ258" s="32">
        <f t="shared" ca="1" si="282"/>
        <v>0</v>
      </c>
      <c r="FR258" s="32">
        <f t="shared" ca="1" si="282"/>
        <v>0</v>
      </c>
      <c r="FS258" s="32">
        <f t="shared" ca="1" si="282"/>
        <v>0</v>
      </c>
      <c r="FT258" s="32">
        <f t="shared" ca="1" si="282"/>
        <v>0</v>
      </c>
      <c r="FU258" s="32">
        <f t="shared" ca="1" si="282"/>
        <v>0</v>
      </c>
      <c r="FV258" s="32">
        <f t="shared" ca="1" si="282"/>
        <v>0</v>
      </c>
      <c r="FW258" s="32">
        <f t="shared" ca="1" si="282"/>
        <v>0</v>
      </c>
      <c r="FX258" s="32">
        <f t="shared" ca="1" si="282"/>
        <v>0</v>
      </c>
      <c r="FY258" s="32">
        <f t="shared" ca="1" si="282"/>
        <v>0</v>
      </c>
      <c r="FZ258" s="32">
        <f t="shared" ca="1" si="282"/>
        <v>0</v>
      </c>
      <c r="GA258" s="32">
        <f t="shared" ca="1" si="282"/>
        <v>0</v>
      </c>
      <c r="GB258" s="32">
        <f t="shared" ca="1" si="282"/>
        <v>0</v>
      </c>
      <c r="GC258" s="32">
        <f t="shared" ca="1" si="282"/>
        <v>0</v>
      </c>
      <c r="GD258" s="32">
        <f t="shared" ca="1" si="282"/>
        <v>0</v>
      </c>
      <c r="GE258" s="32">
        <f t="shared" ca="1" si="282"/>
        <v>0</v>
      </c>
      <c r="GF258" s="32">
        <f t="shared" ca="1" si="282"/>
        <v>0</v>
      </c>
      <c r="GG258" s="32">
        <f t="shared" ca="1" si="282"/>
        <v>0</v>
      </c>
      <c r="GH258" s="32">
        <f t="shared" ca="1" si="282"/>
        <v>0</v>
      </c>
      <c r="GI258" s="32">
        <f t="shared" ca="1" si="282"/>
        <v>0</v>
      </c>
      <c r="GJ258" s="32">
        <f t="shared" ca="1" si="282"/>
        <v>0</v>
      </c>
      <c r="GK258" s="32">
        <f t="shared" ca="1" si="282"/>
        <v>0</v>
      </c>
      <c r="GL258" s="32">
        <f t="shared" ca="1" si="282"/>
        <v>0</v>
      </c>
      <c r="GM258" s="32">
        <f t="shared" ca="1" si="282"/>
        <v>0</v>
      </c>
      <c r="GN258" s="32">
        <f t="shared" ca="1" si="282"/>
        <v>0</v>
      </c>
      <c r="GO258" s="32">
        <f t="shared" ca="1" si="282"/>
        <v>0</v>
      </c>
      <c r="GP258" s="32">
        <f t="shared" ca="1" si="282"/>
        <v>0</v>
      </c>
      <c r="GQ258" s="32">
        <f t="shared" ca="1" si="282"/>
        <v>0</v>
      </c>
      <c r="GR258" s="32">
        <f t="shared" ca="1" si="282"/>
        <v>0</v>
      </c>
      <c r="GS258" s="32">
        <f t="shared" ref="GS258:IK258" ca="1" si="283">IF(SUM(GS216:GS251)&gt;0,100,0)</f>
        <v>0</v>
      </c>
      <c r="GT258" s="32">
        <f t="shared" ca="1" si="283"/>
        <v>0</v>
      </c>
      <c r="GU258" s="32">
        <f t="shared" ca="1" si="283"/>
        <v>0</v>
      </c>
      <c r="GV258" s="32">
        <f t="shared" ca="1" si="283"/>
        <v>0</v>
      </c>
      <c r="GW258" s="32">
        <f t="shared" ca="1" si="283"/>
        <v>0</v>
      </c>
      <c r="GX258" s="32">
        <f t="shared" ca="1" si="283"/>
        <v>0</v>
      </c>
      <c r="GY258" s="32">
        <f t="shared" ca="1" si="283"/>
        <v>0</v>
      </c>
      <c r="GZ258" s="32">
        <f t="shared" ca="1" si="283"/>
        <v>0</v>
      </c>
      <c r="HA258" s="32">
        <f t="shared" ca="1" si="283"/>
        <v>0</v>
      </c>
      <c r="HB258" s="32">
        <f t="shared" ca="1" si="283"/>
        <v>0</v>
      </c>
      <c r="HC258" s="32">
        <f t="shared" ca="1" si="283"/>
        <v>0</v>
      </c>
      <c r="HD258" s="32">
        <f t="shared" ca="1" si="283"/>
        <v>0</v>
      </c>
      <c r="HE258" s="32">
        <f t="shared" ca="1" si="283"/>
        <v>0</v>
      </c>
      <c r="HF258" s="32">
        <f t="shared" ca="1" si="283"/>
        <v>0</v>
      </c>
      <c r="HG258" s="32">
        <f t="shared" ca="1" si="283"/>
        <v>0</v>
      </c>
      <c r="HH258" s="32">
        <f t="shared" ca="1" si="283"/>
        <v>0</v>
      </c>
      <c r="HI258" s="32">
        <f t="shared" ca="1" si="283"/>
        <v>0</v>
      </c>
      <c r="HJ258" s="32">
        <f t="shared" ca="1" si="283"/>
        <v>0</v>
      </c>
      <c r="HK258" s="32">
        <f t="shared" ca="1" si="283"/>
        <v>0</v>
      </c>
      <c r="HL258" s="32">
        <f t="shared" ca="1" si="283"/>
        <v>0</v>
      </c>
      <c r="HM258" s="32">
        <f t="shared" ca="1" si="283"/>
        <v>0</v>
      </c>
      <c r="HN258" s="32">
        <f t="shared" ca="1" si="283"/>
        <v>0</v>
      </c>
      <c r="HO258" s="32">
        <f t="shared" ca="1" si="283"/>
        <v>0</v>
      </c>
      <c r="HP258" s="32">
        <f t="shared" ca="1" si="283"/>
        <v>0</v>
      </c>
      <c r="HQ258" s="32">
        <f t="shared" ca="1" si="283"/>
        <v>0</v>
      </c>
      <c r="HR258" s="32">
        <f t="shared" ca="1" si="283"/>
        <v>0</v>
      </c>
      <c r="HS258" s="32">
        <f t="shared" ca="1" si="283"/>
        <v>0</v>
      </c>
      <c r="HT258" s="32">
        <f t="shared" ca="1" si="283"/>
        <v>0</v>
      </c>
      <c r="HU258" s="32">
        <f t="shared" ca="1" si="283"/>
        <v>0</v>
      </c>
      <c r="HV258" s="32">
        <f t="shared" ca="1" si="283"/>
        <v>0</v>
      </c>
      <c r="HW258" s="32">
        <f t="shared" ca="1" si="283"/>
        <v>0</v>
      </c>
      <c r="HX258" s="32">
        <f t="shared" ca="1" si="283"/>
        <v>0</v>
      </c>
      <c r="HY258" s="32">
        <f t="shared" ca="1" si="283"/>
        <v>0</v>
      </c>
      <c r="HZ258" s="32">
        <f t="shared" ca="1" si="283"/>
        <v>0</v>
      </c>
      <c r="IA258" s="32">
        <f t="shared" ca="1" si="283"/>
        <v>0</v>
      </c>
      <c r="IB258" s="32">
        <f t="shared" ca="1" si="283"/>
        <v>0</v>
      </c>
      <c r="IC258" s="32">
        <f t="shared" ca="1" si="283"/>
        <v>0</v>
      </c>
      <c r="ID258" s="32">
        <f t="shared" ca="1" si="283"/>
        <v>0</v>
      </c>
      <c r="IE258" s="32">
        <f t="shared" ca="1" si="283"/>
        <v>0</v>
      </c>
      <c r="IF258" s="32">
        <f t="shared" ca="1" si="283"/>
        <v>0</v>
      </c>
      <c r="IG258" s="32">
        <f t="shared" ca="1" si="283"/>
        <v>0</v>
      </c>
      <c r="IH258" s="32">
        <f t="shared" ca="1" si="283"/>
        <v>0</v>
      </c>
      <c r="II258" s="32">
        <f t="shared" ca="1" si="283"/>
        <v>0</v>
      </c>
      <c r="IJ258" s="32">
        <f t="shared" ca="1" si="283"/>
        <v>0</v>
      </c>
      <c r="IK258" s="32">
        <f t="shared" ca="1" si="283"/>
        <v>0</v>
      </c>
    </row>
    <row r="259" spans="1:245" hidden="1" x14ac:dyDescent="0.35"/>
    <row r="260" spans="1:245" s="195" customFormat="1" hidden="1" x14ac:dyDescent="0.35">
      <c r="B260" s="463"/>
      <c r="C260"/>
      <c r="D260" s="461"/>
      <c r="E260" s="462"/>
      <c r="F260" s="362"/>
      <c r="G260" s="363"/>
      <c r="H260" s="350">
        <f>H6</f>
        <v>1000</v>
      </c>
      <c r="I260" s="350">
        <f t="shared" ref="I260:BT260" si="284">I6</f>
        <v>1000</v>
      </c>
      <c r="J260" s="350">
        <f t="shared" si="284"/>
        <v>1000</v>
      </c>
      <c r="K260" s="350">
        <f t="shared" si="284"/>
        <v>1000</v>
      </c>
      <c r="L260" s="350">
        <f t="shared" si="284"/>
        <v>1000</v>
      </c>
      <c r="M260" s="350">
        <f t="shared" si="284"/>
        <v>1</v>
      </c>
      <c r="N260" s="350">
        <f t="shared" si="284"/>
        <v>2</v>
      </c>
      <c r="O260" s="350">
        <f t="shared" si="284"/>
        <v>3</v>
      </c>
      <c r="P260" s="350">
        <f t="shared" si="284"/>
        <v>4</v>
      </c>
      <c r="Q260" s="350">
        <f t="shared" si="284"/>
        <v>5</v>
      </c>
      <c r="R260" s="350">
        <f t="shared" si="284"/>
        <v>6</v>
      </c>
      <c r="S260" s="350">
        <f t="shared" si="284"/>
        <v>7</v>
      </c>
      <c r="T260" s="350">
        <f t="shared" si="284"/>
        <v>8</v>
      </c>
      <c r="U260" s="350">
        <f t="shared" si="284"/>
        <v>9</v>
      </c>
      <c r="V260" s="350">
        <f t="shared" si="284"/>
        <v>10</v>
      </c>
      <c r="W260" s="350">
        <f t="shared" si="284"/>
        <v>11</v>
      </c>
      <c r="X260" s="350">
        <f t="shared" si="284"/>
        <v>12</v>
      </c>
      <c r="Y260" s="350">
        <f t="shared" si="284"/>
        <v>13</v>
      </c>
      <c r="Z260" s="350">
        <f t="shared" si="284"/>
        <v>14</v>
      </c>
      <c r="AA260" s="350">
        <f t="shared" si="284"/>
        <v>15</v>
      </c>
      <c r="AB260" s="350">
        <f t="shared" si="284"/>
        <v>16</v>
      </c>
      <c r="AC260" s="350">
        <f t="shared" si="284"/>
        <v>17</v>
      </c>
      <c r="AD260" s="350">
        <f t="shared" si="284"/>
        <v>18</v>
      </c>
      <c r="AE260" s="350">
        <f t="shared" si="284"/>
        <v>19</v>
      </c>
      <c r="AF260" s="350">
        <f t="shared" si="284"/>
        <v>20</v>
      </c>
      <c r="AG260" s="350">
        <f t="shared" si="284"/>
        <v>21</v>
      </c>
      <c r="AH260" s="350">
        <f t="shared" si="284"/>
        <v>22</v>
      </c>
      <c r="AI260" s="350">
        <f t="shared" si="284"/>
        <v>23</v>
      </c>
      <c r="AJ260" s="350">
        <f t="shared" si="284"/>
        <v>24</v>
      </c>
      <c r="AK260" s="350">
        <f t="shared" si="284"/>
        <v>25</v>
      </c>
      <c r="AL260" s="350">
        <f t="shared" si="284"/>
        <v>26</v>
      </c>
      <c r="AM260" s="350">
        <f t="shared" si="284"/>
        <v>27</v>
      </c>
      <c r="AN260" s="350">
        <f t="shared" si="284"/>
        <v>28</v>
      </c>
      <c r="AO260" s="350">
        <f t="shared" si="284"/>
        <v>29</v>
      </c>
      <c r="AP260" s="350">
        <f t="shared" si="284"/>
        <v>30</v>
      </c>
      <c r="AQ260" s="350">
        <f t="shared" si="284"/>
        <v>31</v>
      </c>
      <c r="AR260" s="350">
        <f t="shared" si="284"/>
        <v>32</v>
      </c>
      <c r="AS260" s="350">
        <f t="shared" si="284"/>
        <v>33</v>
      </c>
      <c r="AT260" s="350">
        <f t="shared" si="284"/>
        <v>34</v>
      </c>
      <c r="AU260" s="350">
        <f t="shared" si="284"/>
        <v>35</v>
      </c>
      <c r="AV260" s="350">
        <f t="shared" si="284"/>
        <v>36</v>
      </c>
      <c r="AW260" s="350">
        <f t="shared" si="284"/>
        <v>37</v>
      </c>
      <c r="AX260" s="350">
        <f t="shared" si="284"/>
        <v>38</v>
      </c>
      <c r="AY260" s="350">
        <f t="shared" si="284"/>
        <v>39</v>
      </c>
      <c r="AZ260" s="350">
        <f t="shared" si="284"/>
        <v>40</v>
      </c>
      <c r="BA260" s="350">
        <f t="shared" si="284"/>
        <v>41</v>
      </c>
      <c r="BB260" s="350">
        <f t="shared" si="284"/>
        <v>42</v>
      </c>
      <c r="BC260" s="350">
        <f t="shared" si="284"/>
        <v>43</v>
      </c>
      <c r="BD260" s="350">
        <f t="shared" si="284"/>
        <v>44</v>
      </c>
      <c r="BE260" s="350">
        <f t="shared" si="284"/>
        <v>45</v>
      </c>
      <c r="BF260" s="350">
        <f t="shared" si="284"/>
        <v>46</v>
      </c>
      <c r="BG260" s="350">
        <f t="shared" si="284"/>
        <v>47</v>
      </c>
      <c r="BH260" s="350">
        <f t="shared" si="284"/>
        <v>48</v>
      </c>
      <c r="BI260" s="350">
        <f t="shared" si="284"/>
        <v>49</v>
      </c>
      <c r="BJ260" s="350">
        <f t="shared" si="284"/>
        <v>50</v>
      </c>
      <c r="BK260" s="350">
        <f t="shared" si="284"/>
        <v>51</v>
      </c>
      <c r="BL260" s="350">
        <f t="shared" si="284"/>
        <v>52</v>
      </c>
      <c r="BM260" s="350">
        <f t="shared" si="284"/>
        <v>53</v>
      </c>
      <c r="BN260" s="350">
        <f t="shared" si="284"/>
        <v>54</v>
      </c>
      <c r="BO260" s="350">
        <f t="shared" si="284"/>
        <v>55</v>
      </c>
      <c r="BP260" s="350">
        <f t="shared" si="284"/>
        <v>56</v>
      </c>
      <c r="BQ260" s="350">
        <f t="shared" si="284"/>
        <v>57</v>
      </c>
      <c r="BR260" s="350">
        <f t="shared" si="284"/>
        <v>58</v>
      </c>
      <c r="BS260" s="350">
        <f t="shared" si="284"/>
        <v>59</v>
      </c>
      <c r="BT260" s="350">
        <f t="shared" si="284"/>
        <v>60</v>
      </c>
      <c r="BU260" s="350">
        <f t="shared" ref="BU260:EF260" si="285">BU6</f>
        <v>61</v>
      </c>
      <c r="BV260" s="350">
        <f t="shared" si="285"/>
        <v>62</v>
      </c>
      <c r="BW260" s="350">
        <f t="shared" si="285"/>
        <v>63</v>
      </c>
      <c r="BX260" s="350">
        <f t="shared" si="285"/>
        <v>64</v>
      </c>
      <c r="BY260" s="350">
        <f t="shared" si="285"/>
        <v>65</v>
      </c>
      <c r="BZ260" s="350">
        <f t="shared" si="285"/>
        <v>66</v>
      </c>
      <c r="CA260" s="350">
        <f t="shared" si="285"/>
        <v>67</v>
      </c>
      <c r="CB260" s="350">
        <f t="shared" si="285"/>
        <v>68</v>
      </c>
      <c r="CC260" s="350">
        <f t="shared" si="285"/>
        <v>69</v>
      </c>
      <c r="CD260" s="350">
        <f t="shared" si="285"/>
        <v>70</v>
      </c>
      <c r="CE260" s="350">
        <f t="shared" si="285"/>
        <v>71</v>
      </c>
      <c r="CF260" s="350">
        <f t="shared" si="285"/>
        <v>72</v>
      </c>
      <c r="CG260" s="350">
        <f t="shared" si="285"/>
        <v>73</v>
      </c>
      <c r="CH260" s="350">
        <f t="shared" si="285"/>
        <v>74</v>
      </c>
      <c r="CI260" s="350">
        <f t="shared" si="285"/>
        <v>75</v>
      </c>
      <c r="CJ260" s="350">
        <f t="shared" si="285"/>
        <v>76</v>
      </c>
      <c r="CK260" s="350">
        <f t="shared" si="285"/>
        <v>77</v>
      </c>
      <c r="CL260" s="350">
        <f t="shared" si="285"/>
        <v>78</v>
      </c>
      <c r="CM260" s="350">
        <f t="shared" si="285"/>
        <v>79</v>
      </c>
      <c r="CN260" s="350">
        <f t="shared" si="285"/>
        <v>80</v>
      </c>
      <c r="CO260" s="350">
        <f t="shared" si="285"/>
        <v>81</v>
      </c>
      <c r="CP260" s="350">
        <f t="shared" si="285"/>
        <v>82</v>
      </c>
      <c r="CQ260" s="350">
        <f t="shared" si="285"/>
        <v>83</v>
      </c>
      <c r="CR260" s="350">
        <f t="shared" si="285"/>
        <v>84</v>
      </c>
      <c r="CS260" s="350">
        <f t="shared" si="285"/>
        <v>85</v>
      </c>
      <c r="CT260" s="350">
        <f t="shared" si="285"/>
        <v>86</v>
      </c>
      <c r="CU260" s="350">
        <f t="shared" si="285"/>
        <v>87</v>
      </c>
      <c r="CV260" s="350">
        <f t="shared" si="285"/>
        <v>88</v>
      </c>
      <c r="CW260" s="350">
        <f t="shared" si="285"/>
        <v>89</v>
      </c>
      <c r="CX260" s="350">
        <f t="shared" si="285"/>
        <v>90</v>
      </c>
      <c r="CY260" s="350">
        <f t="shared" si="285"/>
        <v>91</v>
      </c>
      <c r="CZ260" s="350">
        <f t="shared" si="285"/>
        <v>92</v>
      </c>
      <c r="DA260" s="350">
        <f t="shared" si="285"/>
        <v>93</v>
      </c>
      <c r="DB260" s="350">
        <f t="shared" si="285"/>
        <v>94</v>
      </c>
      <c r="DC260" s="350">
        <f t="shared" si="285"/>
        <v>95</v>
      </c>
      <c r="DD260" s="350">
        <f t="shared" si="285"/>
        <v>96</v>
      </c>
      <c r="DE260" s="350">
        <f t="shared" si="285"/>
        <v>97</v>
      </c>
      <c r="DF260" s="350">
        <f t="shared" si="285"/>
        <v>98</v>
      </c>
      <c r="DG260" s="350">
        <f t="shared" si="285"/>
        <v>99</v>
      </c>
      <c r="DH260" s="350">
        <f t="shared" si="285"/>
        <v>100</v>
      </c>
      <c r="DI260" s="350">
        <f t="shared" si="285"/>
        <v>101</v>
      </c>
      <c r="DJ260" s="350">
        <f t="shared" si="285"/>
        <v>102</v>
      </c>
      <c r="DK260" s="350">
        <f t="shared" si="285"/>
        <v>103</v>
      </c>
      <c r="DL260" s="350">
        <f t="shared" si="285"/>
        <v>104</v>
      </c>
      <c r="DM260" s="350">
        <f t="shared" si="285"/>
        <v>105</v>
      </c>
      <c r="DN260" s="350">
        <f t="shared" si="285"/>
        <v>106</v>
      </c>
      <c r="DO260" s="350">
        <f t="shared" si="285"/>
        <v>107</v>
      </c>
      <c r="DP260" s="350">
        <f t="shared" si="285"/>
        <v>108</v>
      </c>
      <c r="DQ260" s="350">
        <f t="shared" si="285"/>
        <v>109</v>
      </c>
      <c r="DR260" s="350">
        <f t="shared" si="285"/>
        <v>110</v>
      </c>
      <c r="DS260" s="350">
        <f t="shared" si="285"/>
        <v>111</v>
      </c>
      <c r="DT260" s="350">
        <f t="shared" si="285"/>
        <v>112</v>
      </c>
      <c r="DU260" s="350">
        <f t="shared" si="285"/>
        <v>113</v>
      </c>
      <c r="DV260" s="350">
        <f t="shared" si="285"/>
        <v>114</v>
      </c>
      <c r="DW260" s="350">
        <f t="shared" si="285"/>
        <v>115</v>
      </c>
      <c r="DX260" s="350">
        <f t="shared" si="285"/>
        <v>116</v>
      </c>
      <c r="DY260" s="350">
        <f t="shared" si="285"/>
        <v>117</v>
      </c>
      <c r="DZ260" s="350">
        <f t="shared" si="285"/>
        <v>118</v>
      </c>
      <c r="EA260" s="350">
        <f t="shared" si="285"/>
        <v>119</v>
      </c>
      <c r="EB260" s="350">
        <f t="shared" si="285"/>
        <v>120</v>
      </c>
      <c r="EC260" s="350">
        <f t="shared" si="285"/>
        <v>121</v>
      </c>
      <c r="ED260" s="350">
        <f t="shared" si="285"/>
        <v>122</v>
      </c>
      <c r="EE260" s="350">
        <f t="shared" si="285"/>
        <v>123</v>
      </c>
      <c r="EF260" s="350">
        <f t="shared" si="285"/>
        <v>124</v>
      </c>
      <c r="EG260" s="350">
        <f t="shared" ref="EG260:GR260" si="286">EG6</f>
        <v>125</v>
      </c>
      <c r="EH260" s="350">
        <f t="shared" si="286"/>
        <v>126</v>
      </c>
      <c r="EI260" s="350">
        <f t="shared" si="286"/>
        <v>127</v>
      </c>
      <c r="EJ260" s="350">
        <f t="shared" si="286"/>
        <v>128</v>
      </c>
      <c r="EK260" s="350">
        <f t="shared" si="286"/>
        <v>129</v>
      </c>
      <c r="EL260" s="350">
        <f t="shared" si="286"/>
        <v>130</v>
      </c>
      <c r="EM260" s="350">
        <f t="shared" si="286"/>
        <v>131</v>
      </c>
      <c r="EN260" s="350">
        <f t="shared" si="286"/>
        <v>132</v>
      </c>
      <c r="EO260" s="350">
        <f t="shared" si="286"/>
        <v>133</v>
      </c>
      <c r="EP260" s="350">
        <f t="shared" si="286"/>
        <v>134</v>
      </c>
      <c r="EQ260" s="350">
        <f t="shared" si="286"/>
        <v>135</v>
      </c>
      <c r="ER260" s="350">
        <f t="shared" si="286"/>
        <v>136</v>
      </c>
      <c r="ES260" s="350">
        <f t="shared" si="286"/>
        <v>137</v>
      </c>
      <c r="ET260" s="350">
        <f t="shared" si="286"/>
        <v>138</v>
      </c>
      <c r="EU260" s="350">
        <f t="shared" si="286"/>
        <v>139</v>
      </c>
      <c r="EV260" s="350">
        <f t="shared" si="286"/>
        <v>140</v>
      </c>
      <c r="EW260" s="350">
        <f t="shared" si="286"/>
        <v>141</v>
      </c>
      <c r="EX260" s="350">
        <f t="shared" si="286"/>
        <v>142</v>
      </c>
      <c r="EY260" s="350">
        <f t="shared" si="286"/>
        <v>143</v>
      </c>
      <c r="EZ260" s="350">
        <f t="shared" si="286"/>
        <v>144</v>
      </c>
      <c r="FA260" s="350">
        <f t="shared" si="286"/>
        <v>145</v>
      </c>
      <c r="FB260" s="350">
        <f t="shared" si="286"/>
        <v>146</v>
      </c>
      <c r="FC260" s="350">
        <f t="shared" si="286"/>
        <v>147</v>
      </c>
      <c r="FD260" s="350">
        <f t="shared" si="286"/>
        <v>148</v>
      </c>
      <c r="FE260" s="350">
        <f t="shared" si="286"/>
        <v>149</v>
      </c>
      <c r="FF260" s="350">
        <f t="shared" si="286"/>
        <v>150</v>
      </c>
      <c r="FG260" s="350">
        <f t="shared" si="286"/>
        <v>151</v>
      </c>
      <c r="FH260" s="350">
        <f t="shared" si="286"/>
        <v>152</v>
      </c>
      <c r="FI260" s="350">
        <f t="shared" si="286"/>
        <v>153</v>
      </c>
      <c r="FJ260" s="350">
        <f t="shared" si="286"/>
        <v>154</v>
      </c>
      <c r="FK260" s="350">
        <f t="shared" si="286"/>
        <v>155</v>
      </c>
      <c r="FL260" s="350">
        <f t="shared" si="286"/>
        <v>156</v>
      </c>
      <c r="FM260" s="350">
        <f t="shared" si="286"/>
        <v>157</v>
      </c>
      <c r="FN260" s="350">
        <f t="shared" si="286"/>
        <v>158</v>
      </c>
      <c r="FO260" s="350">
        <f t="shared" si="286"/>
        <v>159</v>
      </c>
      <c r="FP260" s="350">
        <f t="shared" si="286"/>
        <v>160</v>
      </c>
      <c r="FQ260" s="350">
        <f t="shared" si="286"/>
        <v>161</v>
      </c>
      <c r="FR260" s="350">
        <f t="shared" si="286"/>
        <v>162</v>
      </c>
      <c r="FS260" s="350">
        <f t="shared" si="286"/>
        <v>163</v>
      </c>
      <c r="FT260" s="350">
        <f t="shared" si="286"/>
        <v>164</v>
      </c>
      <c r="FU260" s="350">
        <f t="shared" si="286"/>
        <v>165</v>
      </c>
      <c r="FV260" s="350">
        <f t="shared" si="286"/>
        <v>166</v>
      </c>
      <c r="FW260" s="350">
        <f t="shared" si="286"/>
        <v>167</v>
      </c>
      <c r="FX260" s="350">
        <f t="shared" si="286"/>
        <v>168</v>
      </c>
      <c r="FY260" s="350">
        <f t="shared" si="286"/>
        <v>169</v>
      </c>
      <c r="FZ260" s="350">
        <f t="shared" si="286"/>
        <v>170</v>
      </c>
      <c r="GA260" s="350">
        <f t="shared" si="286"/>
        <v>171</v>
      </c>
      <c r="GB260" s="350">
        <f t="shared" si="286"/>
        <v>172</v>
      </c>
      <c r="GC260" s="350">
        <f t="shared" si="286"/>
        <v>173</v>
      </c>
      <c r="GD260" s="350">
        <f t="shared" si="286"/>
        <v>174</v>
      </c>
      <c r="GE260" s="350">
        <f t="shared" si="286"/>
        <v>175</v>
      </c>
      <c r="GF260" s="350">
        <f t="shared" si="286"/>
        <v>176</v>
      </c>
      <c r="GG260" s="350">
        <f t="shared" si="286"/>
        <v>177</v>
      </c>
      <c r="GH260" s="350">
        <f t="shared" si="286"/>
        <v>178</v>
      </c>
      <c r="GI260" s="350">
        <f t="shared" si="286"/>
        <v>179</v>
      </c>
      <c r="GJ260" s="350">
        <f t="shared" si="286"/>
        <v>180</v>
      </c>
      <c r="GK260" s="350">
        <f t="shared" si="286"/>
        <v>181</v>
      </c>
      <c r="GL260" s="350">
        <f t="shared" si="286"/>
        <v>182</v>
      </c>
      <c r="GM260" s="350">
        <f t="shared" si="286"/>
        <v>183</v>
      </c>
      <c r="GN260" s="350">
        <f t="shared" si="286"/>
        <v>184</v>
      </c>
      <c r="GO260" s="350">
        <f t="shared" si="286"/>
        <v>185</v>
      </c>
      <c r="GP260" s="350">
        <f t="shared" si="286"/>
        <v>186</v>
      </c>
      <c r="GQ260" s="350">
        <f t="shared" si="286"/>
        <v>187</v>
      </c>
      <c r="GR260" s="350">
        <f t="shared" si="286"/>
        <v>188</v>
      </c>
      <c r="GS260" s="350">
        <f t="shared" ref="GS260:IK260" si="287">GS6</f>
        <v>189</v>
      </c>
      <c r="GT260" s="350">
        <f t="shared" si="287"/>
        <v>190</v>
      </c>
      <c r="GU260" s="350">
        <f t="shared" si="287"/>
        <v>191</v>
      </c>
      <c r="GV260" s="350">
        <f t="shared" si="287"/>
        <v>192</v>
      </c>
      <c r="GW260" s="350">
        <f t="shared" si="287"/>
        <v>193</v>
      </c>
      <c r="GX260" s="350">
        <f t="shared" si="287"/>
        <v>194</v>
      </c>
      <c r="GY260" s="350">
        <f t="shared" si="287"/>
        <v>195</v>
      </c>
      <c r="GZ260" s="350">
        <f t="shared" si="287"/>
        <v>196</v>
      </c>
      <c r="HA260" s="350">
        <f t="shared" si="287"/>
        <v>197</v>
      </c>
      <c r="HB260" s="350">
        <f t="shared" si="287"/>
        <v>198</v>
      </c>
      <c r="HC260" s="350">
        <f t="shared" si="287"/>
        <v>199</v>
      </c>
      <c r="HD260" s="350">
        <f t="shared" si="287"/>
        <v>200</v>
      </c>
      <c r="HE260" s="350">
        <f t="shared" si="287"/>
        <v>201</v>
      </c>
      <c r="HF260" s="350">
        <f t="shared" si="287"/>
        <v>202</v>
      </c>
      <c r="HG260" s="350">
        <f t="shared" si="287"/>
        <v>203</v>
      </c>
      <c r="HH260" s="350">
        <f t="shared" si="287"/>
        <v>204</v>
      </c>
      <c r="HI260" s="350">
        <f t="shared" si="287"/>
        <v>205</v>
      </c>
      <c r="HJ260" s="350">
        <f t="shared" si="287"/>
        <v>206</v>
      </c>
      <c r="HK260" s="350">
        <f t="shared" si="287"/>
        <v>207</v>
      </c>
      <c r="HL260" s="350">
        <f t="shared" si="287"/>
        <v>208</v>
      </c>
      <c r="HM260" s="350">
        <f t="shared" si="287"/>
        <v>209</v>
      </c>
      <c r="HN260" s="350">
        <f t="shared" si="287"/>
        <v>210</v>
      </c>
      <c r="HO260" s="350">
        <f t="shared" si="287"/>
        <v>211</v>
      </c>
      <c r="HP260" s="350">
        <f t="shared" si="287"/>
        <v>212</v>
      </c>
      <c r="HQ260" s="350">
        <f t="shared" si="287"/>
        <v>213</v>
      </c>
      <c r="HR260" s="350">
        <f t="shared" si="287"/>
        <v>214</v>
      </c>
      <c r="HS260" s="350">
        <f t="shared" si="287"/>
        <v>215</v>
      </c>
      <c r="HT260" s="350">
        <f t="shared" si="287"/>
        <v>216</v>
      </c>
      <c r="HU260" s="350">
        <f t="shared" si="287"/>
        <v>217</v>
      </c>
      <c r="HV260" s="350">
        <f t="shared" si="287"/>
        <v>218</v>
      </c>
      <c r="HW260" s="350">
        <f t="shared" si="287"/>
        <v>219</v>
      </c>
      <c r="HX260" s="350">
        <f t="shared" si="287"/>
        <v>220</v>
      </c>
      <c r="HY260" s="350">
        <f t="shared" si="287"/>
        <v>221</v>
      </c>
      <c r="HZ260" s="350">
        <f t="shared" si="287"/>
        <v>222</v>
      </c>
      <c r="IA260" s="350">
        <f t="shared" si="287"/>
        <v>223</v>
      </c>
      <c r="IB260" s="350">
        <f t="shared" si="287"/>
        <v>224</v>
      </c>
      <c r="IC260" s="350">
        <f t="shared" si="287"/>
        <v>225</v>
      </c>
      <c r="ID260" s="350">
        <f t="shared" si="287"/>
        <v>226</v>
      </c>
      <c r="IE260" s="350">
        <f t="shared" si="287"/>
        <v>227</v>
      </c>
      <c r="IF260" s="350">
        <f t="shared" si="287"/>
        <v>228</v>
      </c>
      <c r="IG260" s="350">
        <f t="shared" si="287"/>
        <v>229</v>
      </c>
      <c r="IH260" s="350">
        <f t="shared" si="287"/>
        <v>230</v>
      </c>
      <c r="II260" s="350">
        <f t="shared" si="287"/>
        <v>231</v>
      </c>
      <c r="IJ260" s="350">
        <f t="shared" si="287"/>
        <v>232</v>
      </c>
      <c r="IK260" s="350">
        <f t="shared" si="287"/>
        <v>233</v>
      </c>
    </row>
    <row r="261" spans="1:245" hidden="1" x14ac:dyDescent="0.35">
      <c r="A261" s="205"/>
      <c r="B261" s="32"/>
      <c r="C261" s="32"/>
      <c r="D261" s="32"/>
      <c r="E261" s="32"/>
      <c r="F261" s="32"/>
      <c r="G261" s="32"/>
      <c r="H261" s="343"/>
      <c r="I261" s="343"/>
      <c r="J261" s="343"/>
      <c r="K261" s="343"/>
      <c r="L261" s="343"/>
      <c r="M261" s="343"/>
      <c r="N261" s="343"/>
      <c r="O261" s="343"/>
      <c r="P261" s="343"/>
      <c r="Q261" s="343"/>
      <c r="R261" s="343"/>
      <c r="S261" s="343"/>
      <c r="T261" s="343"/>
      <c r="U261" s="343"/>
      <c r="V261" s="343"/>
      <c r="W261" s="343"/>
      <c r="X261" s="343"/>
      <c r="Y261" s="343"/>
      <c r="Z261" s="343"/>
      <c r="AA261" s="343"/>
      <c r="AB261" s="343"/>
      <c r="AC261" s="343"/>
      <c r="AD261" s="343"/>
      <c r="AE261" s="343"/>
      <c r="AF261" s="343"/>
      <c r="AG261" s="343"/>
      <c r="AH261" s="343"/>
      <c r="AI261" s="343"/>
      <c r="AJ261" s="343"/>
      <c r="AK261" s="343"/>
      <c r="AL261" s="343"/>
      <c r="AM261" s="343"/>
      <c r="AN261" s="343"/>
      <c r="AO261" s="343"/>
      <c r="AP261" s="343"/>
      <c r="AQ261" s="343"/>
      <c r="AR261" s="343"/>
      <c r="AS261" s="343"/>
      <c r="AT261" s="343"/>
      <c r="AU261" s="343"/>
      <c r="AV261" s="343"/>
      <c r="AW261" s="343"/>
      <c r="AX261" s="343"/>
      <c r="AY261" s="343"/>
      <c r="AZ261" s="343"/>
      <c r="BA261" s="343"/>
      <c r="BB261" s="343"/>
      <c r="BC261" s="343"/>
      <c r="BD261" s="343"/>
      <c r="BE261" s="343"/>
      <c r="BF261" s="343"/>
      <c r="BG261" s="343"/>
      <c r="BH261" s="343"/>
      <c r="BI261" s="343"/>
      <c r="BJ261" s="343"/>
      <c r="BK261" s="343"/>
      <c r="BL261" s="343"/>
      <c r="BM261" s="343"/>
      <c r="BN261" s="343"/>
      <c r="BO261" s="343"/>
      <c r="BP261" s="343"/>
      <c r="BQ261" s="343"/>
      <c r="BR261" s="343"/>
      <c r="BS261" s="343"/>
      <c r="BT261" s="343"/>
      <c r="BU261" s="343"/>
      <c r="BV261" s="343"/>
      <c r="BW261" s="343"/>
      <c r="BX261" s="343"/>
      <c r="BY261" s="343"/>
      <c r="BZ261" s="343"/>
      <c r="CA261" s="343"/>
      <c r="CB261" s="343"/>
      <c r="CC261" s="343"/>
      <c r="CD261" s="343"/>
      <c r="CE261" s="343"/>
      <c r="CF261" s="343"/>
      <c r="CG261" s="343"/>
      <c r="CH261" s="343"/>
      <c r="CI261" s="343"/>
      <c r="CJ261" s="343"/>
      <c r="CK261" s="343"/>
      <c r="CL261" s="343"/>
      <c r="CM261" s="343"/>
      <c r="CN261" s="343"/>
      <c r="CO261" s="343"/>
      <c r="CP261" s="343"/>
      <c r="CQ261" s="343"/>
      <c r="CR261" s="343"/>
      <c r="CS261" s="343"/>
      <c r="CT261" s="343"/>
      <c r="CU261" s="343"/>
      <c r="CV261" s="343"/>
      <c r="CW261" s="343"/>
      <c r="CX261" s="343"/>
      <c r="CY261" s="343"/>
      <c r="CZ261" s="343"/>
      <c r="DA261" s="343"/>
      <c r="DB261" s="343"/>
      <c r="DC261" s="343"/>
      <c r="DD261" s="343"/>
      <c r="DE261" s="343"/>
      <c r="DF261" s="343"/>
      <c r="DG261" s="343"/>
      <c r="DH261" s="343"/>
      <c r="DI261" s="343"/>
      <c r="DJ261" s="343"/>
      <c r="DK261" s="343"/>
      <c r="DL261" s="343"/>
      <c r="DM261" s="343"/>
      <c r="DN261" s="343"/>
      <c r="DO261" s="343"/>
      <c r="DP261" s="343"/>
      <c r="DQ261" s="343"/>
      <c r="DR261" s="343"/>
      <c r="DS261" s="343"/>
      <c r="DT261" s="343"/>
      <c r="DU261" s="343"/>
      <c r="DV261" s="347"/>
      <c r="DW261" s="343"/>
      <c r="DX261" s="343"/>
      <c r="DY261" s="343"/>
      <c r="DZ261" s="343"/>
      <c r="EA261" s="343"/>
      <c r="EB261" s="343"/>
      <c r="EC261" s="347"/>
      <c r="ED261" s="343"/>
      <c r="EE261" s="343"/>
      <c r="EF261" s="343"/>
      <c r="EG261" s="343"/>
      <c r="EH261" s="343"/>
      <c r="EI261" s="343"/>
      <c r="EJ261" s="347"/>
      <c r="EK261" s="343"/>
      <c r="EL261" s="343"/>
      <c r="EM261" s="343"/>
      <c r="EN261" s="343"/>
      <c r="EO261" s="343"/>
      <c r="EP261" s="343"/>
      <c r="EQ261" s="347"/>
      <c r="ER261" s="343"/>
      <c r="ES261" s="343"/>
      <c r="ET261" s="343"/>
      <c r="EU261" s="343"/>
      <c r="EV261" s="343"/>
      <c r="EW261" s="343"/>
      <c r="EX261" s="343"/>
      <c r="EY261" s="343"/>
      <c r="EZ261" s="343"/>
      <c r="FA261" s="343"/>
      <c r="FB261" s="343"/>
      <c r="FC261" s="343"/>
      <c r="FD261" s="343"/>
      <c r="FE261" s="343"/>
      <c r="FF261" s="343"/>
      <c r="FG261" s="343"/>
      <c r="FH261" s="343"/>
      <c r="FI261" s="343"/>
      <c r="FJ261" s="343"/>
      <c r="FK261" s="343"/>
      <c r="FL261" s="343"/>
      <c r="FM261" s="343"/>
      <c r="FN261" s="343"/>
      <c r="FO261" s="343"/>
      <c r="FP261" s="343"/>
      <c r="FQ261" s="343"/>
      <c r="FR261" s="343"/>
      <c r="FS261" s="343"/>
      <c r="FT261" s="343"/>
      <c r="FU261" s="343"/>
      <c r="FV261" s="343"/>
      <c r="FW261" s="343"/>
      <c r="FX261" s="343"/>
      <c r="FY261" s="343"/>
      <c r="FZ261" s="343"/>
      <c r="GA261" s="343"/>
      <c r="GB261" s="343"/>
      <c r="GC261" s="343"/>
      <c r="GD261" s="343"/>
      <c r="GE261" s="343"/>
      <c r="GF261" s="343"/>
      <c r="GG261" s="343"/>
      <c r="GH261" s="343"/>
      <c r="GI261" s="343"/>
      <c r="GJ261" s="343"/>
      <c r="GK261" s="343"/>
      <c r="GL261" s="343"/>
      <c r="GM261" s="343"/>
      <c r="GN261" s="343"/>
      <c r="GO261" s="343"/>
      <c r="GP261" s="343"/>
      <c r="GQ261" s="343"/>
      <c r="GR261" s="343"/>
      <c r="GS261" s="343"/>
      <c r="GT261" s="343"/>
      <c r="GU261" s="343"/>
      <c r="GV261" s="343"/>
      <c r="GW261" s="343"/>
      <c r="GX261" s="343"/>
      <c r="GY261" s="343"/>
      <c r="GZ261" s="343"/>
      <c r="HA261" s="343"/>
      <c r="HB261" s="343"/>
      <c r="HC261" s="343"/>
      <c r="HD261" s="343"/>
      <c r="HE261" s="343"/>
      <c r="HF261" s="343"/>
      <c r="HG261" s="343"/>
      <c r="HH261" s="343"/>
      <c r="HI261" s="343"/>
      <c r="HJ261" s="343"/>
      <c r="HK261" s="343"/>
      <c r="HL261" s="343"/>
      <c r="HM261" s="343"/>
      <c r="HN261" s="343"/>
      <c r="HO261" s="343"/>
      <c r="HP261" s="343"/>
      <c r="HQ261" s="343"/>
      <c r="HR261" s="343"/>
      <c r="HS261" s="343"/>
      <c r="HT261" s="343"/>
      <c r="HU261" s="343"/>
      <c r="HV261" s="343"/>
      <c r="HW261" s="343"/>
      <c r="HX261" s="343"/>
      <c r="HY261" s="343"/>
      <c r="HZ261" s="343"/>
      <c r="IA261" s="343"/>
      <c r="IB261" s="343"/>
      <c r="IC261" s="343"/>
      <c r="ID261" s="343"/>
      <c r="IE261" s="343"/>
      <c r="IF261" s="343"/>
      <c r="IG261" s="343"/>
      <c r="IH261" s="343"/>
      <c r="II261" s="343"/>
      <c r="IJ261" s="343"/>
      <c r="IK261" s="343"/>
    </row>
    <row r="262" spans="1:245" hidden="1" x14ac:dyDescent="0.35">
      <c r="A262" s="205"/>
      <c r="B262" s="32"/>
      <c r="C262" s="32"/>
      <c r="D262" s="32"/>
      <c r="E262" s="32"/>
      <c r="F262" s="32"/>
      <c r="G262" s="32"/>
      <c r="H262" s="1915">
        <f ca="1">$J$2</f>
        <v>45914</v>
      </c>
      <c r="I262" s="1915">
        <f t="shared" ref="I262:BT262" ca="1" si="288">IF($J$2=0,0,H262+1)</f>
        <v>45915</v>
      </c>
      <c r="J262" s="1915">
        <f t="shared" ca="1" si="288"/>
        <v>45916</v>
      </c>
      <c r="K262" s="1915">
        <f t="shared" ca="1" si="288"/>
        <v>45917</v>
      </c>
      <c r="L262" s="1915">
        <f t="shared" ca="1" si="288"/>
        <v>45918</v>
      </c>
      <c r="M262" s="1915">
        <f t="shared" ca="1" si="288"/>
        <v>45919</v>
      </c>
      <c r="N262" s="1915">
        <f t="shared" ca="1" si="288"/>
        <v>45920</v>
      </c>
      <c r="O262" s="1915">
        <f t="shared" ca="1" si="288"/>
        <v>45921</v>
      </c>
      <c r="P262" s="1915">
        <f t="shared" ca="1" si="288"/>
        <v>45922</v>
      </c>
      <c r="Q262" s="1915">
        <f t="shared" ca="1" si="288"/>
        <v>45923</v>
      </c>
      <c r="R262" s="1915">
        <f t="shared" ca="1" si="288"/>
        <v>45924</v>
      </c>
      <c r="S262" s="1915">
        <f t="shared" ca="1" si="288"/>
        <v>45925</v>
      </c>
      <c r="T262" s="1915">
        <f t="shared" ca="1" si="288"/>
        <v>45926</v>
      </c>
      <c r="U262" s="1915">
        <f t="shared" ca="1" si="288"/>
        <v>45927</v>
      </c>
      <c r="V262" s="1915">
        <f t="shared" ca="1" si="288"/>
        <v>45928</v>
      </c>
      <c r="W262" s="1915">
        <f t="shared" ca="1" si="288"/>
        <v>45929</v>
      </c>
      <c r="X262" s="1915">
        <f t="shared" ca="1" si="288"/>
        <v>45930</v>
      </c>
      <c r="Y262" s="1915">
        <f t="shared" ca="1" si="288"/>
        <v>45931</v>
      </c>
      <c r="Z262" s="1915">
        <f t="shared" ca="1" si="288"/>
        <v>45932</v>
      </c>
      <c r="AA262" s="1915">
        <f t="shared" ca="1" si="288"/>
        <v>45933</v>
      </c>
      <c r="AB262" s="1915">
        <f t="shared" ca="1" si="288"/>
        <v>45934</v>
      </c>
      <c r="AC262" s="1915">
        <f t="shared" ca="1" si="288"/>
        <v>45935</v>
      </c>
      <c r="AD262" s="1915">
        <f t="shared" ca="1" si="288"/>
        <v>45936</v>
      </c>
      <c r="AE262" s="1915">
        <f t="shared" ca="1" si="288"/>
        <v>45937</v>
      </c>
      <c r="AF262" s="1915">
        <f t="shared" ca="1" si="288"/>
        <v>45938</v>
      </c>
      <c r="AG262" s="1915">
        <f t="shared" ca="1" si="288"/>
        <v>45939</v>
      </c>
      <c r="AH262" s="1915">
        <f t="shared" ca="1" si="288"/>
        <v>45940</v>
      </c>
      <c r="AI262" s="1915">
        <f t="shared" ca="1" si="288"/>
        <v>45941</v>
      </c>
      <c r="AJ262" s="1915">
        <f t="shared" ca="1" si="288"/>
        <v>45942</v>
      </c>
      <c r="AK262" s="1915">
        <f t="shared" ca="1" si="288"/>
        <v>45943</v>
      </c>
      <c r="AL262" s="1915">
        <f t="shared" ca="1" si="288"/>
        <v>45944</v>
      </c>
      <c r="AM262" s="1915">
        <f t="shared" ca="1" si="288"/>
        <v>45945</v>
      </c>
      <c r="AN262" s="1915">
        <f t="shared" ca="1" si="288"/>
        <v>45946</v>
      </c>
      <c r="AO262" s="1915">
        <f t="shared" ca="1" si="288"/>
        <v>45947</v>
      </c>
      <c r="AP262" s="1915">
        <f t="shared" ca="1" si="288"/>
        <v>45948</v>
      </c>
      <c r="AQ262" s="1915">
        <f t="shared" ca="1" si="288"/>
        <v>45949</v>
      </c>
      <c r="AR262" s="1915">
        <f t="shared" ca="1" si="288"/>
        <v>45950</v>
      </c>
      <c r="AS262" s="1915">
        <f t="shared" ca="1" si="288"/>
        <v>45951</v>
      </c>
      <c r="AT262" s="1915">
        <f t="shared" ca="1" si="288"/>
        <v>45952</v>
      </c>
      <c r="AU262" s="1915">
        <f t="shared" ca="1" si="288"/>
        <v>45953</v>
      </c>
      <c r="AV262" s="1915">
        <f t="shared" ca="1" si="288"/>
        <v>45954</v>
      </c>
      <c r="AW262" s="1915">
        <f t="shared" ca="1" si="288"/>
        <v>45955</v>
      </c>
      <c r="AX262" s="1915">
        <f t="shared" ca="1" si="288"/>
        <v>45956</v>
      </c>
      <c r="AY262" s="1915">
        <f t="shared" ca="1" si="288"/>
        <v>45957</v>
      </c>
      <c r="AZ262" s="1915">
        <f t="shared" ca="1" si="288"/>
        <v>45958</v>
      </c>
      <c r="BA262" s="1915">
        <f t="shared" ca="1" si="288"/>
        <v>45959</v>
      </c>
      <c r="BB262" s="1915">
        <f t="shared" ca="1" si="288"/>
        <v>45960</v>
      </c>
      <c r="BC262" s="1915">
        <f t="shared" ca="1" si="288"/>
        <v>45961</v>
      </c>
      <c r="BD262" s="1915">
        <f t="shared" ca="1" si="288"/>
        <v>45962</v>
      </c>
      <c r="BE262" s="1915">
        <f t="shared" ca="1" si="288"/>
        <v>45963</v>
      </c>
      <c r="BF262" s="1915">
        <f t="shared" ca="1" si="288"/>
        <v>45964</v>
      </c>
      <c r="BG262" s="1915">
        <f t="shared" ca="1" si="288"/>
        <v>45965</v>
      </c>
      <c r="BH262" s="1915">
        <f t="shared" ca="1" si="288"/>
        <v>45966</v>
      </c>
      <c r="BI262" s="1915">
        <f t="shared" ca="1" si="288"/>
        <v>45967</v>
      </c>
      <c r="BJ262" s="1915">
        <f t="shared" ca="1" si="288"/>
        <v>45968</v>
      </c>
      <c r="BK262" s="1915">
        <f t="shared" ca="1" si="288"/>
        <v>45969</v>
      </c>
      <c r="BL262" s="1915">
        <f t="shared" ca="1" si="288"/>
        <v>45970</v>
      </c>
      <c r="BM262" s="1915">
        <f t="shared" ca="1" si="288"/>
        <v>45971</v>
      </c>
      <c r="BN262" s="1915">
        <f t="shared" ca="1" si="288"/>
        <v>45972</v>
      </c>
      <c r="BO262" s="1915">
        <f t="shared" ca="1" si="288"/>
        <v>45973</v>
      </c>
      <c r="BP262" s="1915">
        <f t="shared" ca="1" si="288"/>
        <v>45974</v>
      </c>
      <c r="BQ262" s="1915">
        <f t="shared" ca="1" si="288"/>
        <v>45975</v>
      </c>
      <c r="BR262" s="1915">
        <f t="shared" ca="1" si="288"/>
        <v>45976</v>
      </c>
      <c r="BS262" s="1915">
        <f t="shared" ca="1" si="288"/>
        <v>45977</v>
      </c>
      <c r="BT262" s="1915">
        <f t="shared" ca="1" si="288"/>
        <v>45978</v>
      </c>
      <c r="BU262" s="1915">
        <f t="shared" ref="BU262:EF262" ca="1" si="289">IF($J$2=0,0,BT262+1)</f>
        <v>45979</v>
      </c>
      <c r="BV262" s="1915">
        <f t="shared" ca="1" si="289"/>
        <v>45980</v>
      </c>
      <c r="BW262" s="1915">
        <f t="shared" ca="1" si="289"/>
        <v>45981</v>
      </c>
      <c r="BX262" s="1915">
        <f t="shared" ca="1" si="289"/>
        <v>45982</v>
      </c>
      <c r="BY262" s="1915">
        <f t="shared" ca="1" si="289"/>
        <v>45983</v>
      </c>
      <c r="BZ262" s="1915">
        <f t="shared" ca="1" si="289"/>
        <v>45984</v>
      </c>
      <c r="CA262" s="1915">
        <f t="shared" ca="1" si="289"/>
        <v>45985</v>
      </c>
      <c r="CB262" s="1915">
        <f t="shared" ca="1" si="289"/>
        <v>45986</v>
      </c>
      <c r="CC262" s="1915">
        <f t="shared" ca="1" si="289"/>
        <v>45987</v>
      </c>
      <c r="CD262" s="1915">
        <f t="shared" ca="1" si="289"/>
        <v>45988</v>
      </c>
      <c r="CE262" s="1915">
        <f t="shared" ca="1" si="289"/>
        <v>45989</v>
      </c>
      <c r="CF262" s="1915">
        <f t="shared" ca="1" si="289"/>
        <v>45990</v>
      </c>
      <c r="CG262" s="1915">
        <f t="shared" ca="1" si="289"/>
        <v>45991</v>
      </c>
      <c r="CH262" s="1915">
        <f t="shared" ca="1" si="289"/>
        <v>45992</v>
      </c>
      <c r="CI262" s="1915">
        <f t="shared" ca="1" si="289"/>
        <v>45993</v>
      </c>
      <c r="CJ262" s="1915">
        <f t="shared" ca="1" si="289"/>
        <v>45994</v>
      </c>
      <c r="CK262" s="1915">
        <f t="shared" ca="1" si="289"/>
        <v>45995</v>
      </c>
      <c r="CL262" s="1915">
        <f t="shared" ca="1" si="289"/>
        <v>45996</v>
      </c>
      <c r="CM262" s="1915">
        <f t="shared" ca="1" si="289"/>
        <v>45997</v>
      </c>
      <c r="CN262" s="1915">
        <f t="shared" ca="1" si="289"/>
        <v>45998</v>
      </c>
      <c r="CO262" s="1915">
        <f t="shared" ca="1" si="289"/>
        <v>45999</v>
      </c>
      <c r="CP262" s="1915">
        <f t="shared" ca="1" si="289"/>
        <v>46000</v>
      </c>
      <c r="CQ262" s="1915">
        <f t="shared" ca="1" si="289"/>
        <v>46001</v>
      </c>
      <c r="CR262" s="1915">
        <f t="shared" ca="1" si="289"/>
        <v>46002</v>
      </c>
      <c r="CS262" s="1915">
        <f t="shared" ca="1" si="289"/>
        <v>46003</v>
      </c>
      <c r="CT262" s="1915">
        <f t="shared" ca="1" si="289"/>
        <v>46004</v>
      </c>
      <c r="CU262" s="1915">
        <f t="shared" ca="1" si="289"/>
        <v>46005</v>
      </c>
      <c r="CV262" s="1915">
        <f t="shared" ca="1" si="289"/>
        <v>46006</v>
      </c>
      <c r="CW262" s="1915">
        <f t="shared" ca="1" si="289"/>
        <v>46007</v>
      </c>
      <c r="CX262" s="1915">
        <f t="shared" ca="1" si="289"/>
        <v>46008</v>
      </c>
      <c r="CY262" s="1915">
        <f t="shared" ca="1" si="289"/>
        <v>46009</v>
      </c>
      <c r="CZ262" s="1915">
        <f t="shared" ca="1" si="289"/>
        <v>46010</v>
      </c>
      <c r="DA262" s="1915">
        <f t="shared" ca="1" si="289"/>
        <v>46011</v>
      </c>
      <c r="DB262" s="1915">
        <f t="shared" ca="1" si="289"/>
        <v>46012</v>
      </c>
      <c r="DC262" s="1915">
        <f t="shared" ca="1" si="289"/>
        <v>46013</v>
      </c>
      <c r="DD262" s="1915">
        <f t="shared" ca="1" si="289"/>
        <v>46014</v>
      </c>
      <c r="DE262" s="1915">
        <f t="shared" ca="1" si="289"/>
        <v>46015</v>
      </c>
      <c r="DF262" s="1915">
        <f t="shared" ca="1" si="289"/>
        <v>46016</v>
      </c>
      <c r="DG262" s="1915">
        <f t="shared" ca="1" si="289"/>
        <v>46017</v>
      </c>
      <c r="DH262" s="1915">
        <f t="shared" ca="1" si="289"/>
        <v>46018</v>
      </c>
      <c r="DI262" s="1915">
        <f t="shared" ca="1" si="289"/>
        <v>46019</v>
      </c>
      <c r="DJ262" s="1915">
        <f t="shared" ca="1" si="289"/>
        <v>46020</v>
      </c>
      <c r="DK262" s="1915">
        <f t="shared" ca="1" si="289"/>
        <v>46021</v>
      </c>
      <c r="DL262" s="1915">
        <f t="shared" ca="1" si="289"/>
        <v>46022</v>
      </c>
      <c r="DM262" s="1915">
        <f t="shared" ca="1" si="289"/>
        <v>46023</v>
      </c>
      <c r="DN262" s="1915">
        <f t="shared" ca="1" si="289"/>
        <v>46024</v>
      </c>
      <c r="DO262" s="1915">
        <f t="shared" ca="1" si="289"/>
        <v>46025</v>
      </c>
      <c r="DP262" s="1915">
        <f t="shared" ca="1" si="289"/>
        <v>46026</v>
      </c>
      <c r="DQ262" s="1915">
        <f t="shared" ca="1" si="289"/>
        <v>46027</v>
      </c>
      <c r="DR262" s="1915">
        <f t="shared" ca="1" si="289"/>
        <v>46028</v>
      </c>
      <c r="DS262" s="1915">
        <f t="shared" ca="1" si="289"/>
        <v>46029</v>
      </c>
      <c r="DT262" s="1915">
        <f t="shared" ca="1" si="289"/>
        <v>46030</v>
      </c>
      <c r="DU262" s="1915">
        <f t="shared" ca="1" si="289"/>
        <v>46031</v>
      </c>
      <c r="DV262" s="1957">
        <f t="shared" ca="1" si="289"/>
        <v>46032</v>
      </c>
      <c r="DW262" s="1915">
        <f t="shared" ca="1" si="289"/>
        <v>46033</v>
      </c>
      <c r="DX262" s="1915">
        <f t="shared" ca="1" si="289"/>
        <v>46034</v>
      </c>
      <c r="DY262" s="1915">
        <f t="shared" ca="1" si="289"/>
        <v>46035</v>
      </c>
      <c r="DZ262" s="1915">
        <f t="shared" ca="1" si="289"/>
        <v>46036</v>
      </c>
      <c r="EA262" s="1915">
        <f t="shared" ca="1" si="289"/>
        <v>46037</v>
      </c>
      <c r="EB262" s="1915">
        <f t="shared" ca="1" si="289"/>
        <v>46038</v>
      </c>
      <c r="EC262" s="1957">
        <f t="shared" ca="1" si="289"/>
        <v>46039</v>
      </c>
      <c r="ED262" s="1915">
        <f t="shared" ca="1" si="289"/>
        <v>46040</v>
      </c>
      <c r="EE262" s="1915">
        <f t="shared" ca="1" si="289"/>
        <v>46041</v>
      </c>
      <c r="EF262" s="1915">
        <f t="shared" ca="1" si="289"/>
        <v>46042</v>
      </c>
      <c r="EG262" s="1915">
        <f t="shared" ref="EG262:GR262" ca="1" si="290">IF($J$2=0,0,EF262+1)</f>
        <v>46043</v>
      </c>
      <c r="EH262" s="1915">
        <f t="shared" ca="1" si="290"/>
        <v>46044</v>
      </c>
      <c r="EI262" s="1915">
        <f t="shared" ca="1" si="290"/>
        <v>46045</v>
      </c>
      <c r="EJ262" s="1957">
        <f t="shared" ca="1" si="290"/>
        <v>46046</v>
      </c>
      <c r="EK262" s="1915">
        <f t="shared" ca="1" si="290"/>
        <v>46047</v>
      </c>
      <c r="EL262" s="1915">
        <f t="shared" ca="1" si="290"/>
        <v>46048</v>
      </c>
      <c r="EM262" s="1915">
        <f t="shared" ca="1" si="290"/>
        <v>46049</v>
      </c>
      <c r="EN262" s="1915">
        <f t="shared" ca="1" si="290"/>
        <v>46050</v>
      </c>
      <c r="EO262" s="1915">
        <f t="shared" ca="1" si="290"/>
        <v>46051</v>
      </c>
      <c r="EP262" s="1915">
        <f t="shared" ca="1" si="290"/>
        <v>46052</v>
      </c>
      <c r="EQ262" s="1957">
        <f t="shared" ca="1" si="290"/>
        <v>46053</v>
      </c>
      <c r="ER262" s="1915">
        <f t="shared" ca="1" si="290"/>
        <v>46054</v>
      </c>
      <c r="ES262" s="1915">
        <f t="shared" ca="1" si="290"/>
        <v>46055</v>
      </c>
      <c r="ET262" s="1915">
        <f t="shared" ca="1" si="290"/>
        <v>46056</v>
      </c>
      <c r="EU262" s="1915">
        <f t="shared" ca="1" si="290"/>
        <v>46057</v>
      </c>
      <c r="EV262" s="1915">
        <f t="shared" ca="1" si="290"/>
        <v>46058</v>
      </c>
      <c r="EW262" s="1915">
        <f t="shared" ca="1" si="290"/>
        <v>46059</v>
      </c>
      <c r="EX262" s="1915">
        <f t="shared" ca="1" si="290"/>
        <v>46060</v>
      </c>
      <c r="EY262" s="1915">
        <f t="shared" ca="1" si="290"/>
        <v>46061</v>
      </c>
      <c r="EZ262" s="1915">
        <f t="shared" ca="1" si="290"/>
        <v>46062</v>
      </c>
      <c r="FA262" s="1915">
        <f t="shared" ca="1" si="290"/>
        <v>46063</v>
      </c>
      <c r="FB262" s="1915">
        <f t="shared" ca="1" si="290"/>
        <v>46064</v>
      </c>
      <c r="FC262" s="1915">
        <f t="shared" ca="1" si="290"/>
        <v>46065</v>
      </c>
      <c r="FD262" s="1915">
        <f t="shared" ca="1" si="290"/>
        <v>46066</v>
      </c>
      <c r="FE262" s="1915">
        <f t="shared" ca="1" si="290"/>
        <v>46067</v>
      </c>
      <c r="FF262" s="1915">
        <f t="shared" ca="1" si="290"/>
        <v>46068</v>
      </c>
      <c r="FG262" s="1915">
        <f t="shared" ca="1" si="290"/>
        <v>46069</v>
      </c>
      <c r="FH262" s="1915">
        <f t="shared" ca="1" si="290"/>
        <v>46070</v>
      </c>
      <c r="FI262" s="1915">
        <f t="shared" ca="1" si="290"/>
        <v>46071</v>
      </c>
      <c r="FJ262" s="1915">
        <f t="shared" ca="1" si="290"/>
        <v>46072</v>
      </c>
      <c r="FK262" s="1915">
        <f t="shared" ca="1" si="290"/>
        <v>46073</v>
      </c>
      <c r="FL262" s="1915">
        <f t="shared" ca="1" si="290"/>
        <v>46074</v>
      </c>
      <c r="FM262" s="1915">
        <f t="shared" ca="1" si="290"/>
        <v>46075</v>
      </c>
      <c r="FN262" s="1915">
        <f t="shared" ca="1" si="290"/>
        <v>46076</v>
      </c>
      <c r="FO262" s="1915">
        <f t="shared" ca="1" si="290"/>
        <v>46077</v>
      </c>
      <c r="FP262" s="1915">
        <f t="shared" ca="1" si="290"/>
        <v>46078</v>
      </c>
      <c r="FQ262" s="1915">
        <f t="shared" ca="1" si="290"/>
        <v>46079</v>
      </c>
      <c r="FR262" s="1915">
        <f t="shared" ca="1" si="290"/>
        <v>46080</v>
      </c>
      <c r="FS262" s="1915">
        <f t="shared" ca="1" si="290"/>
        <v>46081</v>
      </c>
      <c r="FT262" s="1915">
        <f t="shared" ca="1" si="290"/>
        <v>46082</v>
      </c>
      <c r="FU262" s="1915">
        <f t="shared" ca="1" si="290"/>
        <v>46083</v>
      </c>
      <c r="FV262" s="1915">
        <f t="shared" ca="1" si="290"/>
        <v>46084</v>
      </c>
      <c r="FW262" s="1915">
        <f t="shared" ca="1" si="290"/>
        <v>46085</v>
      </c>
      <c r="FX262" s="1915">
        <f t="shared" ca="1" si="290"/>
        <v>46086</v>
      </c>
      <c r="FY262" s="1915">
        <f t="shared" ca="1" si="290"/>
        <v>46087</v>
      </c>
      <c r="FZ262" s="1915">
        <f t="shared" ca="1" si="290"/>
        <v>46088</v>
      </c>
      <c r="GA262" s="1915">
        <f t="shared" ca="1" si="290"/>
        <v>46089</v>
      </c>
      <c r="GB262" s="1915">
        <f t="shared" ca="1" si="290"/>
        <v>46090</v>
      </c>
      <c r="GC262" s="1915">
        <f t="shared" ca="1" si="290"/>
        <v>46091</v>
      </c>
      <c r="GD262" s="1915">
        <f t="shared" ca="1" si="290"/>
        <v>46092</v>
      </c>
      <c r="GE262" s="1915">
        <f t="shared" ca="1" si="290"/>
        <v>46093</v>
      </c>
      <c r="GF262" s="1915">
        <f t="shared" ca="1" si="290"/>
        <v>46094</v>
      </c>
      <c r="GG262" s="1915">
        <f t="shared" ca="1" si="290"/>
        <v>46095</v>
      </c>
      <c r="GH262" s="1915">
        <f t="shared" ca="1" si="290"/>
        <v>46096</v>
      </c>
      <c r="GI262" s="1915">
        <f t="shared" ca="1" si="290"/>
        <v>46097</v>
      </c>
      <c r="GJ262" s="1915">
        <f t="shared" ca="1" si="290"/>
        <v>46098</v>
      </c>
      <c r="GK262" s="1915">
        <f t="shared" ca="1" si="290"/>
        <v>46099</v>
      </c>
      <c r="GL262" s="1915">
        <f t="shared" ca="1" si="290"/>
        <v>46100</v>
      </c>
      <c r="GM262" s="1915">
        <f t="shared" ca="1" si="290"/>
        <v>46101</v>
      </c>
      <c r="GN262" s="1915">
        <f t="shared" ca="1" si="290"/>
        <v>46102</v>
      </c>
      <c r="GO262" s="1915">
        <f t="shared" ca="1" si="290"/>
        <v>46103</v>
      </c>
      <c r="GP262" s="1915">
        <f t="shared" ca="1" si="290"/>
        <v>46104</v>
      </c>
      <c r="GQ262" s="1915">
        <f t="shared" ca="1" si="290"/>
        <v>46105</v>
      </c>
      <c r="GR262" s="1915">
        <f t="shared" ca="1" si="290"/>
        <v>46106</v>
      </c>
      <c r="GS262" s="1915">
        <f t="shared" ref="GS262:IK262" ca="1" si="291">IF($J$2=0,0,GR262+1)</f>
        <v>46107</v>
      </c>
      <c r="GT262" s="1915">
        <f t="shared" ca="1" si="291"/>
        <v>46108</v>
      </c>
      <c r="GU262" s="1915">
        <f t="shared" ca="1" si="291"/>
        <v>46109</v>
      </c>
      <c r="GV262" s="1915">
        <f t="shared" ca="1" si="291"/>
        <v>46110</v>
      </c>
      <c r="GW262" s="1915">
        <f t="shared" ca="1" si="291"/>
        <v>46111</v>
      </c>
      <c r="GX262" s="1915">
        <f t="shared" ca="1" si="291"/>
        <v>46112</v>
      </c>
      <c r="GY262" s="1915">
        <f t="shared" ca="1" si="291"/>
        <v>46113</v>
      </c>
      <c r="GZ262" s="1915">
        <f t="shared" ca="1" si="291"/>
        <v>46114</v>
      </c>
      <c r="HA262" s="1915">
        <f t="shared" ca="1" si="291"/>
        <v>46115</v>
      </c>
      <c r="HB262" s="1915">
        <f t="shared" ca="1" si="291"/>
        <v>46116</v>
      </c>
      <c r="HC262" s="1915">
        <f t="shared" ca="1" si="291"/>
        <v>46117</v>
      </c>
      <c r="HD262" s="1915">
        <f t="shared" ca="1" si="291"/>
        <v>46118</v>
      </c>
      <c r="HE262" s="1915">
        <f t="shared" ca="1" si="291"/>
        <v>46119</v>
      </c>
      <c r="HF262" s="1915">
        <f t="shared" ca="1" si="291"/>
        <v>46120</v>
      </c>
      <c r="HG262" s="1915">
        <f t="shared" ca="1" si="291"/>
        <v>46121</v>
      </c>
      <c r="HH262" s="1915">
        <f t="shared" ca="1" si="291"/>
        <v>46122</v>
      </c>
      <c r="HI262" s="1915">
        <f t="shared" ca="1" si="291"/>
        <v>46123</v>
      </c>
      <c r="HJ262" s="1915">
        <f t="shared" ca="1" si="291"/>
        <v>46124</v>
      </c>
      <c r="HK262" s="1915">
        <f t="shared" ca="1" si="291"/>
        <v>46125</v>
      </c>
      <c r="HL262" s="1915">
        <f t="shared" ca="1" si="291"/>
        <v>46126</v>
      </c>
      <c r="HM262" s="1915">
        <f t="shared" ca="1" si="291"/>
        <v>46127</v>
      </c>
      <c r="HN262" s="1915">
        <f t="shared" ca="1" si="291"/>
        <v>46128</v>
      </c>
      <c r="HO262" s="1915">
        <f t="shared" ca="1" si="291"/>
        <v>46129</v>
      </c>
      <c r="HP262" s="1915">
        <f t="shared" ca="1" si="291"/>
        <v>46130</v>
      </c>
      <c r="HQ262" s="1915">
        <f t="shared" ca="1" si="291"/>
        <v>46131</v>
      </c>
      <c r="HR262" s="1915">
        <f t="shared" ca="1" si="291"/>
        <v>46132</v>
      </c>
      <c r="HS262" s="1915">
        <f t="shared" ca="1" si="291"/>
        <v>46133</v>
      </c>
      <c r="HT262" s="1915">
        <f t="shared" ca="1" si="291"/>
        <v>46134</v>
      </c>
      <c r="HU262" s="1915">
        <f t="shared" ca="1" si="291"/>
        <v>46135</v>
      </c>
      <c r="HV262" s="1915">
        <f t="shared" ca="1" si="291"/>
        <v>46136</v>
      </c>
      <c r="HW262" s="1915">
        <f t="shared" ca="1" si="291"/>
        <v>46137</v>
      </c>
      <c r="HX262" s="1915">
        <f t="shared" ca="1" si="291"/>
        <v>46138</v>
      </c>
      <c r="HY262" s="1915">
        <f t="shared" ca="1" si="291"/>
        <v>46139</v>
      </c>
      <c r="HZ262" s="1915">
        <f t="shared" ca="1" si="291"/>
        <v>46140</v>
      </c>
      <c r="IA262" s="1915">
        <f t="shared" ca="1" si="291"/>
        <v>46141</v>
      </c>
      <c r="IB262" s="1915">
        <f t="shared" ca="1" si="291"/>
        <v>46142</v>
      </c>
      <c r="IC262" s="1915">
        <f t="shared" ca="1" si="291"/>
        <v>46143</v>
      </c>
      <c r="ID262" s="1915">
        <f t="shared" ca="1" si="291"/>
        <v>46144</v>
      </c>
      <c r="IE262" s="1915">
        <f t="shared" ca="1" si="291"/>
        <v>46145</v>
      </c>
      <c r="IF262" s="1915">
        <f t="shared" ca="1" si="291"/>
        <v>46146</v>
      </c>
      <c r="IG262" s="1915">
        <f t="shared" ca="1" si="291"/>
        <v>46147</v>
      </c>
      <c r="IH262" s="1915">
        <f t="shared" ca="1" si="291"/>
        <v>46148</v>
      </c>
      <c r="II262" s="1915">
        <f t="shared" ca="1" si="291"/>
        <v>46149</v>
      </c>
      <c r="IJ262" s="1915">
        <f t="shared" ca="1" si="291"/>
        <v>46150</v>
      </c>
      <c r="IK262" s="1915">
        <f t="shared" ca="1" si="291"/>
        <v>46151</v>
      </c>
    </row>
    <row r="263" spans="1:245" hidden="1" x14ac:dyDescent="0.35">
      <c r="A263" s="205"/>
      <c r="B263" s="32"/>
      <c r="C263" s="32"/>
      <c r="D263" s="32"/>
      <c r="E263" s="32"/>
      <c r="F263" s="32"/>
      <c r="G263" s="32"/>
      <c r="H263" s="1915"/>
      <c r="I263" s="1915"/>
      <c r="J263" s="1915"/>
      <c r="K263" s="1915"/>
      <c r="L263" s="1915"/>
      <c r="M263" s="1915"/>
      <c r="N263" s="1915"/>
      <c r="O263" s="1915"/>
      <c r="P263" s="1915"/>
      <c r="Q263" s="1915"/>
      <c r="R263" s="1915"/>
      <c r="S263" s="1915"/>
      <c r="T263" s="1915"/>
      <c r="U263" s="1915"/>
      <c r="V263" s="1915"/>
      <c r="W263" s="1915"/>
      <c r="X263" s="1915"/>
      <c r="Y263" s="1915"/>
      <c r="Z263" s="1915"/>
      <c r="AA263" s="1915"/>
      <c r="AB263" s="1915"/>
      <c r="AC263" s="1915"/>
      <c r="AD263" s="1915"/>
      <c r="AE263" s="1915"/>
      <c r="AF263" s="1915"/>
      <c r="AG263" s="1915"/>
      <c r="AH263" s="1915"/>
      <c r="AI263" s="1915"/>
      <c r="AJ263" s="1915"/>
      <c r="AK263" s="1915"/>
      <c r="AL263" s="1915"/>
      <c r="AM263" s="1915"/>
      <c r="AN263" s="1915"/>
      <c r="AO263" s="1915"/>
      <c r="AP263" s="1915"/>
      <c r="AQ263" s="1915"/>
      <c r="AR263" s="1915"/>
      <c r="AS263" s="1915"/>
      <c r="AT263" s="1915"/>
      <c r="AU263" s="1915"/>
      <c r="AV263" s="1915"/>
      <c r="AW263" s="1915"/>
      <c r="AX263" s="1915"/>
      <c r="AY263" s="1915"/>
      <c r="AZ263" s="1915"/>
      <c r="BA263" s="1915"/>
      <c r="BB263" s="1915"/>
      <c r="BC263" s="1915"/>
      <c r="BD263" s="1915"/>
      <c r="BE263" s="1915"/>
      <c r="BF263" s="1915"/>
      <c r="BG263" s="1915"/>
      <c r="BH263" s="1915"/>
      <c r="BI263" s="1915"/>
      <c r="BJ263" s="1915"/>
      <c r="BK263" s="1915"/>
      <c r="BL263" s="1915"/>
      <c r="BM263" s="1915"/>
      <c r="BN263" s="1915"/>
      <c r="BO263" s="1915"/>
      <c r="BP263" s="1915"/>
      <c r="BQ263" s="1915"/>
      <c r="BR263" s="1915"/>
      <c r="BS263" s="1915"/>
      <c r="BT263" s="1915"/>
      <c r="BU263" s="1915"/>
      <c r="BV263" s="1915"/>
      <c r="BW263" s="1915"/>
      <c r="BX263" s="1915"/>
      <c r="BY263" s="1915"/>
      <c r="BZ263" s="1915"/>
      <c r="CA263" s="1915"/>
      <c r="CB263" s="1915"/>
      <c r="CC263" s="1915"/>
      <c r="CD263" s="1915"/>
      <c r="CE263" s="1915"/>
      <c r="CF263" s="1915"/>
      <c r="CG263" s="1915"/>
      <c r="CH263" s="1915"/>
      <c r="CI263" s="1915"/>
      <c r="CJ263" s="1915"/>
      <c r="CK263" s="1915"/>
      <c r="CL263" s="1915"/>
      <c r="CM263" s="1915"/>
      <c r="CN263" s="1915"/>
      <c r="CO263" s="1915"/>
      <c r="CP263" s="1915"/>
      <c r="CQ263" s="1915"/>
      <c r="CR263" s="1915"/>
      <c r="CS263" s="1915"/>
      <c r="CT263" s="1915"/>
      <c r="CU263" s="1915"/>
      <c r="CV263" s="1915"/>
      <c r="CW263" s="1915"/>
      <c r="CX263" s="1915"/>
      <c r="CY263" s="1915"/>
      <c r="CZ263" s="1915"/>
      <c r="DA263" s="1915"/>
      <c r="DB263" s="1915"/>
      <c r="DC263" s="1915"/>
      <c r="DD263" s="1915"/>
      <c r="DE263" s="1915"/>
      <c r="DF263" s="1915"/>
      <c r="DG263" s="1915"/>
      <c r="DH263" s="1915"/>
      <c r="DI263" s="1915"/>
      <c r="DJ263" s="1915"/>
      <c r="DK263" s="1915"/>
      <c r="DL263" s="1915"/>
      <c r="DM263" s="1915"/>
      <c r="DN263" s="1915"/>
      <c r="DO263" s="1915"/>
      <c r="DP263" s="1915"/>
      <c r="DQ263" s="1915"/>
      <c r="DR263" s="1915"/>
      <c r="DS263" s="1915"/>
      <c r="DT263" s="1915"/>
      <c r="DU263" s="1915"/>
      <c r="DV263" s="1957"/>
      <c r="DW263" s="1915"/>
      <c r="DX263" s="1915"/>
      <c r="DY263" s="1915"/>
      <c r="DZ263" s="1915"/>
      <c r="EA263" s="1915"/>
      <c r="EB263" s="1915"/>
      <c r="EC263" s="1957"/>
      <c r="ED263" s="1915"/>
      <c r="EE263" s="1915"/>
      <c r="EF263" s="1915"/>
      <c r="EG263" s="1915"/>
      <c r="EH263" s="1915"/>
      <c r="EI263" s="1915"/>
      <c r="EJ263" s="1957"/>
      <c r="EK263" s="1915"/>
      <c r="EL263" s="1915"/>
      <c r="EM263" s="1915"/>
      <c r="EN263" s="1915"/>
      <c r="EO263" s="1915"/>
      <c r="EP263" s="1915"/>
      <c r="EQ263" s="1957"/>
      <c r="ER263" s="1915"/>
      <c r="ES263" s="1915"/>
      <c r="ET263" s="1915"/>
      <c r="EU263" s="1915"/>
      <c r="EV263" s="1915"/>
      <c r="EW263" s="1915"/>
      <c r="EX263" s="1915"/>
      <c r="EY263" s="1915"/>
      <c r="EZ263" s="1915"/>
      <c r="FA263" s="1915"/>
      <c r="FB263" s="1915"/>
      <c r="FC263" s="1915"/>
      <c r="FD263" s="1915"/>
      <c r="FE263" s="1915"/>
      <c r="FF263" s="1915"/>
      <c r="FG263" s="1915"/>
      <c r="FH263" s="1915"/>
      <c r="FI263" s="1915"/>
      <c r="FJ263" s="1915"/>
      <c r="FK263" s="1915"/>
      <c r="FL263" s="1915"/>
      <c r="FM263" s="1915"/>
      <c r="FN263" s="1915"/>
      <c r="FO263" s="1915"/>
      <c r="FP263" s="1915"/>
      <c r="FQ263" s="1915"/>
      <c r="FR263" s="1915"/>
      <c r="FS263" s="1915"/>
      <c r="FT263" s="1915"/>
      <c r="FU263" s="1915"/>
      <c r="FV263" s="1915"/>
      <c r="FW263" s="1915"/>
      <c r="FX263" s="1915"/>
      <c r="FY263" s="1915"/>
      <c r="FZ263" s="1915"/>
      <c r="GA263" s="1915"/>
      <c r="GB263" s="1915"/>
      <c r="GC263" s="1915"/>
      <c r="GD263" s="1915"/>
      <c r="GE263" s="1915"/>
      <c r="GF263" s="1915"/>
      <c r="GG263" s="1915"/>
      <c r="GH263" s="1915"/>
      <c r="GI263" s="1915"/>
      <c r="GJ263" s="1915"/>
      <c r="GK263" s="1915"/>
      <c r="GL263" s="1915"/>
      <c r="GM263" s="1915"/>
      <c r="GN263" s="1915"/>
      <c r="GO263" s="1915"/>
      <c r="GP263" s="1915"/>
      <c r="GQ263" s="1915"/>
      <c r="GR263" s="1915"/>
      <c r="GS263" s="1915"/>
      <c r="GT263" s="1915"/>
      <c r="GU263" s="1915"/>
      <c r="GV263" s="1915"/>
      <c r="GW263" s="1915"/>
      <c r="GX263" s="1915"/>
      <c r="GY263" s="1915"/>
      <c r="GZ263" s="1915"/>
      <c r="HA263" s="1915"/>
      <c r="HB263" s="1915"/>
      <c r="HC263" s="1915"/>
      <c r="HD263" s="1915"/>
      <c r="HE263" s="1915"/>
      <c r="HF263" s="1915"/>
      <c r="HG263" s="1915"/>
      <c r="HH263" s="1915"/>
      <c r="HI263" s="1915"/>
      <c r="HJ263" s="1915"/>
      <c r="HK263" s="1915"/>
      <c r="HL263" s="1915"/>
      <c r="HM263" s="1915"/>
      <c r="HN263" s="1915"/>
      <c r="HO263" s="1915"/>
      <c r="HP263" s="1915"/>
      <c r="HQ263" s="1915"/>
      <c r="HR263" s="1915"/>
      <c r="HS263" s="1915"/>
      <c r="HT263" s="1915"/>
      <c r="HU263" s="1915"/>
      <c r="HV263" s="1915"/>
      <c r="HW263" s="1915"/>
      <c r="HX263" s="1915"/>
      <c r="HY263" s="1915"/>
      <c r="HZ263" s="1915"/>
      <c r="IA263" s="1915"/>
      <c r="IB263" s="1915"/>
      <c r="IC263" s="1915"/>
      <c r="ID263" s="1915"/>
      <c r="IE263" s="1915"/>
      <c r="IF263" s="1915"/>
      <c r="IG263" s="1915"/>
      <c r="IH263" s="1915"/>
      <c r="II263" s="1915"/>
      <c r="IJ263" s="1915"/>
      <c r="IK263" s="1915"/>
    </row>
    <row r="264" spans="1:245" hidden="1" x14ac:dyDescent="0.35">
      <c r="A264" s="205"/>
      <c r="B264" s="32"/>
      <c r="C264" s="32"/>
      <c r="D264" s="32"/>
      <c r="E264" s="32"/>
      <c r="F264" s="32"/>
      <c r="G264" s="32"/>
      <c r="H264" s="1916"/>
      <c r="I264" s="1916"/>
      <c r="J264" s="1916"/>
      <c r="K264" s="1916"/>
      <c r="L264" s="1916"/>
      <c r="M264" s="1916"/>
      <c r="N264" s="1916"/>
      <c r="O264" s="1916"/>
      <c r="P264" s="1916"/>
      <c r="Q264" s="1916"/>
      <c r="R264" s="1916"/>
      <c r="S264" s="1916"/>
      <c r="T264" s="1916"/>
      <c r="U264" s="1916"/>
      <c r="V264" s="1916"/>
      <c r="W264" s="1916"/>
      <c r="X264" s="1916"/>
      <c r="Y264" s="1916"/>
      <c r="Z264" s="1916"/>
      <c r="AA264" s="1916"/>
      <c r="AB264" s="1916"/>
      <c r="AC264" s="1916"/>
      <c r="AD264" s="1916"/>
      <c r="AE264" s="1916"/>
      <c r="AF264" s="1916"/>
      <c r="AG264" s="1916"/>
      <c r="AH264" s="1916"/>
      <c r="AI264" s="1916"/>
      <c r="AJ264" s="1916"/>
      <c r="AK264" s="1916"/>
      <c r="AL264" s="1916"/>
      <c r="AM264" s="1916"/>
      <c r="AN264" s="1916"/>
      <c r="AO264" s="1916"/>
      <c r="AP264" s="1916"/>
      <c r="AQ264" s="1916"/>
      <c r="AR264" s="1916"/>
      <c r="AS264" s="1916"/>
      <c r="AT264" s="1916"/>
      <c r="AU264" s="1916"/>
      <c r="AV264" s="1916"/>
      <c r="AW264" s="1916"/>
      <c r="AX264" s="1916"/>
      <c r="AY264" s="1916"/>
      <c r="AZ264" s="1916"/>
      <c r="BA264" s="1916"/>
      <c r="BB264" s="1916"/>
      <c r="BC264" s="1916"/>
      <c r="BD264" s="1916"/>
      <c r="BE264" s="1916"/>
      <c r="BF264" s="1916"/>
      <c r="BG264" s="1916"/>
      <c r="BH264" s="1916"/>
      <c r="BI264" s="1916"/>
      <c r="BJ264" s="1916"/>
      <c r="BK264" s="1916"/>
      <c r="BL264" s="1916"/>
      <c r="BM264" s="1916"/>
      <c r="BN264" s="1916"/>
      <c r="BO264" s="1916"/>
      <c r="BP264" s="1916"/>
      <c r="BQ264" s="1916"/>
      <c r="BR264" s="1916"/>
      <c r="BS264" s="1916"/>
      <c r="BT264" s="1916"/>
      <c r="BU264" s="1916"/>
      <c r="BV264" s="1916"/>
      <c r="BW264" s="1916"/>
      <c r="BX264" s="1916"/>
      <c r="BY264" s="1916"/>
      <c r="BZ264" s="1916"/>
      <c r="CA264" s="1916"/>
      <c r="CB264" s="1916"/>
      <c r="CC264" s="1916"/>
      <c r="CD264" s="1916"/>
      <c r="CE264" s="1916"/>
      <c r="CF264" s="1916"/>
      <c r="CG264" s="1916"/>
      <c r="CH264" s="1916"/>
      <c r="CI264" s="1916"/>
      <c r="CJ264" s="1916"/>
      <c r="CK264" s="1916"/>
      <c r="CL264" s="1916"/>
      <c r="CM264" s="1916"/>
      <c r="CN264" s="1916"/>
      <c r="CO264" s="1916"/>
      <c r="CP264" s="1916"/>
      <c r="CQ264" s="1916"/>
      <c r="CR264" s="1916"/>
      <c r="CS264" s="1916"/>
      <c r="CT264" s="1916"/>
      <c r="CU264" s="1916"/>
      <c r="CV264" s="1916"/>
      <c r="CW264" s="1916"/>
      <c r="CX264" s="1916"/>
      <c r="CY264" s="1916"/>
      <c r="CZ264" s="1916"/>
      <c r="DA264" s="1916"/>
      <c r="DB264" s="1916"/>
      <c r="DC264" s="1916"/>
      <c r="DD264" s="1916"/>
      <c r="DE264" s="1916"/>
      <c r="DF264" s="1916"/>
      <c r="DG264" s="1916"/>
      <c r="DH264" s="1916"/>
      <c r="DI264" s="1916"/>
      <c r="DJ264" s="1916"/>
      <c r="DK264" s="1916"/>
      <c r="DL264" s="1916"/>
      <c r="DM264" s="1916"/>
      <c r="DN264" s="1916"/>
      <c r="DO264" s="1916"/>
      <c r="DP264" s="1916"/>
      <c r="DQ264" s="1916"/>
      <c r="DR264" s="1916"/>
      <c r="DS264" s="1916"/>
      <c r="DT264" s="1916"/>
      <c r="DU264" s="1916"/>
      <c r="DV264" s="1958"/>
      <c r="DW264" s="1916"/>
      <c r="DX264" s="1916"/>
      <c r="DY264" s="1916"/>
      <c r="DZ264" s="1916"/>
      <c r="EA264" s="1916"/>
      <c r="EB264" s="1916"/>
      <c r="EC264" s="1958"/>
      <c r="ED264" s="1916"/>
      <c r="EE264" s="1916"/>
      <c r="EF264" s="1916"/>
      <c r="EG264" s="1916"/>
      <c r="EH264" s="1916"/>
      <c r="EI264" s="1916"/>
      <c r="EJ264" s="1958"/>
      <c r="EK264" s="1916"/>
      <c r="EL264" s="1916"/>
      <c r="EM264" s="1916"/>
      <c r="EN264" s="1916"/>
      <c r="EO264" s="1916"/>
      <c r="EP264" s="1916"/>
      <c r="EQ264" s="1958"/>
      <c r="ER264" s="1916"/>
      <c r="ES264" s="1916"/>
      <c r="ET264" s="1916"/>
      <c r="EU264" s="1916"/>
      <c r="EV264" s="1916"/>
      <c r="EW264" s="1916"/>
      <c r="EX264" s="1916"/>
      <c r="EY264" s="1916"/>
      <c r="EZ264" s="1916"/>
      <c r="FA264" s="1916"/>
      <c r="FB264" s="1916"/>
      <c r="FC264" s="1916"/>
      <c r="FD264" s="1916"/>
      <c r="FE264" s="1916"/>
      <c r="FF264" s="1916"/>
      <c r="FG264" s="1916"/>
      <c r="FH264" s="1916"/>
      <c r="FI264" s="1916"/>
      <c r="FJ264" s="1916"/>
      <c r="FK264" s="1916"/>
      <c r="FL264" s="1916"/>
      <c r="FM264" s="1916"/>
      <c r="FN264" s="1916"/>
      <c r="FO264" s="1916"/>
      <c r="FP264" s="1916"/>
      <c r="FQ264" s="1916"/>
      <c r="FR264" s="1916"/>
      <c r="FS264" s="1916"/>
      <c r="FT264" s="1916"/>
      <c r="FU264" s="1916"/>
      <c r="FV264" s="1916"/>
      <c r="FW264" s="1916"/>
      <c r="FX264" s="1916"/>
      <c r="FY264" s="1916"/>
      <c r="FZ264" s="1916"/>
      <c r="GA264" s="1916"/>
      <c r="GB264" s="1916"/>
      <c r="GC264" s="1916"/>
      <c r="GD264" s="1916"/>
      <c r="GE264" s="1916"/>
      <c r="GF264" s="1916"/>
      <c r="GG264" s="1916"/>
      <c r="GH264" s="1916"/>
      <c r="GI264" s="1916"/>
      <c r="GJ264" s="1916"/>
      <c r="GK264" s="1916"/>
      <c r="GL264" s="1916"/>
      <c r="GM264" s="1916"/>
      <c r="GN264" s="1916"/>
      <c r="GO264" s="1916"/>
      <c r="GP264" s="1916"/>
      <c r="GQ264" s="1916"/>
      <c r="GR264" s="1916"/>
      <c r="GS264" s="1916"/>
      <c r="GT264" s="1916"/>
      <c r="GU264" s="1916"/>
      <c r="GV264" s="1916"/>
      <c r="GW264" s="1916"/>
      <c r="GX264" s="1916"/>
      <c r="GY264" s="1916"/>
      <c r="GZ264" s="1916"/>
      <c r="HA264" s="1916"/>
      <c r="HB264" s="1916"/>
      <c r="HC264" s="1916"/>
      <c r="HD264" s="1916"/>
      <c r="HE264" s="1916"/>
      <c r="HF264" s="1916"/>
      <c r="HG264" s="1916"/>
      <c r="HH264" s="1916"/>
      <c r="HI264" s="1916"/>
      <c r="HJ264" s="1916"/>
      <c r="HK264" s="1916"/>
      <c r="HL264" s="1916"/>
      <c r="HM264" s="1916"/>
      <c r="HN264" s="1916"/>
      <c r="HO264" s="1916"/>
      <c r="HP264" s="1916"/>
      <c r="HQ264" s="1916"/>
      <c r="HR264" s="1916"/>
      <c r="HS264" s="1916"/>
      <c r="HT264" s="1916"/>
      <c r="HU264" s="1916"/>
      <c r="HV264" s="1916"/>
      <c r="HW264" s="1916"/>
      <c r="HX264" s="1916"/>
      <c r="HY264" s="1916"/>
      <c r="HZ264" s="1916"/>
      <c r="IA264" s="1916"/>
      <c r="IB264" s="1916"/>
      <c r="IC264" s="1916"/>
      <c r="ID264" s="1916"/>
      <c r="IE264" s="1916"/>
      <c r="IF264" s="1916"/>
      <c r="IG264" s="1916"/>
      <c r="IH264" s="1916"/>
      <c r="II264" s="1916"/>
      <c r="IJ264" s="1916"/>
      <c r="IK264" s="1916"/>
    </row>
    <row r="265" spans="1:245" s="195" customFormat="1" ht="19.5" hidden="1" customHeight="1" x14ac:dyDescent="0.35">
      <c r="B265" s="345" t="s">
        <v>35</v>
      </c>
      <c r="C265" s="1975">
        <f ca="1">IF(F292&lt;&gt;0,F292,IF(F342&lt;&gt;0,F342,IF(F293&lt;&gt;0,F293,IF(F294&lt;&gt;0,F294,IF(F294&lt;&gt;0,F295,IF(F296&lt;&gt;0,F296,0))))))</f>
        <v>0</v>
      </c>
      <c r="D265" s="1975"/>
      <c r="E265" s="1975"/>
      <c r="F265" s="1975"/>
      <c r="G265" s="1976"/>
      <c r="H265" s="1926" t="str">
        <f>"sem.
"&amp;N260/7</f>
        <v>sem.
0,285714285714286</v>
      </c>
      <c r="I265" s="1927"/>
      <c r="J265" s="1927"/>
      <c r="K265" s="1927"/>
      <c r="L265" s="1927"/>
      <c r="M265" s="1927"/>
      <c r="N265" s="1928"/>
      <c r="O265" s="1926" t="str">
        <f>"sem.
"&amp;U260/7</f>
        <v>sem.
1,28571428571429</v>
      </c>
      <c r="P265" s="1927"/>
      <c r="Q265" s="1927"/>
      <c r="R265" s="1927"/>
      <c r="S265" s="1927"/>
      <c r="T265" s="1927"/>
      <c r="U265" s="1928"/>
      <c r="V265" s="1926" t="str">
        <f>"sem.
"&amp;AB260/7</f>
        <v>sem.
2,28571428571429</v>
      </c>
      <c r="W265" s="1927"/>
      <c r="X265" s="1927"/>
      <c r="Y265" s="1927"/>
      <c r="Z265" s="1927"/>
      <c r="AA265" s="1927"/>
      <c r="AB265" s="1928"/>
      <c r="AC265" s="1926" t="str">
        <f>"sem.
"&amp;AI260/7</f>
        <v>sem.
3,28571428571429</v>
      </c>
      <c r="AD265" s="1927"/>
      <c r="AE265" s="1927"/>
      <c r="AF265" s="1927"/>
      <c r="AG265" s="1927"/>
      <c r="AH265" s="1927"/>
      <c r="AI265" s="1928"/>
      <c r="AJ265" s="1926" t="str">
        <f>"sem.
"&amp;AP260/7</f>
        <v>sem.
4,28571428571429</v>
      </c>
      <c r="AK265" s="1927"/>
      <c r="AL265" s="1927"/>
      <c r="AM265" s="1927"/>
      <c r="AN265" s="1927"/>
      <c r="AO265" s="1927"/>
      <c r="AP265" s="1928"/>
      <c r="AQ265" s="1926" t="str">
        <f>"sem.
"&amp;AW260/7</f>
        <v>sem.
5,28571428571429</v>
      </c>
      <c r="AR265" s="1927"/>
      <c r="AS265" s="1927"/>
      <c r="AT265" s="1927"/>
      <c r="AU265" s="1927"/>
      <c r="AV265" s="1927"/>
      <c r="AW265" s="1928"/>
      <c r="AX265" s="1926" t="str">
        <f>"sem.
"&amp;BD260/7</f>
        <v>sem.
6,28571428571429</v>
      </c>
      <c r="AY265" s="1927"/>
      <c r="AZ265" s="1927"/>
      <c r="BA265" s="1927"/>
      <c r="BB265" s="1927"/>
      <c r="BC265" s="1927"/>
      <c r="BD265" s="1928"/>
      <c r="BE265" s="1926" t="str">
        <f>"sem.
"&amp;BK260/7</f>
        <v>sem.
7,28571428571429</v>
      </c>
      <c r="BF265" s="1927"/>
      <c r="BG265" s="1927"/>
      <c r="BH265" s="1927"/>
      <c r="BI265" s="1927"/>
      <c r="BJ265" s="1927"/>
      <c r="BK265" s="1928"/>
      <c r="BL265" s="1926" t="str">
        <f>"sem.
"&amp;BR260/7</f>
        <v>sem.
8,28571428571429</v>
      </c>
      <c r="BM265" s="1927"/>
      <c r="BN265" s="1927"/>
      <c r="BO265" s="1927"/>
      <c r="BP265" s="1927"/>
      <c r="BQ265" s="1927"/>
      <c r="BR265" s="1928"/>
      <c r="BS265" s="1926" t="str">
        <f>"sem.
"&amp;BY260/7</f>
        <v>sem.
9,28571428571429</v>
      </c>
      <c r="BT265" s="1927"/>
      <c r="BU265" s="1927"/>
      <c r="BV265" s="1927"/>
      <c r="BW265" s="1927"/>
      <c r="BX265" s="1927"/>
      <c r="BY265" s="1928"/>
      <c r="BZ265" s="1926" t="str">
        <f>"sem.
"&amp;CF260/7</f>
        <v>sem.
10,2857142857143</v>
      </c>
      <c r="CA265" s="1927"/>
      <c r="CB265" s="1927"/>
      <c r="CC265" s="1927"/>
      <c r="CD265" s="1927"/>
      <c r="CE265" s="1927"/>
      <c r="CF265" s="1928"/>
      <c r="CG265" s="1926" t="str">
        <f>"sem.
"&amp;CM260/7</f>
        <v>sem.
11,2857142857143</v>
      </c>
      <c r="CH265" s="1927"/>
      <c r="CI265" s="1927"/>
      <c r="CJ265" s="1927"/>
      <c r="CK265" s="1927"/>
      <c r="CL265" s="1927"/>
      <c r="CM265" s="1928"/>
      <c r="CN265" s="1926" t="str">
        <f>"sem.
"&amp;CT260/7</f>
        <v>sem.
12,2857142857143</v>
      </c>
      <c r="CO265" s="1927"/>
      <c r="CP265" s="1927"/>
      <c r="CQ265" s="1927"/>
      <c r="CR265" s="1927"/>
      <c r="CS265" s="1927"/>
      <c r="CT265" s="1928"/>
      <c r="CU265" s="1926" t="str">
        <f>"sem.
"&amp;DA260/7</f>
        <v>sem.
13,2857142857143</v>
      </c>
      <c r="CV265" s="1927"/>
      <c r="CW265" s="1927"/>
      <c r="CX265" s="1927"/>
      <c r="CY265" s="1927"/>
      <c r="CZ265" s="1927"/>
      <c r="DA265" s="1928"/>
      <c r="DB265" s="1926" t="str">
        <f>"sem.
"&amp;DH260/7</f>
        <v>sem.
14,2857142857143</v>
      </c>
      <c r="DC265" s="1927"/>
      <c r="DD265" s="1927"/>
      <c r="DE265" s="1927"/>
      <c r="DF265" s="1927"/>
      <c r="DG265" s="1927"/>
      <c r="DH265" s="1928"/>
      <c r="DI265" s="1926" t="str">
        <f>"sem.
"&amp;DO260/7</f>
        <v>sem.
15,2857142857143</v>
      </c>
      <c r="DJ265" s="1927"/>
      <c r="DK265" s="1927"/>
      <c r="DL265" s="1927"/>
      <c r="DM265" s="1927"/>
      <c r="DN265" s="1927"/>
      <c r="DO265" s="1928"/>
      <c r="DP265" s="1926" t="str">
        <f>"sem.
"&amp;DV260/7</f>
        <v>sem.
16,2857142857143</v>
      </c>
      <c r="DQ265" s="1927"/>
      <c r="DR265" s="1927"/>
      <c r="DS265" s="1927"/>
      <c r="DT265" s="1927"/>
      <c r="DU265" s="1927"/>
      <c r="DV265" s="1928"/>
      <c r="DW265" s="1926" t="str">
        <f>"sem.
"&amp;EC260/7</f>
        <v>sem.
17,2857142857143</v>
      </c>
      <c r="DX265" s="1927"/>
      <c r="DY265" s="1927"/>
      <c r="DZ265" s="1927"/>
      <c r="EA265" s="1927"/>
      <c r="EB265" s="1927"/>
      <c r="EC265" s="1928"/>
      <c r="ED265" s="1926" t="str">
        <f>"sem.
"&amp;EJ260/7</f>
        <v>sem.
18,2857142857143</v>
      </c>
      <c r="EE265" s="1927"/>
      <c r="EF265" s="1927"/>
      <c r="EG265" s="1927"/>
      <c r="EH265" s="1927"/>
      <c r="EI265" s="1927"/>
      <c r="EJ265" s="1928"/>
      <c r="EK265" s="1926" t="str">
        <f>"sem.
"&amp;EQ260/7</f>
        <v>sem.
19,2857142857143</v>
      </c>
      <c r="EL265" s="1927"/>
      <c r="EM265" s="1927"/>
      <c r="EN265" s="1927"/>
      <c r="EO265" s="1927"/>
      <c r="EP265" s="1927"/>
      <c r="EQ265" s="1928"/>
      <c r="ER265" s="1926" t="str">
        <f>"sem.
"&amp;EX260/7</f>
        <v>sem.
20,2857142857143</v>
      </c>
      <c r="ES265" s="1927"/>
      <c r="ET265" s="1927"/>
      <c r="EU265" s="1927"/>
      <c r="EV265" s="1927"/>
      <c r="EW265" s="1927"/>
      <c r="EX265" s="1928"/>
      <c r="EY265" s="1926" t="str">
        <f>"sem.
"&amp;FE260/7</f>
        <v>sem.
21,2857142857143</v>
      </c>
      <c r="EZ265" s="1927"/>
      <c r="FA265" s="1927"/>
      <c r="FB265" s="1927"/>
      <c r="FC265" s="1927"/>
      <c r="FD265" s="1927"/>
      <c r="FE265" s="1928"/>
      <c r="FF265" s="1926" t="str">
        <f>"sem.
"&amp;FL260/7</f>
        <v>sem.
22,2857142857143</v>
      </c>
      <c r="FG265" s="1927"/>
      <c r="FH265" s="1927"/>
      <c r="FI265" s="1927"/>
      <c r="FJ265" s="1927"/>
      <c r="FK265" s="1927"/>
      <c r="FL265" s="1928"/>
      <c r="FM265" s="1926" t="str">
        <f>"sem.
"&amp;FS260/7</f>
        <v>sem.
23,2857142857143</v>
      </c>
      <c r="FN265" s="1927"/>
      <c r="FO265" s="1927"/>
      <c r="FP265" s="1927"/>
      <c r="FQ265" s="1927"/>
      <c r="FR265" s="1927"/>
      <c r="FS265" s="1928"/>
      <c r="FT265" s="1926" t="str">
        <f>"sem.
"&amp;FZ260/7</f>
        <v>sem.
24,2857142857143</v>
      </c>
      <c r="FU265" s="1927"/>
      <c r="FV265" s="1927"/>
      <c r="FW265" s="1927"/>
      <c r="FX265" s="1927"/>
      <c r="FY265" s="1927"/>
      <c r="FZ265" s="1928"/>
      <c r="GA265" s="1926" t="str">
        <f>"sem.
"&amp;GG260/7</f>
        <v>sem.
25,2857142857143</v>
      </c>
      <c r="GB265" s="1927"/>
      <c r="GC265" s="1927"/>
      <c r="GD265" s="1927"/>
      <c r="GE265" s="1927"/>
      <c r="GF265" s="1927"/>
      <c r="GG265" s="1928"/>
      <c r="GH265" s="1926" t="str">
        <f>"sem.
"&amp;GN260/7</f>
        <v>sem.
26,2857142857143</v>
      </c>
      <c r="GI265" s="1927"/>
      <c r="GJ265" s="1927"/>
      <c r="GK265" s="1927"/>
      <c r="GL265" s="1927"/>
      <c r="GM265" s="1927"/>
      <c r="GN265" s="1928"/>
      <c r="GO265" s="1926" t="str">
        <f>"sem.
"&amp;GU260/7</f>
        <v>sem.
27,2857142857143</v>
      </c>
      <c r="GP265" s="1927"/>
      <c r="GQ265" s="1927"/>
      <c r="GR265" s="1927"/>
      <c r="GS265" s="1927"/>
      <c r="GT265" s="1927"/>
      <c r="GU265" s="1928"/>
      <c r="GV265" s="1926" t="str">
        <f>"sem.
"&amp;HB260/7</f>
        <v>sem.
28,2857142857143</v>
      </c>
      <c r="GW265" s="1927"/>
      <c r="GX265" s="1927"/>
      <c r="GY265" s="1927"/>
      <c r="GZ265" s="1927"/>
      <c r="HA265" s="1927"/>
      <c r="HB265" s="1928"/>
      <c r="HC265" s="1926" t="str">
        <f>"sem.
"&amp;HI260/7</f>
        <v>sem.
29,2857142857143</v>
      </c>
      <c r="HD265" s="1927"/>
      <c r="HE265" s="1927"/>
      <c r="HF265" s="1927"/>
      <c r="HG265" s="1927"/>
      <c r="HH265" s="1927"/>
      <c r="HI265" s="1928"/>
      <c r="HJ265" s="1926" t="str">
        <f>"sem.
"&amp;HP260/7</f>
        <v>sem.
30,2857142857143</v>
      </c>
      <c r="HK265" s="1927"/>
      <c r="HL265" s="1927"/>
      <c r="HM265" s="1927"/>
      <c r="HN265" s="1927"/>
      <c r="HO265" s="1927"/>
      <c r="HP265" s="1928"/>
      <c r="HQ265" s="1926" t="str">
        <f>"sem.
"&amp;HW260/7</f>
        <v>sem.
31,2857142857143</v>
      </c>
      <c r="HR265" s="1927"/>
      <c r="HS265" s="1927"/>
      <c r="HT265" s="1927"/>
      <c r="HU265" s="1927"/>
      <c r="HV265" s="1927"/>
      <c r="HW265" s="1928"/>
      <c r="HX265" s="1926" t="str">
        <f>"sem.
"&amp;ID260/7</f>
        <v>sem.
32,2857142857143</v>
      </c>
      <c r="HY265" s="1927"/>
      <c r="HZ265" s="1927"/>
      <c r="IA265" s="1927"/>
      <c r="IB265" s="1927"/>
      <c r="IC265" s="1927"/>
      <c r="ID265" s="1928"/>
      <c r="IE265" s="1926" t="str">
        <f>"sem.
"&amp;IK260/7</f>
        <v>sem.
33,2857142857143</v>
      </c>
      <c r="IF265" s="1927"/>
      <c r="IG265" s="1927"/>
      <c r="IH265" s="1927"/>
      <c r="II265" s="1927"/>
      <c r="IJ265" s="1927"/>
      <c r="IK265" s="1928"/>
    </row>
    <row r="266" spans="1:245" s="195" customFormat="1" ht="9" hidden="1" customHeight="1" x14ac:dyDescent="0.35">
      <c r="A266" s="195">
        <f>IF(B266=0,0,"XXX")</f>
        <v>0</v>
      </c>
      <c r="B266" s="346"/>
      <c r="C266" s="1977" t="s">
        <v>1567</v>
      </c>
      <c r="D266" s="1988" t="s">
        <v>1568</v>
      </c>
      <c r="E266" s="1989"/>
      <c r="F266" s="1982" t="s">
        <v>1569</v>
      </c>
      <c r="G266" s="1983"/>
      <c r="H266" s="1929">
        <f ca="1">H262</f>
        <v>45914</v>
      </c>
      <c r="I266" s="1930"/>
      <c r="J266" s="1930"/>
      <c r="K266" s="1933" t="s">
        <v>896</v>
      </c>
      <c r="L266" s="1930">
        <f ca="1">LARGE(H262:N264,1)</f>
        <v>45920</v>
      </c>
      <c r="M266" s="1930"/>
      <c r="N266" s="1936"/>
      <c r="O266" s="1929">
        <f ca="1">O262</f>
        <v>45921</v>
      </c>
      <c r="P266" s="1930"/>
      <c r="Q266" s="1930"/>
      <c r="R266" s="1933" t="s">
        <v>896</v>
      </c>
      <c r="S266" s="1930">
        <f ca="1">LARGE(O262:U264,1)</f>
        <v>45927</v>
      </c>
      <c r="T266" s="1930"/>
      <c r="U266" s="1936"/>
      <c r="V266" s="1929">
        <f ca="1">V262</f>
        <v>45928</v>
      </c>
      <c r="W266" s="1930"/>
      <c r="X266" s="1930"/>
      <c r="Y266" s="1933" t="s">
        <v>896</v>
      </c>
      <c r="Z266" s="1930">
        <f ca="1">LARGE(V262:AB264,1)</f>
        <v>45934</v>
      </c>
      <c r="AA266" s="1930"/>
      <c r="AB266" s="1936"/>
      <c r="AC266" s="1929">
        <f ca="1">AC262</f>
        <v>45935</v>
      </c>
      <c r="AD266" s="1930"/>
      <c r="AE266" s="1930"/>
      <c r="AF266" s="1933" t="s">
        <v>896</v>
      </c>
      <c r="AG266" s="1930">
        <f ca="1">LARGE(AC262:AI264,1)</f>
        <v>45941</v>
      </c>
      <c r="AH266" s="1930"/>
      <c r="AI266" s="1936"/>
      <c r="AJ266" s="1929">
        <f ca="1">AJ262</f>
        <v>45942</v>
      </c>
      <c r="AK266" s="1930"/>
      <c r="AL266" s="1930"/>
      <c r="AM266" s="1933" t="s">
        <v>896</v>
      </c>
      <c r="AN266" s="1930">
        <f ca="1">LARGE(AJ262:AP264,1)</f>
        <v>45948</v>
      </c>
      <c r="AO266" s="1930"/>
      <c r="AP266" s="1936"/>
      <c r="AQ266" s="1929">
        <f ca="1">AQ262</f>
        <v>45949</v>
      </c>
      <c r="AR266" s="1930"/>
      <c r="AS266" s="1930"/>
      <c r="AT266" s="1933" t="s">
        <v>896</v>
      </c>
      <c r="AU266" s="1930">
        <f ca="1">LARGE(AQ262:AW264,1)</f>
        <v>45955</v>
      </c>
      <c r="AV266" s="1930"/>
      <c r="AW266" s="1936"/>
      <c r="AX266" s="1929">
        <f ca="1">AX262</f>
        <v>45956</v>
      </c>
      <c r="AY266" s="1930"/>
      <c r="AZ266" s="1930"/>
      <c r="BA266" s="1933" t="s">
        <v>896</v>
      </c>
      <c r="BB266" s="1930">
        <f ca="1">LARGE(AX262:BD264,1)</f>
        <v>45962</v>
      </c>
      <c r="BC266" s="1930"/>
      <c r="BD266" s="1936"/>
      <c r="BE266" s="1929">
        <f ca="1">BE262</f>
        <v>45963</v>
      </c>
      <c r="BF266" s="1930"/>
      <c r="BG266" s="1930"/>
      <c r="BH266" s="1933" t="s">
        <v>896</v>
      </c>
      <c r="BI266" s="1930">
        <f ca="1">LARGE(BE262:BK264,1)</f>
        <v>45969</v>
      </c>
      <c r="BJ266" s="1930"/>
      <c r="BK266" s="1936"/>
      <c r="BL266" s="1929">
        <f ca="1">BL262</f>
        <v>45970</v>
      </c>
      <c r="BM266" s="1930"/>
      <c r="BN266" s="1930"/>
      <c r="BO266" s="1933" t="s">
        <v>896</v>
      </c>
      <c r="BP266" s="1930">
        <f ca="1">LARGE(BL262:BR264,1)</f>
        <v>45976</v>
      </c>
      <c r="BQ266" s="1930"/>
      <c r="BR266" s="1936"/>
      <c r="BS266" s="1929">
        <f ca="1">BS262</f>
        <v>45977</v>
      </c>
      <c r="BT266" s="1930"/>
      <c r="BU266" s="1930"/>
      <c r="BV266" s="1933" t="s">
        <v>896</v>
      </c>
      <c r="BW266" s="1930">
        <f ca="1">LARGE(BS262:BY264,1)</f>
        <v>45983</v>
      </c>
      <c r="BX266" s="1930"/>
      <c r="BY266" s="1936"/>
      <c r="BZ266" s="1929">
        <f ca="1">BZ262</f>
        <v>45984</v>
      </c>
      <c r="CA266" s="1930"/>
      <c r="CB266" s="1930"/>
      <c r="CC266" s="1933" t="s">
        <v>896</v>
      </c>
      <c r="CD266" s="1930">
        <f ca="1">LARGE(BZ262:CF264,1)</f>
        <v>45990</v>
      </c>
      <c r="CE266" s="1930"/>
      <c r="CF266" s="1936"/>
      <c r="CG266" s="1929">
        <f ca="1">CG262</f>
        <v>45991</v>
      </c>
      <c r="CH266" s="1930"/>
      <c r="CI266" s="1930"/>
      <c r="CJ266" s="1933" t="s">
        <v>896</v>
      </c>
      <c r="CK266" s="1930">
        <f ca="1">LARGE(CG262:CM264,1)</f>
        <v>45997</v>
      </c>
      <c r="CL266" s="1930"/>
      <c r="CM266" s="1936"/>
      <c r="CN266" s="1929">
        <f ca="1">CN262</f>
        <v>45998</v>
      </c>
      <c r="CO266" s="1930"/>
      <c r="CP266" s="1930"/>
      <c r="CQ266" s="1933" t="s">
        <v>896</v>
      </c>
      <c r="CR266" s="1930">
        <f ca="1">LARGE(CN262:CT264,1)</f>
        <v>46004</v>
      </c>
      <c r="CS266" s="1930"/>
      <c r="CT266" s="1936"/>
      <c r="CU266" s="1929">
        <f ca="1">CU262</f>
        <v>46005</v>
      </c>
      <c r="CV266" s="1930"/>
      <c r="CW266" s="1930"/>
      <c r="CX266" s="1933" t="s">
        <v>896</v>
      </c>
      <c r="CY266" s="1930">
        <f ca="1">LARGE(CU262:DA264,1)</f>
        <v>46011</v>
      </c>
      <c r="CZ266" s="1930"/>
      <c r="DA266" s="1936"/>
      <c r="DB266" s="1929">
        <f ca="1">DB262</f>
        <v>46012</v>
      </c>
      <c r="DC266" s="1930"/>
      <c r="DD266" s="1930"/>
      <c r="DE266" s="1933" t="s">
        <v>896</v>
      </c>
      <c r="DF266" s="1930">
        <f ca="1">LARGE(DB262:DH264,1)</f>
        <v>46018</v>
      </c>
      <c r="DG266" s="1930"/>
      <c r="DH266" s="1936"/>
      <c r="DI266" s="1929">
        <f ca="1">DI262</f>
        <v>46019</v>
      </c>
      <c r="DJ266" s="1930"/>
      <c r="DK266" s="1930"/>
      <c r="DL266" s="1933" t="s">
        <v>896</v>
      </c>
      <c r="DM266" s="1930">
        <f ca="1">LARGE(DI262:DO264,1)</f>
        <v>46025</v>
      </c>
      <c r="DN266" s="1930"/>
      <c r="DO266" s="1936"/>
      <c r="DP266" s="1929">
        <f ca="1">DP262</f>
        <v>46026</v>
      </c>
      <c r="DQ266" s="1930"/>
      <c r="DR266" s="1930"/>
      <c r="DS266" s="1933" t="s">
        <v>896</v>
      </c>
      <c r="DT266" s="1930">
        <f ca="1">LARGE(DP262:DV264,1)</f>
        <v>46032</v>
      </c>
      <c r="DU266" s="1930"/>
      <c r="DV266" s="1936"/>
      <c r="DW266" s="1929">
        <f ca="1">DW262</f>
        <v>46033</v>
      </c>
      <c r="DX266" s="1930"/>
      <c r="DY266" s="1930"/>
      <c r="DZ266" s="1933" t="s">
        <v>896</v>
      </c>
      <c r="EA266" s="1930">
        <f ca="1">LARGE(DW262:EC264,1)</f>
        <v>46039</v>
      </c>
      <c r="EB266" s="1930"/>
      <c r="EC266" s="1936"/>
      <c r="ED266" s="1929">
        <f ca="1">ED262</f>
        <v>46040</v>
      </c>
      <c r="EE266" s="1930"/>
      <c r="EF266" s="1930"/>
      <c r="EG266" s="1933" t="s">
        <v>896</v>
      </c>
      <c r="EH266" s="1930">
        <f ca="1">LARGE(ED262:EJ264,1)</f>
        <v>46046</v>
      </c>
      <c r="EI266" s="1930"/>
      <c r="EJ266" s="1936"/>
      <c r="EK266" s="1929">
        <f ca="1">EK262</f>
        <v>46047</v>
      </c>
      <c r="EL266" s="1930"/>
      <c r="EM266" s="1930"/>
      <c r="EN266" s="1933" t="s">
        <v>896</v>
      </c>
      <c r="EO266" s="1930">
        <f ca="1">LARGE(EK262:EQ264,1)</f>
        <v>46053</v>
      </c>
      <c r="EP266" s="1930"/>
      <c r="EQ266" s="1936"/>
      <c r="ER266" s="1929">
        <f ca="1">ER262</f>
        <v>46054</v>
      </c>
      <c r="ES266" s="1930"/>
      <c r="ET266" s="1930"/>
      <c r="EU266" s="1933" t="s">
        <v>896</v>
      </c>
      <c r="EV266" s="1930">
        <f ca="1">LARGE(ER262:EX264,1)</f>
        <v>46060</v>
      </c>
      <c r="EW266" s="1930"/>
      <c r="EX266" s="1936"/>
      <c r="EY266" s="1929">
        <f ca="1">EY262</f>
        <v>46061</v>
      </c>
      <c r="EZ266" s="1930"/>
      <c r="FA266" s="1930"/>
      <c r="FB266" s="1933" t="s">
        <v>896</v>
      </c>
      <c r="FC266" s="1930">
        <f ca="1">LARGE(EY262:FE264,1)</f>
        <v>46067</v>
      </c>
      <c r="FD266" s="1930"/>
      <c r="FE266" s="1936"/>
      <c r="FF266" s="1929">
        <f ca="1">FF262</f>
        <v>46068</v>
      </c>
      <c r="FG266" s="1930"/>
      <c r="FH266" s="1930"/>
      <c r="FI266" s="1933" t="s">
        <v>896</v>
      </c>
      <c r="FJ266" s="1930">
        <f ca="1">LARGE(FF262:FL264,1)</f>
        <v>46074</v>
      </c>
      <c r="FK266" s="1930"/>
      <c r="FL266" s="1936"/>
      <c r="FM266" s="1929">
        <f ca="1">FM262</f>
        <v>46075</v>
      </c>
      <c r="FN266" s="1930"/>
      <c r="FO266" s="1930"/>
      <c r="FP266" s="1933" t="s">
        <v>896</v>
      </c>
      <c r="FQ266" s="1930">
        <f ca="1">LARGE(FM262:FS264,1)</f>
        <v>46081</v>
      </c>
      <c r="FR266" s="1930"/>
      <c r="FS266" s="1936"/>
      <c r="FT266" s="1929">
        <f ca="1">FT262</f>
        <v>46082</v>
      </c>
      <c r="FU266" s="1930"/>
      <c r="FV266" s="1930"/>
      <c r="FW266" s="1933" t="s">
        <v>896</v>
      </c>
      <c r="FX266" s="1930">
        <f ca="1">LARGE(FT262:FZ264,1)</f>
        <v>46088</v>
      </c>
      <c r="FY266" s="1930"/>
      <c r="FZ266" s="1936"/>
      <c r="GA266" s="1929">
        <f ca="1">GA262</f>
        <v>46089</v>
      </c>
      <c r="GB266" s="1930"/>
      <c r="GC266" s="1930"/>
      <c r="GD266" s="1933" t="s">
        <v>896</v>
      </c>
      <c r="GE266" s="1930">
        <f ca="1">LARGE(GA262:GG264,1)</f>
        <v>46095</v>
      </c>
      <c r="GF266" s="1930"/>
      <c r="GG266" s="1936"/>
      <c r="GH266" s="1929">
        <f ca="1">GH262</f>
        <v>46096</v>
      </c>
      <c r="GI266" s="1930"/>
      <c r="GJ266" s="1930"/>
      <c r="GK266" s="1933" t="s">
        <v>896</v>
      </c>
      <c r="GL266" s="1930">
        <f ca="1">LARGE(GH262:GN264,1)</f>
        <v>46102</v>
      </c>
      <c r="GM266" s="1930"/>
      <c r="GN266" s="1936"/>
      <c r="GO266" s="1929">
        <f ca="1">GO262</f>
        <v>46103</v>
      </c>
      <c r="GP266" s="1930"/>
      <c r="GQ266" s="1930"/>
      <c r="GR266" s="1933" t="s">
        <v>896</v>
      </c>
      <c r="GS266" s="1930">
        <f ca="1">LARGE(GO262:GU264,1)</f>
        <v>46109</v>
      </c>
      <c r="GT266" s="1930"/>
      <c r="GU266" s="1936"/>
      <c r="GV266" s="1929">
        <f ca="1">GV262</f>
        <v>46110</v>
      </c>
      <c r="GW266" s="1930"/>
      <c r="GX266" s="1930"/>
      <c r="GY266" s="1933" t="s">
        <v>896</v>
      </c>
      <c r="GZ266" s="1930">
        <f ca="1">LARGE(GV262:HB264,1)</f>
        <v>46116</v>
      </c>
      <c r="HA266" s="1930"/>
      <c r="HB266" s="1936"/>
      <c r="HC266" s="1929">
        <f ca="1">HC262</f>
        <v>46117</v>
      </c>
      <c r="HD266" s="1930"/>
      <c r="HE266" s="1930"/>
      <c r="HF266" s="1933" t="s">
        <v>896</v>
      </c>
      <c r="HG266" s="1930">
        <f ca="1">LARGE(HC262:HI264,1)</f>
        <v>46123</v>
      </c>
      <c r="HH266" s="1930"/>
      <c r="HI266" s="1936"/>
      <c r="HJ266" s="1929">
        <f ca="1">HJ262</f>
        <v>46124</v>
      </c>
      <c r="HK266" s="1930"/>
      <c r="HL266" s="1930"/>
      <c r="HM266" s="1933" t="s">
        <v>896</v>
      </c>
      <c r="HN266" s="1930">
        <f ca="1">LARGE(HJ262:HP264,1)</f>
        <v>46130</v>
      </c>
      <c r="HO266" s="1930"/>
      <c r="HP266" s="1936"/>
      <c r="HQ266" s="1929">
        <f ca="1">HQ262</f>
        <v>46131</v>
      </c>
      <c r="HR266" s="1930"/>
      <c r="HS266" s="1930"/>
      <c r="HT266" s="1933" t="s">
        <v>896</v>
      </c>
      <c r="HU266" s="1930">
        <f ca="1">LARGE(HQ262:HW264,1)</f>
        <v>46137</v>
      </c>
      <c r="HV266" s="1930"/>
      <c r="HW266" s="1936"/>
      <c r="HX266" s="1929">
        <f ca="1">HX262</f>
        <v>46138</v>
      </c>
      <c r="HY266" s="1930"/>
      <c r="HZ266" s="1930"/>
      <c r="IA266" s="1933" t="s">
        <v>896</v>
      </c>
      <c r="IB266" s="1930">
        <f ca="1">LARGE(HX262:ID264,1)</f>
        <v>46144</v>
      </c>
      <c r="IC266" s="1930"/>
      <c r="ID266" s="1936"/>
      <c r="IE266" s="1929">
        <f ca="1">IE262</f>
        <v>46145</v>
      </c>
      <c r="IF266" s="1930"/>
      <c r="IG266" s="1930"/>
      <c r="IH266" s="1933" t="s">
        <v>896</v>
      </c>
      <c r="II266" s="1930">
        <f ca="1">LARGE(IE262:IK264,1)</f>
        <v>46151</v>
      </c>
      <c r="IJ266" s="1930"/>
      <c r="IK266" s="1936"/>
    </row>
    <row r="267" spans="1:245" s="195" customFormat="1" ht="9" hidden="1" customHeight="1" x14ac:dyDescent="0.35">
      <c r="A267" s="195">
        <f>IF(B266=0,0,"XXX")</f>
        <v>0</v>
      </c>
      <c r="B267" s="2004" t="s">
        <v>737</v>
      </c>
      <c r="C267" s="1978"/>
      <c r="D267" s="1990"/>
      <c r="E267" s="1991"/>
      <c r="F267" s="1984"/>
      <c r="G267" s="1985"/>
      <c r="H267" s="1929"/>
      <c r="I267" s="1930"/>
      <c r="J267" s="1930"/>
      <c r="K267" s="1934"/>
      <c r="L267" s="1930"/>
      <c r="M267" s="1930"/>
      <c r="N267" s="1936"/>
      <c r="O267" s="1929"/>
      <c r="P267" s="1930"/>
      <c r="Q267" s="1930"/>
      <c r="R267" s="1934"/>
      <c r="S267" s="1930"/>
      <c r="T267" s="1930"/>
      <c r="U267" s="1936"/>
      <c r="V267" s="1929"/>
      <c r="W267" s="1930"/>
      <c r="X267" s="1930"/>
      <c r="Y267" s="1934"/>
      <c r="Z267" s="1930"/>
      <c r="AA267" s="1930"/>
      <c r="AB267" s="1936"/>
      <c r="AC267" s="1929"/>
      <c r="AD267" s="1930"/>
      <c r="AE267" s="1930"/>
      <c r="AF267" s="1934"/>
      <c r="AG267" s="1930"/>
      <c r="AH267" s="1930"/>
      <c r="AI267" s="1936"/>
      <c r="AJ267" s="1929"/>
      <c r="AK267" s="1930"/>
      <c r="AL267" s="1930"/>
      <c r="AM267" s="1934"/>
      <c r="AN267" s="1930"/>
      <c r="AO267" s="1930"/>
      <c r="AP267" s="1936"/>
      <c r="AQ267" s="1929"/>
      <c r="AR267" s="1930"/>
      <c r="AS267" s="1930"/>
      <c r="AT267" s="1934"/>
      <c r="AU267" s="1930"/>
      <c r="AV267" s="1930"/>
      <c r="AW267" s="1936"/>
      <c r="AX267" s="1929"/>
      <c r="AY267" s="1930"/>
      <c r="AZ267" s="1930"/>
      <c r="BA267" s="1934"/>
      <c r="BB267" s="1930"/>
      <c r="BC267" s="1930"/>
      <c r="BD267" s="1936"/>
      <c r="BE267" s="1929"/>
      <c r="BF267" s="1930"/>
      <c r="BG267" s="1930"/>
      <c r="BH267" s="1934"/>
      <c r="BI267" s="1930"/>
      <c r="BJ267" s="1930"/>
      <c r="BK267" s="1936"/>
      <c r="BL267" s="1929"/>
      <c r="BM267" s="1930"/>
      <c r="BN267" s="1930"/>
      <c r="BO267" s="1934"/>
      <c r="BP267" s="1930"/>
      <c r="BQ267" s="1930"/>
      <c r="BR267" s="1936"/>
      <c r="BS267" s="1929"/>
      <c r="BT267" s="1930"/>
      <c r="BU267" s="1930"/>
      <c r="BV267" s="1934"/>
      <c r="BW267" s="1930"/>
      <c r="BX267" s="1930"/>
      <c r="BY267" s="1936"/>
      <c r="BZ267" s="1929"/>
      <c r="CA267" s="1930"/>
      <c r="CB267" s="1930"/>
      <c r="CC267" s="1934"/>
      <c r="CD267" s="1930"/>
      <c r="CE267" s="1930"/>
      <c r="CF267" s="1936"/>
      <c r="CG267" s="1929"/>
      <c r="CH267" s="1930"/>
      <c r="CI267" s="1930"/>
      <c r="CJ267" s="1934"/>
      <c r="CK267" s="1930"/>
      <c r="CL267" s="1930"/>
      <c r="CM267" s="1936"/>
      <c r="CN267" s="1929"/>
      <c r="CO267" s="1930"/>
      <c r="CP267" s="1930"/>
      <c r="CQ267" s="1934"/>
      <c r="CR267" s="1930"/>
      <c r="CS267" s="1930"/>
      <c r="CT267" s="1936"/>
      <c r="CU267" s="1929"/>
      <c r="CV267" s="1930"/>
      <c r="CW267" s="1930"/>
      <c r="CX267" s="1934"/>
      <c r="CY267" s="1930"/>
      <c r="CZ267" s="1930"/>
      <c r="DA267" s="1936"/>
      <c r="DB267" s="1929"/>
      <c r="DC267" s="1930"/>
      <c r="DD267" s="1930"/>
      <c r="DE267" s="1934"/>
      <c r="DF267" s="1930"/>
      <c r="DG267" s="1930"/>
      <c r="DH267" s="1936"/>
      <c r="DI267" s="1929"/>
      <c r="DJ267" s="1930"/>
      <c r="DK267" s="1930"/>
      <c r="DL267" s="1934"/>
      <c r="DM267" s="1930"/>
      <c r="DN267" s="1930"/>
      <c r="DO267" s="1936"/>
      <c r="DP267" s="1929"/>
      <c r="DQ267" s="1930"/>
      <c r="DR267" s="1930"/>
      <c r="DS267" s="1934"/>
      <c r="DT267" s="1930"/>
      <c r="DU267" s="1930"/>
      <c r="DV267" s="1936"/>
      <c r="DW267" s="1929"/>
      <c r="DX267" s="1930"/>
      <c r="DY267" s="1930"/>
      <c r="DZ267" s="1934"/>
      <c r="EA267" s="1930"/>
      <c r="EB267" s="1930"/>
      <c r="EC267" s="1936"/>
      <c r="ED267" s="1929"/>
      <c r="EE267" s="1930"/>
      <c r="EF267" s="1930"/>
      <c r="EG267" s="1934"/>
      <c r="EH267" s="1930"/>
      <c r="EI267" s="1930"/>
      <c r="EJ267" s="1936"/>
      <c r="EK267" s="1929"/>
      <c r="EL267" s="1930"/>
      <c r="EM267" s="1930"/>
      <c r="EN267" s="1934"/>
      <c r="EO267" s="1930"/>
      <c r="EP267" s="1930"/>
      <c r="EQ267" s="1936"/>
      <c r="ER267" s="1929"/>
      <c r="ES267" s="1930"/>
      <c r="ET267" s="1930"/>
      <c r="EU267" s="1934"/>
      <c r="EV267" s="1930"/>
      <c r="EW267" s="1930"/>
      <c r="EX267" s="1936"/>
      <c r="EY267" s="1929"/>
      <c r="EZ267" s="1930"/>
      <c r="FA267" s="1930"/>
      <c r="FB267" s="1934"/>
      <c r="FC267" s="1930"/>
      <c r="FD267" s="1930"/>
      <c r="FE267" s="1936"/>
      <c r="FF267" s="1929"/>
      <c r="FG267" s="1930"/>
      <c r="FH267" s="1930"/>
      <c r="FI267" s="1934"/>
      <c r="FJ267" s="1930"/>
      <c r="FK267" s="1930"/>
      <c r="FL267" s="1936"/>
      <c r="FM267" s="1929"/>
      <c r="FN267" s="1930"/>
      <c r="FO267" s="1930"/>
      <c r="FP267" s="1934"/>
      <c r="FQ267" s="1930"/>
      <c r="FR267" s="1930"/>
      <c r="FS267" s="1936"/>
      <c r="FT267" s="1929"/>
      <c r="FU267" s="1930"/>
      <c r="FV267" s="1930"/>
      <c r="FW267" s="1934"/>
      <c r="FX267" s="1930"/>
      <c r="FY267" s="1930"/>
      <c r="FZ267" s="1936"/>
      <c r="GA267" s="1929"/>
      <c r="GB267" s="1930"/>
      <c r="GC267" s="1930"/>
      <c r="GD267" s="1934"/>
      <c r="GE267" s="1930"/>
      <c r="GF267" s="1930"/>
      <c r="GG267" s="1936"/>
      <c r="GH267" s="1929"/>
      <c r="GI267" s="1930"/>
      <c r="GJ267" s="1930"/>
      <c r="GK267" s="1934"/>
      <c r="GL267" s="1930"/>
      <c r="GM267" s="1930"/>
      <c r="GN267" s="1936"/>
      <c r="GO267" s="1929"/>
      <c r="GP267" s="1930"/>
      <c r="GQ267" s="1930"/>
      <c r="GR267" s="1934"/>
      <c r="GS267" s="1930"/>
      <c r="GT267" s="1930"/>
      <c r="GU267" s="1936"/>
      <c r="GV267" s="1929"/>
      <c r="GW267" s="1930"/>
      <c r="GX267" s="1930"/>
      <c r="GY267" s="1934"/>
      <c r="GZ267" s="1930"/>
      <c r="HA267" s="1930"/>
      <c r="HB267" s="1936"/>
      <c r="HC267" s="1929"/>
      <c r="HD267" s="1930"/>
      <c r="HE267" s="1930"/>
      <c r="HF267" s="1934"/>
      <c r="HG267" s="1930"/>
      <c r="HH267" s="1930"/>
      <c r="HI267" s="1936"/>
      <c r="HJ267" s="1929"/>
      <c r="HK267" s="1930"/>
      <c r="HL267" s="1930"/>
      <c r="HM267" s="1934"/>
      <c r="HN267" s="1930"/>
      <c r="HO267" s="1930"/>
      <c r="HP267" s="1936"/>
      <c r="HQ267" s="1929"/>
      <c r="HR267" s="1930"/>
      <c r="HS267" s="1930"/>
      <c r="HT267" s="1934"/>
      <c r="HU267" s="1930"/>
      <c r="HV267" s="1930"/>
      <c r="HW267" s="1936"/>
      <c r="HX267" s="1929"/>
      <c r="HY267" s="1930"/>
      <c r="HZ267" s="1930"/>
      <c r="IA267" s="1934"/>
      <c r="IB267" s="1930"/>
      <c r="IC267" s="1930"/>
      <c r="ID267" s="1936"/>
      <c r="IE267" s="1929"/>
      <c r="IF267" s="1930"/>
      <c r="IG267" s="1930"/>
      <c r="IH267" s="1934"/>
      <c r="II267" s="1930"/>
      <c r="IJ267" s="1930"/>
      <c r="IK267" s="1936"/>
    </row>
    <row r="268" spans="1:245" s="195" customFormat="1" ht="9" hidden="1" customHeight="1" x14ac:dyDescent="0.35">
      <c r="A268" s="195">
        <f>IF(B266=0,0,"XXX")</f>
        <v>0</v>
      </c>
      <c r="B268" s="2004"/>
      <c r="C268" s="1978"/>
      <c r="D268" s="1990"/>
      <c r="E268" s="1991"/>
      <c r="F268" s="1984"/>
      <c r="G268" s="1985"/>
      <c r="H268" s="1929"/>
      <c r="I268" s="1930"/>
      <c r="J268" s="1930"/>
      <c r="K268" s="1934"/>
      <c r="L268" s="1930"/>
      <c r="M268" s="1930"/>
      <c r="N268" s="1936"/>
      <c r="O268" s="1929"/>
      <c r="P268" s="1930"/>
      <c r="Q268" s="1930"/>
      <c r="R268" s="1934"/>
      <c r="S268" s="1930"/>
      <c r="T268" s="1930"/>
      <c r="U268" s="1936"/>
      <c r="V268" s="1929"/>
      <c r="W268" s="1930"/>
      <c r="X268" s="1930"/>
      <c r="Y268" s="1934"/>
      <c r="Z268" s="1930"/>
      <c r="AA268" s="1930"/>
      <c r="AB268" s="1936"/>
      <c r="AC268" s="1929"/>
      <c r="AD268" s="1930"/>
      <c r="AE268" s="1930"/>
      <c r="AF268" s="1934"/>
      <c r="AG268" s="1930"/>
      <c r="AH268" s="1930"/>
      <c r="AI268" s="1936"/>
      <c r="AJ268" s="1929"/>
      <c r="AK268" s="1930"/>
      <c r="AL268" s="1930"/>
      <c r="AM268" s="1934"/>
      <c r="AN268" s="1930"/>
      <c r="AO268" s="1930"/>
      <c r="AP268" s="1936"/>
      <c r="AQ268" s="1929"/>
      <c r="AR268" s="1930"/>
      <c r="AS268" s="1930"/>
      <c r="AT268" s="1934"/>
      <c r="AU268" s="1930"/>
      <c r="AV268" s="1930"/>
      <c r="AW268" s="1936"/>
      <c r="AX268" s="1929"/>
      <c r="AY268" s="1930"/>
      <c r="AZ268" s="1930"/>
      <c r="BA268" s="1934"/>
      <c r="BB268" s="1930"/>
      <c r="BC268" s="1930"/>
      <c r="BD268" s="1936"/>
      <c r="BE268" s="1929"/>
      <c r="BF268" s="1930"/>
      <c r="BG268" s="1930"/>
      <c r="BH268" s="1934"/>
      <c r="BI268" s="1930"/>
      <c r="BJ268" s="1930"/>
      <c r="BK268" s="1936"/>
      <c r="BL268" s="1929"/>
      <c r="BM268" s="1930"/>
      <c r="BN268" s="1930"/>
      <c r="BO268" s="1934"/>
      <c r="BP268" s="1930"/>
      <c r="BQ268" s="1930"/>
      <c r="BR268" s="1936"/>
      <c r="BS268" s="1929"/>
      <c r="BT268" s="1930"/>
      <c r="BU268" s="1930"/>
      <c r="BV268" s="1934"/>
      <c r="BW268" s="1930"/>
      <c r="BX268" s="1930"/>
      <c r="BY268" s="1936"/>
      <c r="BZ268" s="1929"/>
      <c r="CA268" s="1930"/>
      <c r="CB268" s="1930"/>
      <c r="CC268" s="1934"/>
      <c r="CD268" s="1930"/>
      <c r="CE268" s="1930"/>
      <c r="CF268" s="1936"/>
      <c r="CG268" s="1929"/>
      <c r="CH268" s="1930"/>
      <c r="CI268" s="1930"/>
      <c r="CJ268" s="1934"/>
      <c r="CK268" s="1930"/>
      <c r="CL268" s="1930"/>
      <c r="CM268" s="1936"/>
      <c r="CN268" s="1929"/>
      <c r="CO268" s="1930"/>
      <c r="CP268" s="1930"/>
      <c r="CQ268" s="1934"/>
      <c r="CR268" s="1930"/>
      <c r="CS268" s="1930"/>
      <c r="CT268" s="1936"/>
      <c r="CU268" s="1929"/>
      <c r="CV268" s="1930"/>
      <c r="CW268" s="1930"/>
      <c r="CX268" s="1934"/>
      <c r="CY268" s="1930"/>
      <c r="CZ268" s="1930"/>
      <c r="DA268" s="1936"/>
      <c r="DB268" s="1929"/>
      <c r="DC268" s="1930"/>
      <c r="DD268" s="1930"/>
      <c r="DE268" s="1934"/>
      <c r="DF268" s="1930"/>
      <c r="DG268" s="1930"/>
      <c r="DH268" s="1936"/>
      <c r="DI268" s="1929"/>
      <c r="DJ268" s="1930"/>
      <c r="DK268" s="1930"/>
      <c r="DL268" s="1934"/>
      <c r="DM268" s="1930"/>
      <c r="DN268" s="1930"/>
      <c r="DO268" s="1936"/>
      <c r="DP268" s="1929"/>
      <c r="DQ268" s="1930"/>
      <c r="DR268" s="1930"/>
      <c r="DS268" s="1934"/>
      <c r="DT268" s="1930"/>
      <c r="DU268" s="1930"/>
      <c r="DV268" s="1936"/>
      <c r="DW268" s="1929"/>
      <c r="DX268" s="1930"/>
      <c r="DY268" s="1930"/>
      <c r="DZ268" s="1934"/>
      <c r="EA268" s="1930"/>
      <c r="EB268" s="1930"/>
      <c r="EC268" s="1936"/>
      <c r="ED268" s="1929"/>
      <c r="EE268" s="1930"/>
      <c r="EF268" s="1930"/>
      <c r="EG268" s="1934"/>
      <c r="EH268" s="1930"/>
      <c r="EI268" s="1930"/>
      <c r="EJ268" s="1936"/>
      <c r="EK268" s="1929"/>
      <c r="EL268" s="1930"/>
      <c r="EM268" s="1930"/>
      <c r="EN268" s="1934"/>
      <c r="EO268" s="1930"/>
      <c r="EP268" s="1930"/>
      <c r="EQ268" s="1936"/>
      <c r="ER268" s="1929"/>
      <c r="ES268" s="1930"/>
      <c r="ET268" s="1930"/>
      <c r="EU268" s="1934"/>
      <c r="EV268" s="1930"/>
      <c r="EW268" s="1930"/>
      <c r="EX268" s="1936"/>
      <c r="EY268" s="1929"/>
      <c r="EZ268" s="1930"/>
      <c r="FA268" s="1930"/>
      <c r="FB268" s="1934"/>
      <c r="FC268" s="1930"/>
      <c r="FD268" s="1930"/>
      <c r="FE268" s="1936"/>
      <c r="FF268" s="1929"/>
      <c r="FG268" s="1930"/>
      <c r="FH268" s="1930"/>
      <c r="FI268" s="1934"/>
      <c r="FJ268" s="1930"/>
      <c r="FK268" s="1930"/>
      <c r="FL268" s="1936"/>
      <c r="FM268" s="1929"/>
      <c r="FN268" s="1930"/>
      <c r="FO268" s="1930"/>
      <c r="FP268" s="1934"/>
      <c r="FQ268" s="1930"/>
      <c r="FR268" s="1930"/>
      <c r="FS268" s="1936"/>
      <c r="FT268" s="1929"/>
      <c r="FU268" s="1930"/>
      <c r="FV268" s="1930"/>
      <c r="FW268" s="1934"/>
      <c r="FX268" s="1930"/>
      <c r="FY268" s="1930"/>
      <c r="FZ268" s="1936"/>
      <c r="GA268" s="1929"/>
      <c r="GB268" s="1930"/>
      <c r="GC268" s="1930"/>
      <c r="GD268" s="1934"/>
      <c r="GE268" s="1930"/>
      <c r="GF268" s="1930"/>
      <c r="GG268" s="1936"/>
      <c r="GH268" s="1929"/>
      <c r="GI268" s="1930"/>
      <c r="GJ268" s="1930"/>
      <c r="GK268" s="1934"/>
      <c r="GL268" s="1930"/>
      <c r="GM268" s="1930"/>
      <c r="GN268" s="1936"/>
      <c r="GO268" s="1929"/>
      <c r="GP268" s="1930"/>
      <c r="GQ268" s="1930"/>
      <c r="GR268" s="1934"/>
      <c r="GS268" s="1930"/>
      <c r="GT268" s="1930"/>
      <c r="GU268" s="1936"/>
      <c r="GV268" s="1929"/>
      <c r="GW268" s="1930"/>
      <c r="GX268" s="1930"/>
      <c r="GY268" s="1934"/>
      <c r="GZ268" s="1930"/>
      <c r="HA268" s="1930"/>
      <c r="HB268" s="1936"/>
      <c r="HC268" s="1929"/>
      <c r="HD268" s="1930"/>
      <c r="HE268" s="1930"/>
      <c r="HF268" s="1934"/>
      <c r="HG268" s="1930"/>
      <c r="HH268" s="1930"/>
      <c r="HI268" s="1936"/>
      <c r="HJ268" s="1929"/>
      <c r="HK268" s="1930"/>
      <c r="HL268" s="1930"/>
      <c r="HM268" s="1934"/>
      <c r="HN268" s="1930"/>
      <c r="HO268" s="1930"/>
      <c r="HP268" s="1936"/>
      <c r="HQ268" s="1929"/>
      <c r="HR268" s="1930"/>
      <c r="HS268" s="1930"/>
      <c r="HT268" s="1934"/>
      <c r="HU268" s="1930"/>
      <c r="HV268" s="1930"/>
      <c r="HW268" s="1936"/>
      <c r="HX268" s="1929"/>
      <c r="HY268" s="1930"/>
      <c r="HZ268" s="1930"/>
      <c r="IA268" s="1934"/>
      <c r="IB268" s="1930"/>
      <c r="IC268" s="1930"/>
      <c r="ID268" s="1936"/>
      <c r="IE268" s="1929"/>
      <c r="IF268" s="1930"/>
      <c r="IG268" s="1930"/>
      <c r="IH268" s="1934"/>
      <c r="II268" s="1930"/>
      <c r="IJ268" s="1930"/>
      <c r="IK268" s="1936"/>
    </row>
    <row r="269" spans="1:245" s="195" customFormat="1" ht="9" hidden="1" customHeight="1" x14ac:dyDescent="0.35">
      <c r="A269" s="195">
        <f>IF(B266=0,0,"XXX")</f>
        <v>0</v>
      </c>
      <c r="B269" s="2004"/>
      <c r="C269" s="1979"/>
      <c r="D269" s="1992"/>
      <c r="E269" s="1993"/>
      <c r="F269" s="1986"/>
      <c r="G269" s="1987"/>
      <c r="H269" s="1931"/>
      <c r="I269" s="1932"/>
      <c r="J269" s="1932"/>
      <c r="K269" s="1935"/>
      <c r="L269" s="1932"/>
      <c r="M269" s="1932"/>
      <c r="N269" s="1937"/>
      <c r="O269" s="1931"/>
      <c r="P269" s="1932"/>
      <c r="Q269" s="1932"/>
      <c r="R269" s="1935"/>
      <c r="S269" s="1932"/>
      <c r="T269" s="1932"/>
      <c r="U269" s="1937"/>
      <c r="V269" s="1931"/>
      <c r="W269" s="1932"/>
      <c r="X269" s="1932"/>
      <c r="Y269" s="1935"/>
      <c r="Z269" s="1932"/>
      <c r="AA269" s="1932"/>
      <c r="AB269" s="1937"/>
      <c r="AC269" s="1931"/>
      <c r="AD269" s="1932"/>
      <c r="AE269" s="1932"/>
      <c r="AF269" s="1935"/>
      <c r="AG269" s="1932"/>
      <c r="AH269" s="1932"/>
      <c r="AI269" s="1937"/>
      <c r="AJ269" s="1931"/>
      <c r="AK269" s="1932"/>
      <c r="AL269" s="1932"/>
      <c r="AM269" s="1935"/>
      <c r="AN269" s="1932"/>
      <c r="AO269" s="1932"/>
      <c r="AP269" s="1937"/>
      <c r="AQ269" s="1931"/>
      <c r="AR269" s="1932"/>
      <c r="AS269" s="1932"/>
      <c r="AT269" s="1935"/>
      <c r="AU269" s="1932"/>
      <c r="AV269" s="1932"/>
      <c r="AW269" s="1937"/>
      <c r="AX269" s="1931"/>
      <c r="AY269" s="1932"/>
      <c r="AZ269" s="1932"/>
      <c r="BA269" s="1935"/>
      <c r="BB269" s="1932"/>
      <c r="BC269" s="1932"/>
      <c r="BD269" s="1937"/>
      <c r="BE269" s="1931"/>
      <c r="BF269" s="1932"/>
      <c r="BG269" s="1932"/>
      <c r="BH269" s="1935"/>
      <c r="BI269" s="1932"/>
      <c r="BJ269" s="1932"/>
      <c r="BK269" s="1937"/>
      <c r="BL269" s="1931"/>
      <c r="BM269" s="1932"/>
      <c r="BN269" s="1932"/>
      <c r="BO269" s="1935"/>
      <c r="BP269" s="1932"/>
      <c r="BQ269" s="1932"/>
      <c r="BR269" s="1937"/>
      <c r="BS269" s="1931"/>
      <c r="BT269" s="1932"/>
      <c r="BU269" s="1932"/>
      <c r="BV269" s="1935"/>
      <c r="BW269" s="1932"/>
      <c r="BX269" s="1932"/>
      <c r="BY269" s="1937"/>
      <c r="BZ269" s="1931"/>
      <c r="CA269" s="1932"/>
      <c r="CB269" s="1932"/>
      <c r="CC269" s="1935"/>
      <c r="CD269" s="1932"/>
      <c r="CE269" s="1932"/>
      <c r="CF269" s="1937"/>
      <c r="CG269" s="1931"/>
      <c r="CH269" s="1932"/>
      <c r="CI269" s="1932"/>
      <c r="CJ269" s="1935"/>
      <c r="CK269" s="1932"/>
      <c r="CL269" s="1932"/>
      <c r="CM269" s="1937"/>
      <c r="CN269" s="1931"/>
      <c r="CO269" s="1932"/>
      <c r="CP269" s="1932"/>
      <c r="CQ269" s="1935"/>
      <c r="CR269" s="1932"/>
      <c r="CS269" s="1932"/>
      <c r="CT269" s="1937"/>
      <c r="CU269" s="1931"/>
      <c r="CV269" s="1932"/>
      <c r="CW269" s="1932"/>
      <c r="CX269" s="1935"/>
      <c r="CY269" s="1932"/>
      <c r="CZ269" s="1932"/>
      <c r="DA269" s="1937"/>
      <c r="DB269" s="1931"/>
      <c r="DC269" s="1932"/>
      <c r="DD269" s="1932"/>
      <c r="DE269" s="1935"/>
      <c r="DF269" s="1932"/>
      <c r="DG269" s="1932"/>
      <c r="DH269" s="1937"/>
      <c r="DI269" s="1931"/>
      <c r="DJ269" s="1932"/>
      <c r="DK269" s="1932"/>
      <c r="DL269" s="1935"/>
      <c r="DM269" s="1932"/>
      <c r="DN269" s="1932"/>
      <c r="DO269" s="1937"/>
      <c r="DP269" s="1931"/>
      <c r="DQ269" s="1932"/>
      <c r="DR269" s="1932"/>
      <c r="DS269" s="1935"/>
      <c r="DT269" s="1932"/>
      <c r="DU269" s="1932"/>
      <c r="DV269" s="1937"/>
      <c r="DW269" s="1931"/>
      <c r="DX269" s="1932"/>
      <c r="DY269" s="1932"/>
      <c r="DZ269" s="1935"/>
      <c r="EA269" s="1932"/>
      <c r="EB269" s="1932"/>
      <c r="EC269" s="1937"/>
      <c r="ED269" s="1931"/>
      <c r="EE269" s="1932"/>
      <c r="EF269" s="1932"/>
      <c r="EG269" s="1935"/>
      <c r="EH269" s="1932"/>
      <c r="EI269" s="1932"/>
      <c r="EJ269" s="1937"/>
      <c r="EK269" s="1931"/>
      <c r="EL269" s="1932"/>
      <c r="EM269" s="1932"/>
      <c r="EN269" s="1935"/>
      <c r="EO269" s="1932"/>
      <c r="EP269" s="1932"/>
      <c r="EQ269" s="1937"/>
      <c r="ER269" s="1931"/>
      <c r="ES269" s="1932"/>
      <c r="ET269" s="1932"/>
      <c r="EU269" s="1935"/>
      <c r="EV269" s="1932"/>
      <c r="EW269" s="1932"/>
      <c r="EX269" s="1937"/>
      <c r="EY269" s="1931"/>
      <c r="EZ269" s="1932"/>
      <c r="FA269" s="1932"/>
      <c r="FB269" s="1935"/>
      <c r="FC269" s="1932"/>
      <c r="FD269" s="1932"/>
      <c r="FE269" s="1937"/>
      <c r="FF269" s="1931"/>
      <c r="FG269" s="1932"/>
      <c r="FH269" s="1932"/>
      <c r="FI269" s="1935"/>
      <c r="FJ269" s="1932"/>
      <c r="FK269" s="1932"/>
      <c r="FL269" s="1937"/>
      <c r="FM269" s="1931"/>
      <c r="FN269" s="1932"/>
      <c r="FO269" s="1932"/>
      <c r="FP269" s="1935"/>
      <c r="FQ269" s="1932"/>
      <c r="FR269" s="1932"/>
      <c r="FS269" s="1937"/>
      <c r="FT269" s="1931"/>
      <c r="FU269" s="1932"/>
      <c r="FV269" s="1932"/>
      <c r="FW269" s="1935"/>
      <c r="FX269" s="1932"/>
      <c r="FY269" s="1932"/>
      <c r="FZ269" s="1937"/>
      <c r="GA269" s="1931"/>
      <c r="GB269" s="1932"/>
      <c r="GC269" s="1932"/>
      <c r="GD269" s="1935"/>
      <c r="GE269" s="1932"/>
      <c r="GF269" s="1932"/>
      <c r="GG269" s="1937"/>
      <c r="GH269" s="1931"/>
      <c r="GI269" s="1932"/>
      <c r="GJ269" s="1932"/>
      <c r="GK269" s="1935"/>
      <c r="GL269" s="1932"/>
      <c r="GM269" s="1932"/>
      <c r="GN269" s="1937"/>
      <c r="GO269" s="1931"/>
      <c r="GP269" s="1932"/>
      <c r="GQ269" s="1932"/>
      <c r="GR269" s="1935"/>
      <c r="GS269" s="1932"/>
      <c r="GT269" s="1932"/>
      <c r="GU269" s="1937"/>
      <c r="GV269" s="1931"/>
      <c r="GW269" s="1932"/>
      <c r="GX269" s="1932"/>
      <c r="GY269" s="1935"/>
      <c r="GZ269" s="1932"/>
      <c r="HA269" s="1932"/>
      <c r="HB269" s="1937"/>
      <c r="HC269" s="1931"/>
      <c r="HD269" s="1932"/>
      <c r="HE269" s="1932"/>
      <c r="HF269" s="1935"/>
      <c r="HG269" s="1932"/>
      <c r="HH269" s="1932"/>
      <c r="HI269" s="1937"/>
      <c r="HJ269" s="1931"/>
      <c r="HK269" s="1932"/>
      <c r="HL269" s="1932"/>
      <c r="HM269" s="1935"/>
      <c r="HN269" s="1932"/>
      <c r="HO269" s="1932"/>
      <c r="HP269" s="1937"/>
      <c r="HQ269" s="1931"/>
      <c r="HR269" s="1932"/>
      <c r="HS269" s="1932"/>
      <c r="HT269" s="1935"/>
      <c r="HU269" s="1932"/>
      <c r="HV269" s="1932"/>
      <c r="HW269" s="1937"/>
      <c r="HX269" s="1931"/>
      <c r="HY269" s="1932"/>
      <c r="HZ269" s="1932"/>
      <c r="IA269" s="1935"/>
      <c r="IB269" s="1932"/>
      <c r="IC269" s="1932"/>
      <c r="ID269" s="1937"/>
      <c r="IE269" s="1931"/>
      <c r="IF269" s="1932"/>
      <c r="IG269" s="1932"/>
      <c r="IH269" s="1935"/>
      <c r="II269" s="1932"/>
      <c r="IJ269" s="1932"/>
      <c r="IK269" s="1937"/>
    </row>
    <row r="270" spans="1:245" s="195" customFormat="1" ht="9" hidden="1" customHeight="1" x14ac:dyDescent="0.35">
      <c r="A270" s="195">
        <f>IF(B270=0,0,"XXX")</f>
        <v>0</v>
      </c>
      <c r="B270" s="1967"/>
      <c r="C270" s="1969"/>
      <c r="D270" s="358"/>
      <c r="E270" s="359"/>
      <c r="F270" s="1971"/>
      <c r="G270" s="1973"/>
      <c r="H270" s="1924"/>
      <c r="I270" s="1920"/>
      <c r="J270" s="1920"/>
      <c r="K270" s="1920"/>
      <c r="L270" s="1920"/>
      <c r="M270" s="1920"/>
      <c r="N270" s="1922"/>
      <c r="O270" s="1924"/>
      <c r="P270" s="1920"/>
      <c r="Q270" s="1920"/>
      <c r="R270" s="1920"/>
      <c r="S270" s="1920"/>
      <c r="T270" s="1920"/>
      <c r="U270" s="1922"/>
      <c r="V270" s="1924"/>
      <c r="W270" s="1920"/>
      <c r="X270" s="1920"/>
      <c r="Y270" s="1920"/>
      <c r="Z270" s="1920"/>
      <c r="AA270" s="1920"/>
      <c r="AB270" s="1922"/>
      <c r="AC270" s="1924"/>
      <c r="AD270" s="1920"/>
      <c r="AE270" s="1920"/>
      <c r="AF270" s="1920"/>
      <c r="AG270" s="1920"/>
      <c r="AH270" s="1920"/>
      <c r="AI270" s="1922"/>
      <c r="AJ270" s="1924"/>
      <c r="AK270" s="1920"/>
      <c r="AL270" s="1920"/>
      <c r="AM270" s="1920"/>
      <c r="AN270" s="1920"/>
      <c r="AO270" s="1920"/>
      <c r="AP270" s="1922"/>
      <c r="AQ270" s="1924"/>
      <c r="AR270" s="1920"/>
      <c r="AS270" s="1920"/>
      <c r="AT270" s="1920"/>
      <c r="AU270" s="1920"/>
      <c r="AV270" s="1920"/>
      <c r="AW270" s="1922"/>
      <c r="AX270" s="1924"/>
      <c r="AY270" s="1920"/>
      <c r="AZ270" s="1920"/>
      <c r="BA270" s="1920"/>
      <c r="BB270" s="1920"/>
      <c r="BC270" s="1920"/>
      <c r="BD270" s="1922"/>
      <c r="BE270" s="1924"/>
      <c r="BF270" s="1920"/>
      <c r="BG270" s="1920"/>
      <c r="BH270" s="1920"/>
      <c r="BI270" s="1920"/>
      <c r="BJ270" s="1920"/>
      <c r="BK270" s="1922"/>
      <c r="BL270" s="1924"/>
      <c r="BM270" s="1920"/>
      <c r="BN270" s="1920"/>
      <c r="BO270" s="1920"/>
      <c r="BP270" s="1920"/>
      <c r="BQ270" s="1920"/>
      <c r="BR270" s="1922"/>
      <c r="BS270" s="1924"/>
      <c r="BT270" s="1920"/>
      <c r="BU270" s="1920"/>
      <c r="BV270" s="1920"/>
      <c r="BW270" s="1920"/>
      <c r="BX270" s="1920"/>
      <c r="BY270" s="1922"/>
      <c r="BZ270" s="1924"/>
      <c r="CA270" s="1920"/>
      <c r="CB270" s="1920"/>
      <c r="CC270" s="1920"/>
      <c r="CD270" s="1920"/>
      <c r="CE270" s="1920"/>
      <c r="CF270" s="1922"/>
      <c r="CG270" s="1924"/>
      <c r="CH270" s="1920"/>
      <c r="CI270" s="1920"/>
      <c r="CJ270" s="1920"/>
      <c r="CK270" s="1920"/>
      <c r="CL270" s="1920"/>
      <c r="CM270" s="1922"/>
      <c r="CN270" s="1924"/>
      <c r="CO270" s="1920"/>
      <c r="CP270" s="1920"/>
      <c r="CQ270" s="1920"/>
      <c r="CR270" s="1920"/>
      <c r="CS270" s="1920"/>
      <c r="CT270" s="1922"/>
      <c r="CU270" s="1924"/>
      <c r="CV270" s="1920"/>
      <c r="CW270" s="1920"/>
      <c r="CX270" s="1920"/>
      <c r="CY270" s="1920"/>
      <c r="CZ270" s="1920"/>
      <c r="DA270" s="1922"/>
      <c r="DB270" s="1924"/>
      <c r="DC270" s="1920"/>
      <c r="DD270" s="1920"/>
      <c r="DE270" s="1920"/>
      <c r="DF270" s="1920"/>
      <c r="DG270" s="1920"/>
      <c r="DH270" s="1922"/>
      <c r="DI270" s="1924"/>
      <c r="DJ270" s="1920"/>
      <c r="DK270" s="1920"/>
      <c r="DL270" s="1920"/>
      <c r="DM270" s="1920"/>
      <c r="DN270" s="1920"/>
      <c r="DO270" s="1922"/>
      <c r="DP270" s="1924"/>
      <c r="DQ270" s="1920"/>
      <c r="DR270" s="1920"/>
      <c r="DS270" s="1920"/>
      <c r="DT270" s="1920"/>
      <c r="DU270" s="1920"/>
      <c r="DV270" s="1922"/>
      <c r="DW270" s="1924"/>
      <c r="DX270" s="1920"/>
      <c r="DY270" s="1920"/>
      <c r="DZ270" s="1920"/>
      <c r="EA270" s="1920"/>
      <c r="EB270" s="1920"/>
      <c r="EC270" s="1922"/>
      <c r="ED270" s="1924"/>
      <c r="EE270" s="1920"/>
      <c r="EF270" s="1920"/>
      <c r="EG270" s="1920"/>
      <c r="EH270" s="1920"/>
      <c r="EI270" s="1920"/>
      <c r="EJ270" s="1922"/>
      <c r="EK270" s="1924"/>
      <c r="EL270" s="1920"/>
      <c r="EM270" s="1920"/>
      <c r="EN270" s="1920"/>
      <c r="EO270" s="1920"/>
      <c r="EP270" s="1920"/>
      <c r="EQ270" s="1922"/>
      <c r="ER270" s="1924"/>
      <c r="ES270" s="1920"/>
      <c r="ET270" s="1920"/>
      <c r="EU270" s="1920"/>
      <c r="EV270" s="1920"/>
      <c r="EW270" s="1920"/>
      <c r="EX270" s="1922"/>
      <c r="EY270" s="1924"/>
      <c r="EZ270" s="1920"/>
      <c r="FA270" s="1920"/>
      <c r="FB270" s="1920"/>
      <c r="FC270" s="1920"/>
      <c r="FD270" s="1920"/>
      <c r="FE270" s="1922"/>
      <c r="FF270" s="1924"/>
      <c r="FG270" s="1920"/>
      <c r="FH270" s="1920"/>
      <c r="FI270" s="1920"/>
      <c r="FJ270" s="1920"/>
      <c r="FK270" s="1920"/>
      <c r="FL270" s="1922"/>
      <c r="FM270" s="1924"/>
      <c r="FN270" s="1920"/>
      <c r="FO270" s="1920"/>
      <c r="FP270" s="1920"/>
      <c r="FQ270" s="1920"/>
      <c r="FR270" s="1920"/>
      <c r="FS270" s="1922"/>
      <c r="FT270" s="1924"/>
      <c r="FU270" s="1920"/>
      <c r="FV270" s="1920"/>
      <c r="FW270" s="1920"/>
      <c r="FX270" s="1920"/>
      <c r="FY270" s="1920"/>
      <c r="FZ270" s="1922"/>
      <c r="GA270" s="1924"/>
      <c r="GB270" s="1920"/>
      <c r="GC270" s="1920"/>
      <c r="GD270" s="1920"/>
      <c r="GE270" s="1920"/>
      <c r="GF270" s="1920"/>
      <c r="GG270" s="1922"/>
      <c r="GH270" s="1924"/>
      <c r="GI270" s="1920"/>
      <c r="GJ270" s="1920"/>
      <c r="GK270" s="1920"/>
      <c r="GL270" s="1920"/>
      <c r="GM270" s="1920"/>
      <c r="GN270" s="1922"/>
      <c r="GO270" s="1924"/>
      <c r="GP270" s="1920"/>
      <c r="GQ270" s="1920"/>
      <c r="GR270" s="1920"/>
      <c r="GS270" s="1920"/>
      <c r="GT270" s="1920"/>
      <c r="GU270" s="1922"/>
      <c r="GV270" s="1924"/>
      <c r="GW270" s="1920"/>
      <c r="GX270" s="1920"/>
      <c r="GY270" s="1920"/>
      <c r="GZ270" s="1920"/>
      <c r="HA270" s="1920"/>
      <c r="HB270" s="1922"/>
      <c r="HC270" s="1924"/>
      <c r="HD270" s="1920"/>
      <c r="HE270" s="1920"/>
      <c r="HF270" s="1920"/>
      <c r="HG270" s="1920"/>
      <c r="HH270" s="1920"/>
      <c r="HI270" s="1922"/>
      <c r="HJ270" s="1924"/>
      <c r="HK270" s="1920"/>
      <c r="HL270" s="1920"/>
      <c r="HM270" s="1920"/>
      <c r="HN270" s="1920"/>
      <c r="HO270" s="1920"/>
      <c r="HP270" s="1922"/>
      <c r="HQ270" s="1924"/>
      <c r="HR270" s="1920"/>
      <c r="HS270" s="1920"/>
      <c r="HT270" s="1920"/>
      <c r="HU270" s="1920"/>
      <c r="HV270" s="1920"/>
      <c r="HW270" s="1922"/>
      <c r="HX270" s="1924"/>
      <c r="HY270" s="1920"/>
      <c r="HZ270" s="1920"/>
      <c r="IA270" s="1920"/>
      <c r="IB270" s="1920"/>
      <c r="IC270" s="1920"/>
      <c r="ID270" s="1922"/>
      <c r="IE270" s="1924"/>
      <c r="IF270" s="1920"/>
      <c r="IG270" s="1920"/>
      <c r="IH270" s="1920"/>
      <c r="II270" s="1920"/>
      <c r="IJ270" s="1920"/>
      <c r="IK270" s="1922"/>
    </row>
    <row r="271" spans="1:245" s="195" customFormat="1" ht="9" hidden="1" customHeight="1" x14ac:dyDescent="0.35">
      <c r="A271" s="195">
        <f>IF(B270=0,0,"XXX")</f>
        <v>0</v>
      </c>
      <c r="B271" s="1968"/>
      <c r="C271" s="1970"/>
      <c r="D271" s="360"/>
      <c r="E271" s="361"/>
      <c r="F271" s="1972"/>
      <c r="G271" s="1974"/>
      <c r="H271" s="1925"/>
      <c r="I271" s="1921"/>
      <c r="J271" s="1921"/>
      <c r="K271" s="1921"/>
      <c r="L271" s="1921"/>
      <c r="M271" s="1921"/>
      <c r="N271" s="1923"/>
      <c r="O271" s="1925"/>
      <c r="P271" s="1921"/>
      <c r="Q271" s="1921"/>
      <c r="R271" s="1921"/>
      <c r="S271" s="1921"/>
      <c r="T271" s="1921"/>
      <c r="U271" s="1923"/>
      <c r="V271" s="1925"/>
      <c r="W271" s="1921"/>
      <c r="X271" s="1921"/>
      <c r="Y271" s="1921"/>
      <c r="Z271" s="1921"/>
      <c r="AA271" s="1921"/>
      <c r="AB271" s="1923"/>
      <c r="AC271" s="1925"/>
      <c r="AD271" s="1921"/>
      <c r="AE271" s="1921"/>
      <c r="AF271" s="1921"/>
      <c r="AG271" s="1921"/>
      <c r="AH271" s="1921"/>
      <c r="AI271" s="1923"/>
      <c r="AJ271" s="1925"/>
      <c r="AK271" s="1921"/>
      <c r="AL271" s="1921"/>
      <c r="AM271" s="1921"/>
      <c r="AN271" s="1921"/>
      <c r="AO271" s="1921"/>
      <c r="AP271" s="1923"/>
      <c r="AQ271" s="1925"/>
      <c r="AR271" s="1921"/>
      <c r="AS271" s="1921"/>
      <c r="AT271" s="1921"/>
      <c r="AU271" s="1921"/>
      <c r="AV271" s="1921"/>
      <c r="AW271" s="1923"/>
      <c r="AX271" s="1925"/>
      <c r="AY271" s="1921"/>
      <c r="AZ271" s="1921"/>
      <c r="BA271" s="1921"/>
      <c r="BB271" s="1921"/>
      <c r="BC271" s="1921"/>
      <c r="BD271" s="1923"/>
      <c r="BE271" s="1925"/>
      <c r="BF271" s="1921"/>
      <c r="BG271" s="1921"/>
      <c r="BH271" s="1921"/>
      <c r="BI271" s="1921"/>
      <c r="BJ271" s="1921"/>
      <c r="BK271" s="1923"/>
      <c r="BL271" s="1925"/>
      <c r="BM271" s="1921"/>
      <c r="BN271" s="1921"/>
      <c r="BO271" s="1921"/>
      <c r="BP271" s="1921"/>
      <c r="BQ271" s="1921"/>
      <c r="BR271" s="1923"/>
      <c r="BS271" s="1925"/>
      <c r="BT271" s="1921"/>
      <c r="BU271" s="1921"/>
      <c r="BV271" s="1921"/>
      <c r="BW271" s="1921"/>
      <c r="BX271" s="1921"/>
      <c r="BY271" s="1923"/>
      <c r="BZ271" s="1925"/>
      <c r="CA271" s="1921"/>
      <c r="CB271" s="1921"/>
      <c r="CC271" s="1921"/>
      <c r="CD271" s="1921"/>
      <c r="CE271" s="1921"/>
      <c r="CF271" s="1923"/>
      <c r="CG271" s="1925"/>
      <c r="CH271" s="1921"/>
      <c r="CI271" s="1921"/>
      <c r="CJ271" s="1921"/>
      <c r="CK271" s="1921"/>
      <c r="CL271" s="1921"/>
      <c r="CM271" s="1923"/>
      <c r="CN271" s="1925"/>
      <c r="CO271" s="1921"/>
      <c r="CP271" s="1921"/>
      <c r="CQ271" s="1921"/>
      <c r="CR271" s="1921"/>
      <c r="CS271" s="1921"/>
      <c r="CT271" s="1923"/>
      <c r="CU271" s="1925"/>
      <c r="CV271" s="1921"/>
      <c r="CW271" s="1921"/>
      <c r="CX271" s="1921"/>
      <c r="CY271" s="1921"/>
      <c r="CZ271" s="1921"/>
      <c r="DA271" s="1923"/>
      <c r="DB271" s="1925"/>
      <c r="DC271" s="1921"/>
      <c r="DD271" s="1921"/>
      <c r="DE271" s="1921"/>
      <c r="DF271" s="1921"/>
      <c r="DG271" s="1921"/>
      <c r="DH271" s="1923"/>
      <c r="DI271" s="1925"/>
      <c r="DJ271" s="1921"/>
      <c r="DK271" s="1921"/>
      <c r="DL271" s="1921"/>
      <c r="DM271" s="1921"/>
      <c r="DN271" s="1921"/>
      <c r="DO271" s="1923"/>
      <c r="DP271" s="1925"/>
      <c r="DQ271" s="1921"/>
      <c r="DR271" s="1921"/>
      <c r="DS271" s="1921"/>
      <c r="DT271" s="1921"/>
      <c r="DU271" s="1921"/>
      <c r="DV271" s="1923"/>
      <c r="DW271" s="1925"/>
      <c r="DX271" s="1921"/>
      <c r="DY271" s="1921"/>
      <c r="DZ271" s="1921"/>
      <c r="EA271" s="1921"/>
      <c r="EB271" s="1921"/>
      <c r="EC271" s="1923"/>
      <c r="ED271" s="1925"/>
      <c r="EE271" s="1921"/>
      <c r="EF271" s="1921"/>
      <c r="EG271" s="1921"/>
      <c r="EH271" s="1921"/>
      <c r="EI271" s="1921"/>
      <c r="EJ271" s="1923"/>
      <c r="EK271" s="1925"/>
      <c r="EL271" s="1921"/>
      <c r="EM271" s="1921"/>
      <c r="EN271" s="1921"/>
      <c r="EO271" s="1921"/>
      <c r="EP271" s="1921"/>
      <c r="EQ271" s="1923"/>
      <c r="ER271" s="1925"/>
      <c r="ES271" s="1921"/>
      <c r="ET271" s="1921"/>
      <c r="EU271" s="1921"/>
      <c r="EV271" s="1921"/>
      <c r="EW271" s="1921"/>
      <c r="EX271" s="1923"/>
      <c r="EY271" s="1925"/>
      <c r="EZ271" s="1921"/>
      <c r="FA271" s="1921"/>
      <c r="FB271" s="1921"/>
      <c r="FC271" s="1921"/>
      <c r="FD271" s="1921"/>
      <c r="FE271" s="1923"/>
      <c r="FF271" s="1925"/>
      <c r="FG271" s="1921"/>
      <c r="FH271" s="1921"/>
      <c r="FI271" s="1921"/>
      <c r="FJ271" s="1921"/>
      <c r="FK271" s="1921"/>
      <c r="FL271" s="1923"/>
      <c r="FM271" s="1925"/>
      <c r="FN271" s="1921"/>
      <c r="FO271" s="1921"/>
      <c r="FP271" s="1921"/>
      <c r="FQ271" s="1921"/>
      <c r="FR271" s="1921"/>
      <c r="FS271" s="1923"/>
      <c r="FT271" s="1925"/>
      <c r="FU271" s="1921"/>
      <c r="FV271" s="1921"/>
      <c r="FW271" s="1921"/>
      <c r="FX271" s="1921"/>
      <c r="FY271" s="1921"/>
      <c r="FZ271" s="1923"/>
      <c r="GA271" s="1925"/>
      <c r="GB271" s="1921"/>
      <c r="GC271" s="1921"/>
      <c r="GD271" s="1921"/>
      <c r="GE271" s="1921"/>
      <c r="GF271" s="1921"/>
      <c r="GG271" s="1923"/>
      <c r="GH271" s="1925"/>
      <c r="GI271" s="1921"/>
      <c r="GJ271" s="1921"/>
      <c r="GK271" s="1921"/>
      <c r="GL271" s="1921"/>
      <c r="GM271" s="1921"/>
      <c r="GN271" s="1923"/>
      <c r="GO271" s="1925"/>
      <c r="GP271" s="1921"/>
      <c r="GQ271" s="1921"/>
      <c r="GR271" s="1921"/>
      <c r="GS271" s="1921"/>
      <c r="GT271" s="1921"/>
      <c r="GU271" s="1923"/>
      <c r="GV271" s="1925"/>
      <c r="GW271" s="1921"/>
      <c r="GX271" s="1921"/>
      <c r="GY271" s="1921"/>
      <c r="GZ271" s="1921"/>
      <c r="HA271" s="1921"/>
      <c r="HB271" s="1923"/>
      <c r="HC271" s="1925"/>
      <c r="HD271" s="1921"/>
      <c r="HE271" s="1921"/>
      <c r="HF271" s="1921"/>
      <c r="HG271" s="1921"/>
      <c r="HH271" s="1921"/>
      <c r="HI271" s="1923"/>
      <c r="HJ271" s="1925"/>
      <c r="HK271" s="1921"/>
      <c r="HL271" s="1921"/>
      <c r="HM271" s="1921"/>
      <c r="HN271" s="1921"/>
      <c r="HO271" s="1921"/>
      <c r="HP271" s="1923"/>
      <c r="HQ271" s="1925"/>
      <c r="HR271" s="1921"/>
      <c r="HS271" s="1921"/>
      <c r="HT271" s="1921"/>
      <c r="HU271" s="1921"/>
      <c r="HV271" s="1921"/>
      <c r="HW271" s="1923"/>
      <c r="HX271" s="1925"/>
      <c r="HY271" s="1921"/>
      <c r="HZ271" s="1921"/>
      <c r="IA271" s="1921"/>
      <c r="IB271" s="1921"/>
      <c r="IC271" s="1921"/>
      <c r="ID271" s="1923"/>
      <c r="IE271" s="1925"/>
      <c r="IF271" s="1921"/>
      <c r="IG271" s="1921"/>
      <c r="IH271" s="1921"/>
      <c r="II271" s="1921"/>
      <c r="IJ271" s="1921"/>
      <c r="IK271" s="1923"/>
    </row>
    <row r="272" spans="1:245" s="195" customFormat="1" ht="12.75" hidden="1" customHeight="1" x14ac:dyDescent="0.35">
      <c r="A272" s="195">
        <f>IF(B272=0,0,"XXX")</f>
        <v>0</v>
      </c>
    </row>
    <row r="273" spans="1:245" ht="7.5" customHeight="1" x14ac:dyDescent="0.35">
      <c r="A273" s="195" t="str">
        <f>IF(B273=0,0,"XXX")</f>
        <v>XXX</v>
      </c>
      <c r="B273" s="1967" t="str">
        <f>IF(D296&lt;D295,0,"1.4")</f>
        <v>1.4</v>
      </c>
      <c r="C273" s="1969" t="str">
        <f>IF(ENTRADAS!$F$22=0,0,"EXECUÇÃO DO TANQUE "&amp;D295)</f>
        <v>EXECUÇÃO DO TANQUE 4</v>
      </c>
      <c r="D273" s="358" t="str">
        <f>IF(ENTRADAS!$F$22=0,0,"início:")</f>
        <v>início:</v>
      </c>
      <c r="E273" s="359">
        <f ca="1">IF(D296&lt;D295,0,D301)</f>
        <v>45994.75</v>
      </c>
      <c r="F273" s="1971">
        <f ca="1">IF(D296&lt;D295,0,COUNTIF(H273:IK274,1000))</f>
        <v>52</v>
      </c>
      <c r="G273" s="1973" t="str">
        <f>IF(ENTRADAS!$F$22=0,0,"dias")</f>
        <v>dias</v>
      </c>
      <c r="H273" s="1953">
        <f ca="1">IF(OR(H285+H287+H289&gt;=10,H340=1000),1000,0)</f>
        <v>0</v>
      </c>
      <c r="I273" s="1955">
        <f ca="1">IF(OR(I285+I287+I289&gt;=10,I340=1000),1000,0)</f>
        <v>0</v>
      </c>
      <c r="J273" s="1955">
        <f t="shared" ref="J273:BU273" ca="1" si="292">IF(OR(J285+J287+J289&gt;=10,J340=1000),1000,0)</f>
        <v>0</v>
      </c>
      <c r="K273" s="1955">
        <f t="shared" ca="1" si="292"/>
        <v>0</v>
      </c>
      <c r="L273" s="1955">
        <f t="shared" ca="1" si="292"/>
        <v>0</v>
      </c>
      <c r="M273" s="1955">
        <f t="shared" ca="1" si="292"/>
        <v>0</v>
      </c>
      <c r="N273" s="1951">
        <f t="shared" ca="1" si="292"/>
        <v>0</v>
      </c>
      <c r="O273" s="1953">
        <f t="shared" ca="1" si="292"/>
        <v>0</v>
      </c>
      <c r="P273" s="1955">
        <f t="shared" ca="1" si="292"/>
        <v>0</v>
      </c>
      <c r="Q273" s="1955">
        <f t="shared" ca="1" si="292"/>
        <v>0</v>
      </c>
      <c r="R273" s="1955">
        <f t="shared" ca="1" si="292"/>
        <v>0</v>
      </c>
      <c r="S273" s="1955">
        <f t="shared" ca="1" si="292"/>
        <v>0</v>
      </c>
      <c r="T273" s="1955">
        <f t="shared" ca="1" si="292"/>
        <v>0</v>
      </c>
      <c r="U273" s="1951">
        <f t="shared" ca="1" si="292"/>
        <v>0</v>
      </c>
      <c r="V273" s="1953">
        <f t="shared" ca="1" si="292"/>
        <v>0</v>
      </c>
      <c r="W273" s="1955">
        <f t="shared" ca="1" si="292"/>
        <v>0</v>
      </c>
      <c r="X273" s="1955">
        <f t="shared" ca="1" si="292"/>
        <v>0</v>
      </c>
      <c r="Y273" s="1955">
        <f t="shared" ca="1" si="292"/>
        <v>0</v>
      </c>
      <c r="Z273" s="1955">
        <f t="shared" ca="1" si="292"/>
        <v>0</v>
      </c>
      <c r="AA273" s="1955">
        <f t="shared" ca="1" si="292"/>
        <v>0</v>
      </c>
      <c r="AB273" s="1951">
        <f t="shared" ca="1" si="292"/>
        <v>0</v>
      </c>
      <c r="AC273" s="1953">
        <f t="shared" ca="1" si="292"/>
        <v>0</v>
      </c>
      <c r="AD273" s="1955">
        <f t="shared" ca="1" si="292"/>
        <v>0</v>
      </c>
      <c r="AE273" s="1955">
        <f t="shared" ca="1" si="292"/>
        <v>0</v>
      </c>
      <c r="AF273" s="1955">
        <f t="shared" ca="1" si="292"/>
        <v>0</v>
      </c>
      <c r="AG273" s="1955">
        <f t="shared" ca="1" si="292"/>
        <v>0</v>
      </c>
      <c r="AH273" s="1955">
        <f t="shared" ca="1" si="292"/>
        <v>0</v>
      </c>
      <c r="AI273" s="1951">
        <f t="shared" ca="1" si="292"/>
        <v>0</v>
      </c>
      <c r="AJ273" s="1953">
        <f t="shared" ca="1" si="292"/>
        <v>0</v>
      </c>
      <c r="AK273" s="1955">
        <f t="shared" ca="1" si="292"/>
        <v>0</v>
      </c>
      <c r="AL273" s="1955">
        <f t="shared" ca="1" si="292"/>
        <v>0</v>
      </c>
      <c r="AM273" s="1955">
        <f t="shared" ca="1" si="292"/>
        <v>0</v>
      </c>
      <c r="AN273" s="1955">
        <f t="shared" ca="1" si="292"/>
        <v>0</v>
      </c>
      <c r="AO273" s="1955">
        <f t="shared" ca="1" si="292"/>
        <v>0</v>
      </c>
      <c r="AP273" s="1951">
        <f t="shared" ca="1" si="292"/>
        <v>0</v>
      </c>
      <c r="AQ273" s="1953">
        <f t="shared" ca="1" si="292"/>
        <v>0</v>
      </c>
      <c r="AR273" s="1955">
        <f t="shared" ca="1" si="292"/>
        <v>0</v>
      </c>
      <c r="AS273" s="1955">
        <f t="shared" ca="1" si="292"/>
        <v>0</v>
      </c>
      <c r="AT273" s="1955">
        <f t="shared" ca="1" si="292"/>
        <v>0</v>
      </c>
      <c r="AU273" s="1955">
        <f t="shared" ca="1" si="292"/>
        <v>0</v>
      </c>
      <c r="AV273" s="1955">
        <f t="shared" ca="1" si="292"/>
        <v>0</v>
      </c>
      <c r="AW273" s="1951">
        <f t="shared" ca="1" si="292"/>
        <v>0</v>
      </c>
      <c r="AX273" s="1953">
        <f t="shared" ca="1" si="292"/>
        <v>0</v>
      </c>
      <c r="AY273" s="1955">
        <f t="shared" ca="1" si="292"/>
        <v>0</v>
      </c>
      <c r="AZ273" s="1955">
        <f t="shared" ca="1" si="292"/>
        <v>0</v>
      </c>
      <c r="BA273" s="1955">
        <f t="shared" ca="1" si="292"/>
        <v>0</v>
      </c>
      <c r="BB273" s="1955">
        <f t="shared" ca="1" si="292"/>
        <v>0</v>
      </c>
      <c r="BC273" s="1955">
        <f t="shared" ca="1" si="292"/>
        <v>0</v>
      </c>
      <c r="BD273" s="1951">
        <f t="shared" ca="1" si="292"/>
        <v>0</v>
      </c>
      <c r="BE273" s="1953">
        <f t="shared" ca="1" si="292"/>
        <v>0</v>
      </c>
      <c r="BF273" s="1955">
        <f t="shared" ca="1" si="292"/>
        <v>0</v>
      </c>
      <c r="BG273" s="1955">
        <f t="shared" ca="1" si="292"/>
        <v>0</v>
      </c>
      <c r="BH273" s="1955">
        <f t="shared" ca="1" si="292"/>
        <v>0</v>
      </c>
      <c r="BI273" s="1955">
        <f t="shared" ca="1" si="292"/>
        <v>0</v>
      </c>
      <c r="BJ273" s="1955">
        <f t="shared" ca="1" si="292"/>
        <v>0</v>
      </c>
      <c r="BK273" s="1951">
        <f t="shared" ca="1" si="292"/>
        <v>0</v>
      </c>
      <c r="BL273" s="1953">
        <f t="shared" ca="1" si="292"/>
        <v>0</v>
      </c>
      <c r="BM273" s="1955">
        <f t="shared" ca="1" si="292"/>
        <v>0</v>
      </c>
      <c r="BN273" s="1955">
        <f t="shared" ca="1" si="292"/>
        <v>0</v>
      </c>
      <c r="BO273" s="1955">
        <f t="shared" ca="1" si="292"/>
        <v>0</v>
      </c>
      <c r="BP273" s="1955">
        <f t="shared" ca="1" si="292"/>
        <v>0</v>
      </c>
      <c r="BQ273" s="1955">
        <f t="shared" ca="1" si="292"/>
        <v>0</v>
      </c>
      <c r="BR273" s="1951">
        <f t="shared" ca="1" si="292"/>
        <v>0</v>
      </c>
      <c r="BS273" s="1953">
        <f t="shared" ca="1" si="292"/>
        <v>0</v>
      </c>
      <c r="BT273" s="1955">
        <f t="shared" ca="1" si="292"/>
        <v>0</v>
      </c>
      <c r="BU273" s="1955">
        <f t="shared" ca="1" si="292"/>
        <v>0</v>
      </c>
      <c r="BV273" s="1955">
        <f t="shared" ref="BV273:EG273" ca="1" si="293">IF(OR(BV285+BV287+BV289&gt;=10,BV340=1000),1000,0)</f>
        <v>0</v>
      </c>
      <c r="BW273" s="1955">
        <f t="shared" ca="1" si="293"/>
        <v>0</v>
      </c>
      <c r="BX273" s="1955">
        <f t="shared" ca="1" si="293"/>
        <v>0</v>
      </c>
      <c r="BY273" s="1951">
        <f t="shared" ca="1" si="293"/>
        <v>0</v>
      </c>
      <c r="BZ273" s="1953">
        <f t="shared" ca="1" si="293"/>
        <v>0</v>
      </c>
      <c r="CA273" s="1955">
        <f t="shared" ca="1" si="293"/>
        <v>0</v>
      </c>
      <c r="CB273" s="1955">
        <f t="shared" ca="1" si="293"/>
        <v>0</v>
      </c>
      <c r="CC273" s="1955">
        <f t="shared" ca="1" si="293"/>
        <v>0</v>
      </c>
      <c r="CD273" s="1955">
        <f t="shared" ca="1" si="293"/>
        <v>0</v>
      </c>
      <c r="CE273" s="1955">
        <f t="shared" ca="1" si="293"/>
        <v>0</v>
      </c>
      <c r="CF273" s="1951">
        <f t="shared" ca="1" si="293"/>
        <v>0</v>
      </c>
      <c r="CG273" s="1953">
        <f t="shared" ca="1" si="293"/>
        <v>0</v>
      </c>
      <c r="CH273" s="1955">
        <f t="shared" ca="1" si="293"/>
        <v>0</v>
      </c>
      <c r="CI273" s="1955">
        <f t="shared" ca="1" si="293"/>
        <v>0</v>
      </c>
      <c r="CJ273" s="1955">
        <f t="shared" ca="1" si="293"/>
        <v>0</v>
      </c>
      <c r="CK273" s="1955">
        <f t="shared" ca="1" si="293"/>
        <v>1000</v>
      </c>
      <c r="CL273" s="1955">
        <f t="shared" ca="1" si="293"/>
        <v>1000</v>
      </c>
      <c r="CM273" s="1951">
        <f t="shared" ca="1" si="293"/>
        <v>1000</v>
      </c>
      <c r="CN273" s="1953">
        <f t="shared" ca="1" si="293"/>
        <v>1000</v>
      </c>
      <c r="CO273" s="1955">
        <f t="shared" ca="1" si="293"/>
        <v>1000</v>
      </c>
      <c r="CP273" s="1955">
        <f t="shared" ca="1" si="293"/>
        <v>1000</v>
      </c>
      <c r="CQ273" s="1955">
        <f t="shared" ca="1" si="293"/>
        <v>1000</v>
      </c>
      <c r="CR273" s="1955">
        <f t="shared" ca="1" si="293"/>
        <v>1000</v>
      </c>
      <c r="CS273" s="1955">
        <f t="shared" ca="1" si="293"/>
        <v>1000</v>
      </c>
      <c r="CT273" s="1951">
        <f t="shared" ca="1" si="293"/>
        <v>1000</v>
      </c>
      <c r="CU273" s="1953">
        <f t="shared" ca="1" si="293"/>
        <v>1000</v>
      </c>
      <c r="CV273" s="1955">
        <f t="shared" ca="1" si="293"/>
        <v>1000</v>
      </c>
      <c r="CW273" s="1955">
        <f t="shared" ca="1" si="293"/>
        <v>1000</v>
      </c>
      <c r="CX273" s="1955">
        <f t="shared" ca="1" si="293"/>
        <v>1000</v>
      </c>
      <c r="CY273" s="1955">
        <f t="shared" ca="1" si="293"/>
        <v>1000</v>
      </c>
      <c r="CZ273" s="1955">
        <f t="shared" ca="1" si="293"/>
        <v>1000</v>
      </c>
      <c r="DA273" s="1951">
        <f t="shared" ca="1" si="293"/>
        <v>1000</v>
      </c>
      <c r="DB273" s="1953">
        <f t="shared" ca="1" si="293"/>
        <v>1000</v>
      </c>
      <c r="DC273" s="1955">
        <f t="shared" ca="1" si="293"/>
        <v>1000</v>
      </c>
      <c r="DD273" s="1955">
        <f t="shared" ca="1" si="293"/>
        <v>1000</v>
      </c>
      <c r="DE273" s="1955">
        <f t="shared" ca="1" si="293"/>
        <v>1000</v>
      </c>
      <c r="DF273" s="1955">
        <f t="shared" ca="1" si="293"/>
        <v>1000</v>
      </c>
      <c r="DG273" s="1955">
        <f t="shared" ca="1" si="293"/>
        <v>1000</v>
      </c>
      <c r="DH273" s="1951">
        <f t="shared" ca="1" si="293"/>
        <v>1000</v>
      </c>
      <c r="DI273" s="1953">
        <f t="shared" ca="1" si="293"/>
        <v>1000</v>
      </c>
      <c r="DJ273" s="1955">
        <f t="shared" ca="1" si="293"/>
        <v>1000</v>
      </c>
      <c r="DK273" s="1955">
        <f t="shared" ca="1" si="293"/>
        <v>1000</v>
      </c>
      <c r="DL273" s="1955">
        <f t="shared" ca="1" si="293"/>
        <v>1000</v>
      </c>
      <c r="DM273" s="1955">
        <f t="shared" ca="1" si="293"/>
        <v>1000</v>
      </c>
      <c r="DN273" s="1955">
        <f t="shared" ca="1" si="293"/>
        <v>1000</v>
      </c>
      <c r="DO273" s="1951">
        <f t="shared" ca="1" si="293"/>
        <v>1000</v>
      </c>
      <c r="DP273" s="1953">
        <f t="shared" ca="1" si="293"/>
        <v>1000</v>
      </c>
      <c r="DQ273" s="1955">
        <f t="shared" ca="1" si="293"/>
        <v>1000</v>
      </c>
      <c r="DR273" s="1955">
        <f t="shared" ca="1" si="293"/>
        <v>1000</v>
      </c>
      <c r="DS273" s="1955">
        <f t="shared" ca="1" si="293"/>
        <v>1000</v>
      </c>
      <c r="DT273" s="1955">
        <f t="shared" ca="1" si="293"/>
        <v>1000</v>
      </c>
      <c r="DU273" s="1955">
        <f t="shared" ca="1" si="293"/>
        <v>1000</v>
      </c>
      <c r="DV273" s="1951">
        <f t="shared" ca="1" si="293"/>
        <v>1000</v>
      </c>
      <c r="DW273" s="1953">
        <f t="shared" ca="1" si="293"/>
        <v>1000</v>
      </c>
      <c r="DX273" s="1955">
        <f t="shared" ca="1" si="293"/>
        <v>1000</v>
      </c>
      <c r="DY273" s="1955">
        <f t="shared" ca="1" si="293"/>
        <v>1000</v>
      </c>
      <c r="DZ273" s="1955">
        <f t="shared" ca="1" si="293"/>
        <v>1000</v>
      </c>
      <c r="EA273" s="1955">
        <f t="shared" ca="1" si="293"/>
        <v>1000</v>
      </c>
      <c r="EB273" s="1955">
        <f t="shared" ca="1" si="293"/>
        <v>1000</v>
      </c>
      <c r="EC273" s="1951">
        <f t="shared" ca="1" si="293"/>
        <v>1000</v>
      </c>
      <c r="ED273" s="1953">
        <f t="shared" ca="1" si="293"/>
        <v>1000</v>
      </c>
      <c r="EE273" s="1955">
        <f t="shared" ca="1" si="293"/>
        <v>1000</v>
      </c>
      <c r="EF273" s="1955">
        <f t="shared" ca="1" si="293"/>
        <v>1000</v>
      </c>
      <c r="EG273" s="1955">
        <f t="shared" ca="1" si="293"/>
        <v>1000</v>
      </c>
      <c r="EH273" s="1955">
        <f t="shared" ref="EH273:GS273" ca="1" si="294">IF(OR(EH285+EH287+EH289&gt;=10,EH340=1000),1000,0)</f>
        <v>1000</v>
      </c>
      <c r="EI273" s="1955">
        <f t="shared" ca="1" si="294"/>
        <v>1000</v>
      </c>
      <c r="EJ273" s="1951">
        <f t="shared" ca="1" si="294"/>
        <v>1000</v>
      </c>
      <c r="EK273" s="1953">
        <f t="shared" ca="1" si="294"/>
        <v>0</v>
      </c>
      <c r="EL273" s="1955">
        <f t="shared" ca="1" si="294"/>
        <v>0</v>
      </c>
      <c r="EM273" s="1955">
        <f t="shared" ca="1" si="294"/>
        <v>0</v>
      </c>
      <c r="EN273" s="1955">
        <f t="shared" ca="1" si="294"/>
        <v>0</v>
      </c>
      <c r="EO273" s="1955">
        <f t="shared" ca="1" si="294"/>
        <v>0</v>
      </c>
      <c r="EP273" s="1955">
        <f t="shared" ca="1" si="294"/>
        <v>0</v>
      </c>
      <c r="EQ273" s="1951">
        <f t="shared" ca="1" si="294"/>
        <v>0</v>
      </c>
      <c r="ER273" s="1953">
        <f t="shared" ca="1" si="294"/>
        <v>0</v>
      </c>
      <c r="ES273" s="1955">
        <f t="shared" ca="1" si="294"/>
        <v>0</v>
      </c>
      <c r="ET273" s="1955">
        <f t="shared" ca="1" si="294"/>
        <v>0</v>
      </c>
      <c r="EU273" s="1955">
        <f t="shared" ca="1" si="294"/>
        <v>0</v>
      </c>
      <c r="EV273" s="1955">
        <f t="shared" ca="1" si="294"/>
        <v>0</v>
      </c>
      <c r="EW273" s="1955">
        <f t="shared" ca="1" si="294"/>
        <v>0</v>
      </c>
      <c r="EX273" s="1951">
        <f t="shared" ca="1" si="294"/>
        <v>0</v>
      </c>
      <c r="EY273" s="1953">
        <f t="shared" ca="1" si="294"/>
        <v>0</v>
      </c>
      <c r="EZ273" s="1955">
        <f t="shared" ca="1" si="294"/>
        <v>0</v>
      </c>
      <c r="FA273" s="1955">
        <f t="shared" ca="1" si="294"/>
        <v>0</v>
      </c>
      <c r="FB273" s="1955">
        <f t="shared" ca="1" si="294"/>
        <v>0</v>
      </c>
      <c r="FC273" s="1955">
        <f t="shared" ca="1" si="294"/>
        <v>0</v>
      </c>
      <c r="FD273" s="1955">
        <f t="shared" ca="1" si="294"/>
        <v>0</v>
      </c>
      <c r="FE273" s="1951">
        <f t="shared" ca="1" si="294"/>
        <v>0</v>
      </c>
      <c r="FF273" s="1953">
        <f t="shared" ca="1" si="294"/>
        <v>0</v>
      </c>
      <c r="FG273" s="1955">
        <f t="shared" ca="1" si="294"/>
        <v>0</v>
      </c>
      <c r="FH273" s="1955">
        <f t="shared" ca="1" si="294"/>
        <v>0</v>
      </c>
      <c r="FI273" s="1955">
        <f t="shared" ca="1" si="294"/>
        <v>0</v>
      </c>
      <c r="FJ273" s="1955">
        <f t="shared" ca="1" si="294"/>
        <v>0</v>
      </c>
      <c r="FK273" s="1955">
        <f t="shared" ca="1" si="294"/>
        <v>0</v>
      </c>
      <c r="FL273" s="1951">
        <f t="shared" ca="1" si="294"/>
        <v>0</v>
      </c>
      <c r="FM273" s="1953">
        <f t="shared" ca="1" si="294"/>
        <v>0</v>
      </c>
      <c r="FN273" s="1955">
        <f t="shared" ca="1" si="294"/>
        <v>0</v>
      </c>
      <c r="FO273" s="1955">
        <f t="shared" ca="1" si="294"/>
        <v>0</v>
      </c>
      <c r="FP273" s="1955">
        <f t="shared" ca="1" si="294"/>
        <v>0</v>
      </c>
      <c r="FQ273" s="1955">
        <f t="shared" ca="1" si="294"/>
        <v>0</v>
      </c>
      <c r="FR273" s="1955">
        <f t="shared" ca="1" si="294"/>
        <v>0</v>
      </c>
      <c r="FS273" s="1951">
        <f t="shared" ca="1" si="294"/>
        <v>0</v>
      </c>
      <c r="FT273" s="1953">
        <f t="shared" ca="1" si="294"/>
        <v>0</v>
      </c>
      <c r="FU273" s="1955">
        <f t="shared" ca="1" si="294"/>
        <v>0</v>
      </c>
      <c r="FV273" s="1955">
        <f t="shared" ca="1" si="294"/>
        <v>0</v>
      </c>
      <c r="FW273" s="1955">
        <f t="shared" ca="1" si="294"/>
        <v>0</v>
      </c>
      <c r="FX273" s="1955">
        <f t="shared" ca="1" si="294"/>
        <v>0</v>
      </c>
      <c r="FY273" s="1955">
        <f t="shared" ca="1" si="294"/>
        <v>0</v>
      </c>
      <c r="FZ273" s="1951">
        <f t="shared" ca="1" si="294"/>
        <v>0</v>
      </c>
      <c r="GA273" s="1953">
        <f t="shared" ca="1" si="294"/>
        <v>0</v>
      </c>
      <c r="GB273" s="1955">
        <f t="shared" ca="1" si="294"/>
        <v>0</v>
      </c>
      <c r="GC273" s="1955">
        <f t="shared" ca="1" si="294"/>
        <v>0</v>
      </c>
      <c r="GD273" s="1955">
        <f t="shared" ca="1" si="294"/>
        <v>0</v>
      </c>
      <c r="GE273" s="1955">
        <f t="shared" ca="1" si="294"/>
        <v>0</v>
      </c>
      <c r="GF273" s="1955">
        <f t="shared" ca="1" si="294"/>
        <v>0</v>
      </c>
      <c r="GG273" s="1951">
        <f t="shared" ca="1" si="294"/>
        <v>0</v>
      </c>
      <c r="GH273" s="1953">
        <f t="shared" ca="1" si="294"/>
        <v>0</v>
      </c>
      <c r="GI273" s="1955">
        <f t="shared" ca="1" si="294"/>
        <v>0</v>
      </c>
      <c r="GJ273" s="1955">
        <f t="shared" ca="1" si="294"/>
        <v>0</v>
      </c>
      <c r="GK273" s="1955">
        <f t="shared" ca="1" si="294"/>
        <v>0</v>
      </c>
      <c r="GL273" s="1955">
        <f t="shared" ca="1" si="294"/>
        <v>0</v>
      </c>
      <c r="GM273" s="1955">
        <f t="shared" ca="1" si="294"/>
        <v>0</v>
      </c>
      <c r="GN273" s="1951">
        <f t="shared" ca="1" si="294"/>
        <v>0</v>
      </c>
      <c r="GO273" s="1953">
        <f t="shared" ca="1" si="294"/>
        <v>0</v>
      </c>
      <c r="GP273" s="1955">
        <f t="shared" ca="1" si="294"/>
        <v>0</v>
      </c>
      <c r="GQ273" s="1955">
        <f t="shared" ca="1" si="294"/>
        <v>0</v>
      </c>
      <c r="GR273" s="1955">
        <f t="shared" ca="1" si="294"/>
        <v>0</v>
      </c>
      <c r="GS273" s="1955">
        <f t="shared" ca="1" si="294"/>
        <v>0</v>
      </c>
      <c r="GT273" s="1955">
        <f t="shared" ref="GT273:IK273" ca="1" si="295">IF(OR(GT285+GT287+GT289&gt;=10,GT340=1000),1000,0)</f>
        <v>0</v>
      </c>
      <c r="GU273" s="1951">
        <f t="shared" ca="1" si="295"/>
        <v>0</v>
      </c>
      <c r="GV273" s="1953">
        <f t="shared" ca="1" si="295"/>
        <v>0</v>
      </c>
      <c r="GW273" s="1955">
        <f t="shared" ca="1" si="295"/>
        <v>0</v>
      </c>
      <c r="GX273" s="1955">
        <f t="shared" ca="1" si="295"/>
        <v>0</v>
      </c>
      <c r="GY273" s="1955">
        <f t="shared" ca="1" si="295"/>
        <v>0</v>
      </c>
      <c r="GZ273" s="1955">
        <f t="shared" ca="1" si="295"/>
        <v>0</v>
      </c>
      <c r="HA273" s="1955">
        <f t="shared" ca="1" si="295"/>
        <v>0</v>
      </c>
      <c r="HB273" s="1951">
        <f t="shared" ca="1" si="295"/>
        <v>0</v>
      </c>
      <c r="HC273" s="1953">
        <f t="shared" ca="1" si="295"/>
        <v>0</v>
      </c>
      <c r="HD273" s="1955">
        <f t="shared" ca="1" si="295"/>
        <v>0</v>
      </c>
      <c r="HE273" s="1955">
        <f t="shared" ca="1" si="295"/>
        <v>0</v>
      </c>
      <c r="HF273" s="1955">
        <f t="shared" ca="1" si="295"/>
        <v>0</v>
      </c>
      <c r="HG273" s="1955">
        <f t="shared" ca="1" si="295"/>
        <v>0</v>
      </c>
      <c r="HH273" s="1955">
        <f t="shared" ca="1" si="295"/>
        <v>0</v>
      </c>
      <c r="HI273" s="1951">
        <f t="shared" ca="1" si="295"/>
        <v>0</v>
      </c>
      <c r="HJ273" s="1953">
        <f t="shared" ca="1" si="295"/>
        <v>0</v>
      </c>
      <c r="HK273" s="1955">
        <f t="shared" ca="1" si="295"/>
        <v>0</v>
      </c>
      <c r="HL273" s="1955">
        <f t="shared" ca="1" si="295"/>
        <v>0</v>
      </c>
      <c r="HM273" s="1955">
        <f t="shared" ca="1" si="295"/>
        <v>0</v>
      </c>
      <c r="HN273" s="1955">
        <f t="shared" ca="1" si="295"/>
        <v>0</v>
      </c>
      <c r="HO273" s="1955">
        <f t="shared" ca="1" si="295"/>
        <v>0</v>
      </c>
      <c r="HP273" s="1951">
        <f t="shared" ca="1" si="295"/>
        <v>0</v>
      </c>
      <c r="HQ273" s="1953">
        <f t="shared" ca="1" si="295"/>
        <v>0</v>
      </c>
      <c r="HR273" s="1955">
        <f t="shared" ca="1" si="295"/>
        <v>0</v>
      </c>
      <c r="HS273" s="1955">
        <f t="shared" ca="1" si="295"/>
        <v>0</v>
      </c>
      <c r="HT273" s="1955">
        <f t="shared" ca="1" si="295"/>
        <v>0</v>
      </c>
      <c r="HU273" s="1955">
        <f t="shared" ca="1" si="295"/>
        <v>0</v>
      </c>
      <c r="HV273" s="1955">
        <f t="shared" ca="1" si="295"/>
        <v>0</v>
      </c>
      <c r="HW273" s="1951">
        <f t="shared" ca="1" si="295"/>
        <v>0</v>
      </c>
      <c r="HX273" s="1953">
        <f t="shared" ca="1" si="295"/>
        <v>0</v>
      </c>
      <c r="HY273" s="1955">
        <f t="shared" ca="1" si="295"/>
        <v>0</v>
      </c>
      <c r="HZ273" s="1955">
        <f t="shared" ca="1" si="295"/>
        <v>0</v>
      </c>
      <c r="IA273" s="1955">
        <f t="shared" ca="1" si="295"/>
        <v>0</v>
      </c>
      <c r="IB273" s="1955">
        <f t="shared" ca="1" si="295"/>
        <v>0</v>
      </c>
      <c r="IC273" s="1955">
        <f t="shared" ca="1" si="295"/>
        <v>0</v>
      </c>
      <c r="ID273" s="1951">
        <f t="shared" ca="1" si="295"/>
        <v>0</v>
      </c>
      <c r="IE273" s="1953">
        <f t="shared" ca="1" si="295"/>
        <v>0</v>
      </c>
      <c r="IF273" s="1955">
        <f t="shared" ca="1" si="295"/>
        <v>0</v>
      </c>
      <c r="IG273" s="1955">
        <f t="shared" ca="1" si="295"/>
        <v>0</v>
      </c>
      <c r="IH273" s="1955">
        <f t="shared" ca="1" si="295"/>
        <v>0</v>
      </c>
      <c r="II273" s="1955">
        <f t="shared" ca="1" si="295"/>
        <v>0</v>
      </c>
      <c r="IJ273" s="1955">
        <f t="shared" ca="1" si="295"/>
        <v>0</v>
      </c>
      <c r="IK273" s="1951">
        <f t="shared" ca="1" si="295"/>
        <v>0</v>
      </c>
    </row>
    <row r="274" spans="1:245" ht="8.1" customHeight="1" x14ac:dyDescent="0.35">
      <c r="A274" s="195" t="str">
        <f>IF(B273=0,0,"XXX")</f>
        <v>XXX</v>
      </c>
      <c r="B274" s="1968"/>
      <c r="C274" s="1970"/>
      <c r="D274" s="360" t="str">
        <f>IF(ENTRADAS!$F$22=0,0,"término:")</f>
        <v>término:</v>
      </c>
      <c r="E274" s="361">
        <f ca="1">IF(D296&lt;D295,0,IF(ENTRADAS!$D$912&lt;&gt;0,E284,E282))</f>
        <v>46045.737500000003</v>
      </c>
      <c r="F274" s="1972"/>
      <c r="G274" s="1974"/>
      <c r="H274" s="1954"/>
      <c r="I274" s="1956"/>
      <c r="J274" s="1956"/>
      <c r="K274" s="1956"/>
      <c r="L274" s="1956"/>
      <c r="M274" s="1956"/>
      <c r="N274" s="1952"/>
      <c r="O274" s="1954"/>
      <c r="P274" s="1956"/>
      <c r="Q274" s="1956"/>
      <c r="R274" s="1956"/>
      <c r="S274" s="1956"/>
      <c r="T274" s="1956"/>
      <c r="U274" s="1952"/>
      <c r="V274" s="1954"/>
      <c r="W274" s="1956"/>
      <c r="X274" s="1956"/>
      <c r="Y274" s="1956"/>
      <c r="Z274" s="1956"/>
      <c r="AA274" s="1956"/>
      <c r="AB274" s="1952"/>
      <c r="AC274" s="1954"/>
      <c r="AD274" s="1956"/>
      <c r="AE274" s="1956"/>
      <c r="AF274" s="1956"/>
      <c r="AG274" s="1956"/>
      <c r="AH274" s="1956"/>
      <c r="AI274" s="1952"/>
      <c r="AJ274" s="1954"/>
      <c r="AK274" s="1956"/>
      <c r="AL274" s="1956"/>
      <c r="AM274" s="1956"/>
      <c r="AN274" s="1956"/>
      <c r="AO274" s="1956"/>
      <c r="AP274" s="1952"/>
      <c r="AQ274" s="1954"/>
      <c r="AR274" s="1956"/>
      <c r="AS274" s="1956"/>
      <c r="AT274" s="1956"/>
      <c r="AU274" s="1956"/>
      <c r="AV274" s="1956"/>
      <c r="AW274" s="1952"/>
      <c r="AX274" s="1954"/>
      <c r="AY274" s="1956"/>
      <c r="AZ274" s="1956"/>
      <c r="BA274" s="1956"/>
      <c r="BB274" s="1956"/>
      <c r="BC274" s="1956"/>
      <c r="BD274" s="1952"/>
      <c r="BE274" s="1954"/>
      <c r="BF274" s="1956"/>
      <c r="BG274" s="1956"/>
      <c r="BH274" s="1956"/>
      <c r="BI274" s="1956"/>
      <c r="BJ274" s="1956"/>
      <c r="BK274" s="1952"/>
      <c r="BL274" s="1954"/>
      <c r="BM274" s="1956"/>
      <c r="BN274" s="1956"/>
      <c r="BO274" s="1956"/>
      <c r="BP274" s="1956"/>
      <c r="BQ274" s="1956"/>
      <c r="BR274" s="1952"/>
      <c r="BS274" s="1954"/>
      <c r="BT274" s="1956"/>
      <c r="BU274" s="1956"/>
      <c r="BV274" s="1956"/>
      <c r="BW274" s="1956"/>
      <c r="BX274" s="1956"/>
      <c r="BY274" s="1952"/>
      <c r="BZ274" s="1954"/>
      <c r="CA274" s="1956"/>
      <c r="CB274" s="1956"/>
      <c r="CC274" s="1956"/>
      <c r="CD274" s="1956"/>
      <c r="CE274" s="1956"/>
      <c r="CF274" s="1952"/>
      <c r="CG274" s="1954"/>
      <c r="CH274" s="1956"/>
      <c r="CI274" s="1956"/>
      <c r="CJ274" s="1956"/>
      <c r="CK274" s="1956"/>
      <c r="CL274" s="1956"/>
      <c r="CM274" s="1952"/>
      <c r="CN274" s="1954"/>
      <c r="CO274" s="1956"/>
      <c r="CP274" s="1956"/>
      <c r="CQ274" s="1956"/>
      <c r="CR274" s="1956"/>
      <c r="CS274" s="1956"/>
      <c r="CT274" s="1952"/>
      <c r="CU274" s="1954"/>
      <c r="CV274" s="1956"/>
      <c r="CW274" s="1956"/>
      <c r="CX274" s="1956"/>
      <c r="CY274" s="1956"/>
      <c r="CZ274" s="1956"/>
      <c r="DA274" s="1952"/>
      <c r="DB274" s="1954"/>
      <c r="DC274" s="1956"/>
      <c r="DD274" s="1956"/>
      <c r="DE274" s="1956"/>
      <c r="DF274" s="1956"/>
      <c r="DG274" s="1956"/>
      <c r="DH274" s="1952"/>
      <c r="DI274" s="1954"/>
      <c r="DJ274" s="1956"/>
      <c r="DK274" s="1956"/>
      <c r="DL274" s="1956"/>
      <c r="DM274" s="1956"/>
      <c r="DN274" s="1956"/>
      <c r="DO274" s="1952"/>
      <c r="DP274" s="1954"/>
      <c r="DQ274" s="1956"/>
      <c r="DR274" s="1956"/>
      <c r="DS274" s="1956"/>
      <c r="DT274" s="1956"/>
      <c r="DU274" s="1956"/>
      <c r="DV274" s="1952"/>
      <c r="DW274" s="1954"/>
      <c r="DX274" s="1956"/>
      <c r="DY274" s="1956"/>
      <c r="DZ274" s="1956"/>
      <c r="EA274" s="1956"/>
      <c r="EB274" s="1956"/>
      <c r="EC274" s="1952"/>
      <c r="ED274" s="1954"/>
      <c r="EE274" s="1956"/>
      <c r="EF274" s="1956"/>
      <c r="EG274" s="1956"/>
      <c r="EH274" s="1956"/>
      <c r="EI274" s="1956"/>
      <c r="EJ274" s="1952"/>
      <c r="EK274" s="1954"/>
      <c r="EL274" s="1956"/>
      <c r="EM274" s="1956"/>
      <c r="EN274" s="1956"/>
      <c r="EO274" s="1956"/>
      <c r="EP274" s="1956"/>
      <c r="EQ274" s="1952"/>
      <c r="ER274" s="1954"/>
      <c r="ES274" s="1956"/>
      <c r="ET274" s="1956"/>
      <c r="EU274" s="1956"/>
      <c r="EV274" s="1956"/>
      <c r="EW274" s="1956"/>
      <c r="EX274" s="1952"/>
      <c r="EY274" s="1954"/>
      <c r="EZ274" s="1956"/>
      <c r="FA274" s="1956"/>
      <c r="FB274" s="1956"/>
      <c r="FC274" s="1956"/>
      <c r="FD274" s="1956"/>
      <c r="FE274" s="1952"/>
      <c r="FF274" s="1954"/>
      <c r="FG274" s="1956"/>
      <c r="FH274" s="1956"/>
      <c r="FI274" s="1956"/>
      <c r="FJ274" s="1956"/>
      <c r="FK274" s="1956"/>
      <c r="FL274" s="1952"/>
      <c r="FM274" s="1954"/>
      <c r="FN274" s="1956"/>
      <c r="FO274" s="1956"/>
      <c r="FP274" s="1956"/>
      <c r="FQ274" s="1956"/>
      <c r="FR274" s="1956"/>
      <c r="FS274" s="1952"/>
      <c r="FT274" s="1954"/>
      <c r="FU274" s="1956"/>
      <c r="FV274" s="1956"/>
      <c r="FW274" s="1956"/>
      <c r="FX274" s="1956"/>
      <c r="FY274" s="1956"/>
      <c r="FZ274" s="1952"/>
      <c r="GA274" s="1954"/>
      <c r="GB274" s="1956"/>
      <c r="GC274" s="1956"/>
      <c r="GD274" s="1956"/>
      <c r="GE274" s="1956"/>
      <c r="GF274" s="1956"/>
      <c r="GG274" s="1952"/>
      <c r="GH274" s="1954"/>
      <c r="GI274" s="1956"/>
      <c r="GJ274" s="1956"/>
      <c r="GK274" s="1956"/>
      <c r="GL274" s="1956"/>
      <c r="GM274" s="1956"/>
      <c r="GN274" s="1952"/>
      <c r="GO274" s="1954"/>
      <c r="GP274" s="1956"/>
      <c r="GQ274" s="1956"/>
      <c r="GR274" s="1956"/>
      <c r="GS274" s="1956"/>
      <c r="GT274" s="1956"/>
      <c r="GU274" s="1952"/>
      <c r="GV274" s="1954"/>
      <c r="GW274" s="1956"/>
      <c r="GX274" s="1956"/>
      <c r="GY274" s="1956"/>
      <c r="GZ274" s="1956"/>
      <c r="HA274" s="1956"/>
      <c r="HB274" s="1952"/>
      <c r="HC274" s="1954"/>
      <c r="HD274" s="1956"/>
      <c r="HE274" s="1956"/>
      <c r="HF274" s="1956"/>
      <c r="HG274" s="1956"/>
      <c r="HH274" s="1956"/>
      <c r="HI274" s="1952"/>
      <c r="HJ274" s="1954"/>
      <c r="HK274" s="1956"/>
      <c r="HL274" s="1956"/>
      <c r="HM274" s="1956"/>
      <c r="HN274" s="1956"/>
      <c r="HO274" s="1956"/>
      <c r="HP274" s="1952"/>
      <c r="HQ274" s="1954"/>
      <c r="HR274" s="1956"/>
      <c r="HS274" s="1956"/>
      <c r="HT274" s="1956"/>
      <c r="HU274" s="1956"/>
      <c r="HV274" s="1956"/>
      <c r="HW274" s="1952"/>
      <c r="HX274" s="1954"/>
      <c r="HY274" s="1956"/>
      <c r="HZ274" s="1956"/>
      <c r="IA274" s="1956"/>
      <c r="IB274" s="1956"/>
      <c r="IC274" s="1956"/>
      <c r="ID274" s="1952"/>
      <c r="IE274" s="1954"/>
      <c r="IF274" s="1956"/>
      <c r="IG274" s="1956"/>
      <c r="IH274" s="1956"/>
      <c r="II274" s="1956"/>
      <c r="IJ274" s="1956"/>
      <c r="IK274" s="1952"/>
    </row>
    <row r="275" spans="1:245" ht="8.1" customHeight="1" x14ac:dyDescent="0.35">
      <c r="A275" s="195" t="str">
        <f>IF(B275=0,0,"XXX")</f>
        <v>XXX</v>
      </c>
      <c r="B275" s="1959" t="str">
        <f>IF(D296&lt;D295,0,"1.4.1")</f>
        <v>1.4.1</v>
      </c>
      <c r="C275" s="1965" t="str">
        <f>IF(ENTRADAS!$F$22=0,0,"CONFECÇÃO DE PAREDES")</f>
        <v>CONFECÇÃO DE PAREDES</v>
      </c>
      <c r="D275" s="358" t="str">
        <f>IF(ENTRADAS!$F$22=0,0,"início:")</f>
        <v>início:</v>
      </c>
      <c r="E275" s="359">
        <f ca="1">IF(D296&lt;D295,0,D301)</f>
        <v>45994.75</v>
      </c>
      <c r="F275" s="1961">
        <f ca="1">IF(D296&lt;D295,0,D300)</f>
        <v>25.25</v>
      </c>
      <c r="G275" s="1963" t="str">
        <f>IF(ENTRADAS!$F$22=0,0,"dias")</f>
        <v>dias</v>
      </c>
      <c r="H275" s="1947">
        <f t="shared" ref="H275:U275" ca="1" si="296">H300</f>
        <v>0</v>
      </c>
      <c r="I275" s="1947">
        <f t="shared" ca="1" si="296"/>
        <v>0</v>
      </c>
      <c r="J275" s="1947">
        <f t="shared" ca="1" si="296"/>
        <v>0</v>
      </c>
      <c r="K275" s="1947">
        <f t="shared" ca="1" si="296"/>
        <v>0</v>
      </c>
      <c r="L275" s="1947">
        <f t="shared" ca="1" si="296"/>
        <v>0</v>
      </c>
      <c r="M275" s="1947">
        <f t="shared" ca="1" si="296"/>
        <v>0</v>
      </c>
      <c r="N275" s="1949">
        <f t="shared" ca="1" si="296"/>
        <v>0</v>
      </c>
      <c r="O275" s="1947">
        <f t="shared" ca="1" si="296"/>
        <v>0</v>
      </c>
      <c r="P275" s="1947">
        <f t="shared" ca="1" si="296"/>
        <v>0</v>
      </c>
      <c r="Q275" s="1947">
        <f t="shared" ca="1" si="296"/>
        <v>0</v>
      </c>
      <c r="R275" s="1947">
        <f t="shared" ca="1" si="296"/>
        <v>0</v>
      </c>
      <c r="S275" s="1947">
        <f t="shared" ca="1" si="296"/>
        <v>0</v>
      </c>
      <c r="T275" s="1947">
        <f t="shared" ca="1" si="296"/>
        <v>0</v>
      </c>
      <c r="U275" s="1949">
        <f t="shared" ca="1" si="296"/>
        <v>0</v>
      </c>
      <c r="V275" s="1947">
        <f ca="1">V300</f>
        <v>0</v>
      </c>
      <c r="W275" s="1947">
        <f t="shared" ref="W275:AB275" ca="1" si="297">W300</f>
        <v>0</v>
      </c>
      <c r="X275" s="1947">
        <f t="shared" ca="1" si="297"/>
        <v>0</v>
      </c>
      <c r="Y275" s="1947">
        <f t="shared" ca="1" si="297"/>
        <v>0</v>
      </c>
      <c r="Z275" s="1947">
        <f t="shared" ca="1" si="297"/>
        <v>0</v>
      </c>
      <c r="AA275" s="1947">
        <f t="shared" ca="1" si="297"/>
        <v>0</v>
      </c>
      <c r="AB275" s="1949">
        <f t="shared" ca="1" si="297"/>
        <v>0</v>
      </c>
      <c r="AC275" s="1947">
        <f ca="1">AC300</f>
        <v>0</v>
      </c>
      <c r="AD275" s="1947">
        <f t="shared" ref="AD275:AI275" ca="1" si="298">AD300</f>
        <v>0</v>
      </c>
      <c r="AE275" s="1947">
        <f t="shared" ca="1" si="298"/>
        <v>0</v>
      </c>
      <c r="AF275" s="1947">
        <f t="shared" ca="1" si="298"/>
        <v>0</v>
      </c>
      <c r="AG275" s="1947">
        <f t="shared" ca="1" si="298"/>
        <v>0</v>
      </c>
      <c r="AH275" s="1947">
        <f t="shared" ca="1" si="298"/>
        <v>0</v>
      </c>
      <c r="AI275" s="1949">
        <f t="shared" ca="1" si="298"/>
        <v>0</v>
      </c>
      <c r="AJ275" s="1947">
        <f ca="1">AJ300</f>
        <v>0</v>
      </c>
      <c r="AK275" s="1947">
        <f t="shared" ref="AK275:AP275" ca="1" si="299">AK300</f>
        <v>0</v>
      </c>
      <c r="AL275" s="1947">
        <f t="shared" ca="1" si="299"/>
        <v>0</v>
      </c>
      <c r="AM275" s="1947">
        <f t="shared" ca="1" si="299"/>
        <v>0</v>
      </c>
      <c r="AN275" s="1947">
        <f t="shared" ca="1" si="299"/>
        <v>0</v>
      </c>
      <c r="AO275" s="1947">
        <f t="shared" ca="1" si="299"/>
        <v>0</v>
      </c>
      <c r="AP275" s="1949">
        <f t="shared" ca="1" si="299"/>
        <v>0</v>
      </c>
      <c r="AQ275" s="1947">
        <f ca="1">AQ300</f>
        <v>0</v>
      </c>
      <c r="AR275" s="1947">
        <f t="shared" ref="AR275:AW275" ca="1" si="300">AR300</f>
        <v>0</v>
      </c>
      <c r="AS275" s="1947">
        <f t="shared" ca="1" si="300"/>
        <v>0</v>
      </c>
      <c r="AT275" s="1947">
        <f t="shared" ca="1" si="300"/>
        <v>0</v>
      </c>
      <c r="AU275" s="1947">
        <f t="shared" ca="1" si="300"/>
        <v>0</v>
      </c>
      <c r="AV275" s="1947">
        <f t="shared" ca="1" si="300"/>
        <v>0</v>
      </c>
      <c r="AW275" s="1949">
        <f t="shared" ca="1" si="300"/>
        <v>0</v>
      </c>
      <c r="AX275" s="1947">
        <f ca="1">AX300</f>
        <v>0</v>
      </c>
      <c r="AY275" s="1947">
        <f t="shared" ref="AY275:BD275" ca="1" si="301">AY300</f>
        <v>0</v>
      </c>
      <c r="AZ275" s="1947">
        <f t="shared" ca="1" si="301"/>
        <v>0</v>
      </c>
      <c r="BA275" s="1947">
        <f t="shared" ca="1" si="301"/>
        <v>0</v>
      </c>
      <c r="BB275" s="1947">
        <f t="shared" ca="1" si="301"/>
        <v>0</v>
      </c>
      <c r="BC275" s="1947">
        <f t="shared" ca="1" si="301"/>
        <v>0</v>
      </c>
      <c r="BD275" s="1949">
        <f t="shared" ca="1" si="301"/>
        <v>0</v>
      </c>
      <c r="BE275" s="1947">
        <f ca="1">BE300</f>
        <v>0</v>
      </c>
      <c r="BF275" s="1947">
        <f t="shared" ref="BF275:BK275" ca="1" si="302">BF300</f>
        <v>0</v>
      </c>
      <c r="BG275" s="1947">
        <f t="shared" ca="1" si="302"/>
        <v>0</v>
      </c>
      <c r="BH275" s="1947">
        <f t="shared" ca="1" si="302"/>
        <v>0</v>
      </c>
      <c r="BI275" s="1947">
        <f t="shared" ca="1" si="302"/>
        <v>0</v>
      </c>
      <c r="BJ275" s="1947">
        <f t="shared" ca="1" si="302"/>
        <v>0</v>
      </c>
      <c r="BK275" s="1949">
        <f t="shared" ca="1" si="302"/>
        <v>0</v>
      </c>
      <c r="BL275" s="1947">
        <f ca="1">BL300</f>
        <v>0</v>
      </c>
      <c r="BM275" s="1947">
        <f t="shared" ref="BM275:BR275" ca="1" si="303">BM300</f>
        <v>0</v>
      </c>
      <c r="BN275" s="1947">
        <f t="shared" ca="1" si="303"/>
        <v>0</v>
      </c>
      <c r="BO275" s="1947">
        <f t="shared" ca="1" si="303"/>
        <v>0</v>
      </c>
      <c r="BP275" s="1947">
        <f t="shared" ca="1" si="303"/>
        <v>0</v>
      </c>
      <c r="BQ275" s="1947">
        <f t="shared" ca="1" si="303"/>
        <v>0</v>
      </c>
      <c r="BR275" s="1949">
        <f t="shared" ca="1" si="303"/>
        <v>0</v>
      </c>
      <c r="BS275" s="1947">
        <f ca="1">BS300</f>
        <v>0</v>
      </c>
      <c r="BT275" s="1947">
        <f t="shared" ref="BT275:EE275" ca="1" si="304">BT300</f>
        <v>0</v>
      </c>
      <c r="BU275" s="1947">
        <f t="shared" ca="1" si="304"/>
        <v>0</v>
      </c>
      <c r="BV275" s="1947">
        <f t="shared" ca="1" si="304"/>
        <v>0</v>
      </c>
      <c r="BW275" s="1947">
        <f t="shared" ca="1" si="304"/>
        <v>0</v>
      </c>
      <c r="BX275" s="1947">
        <f t="shared" ca="1" si="304"/>
        <v>0</v>
      </c>
      <c r="BY275" s="1949">
        <f t="shared" ca="1" si="304"/>
        <v>0</v>
      </c>
      <c r="BZ275" s="1947">
        <f t="shared" ca="1" si="304"/>
        <v>0</v>
      </c>
      <c r="CA275" s="1947">
        <f t="shared" ca="1" si="304"/>
        <v>0</v>
      </c>
      <c r="CB275" s="1947">
        <f t="shared" ca="1" si="304"/>
        <v>0</v>
      </c>
      <c r="CC275" s="1947">
        <f t="shared" ca="1" si="304"/>
        <v>0</v>
      </c>
      <c r="CD275" s="1947">
        <f t="shared" ca="1" si="304"/>
        <v>0</v>
      </c>
      <c r="CE275" s="1947">
        <f t="shared" ca="1" si="304"/>
        <v>0</v>
      </c>
      <c r="CF275" s="1949">
        <f t="shared" ca="1" si="304"/>
        <v>0</v>
      </c>
      <c r="CG275" s="1947">
        <f t="shared" ca="1" si="304"/>
        <v>0</v>
      </c>
      <c r="CH275" s="1947">
        <f t="shared" ca="1" si="304"/>
        <v>0</v>
      </c>
      <c r="CI275" s="1947">
        <f t="shared" ca="1" si="304"/>
        <v>0</v>
      </c>
      <c r="CJ275" s="1947">
        <f t="shared" ca="1" si="304"/>
        <v>0</v>
      </c>
      <c r="CK275" s="1947">
        <f t="shared" ca="1" si="304"/>
        <v>10</v>
      </c>
      <c r="CL275" s="1947">
        <f t="shared" ca="1" si="304"/>
        <v>10</v>
      </c>
      <c r="CM275" s="1949">
        <f t="shared" ca="1" si="304"/>
        <v>10</v>
      </c>
      <c r="CN275" s="1947">
        <f t="shared" ca="1" si="304"/>
        <v>10</v>
      </c>
      <c r="CO275" s="1947">
        <f t="shared" ca="1" si="304"/>
        <v>10</v>
      </c>
      <c r="CP275" s="1947">
        <f t="shared" ca="1" si="304"/>
        <v>10</v>
      </c>
      <c r="CQ275" s="1947">
        <f t="shared" ca="1" si="304"/>
        <v>10</v>
      </c>
      <c r="CR275" s="1947">
        <f t="shared" ca="1" si="304"/>
        <v>10</v>
      </c>
      <c r="CS275" s="1947">
        <f t="shared" ca="1" si="304"/>
        <v>10</v>
      </c>
      <c r="CT275" s="1949">
        <f t="shared" ca="1" si="304"/>
        <v>10</v>
      </c>
      <c r="CU275" s="1947">
        <f t="shared" ca="1" si="304"/>
        <v>10</v>
      </c>
      <c r="CV275" s="1947">
        <f t="shared" ca="1" si="304"/>
        <v>10</v>
      </c>
      <c r="CW275" s="1947">
        <f t="shared" ca="1" si="304"/>
        <v>10</v>
      </c>
      <c r="CX275" s="1947">
        <f t="shared" ca="1" si="304"/>
        <v>10</v>
      </c>
      <c r="CY275" s="1947">
        <f t="shared" ca="1" si="304"/>
        <v>10</v>
      </c>
      <c r="CZ275" s="1947">
        <f t="shared" ca="1" si="304"/>
        <v>10</v>
      </c>
      <c r="DA275" s="1949">
        <f t="shared" ca="1" si="304"/>
        <v>10</v>
      </c>
      <c r="DB275" s="1947">
        <f t="shared" ca="1" si="304"/>
        <v>10</v>
      </c>
      <c r="DC275" s="1947">
        <f t="shared" ca="1" si="304"/>
        <v>10</v>
      </c>
      <c r="DD275" s="1947">
        <f t="shared" ca="1" si="304"/>
        <v>10</v>
      </c>
      <c r="DE275" s="1947">
        <f t="shared" ca="1" si="304"/>
        <v>10</v>
      </c>
      <c r="DF275" s="1947">
        <f t="shared" ca="1" si="304"/>
        <v>10</v>
      </c>
      <c r="DG275" s="1947">
        <f t="shared" ca="1" si="304"/>
        <v>10</v>
      </c>
      <c r="DH275" s="1949">
        <f t="shared" ca="1" si="304"/>
        <v>10</v>
      </c>
      <c r="DI275" s="1947">
        <f t="shared" ca="1" si="304"/>
        <v>10</v>
      </c>
      <c r="DJ275" s="1947">
        <f t="shared" ca="1" si="304"/>
        <v>0</v>
      </c>
      <c r="DK275" s="1947">
        <f t="shared" ca="1" si="304"/>
        <v>0</v>
      </c>
      <c r="DL275" s="1947">
        <f t="shared" ca="1" si="304"/>
        <v>0</v>
      </c>
      <c r="DM275" s="1947">
        <f t="shared" ca="1" si="304"/>
        <v>0</v>
      </c>
      <c r="DN275" s="1947">
        <f t="shared" ca="1" si="304"/>
        <v>0</v>
      </c>
      <c r="DO275" s="1949">
        <f t="shared" ca="1" si="304"/>
        <v>0</v>
      </c>
      <c r="DP275" s="1947">
        <f t="shared" ca="1" si="304"/>
        <v>0</v>
      </c>
      <c r="DQ275" s="1947">
        <f t="shared" ca="1" si="304"/>
        <v>0</v>
      </c>
      <c r="DR275" s="1947">
        <f t="shared" ca="1" si="304"/>
        <v>0</v>
      </c>
      <c r="DS275" s="1947">
        <f t="shared" ca="1" si="304"/>
        <v>0</v>
      </c>
      <c r="DT275" s="1947">
        <f t="shared" ca="1" si="304"/>
        <v>0</v>
      </c>
      <c r="DU275" s="1947">
        <f t="shared" ca="1" si="304"/>
        <v>0</v>
      </c>
      <c r="DV275" s="1949">
        <f t="shared" ca="1" si="304"/>
        <v>0</v>
      </c>
      <c r="DW275" s="1947">
        <f t="shared" ca="1" si="304"/>
        <v>0</v>
      </c>
      <c r="DX275" s="1947">
        <f t="shared" ca="1" si="304"/>
        <v>0</v>
      </c>
      <c r="DY275" s="1947">
        <f t="shared" ca="1" si="304"/>
        <v>0</v>
      </c>
      <c r="DZ275" s="1947">
        <f t="shared" ca="1" si="304"/>
        <v>0</v>
      </c>
      <c r="EA275" s="1947">
        <f t="shared" ca="1" si="304"/>
        <v>0</v>
      </c>
      <c r="EB275" s="1947">
        <f t="shared" ca="1" si="304"/>
        <v>0</v>
      </c>
      <c r="EC275" s="1949">
        <f t="shared" ca="1" si="304"/>
        <v>0</v>
      </c>
      <c r="ED275" s="1947">
        <f t="shared" ca="1" si="304"/>
        <v>0</v>
      </c>
      <c r="EE275" s="1947">
        <f t="shared" ca="1" si="304"/>
        <v>0</v>
      </c>
      <c r="EF275" s="1947">
        <f t="shared" ref="EF275:GQ275" ca="1" si="305">EF300</f>
        <v>0</v>
      </c>
      <c r="EG275" s="1947">
        <f t="shared" ca="1" si="305"/>
        <v>0</v>
      </c>
      <c r="EH275" s="1947">
        <f t="shared" ca="1" si="305"/>
        <v>0</v>
      </c>
      <c r="EI275" s="1947">
        <f t="shared" ca="1" si="305"/>
        <v>0</v>
      </c>
      <c r="EJ275" s="1949">
        <f t="shared" ca="1" si="305"/>
        <v>0</v>
      </c>
      <c r="EK275" s="1947">
        <f t="shared" ca="1" si="305"/>
        <v>0</v>
      </c>
      <c r="EL275" s="1947">
        <f t="shared" ca="1" si="305"/>
        <v>0</v>
      </c>
      <c r="EM275" s="1947">
        <f t="shared" ca="1" si="305"/>
        <v>0</v>
      </c>
      <c r="EN275" s="1947">
        <f t="shared" ca="1" si="305"/>
        <v>0</v>
      </c>
      <c r="EO275" s="1947">
        <f t="shared" ca="1" si="305"/>
        <v>0</v>
      </c>
      <c r="EP275" s="1947">
        <f t="shared" ca="1" si="305"/>
        <v>0</v>
      </c>
      <c r="EQ275" s="1949">
        <f t="shared" ca="1" si="305"/>
        <v>0</v>
      </c>
      <c r="ER275" s="1947">
        <f t="shared" ca="1" si="305"/>
        <v>0</v>
      </c>
      <c r="ES275" s="1947">
        <f t="shared" ca="1" si="305"/>
        <v>0</v>
      </c>
      <c r="ET275" s="1947">
        <f t="shared" ca="1" si="305"/>
        <v>0</v>
      </c>
      <c r="EU275" s="1947">
        <f t="shared" ca="1" si="305"/>
        <v>0</v>
      </c>
      <c r="EV275" s="1947">
        <f t="shared" ca="1" si="305"/>
        <v>0</v>
      </c>
      <c r="EW275" s="1947">
        <f t="shared" ca="1" si="305"/>
        <v>0</v>
      </c>
      <c r="EX275" s="1949">
        <f t="shared" ca="1" si="305"/>
        <v>0</v>
      </c>
      <c r="EY275" s="1947">
        <f t="shared" ca="1" si="305"/>
        <v>0</v>
      </c>
      <c r="EZ275" s="1947">
        <f t="shared" ca="1" si="305"/>
        <v>0</v>
      </c>
      <c r="FA275" s="1947">
        <f t="shared" ca="1" si="305"/>
        <v>0</v>
      </c>
      <c r="FB275" s="1947">
        <f t="shared" ca="1" si="305"/>
        <v>0</v>
      </c>
      <c r="FC275" s="1947">
        <f t="shared" ca="1" si="305"/>
        <v>0</v>
      </c>
      <c r="FD275" s="1947">
        <f t="shared" ca="1" si="305"/>
        <v>0</v>
      </c>
      <c r="FE275" s="1949">
        <f t="shared" ca="1" si="305"/>
        <v>0</v>
      </c>
      <c r="FF275" s="1947">
        <f t="shared" ca="1" si="305"/>
        <v>0</v>
      </c>
      <c r="FG275" s="1947">
        <f t="shared" ca="1" si="305"/>
        <v>0</v>
      </c>
      <c r="FH275" s="1947">
        <f t="shared" ca="1" si="305"/>
        <v>0</v>
      </c>
      <c r="FI275" s="1947">
        <f t="shared" ca="1" si="305"/>
        <v>0</v>
      </c>
      <c r="FJ275" s="1947">
        <f t="shared" ca="1" si="305"/>
        <v>0</v>
      </c>
      <c r="FK275" s="1947">
        <f t="shared" ca="1" si="305"/>
        <v>0</v>
      </c>
      <c r="FL275" s="1949">
        <f t="shared" ca="1" si="305"/>
        <v>0</v>
      </c>
      <c r="FM275" s="1947">
        <f t="shared" ca="1" si="305"/>
        <v>0</v>
      </c>
      <c r="FN275" s="1947">
        <f t="shared" ca="1" si="305"/>
        <v>0</v>
      </c>
      <c r="FO275" s="1947">
        <f t="shared" ca="1" si="305"/>
        <v>0</v>
      </c>
      <c r="FP275" s="1947">
        <f t="shared" ca="1" si="305"/>
        <v>0</v>
      </c>
      <c r="FQ275" s="1947">
        <f t="shared" ca="1" si="305"/>
        <v>0</v>
      </c>
      <c r="FR275" s="1947">
        <f t="shared" ca="1" si="305"/>
        <v>0</v>
      </c>
      <c r="FS275" s="1949">
        <f t="shared" ca="1" si="305"/>
        <v>0</v>
      </c>
      <c r="FT275" s="1947">
        <f t="shared" ca="1" si="305"/>
        <v>0</v>
      </c>
      <c r="FU275" s="1947">
        <f t="shared" ca="1" si="305"/>
        <v>0</v>
      </c>
      <c r="FV275" s="1947">
        <f t="shared" ca="1" si="305"/>
        <v>0</v>
      </c>
      <c r="FW275" s="1947">
        <f t="shared" ca="1" si="305"/>
        <v>0</v>
      </c>
      <c r="FX275" s="1947">
        <f t="shared" ca="1" si="305"/>
        <v>0</v>
      </c>
      <c r="FY275" s="1947">
        <f t="shared" ca="1" si="305"/>
        <v>0</v>
      </c>
      <c r="FZ275" s="1949">
        <f t="shared" ca="1" si="305"/>
        <v>0</v>
      </c>
      <c r="GA275" s="1947">
        <f t="shared" ca="1" si="305"/>
        <v>0</v>
      </c>
      <c r="GB275" s="1947">
        <f t="shared" ca="1" si="305"/>
        <v>0</v>
      </c>
      <c r="GC275" s="1947">
        <f t="shared" ca="1" si="305"/>
        <v>0</v>
      </c>
      <c r="GD275" s="1947">
        <f t="shared" ca="1" si="305"/>
        <v>0</v>
      </c>
      <c r="GE275" s="1947">
        <f t="shared" ca="1" si="305"/>
        <v>0</v>
      </c>
      <c r="GF275" s="1947">
        <f t="shared" ca="1" si="305"/>
        <v>0</v>
      </c>
      <c r="GG275" s="1949">
        <f t="shared" ca="1" si="305"/>
        <v>0</v>
      </c>
      <c r="GH275" s="1947">
        <f t="shared" ca="1" si="305"/>
        <v>0</v>
      </c>
      <c r="GI275" s="1947">
        <f t="shared" ca="1" si="305"/>
        <v>0</v>
      </c>
      <c r="GJ275" s="1947">
        <f t="shared" ca="1" si="305"/>
        <v>0</v>
      </c>
      <c r="GK275" s="1947">
        <f t="shared" ca="1" si="305"/>
        <v>0</v>
      </c>
      <c r="GL275" s="1947">
        <f t="shared" ca="1" si="305"/>
        <v>0</v>
      </c>
      <c r="GM275" s="1947">
        <f t="shared" ca="1" si="305"/>
        <v>0</v>
      </c>
      <c r="GN275" s="1949">
        <f t="shared" ca="1" si="305"/>
        <v>0</v>
      </c>
      <c r="GO275" s="1947">
        <f t="shared" ca="1" si="305"/>
        <v>0</v>
      </c>
      <c r="GP275" s="1947">
        <f t="shared" ca="1" si="305"/>
        <v>0</v>
      </c>
      <c r="GQ275" s="1947">
        <f t="shared" ca="1" si="305"/>
        <v>0</v>
      </c>
      <c r="GR275" s="1947">
        <f t="shared" ref="GR275:IK275" ca="1" si="306">GR300</f>
        <v>0</v>
      </c>
      <c r="GS275" s="1947">
        <f t="shared" ca="1" si="306"/>
        <v>0</v>
      </c>
      <c r="GT275" s="1947">
        <f t="shared" ca="1" si="306"/>
        <v>0</v>
      </c>
      <c r="GU275" s="1949">
        <f t="shared" ca="1" si="306"/>
        <v>0</v>
      </c>
      <c r="GV275" s="1947">
        <f t="shared" ca="1" si="306"/>
        <v>0</v>
      </c>
      <c r="GW275" s="1947">
        <f t="shared" ca="1" si="306"/>
        <v>0</v>
      </c>
      <c r="GX275" s="1947">
        <f t="shared" ca="1" si="306"/>
        <v>0</v>
      </c>
      <c r="GY275" s="1947">
        <f t="shared" ca="1" si="306"/>
        <v>0</v>
      </c>
      <c r="GZ275" s="1947">
        <f t="shared" ca="1" si="306"/>
        <v>0</v>
      </c>
      <c r="HA275" s="1947">
        <f t="shared" ca="1" si="306"/>
        <v>0</v>
      </c>
      <c r="HB275" s="1949">
        <f t="shared" ca="1" si="306"/>
        <v>0</v>
      </c>
      <c r="HC275" s="1947">
        <f t="shared" ca="1" si="306"/>
        <v>0</v>
      </c>
      <c r="HD275" s="1947">
        <f t="shared" ca="1" si="306"/>
        <v>0</v>
      </c>
      <c r="HE275" s="1947">
        <f t="shared" ca="1" si="306"/>
        <v>0</v>
      </c>
      <c r="HF275" s="1947">
        <f t="shared" ca="1" si="306"/>
        <v>0</v>
      </c>
      <c r="HG275" s="1947">
        <f t="shared" ca="1" si="306"/>
        <v>0</v>
      </c>
      <c r="HH275" s="1947">
        <f t="shared" ca="1" si="306"/>
        <v>0</v>
      </c>
      <c r="HI275" s="1949">
        <f t="shared" ca="1" si="306"/>
        <v>0</v>
      </c>
      <c r="HJ275" s="1947">
        <f t="shared" ca="1" si="306"/>
        <v>0</v>
      </c>
      <c r="HK275" s="1947">
        <f t="shared" ca="1" si="306"/>
        <v>0</v>
      </c>
      <c r="HL275" s="1947">
        <f t="shared" ca="1" si="306"/>
        <v>0</v>
      </c>
      <c r="HM275" s="1947">
        <f t="shared" ca="1" si="306"/>
        <v>0</v>
      </c>
      <c r="HN275" s="1947">
        <f t="shared" ca="1" si="306"/>
        <v>0</v>
      </c>
      <c r="HO275" s="1947">
        <f t="shared" ca="1" si="306"/>
        <v>0</v>
      </c>
      <c r="HP275" s="1949">
        <f t="shared" ca="1" si="306"/>
        <v>0</v>
      </c>
      <c r="HQ275" s="1947">
        <f t="shared" ca="1" si="306"/>
        <v>0</v>
      </c>
      <c r="HR275" s="1947">
        <f t="shared" ca="1" si="306"/>
        <v>0</v>
      </c>
      <c r="HS275" s="1947">
        <f t="shared" ca="1" si="306"/>
        <v>0</v>
      </c>
      <c r="HT275" s="1947">
        <f t="shared" ca="1" si="306"/>
        <v>0</v>
      </c>
      <c r="HU275" s="1947">
        <f t="shared" ca="1" si="306"/>
        <v>0</v>
      </c>
      <c r="HV275" s="1947">
        <f t="shared" ca="1" si="306"/>
        <v>0</v>
      </c>
      <c r="HW275" s="1949">
        <f t="shared" ca="1" si="306"/>
        <v>0</v>
      </c>
      <c r="HX275" s="1947">
        <f t="shared" ca="1" si="306"/>
        <v>0</v>
      </c>
      <c r="HY275" s="1947">
        <f t="shared" ca="1" si="306"/>
        <v>0</v>
      </c>
      <c r="HZ275" s="1947">
        <f t="shared" ca="1" si="306"/>
        <v>0</v>
      </c>
      <c r="IA275" s="1947">
        <f t="shared" ca="1" si="306"/>
        <v>0</v>
      </c>
      <c r="IB275" s="1947">
        <f t="shared" ca="1" si="306"/>
        <v>0</v>
      </c>
      <c r="IC275" s="1947">
        <f t="shared" ca="1" si="306"/>
        <v>0</v>
      </c>
      <c r="ID275" s="1949">
        <f t="shared" ca="1" si="306"/>
        <v>0</v>
      </c>
      <c r="IE275" s="1947">
        <f t="shared" ca="1" si="306"/>
        <v>0</v>
      </c>
      <c r="IF275" s="1947">
        <f t="shared" ca="1" si="306"/>
        <v>0</v>
      </c>
      <c r="IG275" s="1947">
        <f t="shared" ca="1" si="306"/>
        <v>0</v>
      </c>
      <c r="IH275" s="1947">
        <f t="shared" ca="1" si="306"/>
        <v>0</v>
      </c>
      <c r="II275" s="1947">
        <f t="shared" ca="1" si="306"/>
        <v>0</v>
      </c>
      <c r="IJ275" s="1947">
        <f t="shared" ca="1" si="306"/>
        <v>0</v>
      </c>
      <c r="IK275" s="1949">
        <f t="shared" ca="1" si="306"/>
        <v>0</v>
      </c>
    </row>
    <row r="276" spans="1:245" ht="8.1" customHeight="1" x14ac:dyDescent="0.35">
      <c r="A276" s="195" t="str">
        <f>IF(B275=0,0,"XXX")</f>
        <v>XXX</v>
      </c>
      <c r="B276" s="1960"/>
      <c r="C276" s="1966"/>
      <c r="D276" s="360" t="str">
        <f>IF(ENTRADAS!$F$22=0,0,"término:")</f>
        <v>término:</v>
      </c>
      <c r="E276" s="361">
        <f ca="1">IF(D296&lt;D295,0,D302)</f>
        <v>46019</v>
      </c>
      <c r="F276" s="1962"/>
      <c r="G276" s="1964"/>
      <c r="H276" s="1948"/>
      <c r="I276" s="1948"/>
      <c r="J276" s="1948"/>
      <c r="K276" s="1948"/>
      <c r="L276" s="1948"/>
      <c r="M276" s="1948"/>
      <c r="N276" s="1950"/>
      <c r="O276" s="1948"/>
      <c r="P276" s="1948"/>
      <c r="Q276" s="1948"/>
      <c r="R276" s="1948"/>
      <c r="S276" s="1948"/>
      <c r="T276" s="1948"/>
      <c r="U276" s="1950"/>
      <c r="V276" s="1948"/>
      <c r="W276" s="1948"/>
      <c r="X276" s="1948"/>
      <c r="Y276" s="1948"/>
      <c r="Z276" s="1948"/>
      <c r="AA276" s="1948"/>
      <c r="AB276" s="1950"/>
      <c r="AC276" s="1948"/>
      <c r="AD276" s="1948"/>
      <c r="AE276" s="1948"/>
      <c r="AF276" s="1948"/>
      <c r="AG276" s="1948"/>
      <c r="AH276" s="1948"/>
      <c r="AI276" s="1950"/>
      <c r="AJ276" s="1948"/>
      <c r="AK276" s="1948"/>
      <c r="AL276" s="1948"/>
      <c r="AM276" s="1948"/>
      <c r="AN276" s="1948"/>
      <c r="AO276" s="1948"/>
      <c r="AP276" s="1950"/>
      <c r="AQ276" s="1948"/>
      <c r="AR276" s="1948"/>
      <c r="AS276" s="1948"/>
      <c r="AT276" s="1948"/>
      <c r="AU276" s="1948"/>
      <c r="AV276" s="1948"/>
      <c r="AW276" s="1950"/>
      <c r="AX276" s="1948"/>
      <c r="AY276" s="1948"/>
      <c r="AZ276" s="1948"/>
      <c r="BA276" s="1948"/>
      <c r="BB276" s="1948"/>
      <c r="BC276" s="1948"/>
      <c r="BD276" s="1950"/>
      <c r="BE276" s="1948"/>
      <c r="BF276" s="1948"/>
      <c r="BG276" s="1948"/>
      <c r="BH276" s="1948"/>
      <c r="BI276" s="1948"/>
      <c r="BJ276" s="1948"/>
      <c r="BK276" s="1950"/>
      <c r="BL276" s="1948"/>
      <c r="BM276" s="1948"/>
      <c r="BN276" s="1948"/>
      <c r="BO276" s="1948"/>
      <c r="BP276" s="1948"/>
      <c r="BQ276" s="1948"/>
      <c r="BR276" s="1950"/>
      <c r="BS276" s="1948"/>
      <c r="BT276" s="1948"/>
      <c r="BU276" s="1948"/>
      <c r="BV276" s="1948"/>
      <c r="BW276" s="1948"/>
      <c r="BX276" s="1948"/>
      <c r="BY276" s="1950"/>
      <c r="BZ276" s="1948"/>
      <c r="CA276" s="1948"/>
      <c r="CB276" s="1948"/>
      <c r="CC276" s="1948"/>
      <c r="CD276" s="1948"/>
      <c r="CE276" s="1948"/>
      <c r="CF276" s="1950"/>
      <c r="CG276" s="1948"/>
      <c r="CH276" s="1948"/>
      <c r="CI276" s="1948"/>
      <c r="CJ276" s="1948"/>
      <c r="CK276" s="1948"/>
      <c r="CL276" s="1948"/>
      <c r="CM276" s="1950"/>
      <c r="CN276" s="1948"/>
      <c r="CO276" s="1948"/>
      <c r="CP276" s="1948"/>
      <c r="CQ276" s="1948"/>
      <c r="CR276" s="1948"/>
      <c r="CS276" s="1948"/>
      <c r="CT276" s="1950"/>
      <c r="CU276" s="1948"/>
      <c r="CV276" s="1948"/>
      <c r="CW276" s="1948"/>
      <c r="CX276" s="1948"/>
      <c r="CY276" s="1948"/>
      <c r="CZ276" s="1948"/>
      <c r="DA276" s="1950"/>
      <c r="DB276" s="1948"/>
      <c r="DC276" s="1948"/>
      <c r="DD276" s="1948"/>
      <c r="DE276" s="1948"/>
      <c r="DF276" s="1948"/>
      <c r="DG276" s="1948"/>
      <c r="DH276" s="1950"/>
      <c r="DI276" s="1948"/>
      <c r="DJ276" s="1948"/>
      <c r="DK276" s="1948"/>
      <c r="DL276" s="1948"/>
      <c r="DM276" s="1948"/>
      <c r="DN276" s="1948"/>
      <c r="DO276" s="1950"/>
      <c r="DP276" s="1948"/>
      <c r="DQ276" s="1948"/>
      <c r="DR276" s="1948"/>
      <c r="DS276" s="1948"/>
      <c r="DT276" s="1948"/>
      <c r="DU276" s="1948"/>
      <c r="DV276" s="1950"/>
      <c r="DW276" s="1948"/>
      <c r="DX276" s="1948"/>
      <c r="DY276" s="1948"/>
      <c r="DZ276" s="1948"/>
      <c r="EA276" s="1948"/>
      <c r="EB276" s="1948"/>
      <c r="EC276" s="1950"/>
      <c r="ED276" s="1948"/>
      <c r="EE276" s="1948"/>
      <c r="EF276" s="1948"/>
      <c r="EG276" s="1948"/>
      <c r="EH276" s="1948"/>
      <c r="EI276" s="1948"/>
      <c r="EJ276" s="1950"/>
      <c r="EK276" s="1948"/>
      <c r="EL276" s="1948"/>
      <c r="EM276" s="1948"/>
      <c r="EN276" s="1948"/>
      <c r="EO276" s="1948"/>
      <c r="EP276" s="1948"/>
      <c r="EQ276" s="1950"/>
      <c r="ER276" s="1948"/>
      <c r="ES276" s="1948"/>
      <c r="ET276" s="1948"/>
      <c r="EU276" s="1948"/>
      <c r="EV276" s="1948"/>
      <c r="EW276" s="1948"/>
      <c r="EX276" s="1950"/>
      <c r="EY276" s="1948"/>
      <c r="EZ276" s="1948"/>
      <c r="FA276" s="1948"/>
      <c r="FB276" s="1948"/>
      <c r="FC276" s="1948"/>
      <c r="FD276" s="1948"/>
      <c r="FE276" s="1950"/>
      <c r="FF276" s="1948"/>
      <c r="FG276" s="1948"/>
      <c r="FH276" s="1948"/>
      <c r="FI276" s="1948"/>
      <c r="FJ276" s="1948"/>
      <c r="FK276" s="1948"/>
      <c r="FL276" s="1950"/>
      <c r="FM276" s="1948"/>
      <c r="FN276" s="1948"/>
      <c r="FO276" s="1948"/>
      <c r="FP276" s="1948"/>
      <c r="FQ276" s="1948"/>
      <c r="FR276" s="1948"/>
      <c r="FS276" s="1950"/>
      <c r="FT276" s="1948"/>
      <c r="FU276" s="1948"/>
      <c r="FV276" s="1948"/>
      <c r="FW276" s="1948"/>
      <c r="FX276" s="1948"/>
      <c r="FY276" s="1948"/>
      <c r="FZ276" s="1950"/>
      <c r="GA276" s="1948"/>
      <c r="GB276" s="1948"/>
      <c r="GC276" s="1948"/>
      <c r="GD276" s="1948"/>
      <c r="GE276" s="1948"/>
      <c r="GF276" s="1948"/>
      <c r="GG276" s="1950"/>
      <c r="GH276" s="1948"/>
      <c r="GI276" s="1948"/>
      <c r="GJ276" s="1948"/>
      <c r="GK276" s="1948"/>
      <c r="GL276" s="1948"/>
      <c r="GM276" s="1948"/>
      <c r="GN276" s="1950"/>
      <c r="GO276" s="1948"/>
      <c r="GP276" s="1948"/>
      <c r="GQ276" s="1948"/>
      <c r="GR276" s="1948"/>
      <c r="GS276" s="1948"/>
      <c r="GT276" s="1948"/>
      <c r="GU276" s="1950"/>
      <c r="GV276" s="1948"/>
      <c r="GW276" s="1948"/>
      <c r="GX276" s="1948"/>
      <c r="GY276" s="1948"/>
      <c r="GZ276" s="1948"/>
      <c r="HA276" s="1948"/>
      <c r="HB276" s="1950"/>
      <c r="HC276" s="1948"/>
      <c r="HD276" s="1948"/>
      <c r="HE276" s="1948"/>
      <c r="HF276" s="1948"/>
      <c r="HG276" s="1948"/>
      <c r="HH276" s="1948"/>
      <c r="HI276" s="1950"/>
      <c r="HJ276" s="1948"/>
      <c r="HK276" s="1948"/>
      <c r="HL276" s="1948"/>
      <c r="HM276" s="1948"/>
      <c r="HN276" s="1948"/>
      <c r="HO276" s="1948"/>
      <c r="HP276" s="1950"/>
      <c r="HQ276" s="1948"/>
      <c r="HR276" s="1948"/>
      <c r="HS276" s="1948"/>
      <c r="HT276" s="1948"/>
      <c r="HU276" s="1948"/>
      <c r="HV276" s="1948"/>
      <c r="HW276" s="1950"/>
      <c r="HX276" s="1948"/>
      <c r="HY276" s="1948"/>
      <c r="HZ276" s="1948"/>
      <c r="IA276" s="1948"/>
      <c r="IB276" s="1948"/>
      <c r="IC276" s="1948"/>
      <c r="ID276" s="1950"/>
      <c r="IE276" s="1948"/>
      <c r="IF276" s="1948"/>
      <c r="IG276" s="1948"/>
      <c r="IH276" s="1948"/>
      <c r="II276" s="1948"/>
      <c r="IJ276" s="1948"/>
      <c r="IK276" s="1950"/>
    </row>
    <row r="277" spans="1:245" ht="8.1" hidden="1" customHeight="1" x14ac:dyDescent="0.35">
      <c r="A277" s="195">
        <f>IF(B277=0,0,"XXX")</f>
        <v>0</v>
      </c>
      <c r="B277" s="1959">
        <f>IF(F277=0,0,IF(ENTRADAS!$E$1038=0,0,IF(D296&lt;D295,0,"1.4.2")))</f>
        <v>0</v>
      </c>
      <c r="C277" s="453">
        <f>IF(F277=0,0,"CONFECÇÃO DE COBERTURA")</f>
        <v>0</v>
      </c>
      <c r="D277" s="358">
        <f>IF(F277=0,0,"início:")</f>
        <v>0</v>
      </c>
      <c r="E277" s="359">
        <f>IF(D296&lt;D295,0,IF(D306&lt;&gt;0,D306,D307))</f>
        <v>0</v>
      </c>
      <c r="F277" s="1961">
        <f>IF(IF(D296&lt;D295,0,D304)&lt;0,0,IF(D296&lt;D295,0,D304))</f>
        <v>0</v>
      </c>
      <c r="G277" s="1963">
        <f>IF(F277=0,0,"dias")</f>
        <v>0</v>
      </c>
      <c r="H277" s="1945">
        <f>H304</f>
        <v>0</v>
      </c>
      <c r="I277" s="1941">
        <f t="shared" ref="I277:BT277" si="307">I304</f>
        <v>0</v>
      </c>
      <c r="J277" s="1941">
        <f t="shared" si="307"/>
        <v>0</v>
      </c>
      <c r="K277" s="1941">
        <f t="shared" si="307"/>
        <v>0</v>
      </c>
      <c r="L277" s="1941">
        <f t="shared" si="307"/>
        <v>0</v>
      </c>
      <c r="M277" s="1941">
        <f t="shared" si="307"/>
        <v>0</v>
      </c>
      <c r="N277" s="1941">
        <f t="shared" si="307"/>
        <v>0</v>
      </c>
      <c r="O277" s="1945">
        <f t="shared" si="307"/>
        <v>0</v>
      </c>
      <c r="P277" s="1941">
        <f t="shared" si="307"/>
        <v>0</v>
      </c>
      <c r="Q277" s="1941">
        <f t="shared" si="307"/>
        <v>0</v>
      </c>
      <c r="R277" s="1941">
        <f t="shared" si="307"/>
        <v>0</v>
      </c>
      <c r="S277" s="1941">
        <f t="shared" si="307"/>
        <v>0</v>
      </c>
      <c r="T277" s="1941">
        <f t="shared" si="307"/>
        <v>0</v>
      </c>
      <c r="U277" s="1941">
        <f t="shared" si="307"/>
        <v>0</v>
      </c>
      <c r="V277" s="1945">
        <f t="shared" si="307"/>
        <v>0</v>
      </c>
      <c r="W277" s="1941">
        <f t="shared" si="307"/>
        <v>0</v>
      </c>
      <c r="X277" s="1941">
        <f t="shared" si="307"/>
        <v>0</v>
      </c>
      <c r="Y277" s="1941">
        <f t="shared" si="307"/>
        <v>0</v>
      </c>
      <c r="Z277" s="1941">
        <f t="shared" si="307"/>
        <v>0</v>
      </c>
      <c r="AA277" s="1941">
        <f t="shared" si="307"/>
        <v>0</v>
      </c>
      <c r="AB277" s="1941">
        <f t="shared" si="307"/>
        <v>0</v>
      </c>
      <c r="AC277" s="1945">
        <f t="shared" si="307"/>
        <v>0</v>
      </c>
      <c r="AD277" s="1941">
        <f t="shared" si="307"/>
        <v>0</v>
      </c>
      <c r="AE277" s="1941">
        <f t="shared" si="307"/>
        <v>0</v>
      </c>
      <c r="AF277" s="1941">
        <f t="shared" si="307"/>
        <v>0</v>
      </c>
      <c r="AG277" s="1941">
        <f t="shared" si="307"/>
        <v>0</v>
      </c>
      <c r="AH277" s="1941">
        <f t="shared" si="307"/>
        <v>0</v>
      </c>
      <c r="AI277" s="1941">
        <f t="shared" si="307"/>
        <v>0</v>
      </c>
      <c r="AJ277" s="1945">
        <f t="shared" si="307"/>
        <v>0</v>
      </c>
      <c r="AK277" s="1941">
        <f t="shared" si="307"/>
        <v>0</v>
      </c>
      <c r="AL277" s="1941">
        <f t="shared" si="307"/>
        <v>0</v>
      </c>
      <c r="AM277" s="1941">
        <f t="shared" si="307"/>
        <v>0</v>
      </c>
      <c r="AN277" s="1941">
        <f t="shared" si="307"/>
        <v>0</v>
      </c>
      <c r="AO277" s="1941">
        <f t="shared" si="307"/>
        <v>0</v>
      </c>
      <c r="AP277" s="1941">
        <f t="shared" si="307"/>
        <v>0</v>
      </c>
      <c r="AQ277" s="1945">
        <f t="shared" si="307"/>
        <v>0</v>
      </c>
      <c r="AR277" s="1941">
        <f t="shared" si="307"/>
        <v>0</v>
      </c>
      <c r="AS277" s="1941">
        <f t="shared" si="307"/>
        <v>0</v>
      </c>
      <c r="AT277" s="1941">
        <f t="shared" si="307"/>
        <v>0</v>
      </c>
      <c r="AU277" s="1941">
        <f t="shared" si="307"/>
        <v>0</v>
      </c>
      <c r="AV277" s="1941">
        <f t="shared" si="307"/>
        <v>0</v>
      </c>
      <c r="AW277" s="1941">
        <f t="shared" si="307"/>
        <v>0</v>
      </c>
      <c r="AX277" s="1945">
        <f t="shared" si="307"/>
        <v>0</v>
      </c>
      <c r="AY277" s="1941">
        <f t="shared" si="307"/>
        <v>0</v>
      </c>
      <c r="AZ277" s="1941">
        <f t="shared" si="307"/>
        <v>0</v>
      </c>
      <c r="BA277" s="1941">
        <f t="shared" si="307"/>
        <v>0</v>
      </c>
      <c r="BB277" s="1941">
        <f t="shared" si="307"/>
        <v>0</v>
      </c>
      <c r="BC277" s="1941">
        <f t="shared" si="307"/>
        <v>0</v>
      </c>
      <c r="BD277" s="1941">
        <f t="shared" si="307"/>
        <v>0</v>
      </c>
      <c r="BE277" s="1945">
        <f t="shared" si="307"/>
        <v>0</v>
      </c>
      <c r="BF277" s="1941">
        <f t="shared" si="307"/>
        <v>0</v>
      </c>
      <c r="BG277" s="1941">
        <f t="shared" si="307"/>
        <v>0</v>
      </c>
      <c r="BH277" s="1941">
        <f t="shared" si="307"/>
        <v>0</v>
      </c>
      <c r="BI277" s="1941">
        <f t="shared" si="307"/>
        <v>0</v>
      </c>
      <c r="BJ277" s="1941">
        <f t="shared" si="307"/>
        <v>0</v>
      </c>
      <c r="BK277" s="1941">
        <f t="shared" si="307"/>
        <v>0</v>
      </c>
      <c r="BL277" s="1945">
        <f t="shared" si="307"/>
        <v>0</v>
      </c>
      <c r="BM277" s="1941">
        <f t="shared" si="307"/>
        <v>0</v>
      </c>
      <c r="BN277" s="1941">
        <f t="shared" si="307"/>
        <v>0</v>
      </c>
      <c r="BO277" s="1941">
        <f t="shared" si="307"/>
        <v>0</v>
      </c>
      <c r="BP277" s="1941">
        <f t="shared" si="307"/>
        <v>0</v>
      </c>
      <c r="BQ277" s="1941">
        <f t="shared" si="307"/>
        <v>0</v>
      </c>
      <c r="BR277" s="1941">
        <f t="shared" si="307"/>
        <v>0</v>
      </c>
      <c r="BS277" s="1945">
        <f t="shared" si="307"/>
        <v>0</v>
      </c>
      <c r="BT277" s="1941">
        <f t="shared" si="307"/>
        <v>0</v>
      </c>
      <c r="BU277" s="1941">
        <f t="shared" ref="BU277:EF277" si="308">BU304</f>
        <v>0</v>
      </c>
      <c r="BV277" s="1941">
        <f t="shared" si="308"/>
        <v>0</v>
      </c>
      <c r="BW277" s="1941">
        <f t="shared" si="308"/>
        <v>0</v>
      </c>
      <c r="BX277" s="1941">
        <f t="shared" si="308"/>
        <v>0</v>
      </c>
      <c r="BY277" s="1941">
        <f t="shared" si="308"/>
        <v>0</v>
      </c>
      <c r="BZ277" s="1945">
        <f t="shared" si="308"/>
        <v>0</v>
      </c>
      <c r="CA277" s="1941">
        <f t="shared" si="308"/>
        <v>0</v>
      </c>
      <c r="CB277" s="1941">
        <f t="shared" si="308"/>
        <v>0</v>
      </c>
      <c r="CC277" s="1941">
        <f t="shared" si="308"/>
        <v>0</v>
      </c>
      <c r="CD277" s="1941">
        <f t="shared" si="308"/>
        <v>0</v>
      </c>
      <c r="CE277" s="1941">
        <f t="shared" si="308"/>
        <v>0</v>
      </c>
      <c r="CF277" s="1941">
        <f t="shared" si="308"/>
        <v>0</v>
      </c>
      <c r="CG277" s="1945">
        <f t="shared" si="308"/>
        <v>0</v>
      </c>
      <c r="CH277" s="1941">
        <f t="shared" si="308"/>
        <v>0</v>
      </c>
      <c r="CI277" s="1941">
        <f t="shared" si="308"/>
        <v>0</v>
      </c>
      <c r="CJ277" s="1941">
        <f t="shared" si="308"/>
        <v>0</v>
      </c>
      <c r="CK277" s="1941">
        <f t="shared" si="308"/>
        <v>0</v>
      </c>
      <c r="CL277" s="1941">
        <f t="shared" si="308"/>
        <v>0</v>
      </c>
      <c r="CM277" s="1941">
        <f t="shared" si="308"/>
        <v>0</v>
      </c>
      <c r="CN277" s="1945">
        <f t="shared" si="308"/>
        <v>0</v>
      </c>
      <c r="CO277" s="1941">
        <f t="shared" si="308"/>
        <v>0</v>
      </c>
      <c r="CP277" s="1941">
        <f t="shared" si="308"/>
        <v>0</v>
      </c>
      <c r="CQ277" s="1941">
        <f t="shared" si="308"/>
        <v>0</v>
      </c>
      <c r="CR277" s="1941">
        <f t="shared" si="308"/>
        <v>0</v>
      </c>
      <c r="CS277" s="1941">
        <f t="shared" si="308"/>
        <v>0</v>
      </c>
      <c r="CT277" s="1941">
        <f t="shared" si="308"/>
        <v>0</v>
      </c>
      <c r="CU277" s="1945">
        <f t="shared" si="308"/>
        <v>0</v>
      </c>
      <c r="CV277" s="1941">
        <f t="shared" si="308"/>
        <v>0</v>
      </c>
      <c r="CW277" s="1941">
        <f t="shared" si="308"/>
        <v>0</v>
      </c>
      <c r="CX277" s="1941">
        <f t="shared" si="308"/>
        <v>0</v>
      </c>
      <c r="CY277" s="1941">
        <f t="shared" si="308"/>
        <v>0</v>
      </c>
      <c r="CZ277" s="1941">
        <f t="shared" si="308"/>
        <v>0</v>
      </c>
      <c r="DA277" s="1941">
        <f t="shared" si="308"/>
        <v>0</v>
      </c>
      <c r="DB277" s="1945">
        <f t="shared" si="308"/>
        <v>0</v>
      </c>
      <c r="DC277" s="1941">
        <f t="shared" si="308"/>
        <v>0</v>
      </c>
      <c r="DD277" s="1941">
        <f t="shared" si="308"/>
        <v>0</v>
      </c>
      <c r="DE277" s="1941">
        <f t="shared" si="308"/>
        <v>0</v>
      </c>
      <c r="DF277" s="1941">
        <f t="shared" si="308"/>
        <v>0</v>
      </c>
      <c r="DG277" s="1941">
        <f t="shared" si="308"/>
        <v>0</v>
      </c>
      <c r="DH277" s="1941">
        <f t="shared" si="308"/>
        <v>0</v>
      </c>
      <c r="DI277" s="1945">
        <f t="shared" si="308"/>
        <v>0</v>
      </c>
      <c r="DJ277" s="1941">
        <f t="shared" si="308"/>
        <v>0</v>
      </c>
      <c r="DK277" s="1941">
        <f t="shared" si="308"/>
        <v>0</v>
      </c>
      <c r="DL277" s="1941">
        <f t="shared" si="308"/>
        <v>0</v>
      </c>
      <c r="DM277" s="1941">
        <f t="shared" si="308"/>
        <v>0</v>
      </c>
      <c r="DN277" s="1941">
        <f t="shared" si="308"/>
        <v>0</v>
      </c>
      <c r="DO277" s="1941">
        <f t="shared" si="308"/>
        <v>0</v>
      </c>
      <c r="DP277" s="1945">
        <f t="shared" si="308"/>
        <v>0</v>
      </c>
      <c r="DQ277" s="1941">
        <f t="shared" si="308"/>
        <v>0</v>
      </c>
      <c r="DR277" s="1941">
        <f t="shared" si="308"/>
        <v>0</v>
      </c>
      <c r="DS277" s="1941">
        <f t="shared" si="308"/>
        <v>0</v>
      </c>
      <c r="DT277" s="1941">
        <f t="shared" si="308"/>
        <v>0</v>
      </c>
      <c r="DU277" s="1941">
        <f t="shared" si="308"/>
        <v>0</v>
      </c>
      <c r="DV277" s="1941">
        <f t="shared" si="308"/>
        <v>0</v>
      </c>
      <c r="DW277" s="1945">
        <f t="shared" si="308"/>
        <v>0</v>
      </c>
      <c r="DX277" s="1941">
        <f t="shared" si="308"/>
        <v>0</v>
      </c>
      <c r="DY277" s="1941">
        <f t="shared" si="308"/>
        <v>0</v>
      </c>
      <c r="DZ277" s="1941">
        <f t="shared" si="308"/>
        <v>0</v>
      </c>
      <c r="EA277" s="1941">
        <f t="shared" si="308"/>
        <v>0</v>
      </c>
      <c r="EB277" s="1941">
        <f t="shared" si="308"/>
        <v>0</v>
      </c>
      <c r="EC277" s="1941">
        <f t="shared" si="308"/>
        <v>0</v>
      </c>
      <c r="ED277" s="1945">
        <f t="shared" si="308"/>
        <v>0</v>
      </c>
      <c r="EE277" s="1941">
        <f t="shared" si="308"/>
        <v>0</v>
      </c>
      <c r="EF277" s="1941">
        <f t="shared" si="308"/>
        <v>0</v>
      </c>
      <c r="EG277" s="1941">
        <f t="shared" ref="EG277:GR277" si="309">EG304</f>
        <v>0</v>
      </c>
      <c r="EH277" s="1941">
        <f t="shared" si="309"/>
        <v>0</v>
      </c>
      <c r="EI277" s="1941">
        <f t="shared" si="309"/>
        <v>0</v>
      </c>
      <c r="EJ277" s="1941">
        <f t="shared" si="309"/>
        <v>0</v>
      </c>
      <c r="EK277" s="1945">
        <f t="shared" si="309"/>
        <v>0</v>
      </c>
      <c r="EL277" s="1941">
        <f t="shared" si="309"/>
        <v>0</v>
      </c>
      <c r="EM277" s="1941">
        <f t="shared" si="309"/>
        <v>0</v>
      </c>
      <c r="EN277" s="1941">
        <f t="shared" si="309"/>
        <v>0</v>
      </c>
      <c r="EO277" s="1941">
        <f t="shared" si="309"/>
        <v>0</v>
      </c>
      <c r="EP277" s="1941">
        <f t="shared" si="309"/>
        <v>0</v>
      </c>
      <c r="EQ277" s="1941">
        <f t="shared" si="309"/>
        <v>0</v>
      </c>
      <c r="ER277" s="1945">
        <f t="shared" si="309"/>
        <v>0</v>
      </c>
      <c r="ES277" s="1941">
        <f t="shared" si="309"/>
        <v>0</v>
      </c>
      <c r="ET277" s="1941">
        <f t="shared" si="309"/>
        <v>0</v>
      </c>
      <c r="EU277" s="1941">
        <f t="shared" si="309"/>
        <v>0</v>
      </c>
      <c r="EV277" s="1941">
        <f t="shared" si="309"/>
        <v>0</v>
      </c>
      <c r="EW277" s="1941">
        <f t="shared" si="309"/>
        <v>0</v>
      </c>
      <c r="EX277" s="1941">
        <f t="shared" si="309"/>
        <v>0</v>
      </c>
      <c r="EY277" s="1945">
        <f t="shared" si="309"/>
        <v>0</v>
      </c>
      <c r="EZ277" s="1941">
        <f t="shared" si="309"/>
        <v>0</v>
      </c>
      <c r="FA277" s="1941">
        <f t="shared" si="309"/>
        <v>0</v>
      </c>
      <c r="FB277" s="1941">
        <f t="shared" si="309"/>
        <v>0</v>
      </c>
      <c r="FC277" s="1941">
        <f t="shared" si="309"/>
        <v>0</v>
      </c>
      <c r="FD277" s="1941">
        <f t="shared" si="309"/>
        <v>0</v>
      </c>
      <c r="FE277" s="1941">
        <f t="shared" si="309"/>
        <v>0</v>
      </c>
      <c r="FF277" s="1945">
        <f t="shared" si="309"/>
        <v>0</v>
      </c>
      <c r="FG277" s="1941">
        <f t="shared" si="309"/>
        <v>0</v>
      </c>
      <c r="FH277" s="1941">
        <f t="shared" si="309"/>
        <v>0</v>
      </c>
      <c r="FI277" s="1941">
        <f t="shared" si="309"/>
        <v>0</v>
      </c>
      <c r="FJ277" s="1941">
        <f t="shared" si="309"/>
        <v>0</v>
      </c>
      <c r="FK277" s="1941">
        <f t="shared" si="309"/>
        <v>0</v>
      </c>
      <c r="FL277" s="1941">
        <f t="shared" si="309"/>
        <v>0</v>
      </c>
      <c r="FM277" s="1945">
        <f t="shared" si="309"/>
        <v>0</v>
      </c>
      <c r="FN277" s="1941">
        <f t="shared" si="309"/>
        <v>0</v>
      </c>
      <c r="FO277" s="1941">
        <f t="shared" si="309"/>
        <v>0</v>
      </c>
      <c r="FP277" s="1941">
        <f t="shared" si="309"/>
        <v>0</v>
      </c>
      <c r="FQ277" s="1941">
        <f t="shared" si="309"/>
        <v>0</v>
      </c>
      <c r="FR277" s="1941">
        <f t="shared" si="309"/>
        <v>0</v>
      </c>
      <c r="FS277" s="1941">
        <f t="shared" si="309"/>
        <v>0</v>
      </c>
      <c r="FT277" s="1945">
        <f t="shared" si="309"/>
        <v>0</v>
      </c>
      <c r="FU277" s="1941">
        <f t="shared" si="309"/>
        <v>0</v>
      </c>
      <c r="FV277" s="1941">
        <f t="shared" si="309"/>
        <v>0</v>
      </c>
      <c r="FW277" s="1941">
        <f t="shared" si="309"/>
        <v>0</v>
      </c>
      <c r="FX277" s="1941">
        <f t="shared" si="309"/>
        <v>0</v>
      </c>
      <c r="FY277" s="1941">
        <f t="shared" si="309"/>
        <v>0</v>
      </c>
      <c r="FZ277" s="1941">
        <f t="shared" si="309"/>
        <v>0</v>
      </c>
      <c r="GA277" s="1945">
        <f t="shared" si="309"/>
        <v>0</v>
      </c>
      <c r="GB277" s="1941">
        <f t="shared" si="309"/>
        <v>0</v>
      </c>
      <c r="GC277" s="1941">
        <f t="shared" si="309"/>
        <v>0</v>
      </c>
      <c r="GD277" s="1941">
        <f t="shared" si="309"/>
        <v>0</v>
      </c>
      <c r="GE277" s="1941">
        <f t="shared" si="309"/>
        <v>0</v>
      </c>
      <c r="GF277" s="1941">
        <f t="shared" si="309"/>
        <v>0</v>
      </c>
      <c r="GG277" s="1941">
        <f t="shared" si="309"/>
        <v>0</v>
      </c>
      <c r="GH277" s="1945">
        <f t="shared" si="309"/>
        <v>0</v>
      </c>
      <c r="GI277" s="1941">
        <f t="shared" si="309"/>
        <v>0</v>
      </c>
      <c r="GJ277" s="1941">
        <f t="shared" si="309"/>
        <v>0</v>
      </c>
      <c r="GK277" s="1941">
        <f t="shared" si="309"/>
        <v>0</v>
      </c>
      <c r="GL277" s="1941">
        <f t="shared" si="309"/>
        <v>0</v>
      </c>
      <c r="GM277" s="1941">
        <f t="shared" si="309"/>
        <v>0</v>
      </c>
      <c r="GN277" s="1941">
        <f t="shared" si="309"/>
        <v>0</v>
      </c>
      <c r="GO277" s="1945">
        <f t="shared" si="309"/>
        <v>0</v>
      </c>
      <c r="GP277" s="1941">
        <f t="shared" si="309"/>
        <v>0</v>
      </c>
      <c r="GQ277" s="1941">
        <f t="shared" si="309"/>
        <v>0</v>
      </c>
      <c r="GR277" s="1941">
        <f t="shared" si="309"/>
        <v>0</v>
      </c>
      <c r="GS277" s="1941">
        <f t="shared" ref="GS277:IK277" si="310">GS304</f>
        <v>0</v>
      </c>
      <c r="GT277" s="1941">
        <f t="shared" si="310"/>
        <v>0</v>
      </c>
      <c r="GU277" s="1941">
        <f t="shared" si="310"/>
        <v>0</v>
      </c>
      <c r="GV277" s="1945">
        <f t="shared" si="310"/>
        <v>0</v>
      </c>
      <c r="GW277" s="1941">
        <f t="shared" si="310"/>
        <v>0</v>
      </c>
      <c r="GX277" s="1941">
        <f t="shared" si="310"/>
        <v>0</v>
      </c>
      <c r="GY277" s="1941">
        <f t="shared" si="310"/>
        <v>0</v>
      </c>
      <c r="GZ277" s="1941">
        <f t="shared" si="310"/>
        <v>0</v>
      </c>
      <c r="HA277" s="1941">
        <f t="shared" si="310"/>
        <v>0</v>
      </c>
      <c r="HB277" s="1941">
        <f t="shared" si="310"/>
        <v>0</v>
      </c>
      <c r="HC277" s="1945">
        <f t="shared" si="310"/>
        <v>0</v>
      </c>
      <c r="HD277" s="1941">
        <f t="shared" si="310"/>
        <v>0</v>
      </c>
      <c r="HE277" s="1941">
        <f t="shared" si="310"/>
        <v>0</v>
      </c>
      <c r="HF277" s="1941">
        <f t="shared" si="310"/>
        <v>0</v>
      </c>
      <c r="HG277" s="1941">
        <f t="shared" si="310"/>
        <v>0</v>
      </c>
      <c r="HH277" s="1941">
        <f t="shared" si="310"/>
        <v>0</v>
      </c>
      <c r="HI277" s="1941">
        <f t="shared" si="310"/>
        <v>0</v>
      </c>
      <c r="HJ277" s="1945">
        <f t="shared" si="310"/>
        <v>0</v>
      </c>
      <c r="HK277" s="1941">
        <f t="shared" si="310"/>
        <v>0</v>
      </c>
      <c r="HL277" s="1941">
        <f t="shared" si="310"/>
        <v>0</v>
      </c>
      <c r="HM277" s="1941">
        <f t="shared" si="310"/>
        <v>0</v>
      </c>
      <c r="HN277" s="1941">
        <f t="shared" si="310"/>
        <v>0</v>
      </c>
      <c r="HO277" s="1941">
        <f t="shared" si="310"/>
        <v>0</v>
      </c>
      <c r="HP277" s="1941">
        <f t="shared" si="310"/>
        <v>0</v>
      </c>
      <c r="HQ277" s="1945">
        <f t="shared" si="310"/>
        <v>0</v>
      </c>
      <c r="HR277" s="1941">
        <f t="shared" si="310"/>
        <v>0</v>
      </c>
      <c r="HS277" s="1941">
        <f t="shared" si="310"/>
        <v>0</v>
      </c>
      <c r="HT277" s="1941">
        <f t="shared" si="310"/>
        <v>0</v>
      </c>
      <c r="HU277" s="1941">
        <f t="shared" si="310"/>
        <v>0</v>
      </c>
      <c r="HV277" s="1941">
        <f t="shared" si="310"/>
        <v>0</v>
      </c>
      <c r="HW277" s="1941">
        <f t="shared" si="310"/>
        <v>0</v>
      </c>
      <c r="HX277" s="1945">
        <f t="shared" si="310"/>
        <v>0</v>
      </c>
      <c r="HY277" s="1941">
        <f t="shared" si="310"/>
        <v>0</v>
      </c>
      <c r="HZ277" s="1941">
        <f t="shared" si="310"/>
        <v>0</v>
      </c>
      <c r="IA277" s="1941">
        <f t="shared" si="310"/>
        <v>0</v>
      </c>
      <c r="IB277" s="1941">
        <f t="shared" si="310"/>
        <v>0</v>
      </c>
      <c r="IC277" s="1941">
        <f t="shared" si="310"/>
        <v>0</v>
      </c>
      <c r="ID277" s="1941">
        <f t="shared" si="310"/>
        <v>0</v>
      </c>
      <c r="IE277" s="1945">
        <f t="shared" si="310"/>
        <v>0</v>
      </c>
      <c r="IF277" s="1941">
        <f t="shared" si="310"/>
        <v>0</v>
      </c>
      <c r="IG277" s="1941">
        <f t="shared" si="310"/>
        <v>0</v>
      </c>
      <c r="IH277" s="1941">
        <f t="shared" si="310"/>
        <v>0</v>
      </c>
      <c r="II277" s="1941">
        <f t="shared" si="310"/>
        <v>0</v>
      </c>
      <c r="IJ277" s="1941">
        <f t="shared" si="310"/>
        <v>0</v>
      </c>
      <c r="IK277" s="1943">
        <f t="shared" si="310"/>
        <v>0</v>
      </c>
    </row>
    <row r="278" spans="1:245" ht="8.1" hidden="1" customHeight="1" x14ac:dyDescent="0.35">
      <c r="A278" s="195">
        <f>IF(B277=0,0,"XXX")</f>
        <v>0</v>
      </c>
      <c r="B278" s="1960"/>
      <c r="C278" s="452">
        <f>IF(F277=0,0,"COMPARTILHADA COM PAREDES")</f>
        <v>0</v>
      </c>
      <c r="D278" s="360">
        <f>IF(F277=0,0,"término:")</f>
        <v>0</v>
      </c>
      <c r="E278" s="361">
        <f>IF(F277=0,0,IF(D296&lt;D295,0,D308))</f>
        <v>0</v>
      </c>
      <c r="F278" s="1962"/>
      <c r="G278" s="1964"/>
      <c r="H278" s="1946"/>
      <c r="I278" s="1942"/>
      <c r="J278" s="1942"/>
      <c r="K278" s="1942"/>
      <c r="L278" s="1942"/>
      <c r="M278" s="1942"/>
      <c r="N278" s="1942"/>
      <c r="O278" s="1946"/>
      <c r="P278" s="1942"/>
      <c r="Q278" s="1942"/>
      <c r="R278" s="1942"/>
      <c r="S278" s="1942"/>
      <c r="T278" s="1942"/>
      <c r="U278" s="1942"/>
      <c r="V278" s="1946"/>
      <c r="W278" s="1942"/>
      <c r="X278" s="1942"/>
      <c r="Y278" s="1942"/>
      <c r="Z278" s="1942"/>
      <c r="AA278" s="1942"/>
      <c r="AB278" s="1942"/>
      <c r="AC278" s="1946"/>
      <c r="AD278" s="1942"/>
      <c r="AE278" s="1942"/>
      <c r="AF278" s="1942"/>
      <c r="AG278" s="1942"/>
      <c r="AH278" s="1942"/>
      <c r="AI278" s="1942"/>
      <c r="AJ278" s="1946"/>
      <c r="AK278" s="1942"/>
      <c r="AL278" s="1942"/>
      <c r="AM278" s="1942"/>
      <c r="AN278" s="1942"/>
      <c r="AO278" s="1942"/>
      <c r="AP278" s="1942"/>
      <c r="AQ278" s="1946"/>
      <c r="AR278" s="1942"/>
      <c r="AS278" s="1942"/>
      <c r="AT278" s="1942"/>
      <c r="AU278" s="1942"/>
      <c r="AV278" s="1942"/>
      <c r="AW278" s="1942"/>
      <c r="AX278" s="1946"/>
      <c r="AY278" s="1942"/>
      <c r="AZ278" s="1942"/>
      <c r="BA278" s="1942"/>
      <c r="BB278" s="1942"/>
      <c r="BC278" s="1942"/>
      <c r="BD278" s="1942"/>
      <c r="BE278" s="1946"/>
      <c r="BF278" s="1942"/>
      <c r="BG278" s="1942"/>
      <c r="BH278" s="1942"/>
      <c r="BI278" s="1942"/>
      <c r="BJ278" s="1942"/>
      <c r="BK278" s="1942"/>
      <c r="BL278" s="1946"/>
      <c r="BM278" s="1942"/>
      <c r="BN278" s="1942"/>
      <c r="BO278" s="1942"/>
      <c r="BP278" s="1942"/>
      <c r="BQ278" s="1942"/>
      <c r="BR278" s="1942"/>
      <c r="BS278" s="1946"/>
      <c r="BT278" s="1942"/>
      <c r="BU278" s="1942"/>
      <c r="BV278" s="1942"/>
      <c r="BW278" s="1942"/>
      <c r="BX278" s="1942"/>
      <c r="BY278" s="1942"/>
      <c r="BZ278" s="1946"/>
      <c r="CA278" s="1942"/>
      <c r="CB278" s="1942"/>
      <c r="CC278" s="1942"/>
      <c r="CD278" s="1942"/>
      <c r="CE278" s="1942"/>
      <c r="CF278" s="1942"/>
      <c r="CG278" s="1946"/>
      <c r="CH278" s="1942"/>
      <c r="CI278" s="1942"/>
      <c r="CJ278" s="1942"/>
      <c r="CK278" s="1942"/>
      <c r="CL278" s="1942"/>
      <c r="CM278" s="1942"/>
      <c r="CN278" s="1946"/>
      <c r="CO278" s="1942"/>
      <c r="CP278" s="1942"/>
      <c r="CQ278" s="1942"/>
      <c r="CR278" s="1942"/>
      <c r="CS278" s="1942"/>
      <c r="CT278" s="1942"/>
      <c r="CU278" s="1946"/>
      <c r="CV278" s="1942"/>
      <c r="CW278" s="1942"/>
      <c r="CX278" s="1942"/>
      <c r="CY278" s="1942"/>
      <c r="CZ278" s="1942"/>
      <c r="DA278" s="1942"/>
      <c r="DB278" s="1946"/>
      <c r="DC278" s="1942"/>
      <c r="DD278" s="1942"/>
      <c r="DE278" s="1942"/>
      <c r="DF278" s="1942"/>
      <c r="DG278" s="1942"/>
      <c r="DH278" s="1942"/>
      <c r="DI278" s="1946"/>
      <c r="DJ278" s="1942"/>
      <c r="DK278" s="1942"/>
      <c r="DL278" s="1942"/>
      <c r="DM278" s="1942"/>
      <c r="DN278" s="1942"/>
      <c r="DO278" s="1942"/>
      <c r="DP278" s="1946"/>
      <c r="DQ278" s="1942"/>
      <c r="DR278" s="1942"/>
      <c r="DS278" s="1942"/>
      <c r="DT278" s="1942"/>
      <c r="DU278" s="1942"/>
      <c r="DV278" s="1942"/>
      <c r="DW278" s="1946"/>
      <c r="DX278" s="1942"/>
      <c r="DY278" s="1942"/>
      <c r="DZ278" s="1942"/>
      <c r="EA278" s="1942"/>
      <c r="EB278" s="1942"/>
      <c r="EC278" s="1942"/>
      <c r="ED278" s="1946"/>
      <c r="EE278" s="1942"/>
      <c r="EF278" s="1942"/>
      <c r="EG278" s="1942"/>
      <c r="EH278" s="1942"/>
      <c r="EI278" s="1942"/>
      <c r="EJ278" s="1942"/>
      <c r="EK278" s="1946"/>
      <c r="EL278" s="1942"/>
      <c r="EM278" s="1942"/>
      <c r="EN278" s="1942"/>
      <c r="EO278" s="1942"/>
      <c r="EP278" s="1942"/>
      <c r="EQ278" s="1942"/>
      <c r="ER278" s="1946"/>
      <c r="ES278" s="1942"/>
      <c r="ET278" s="1942"/>
      <c r="EU278" s="1942"/>
      <c r="EV278" s="1942"/>
      <c r="EW278" s="1942"/>
      <c r="EX278" s="1942"/>
      <c r="EY278" s="1946"/>
      <c r="EZ278" s="1942"/>
      <c r="FA278" s="1942"/>
      <c r="FB278" s="1942"/>
      <c r="FC278" s="1942"/>
      <c r="FD278" s="1942"/>
      <c r="FE278" s="1942"/>
      <c r="FF278" s="1946"/>
      <c r="FG278" s="1942"/>
      <c r="FH278" s="1942"/>
      <c r="FI278" s="1942"/>
      <c r="FJ278" s="1942"/>
      <c r="FK278" s="1942"/>
      <c r="FL278" s="1942"/>
      <c r="FM278" s="1946"/>
      <c r="FN278" s="1942"/>
      <c r="FO278" s="1942"/>
      <c r="FP278" s="1942"/>
      <c r="FQ278" s="1942"/>
      <c r="FR278" s="1942"/>
      <c r="FS278" s="1942"/>
      <c r="FT278" s="1946"/>
      <c r="FU278" s="1942"/>
      <c r="FV278" s="1942"/>
      <c r="FW278" s="1942"/>
      <c r="FX278" s="1942"/>
      <c r="FY278" s="1942"/>
      <c r="FZ278" s="1942"/>
      <c r="GA278" s="1946"/>
      <c r="GB278" s="1942"/>
      <c r="GC278" s="1942"/>
      <c r="GD278" s="1942"/>
      <c r="GE278" s="1942"/>
      <c r="GF278" s="1942"/>
      <c r="GG278" s="1942"/>
      <c r="GH278" s="1946"/>
      <c r="GI278" s="1942"/>
      <c r="GJ278" s="1942"/>
      <c r="GK278" s="1942"/>
      <c r="GL278" s="1942"/>
      <c r="GM278" s="1942"/>
      <c r="GN278" s="1942"/>
      <c r="GO278" s="1946"/>
      <c r="GP278" s="1942"/>
      <c r="GQ278" s="1942"/>
      <c r="GR278" s="1942"/>
      <c r="GS278" s="1942"/>
      <c r="GT278" s="1942"/>
      <c r="GU278" s="1942"/>
      <c r="GV278" s="1946"/>
      <c r="GW278" s="1942"/>
      <c r="GX278" s="1942"/>
      <c r="GY278" s="1942"/>
      <c r="GZ278" s="1942"/>
      <c r="HA278" s="1942"/>
      <c r="HB278" s="1942"/>
      <c r="HC278" s="1946"/>
      <c r="HD278" s="1942"/>
      <c r="HE278" s="1942"/>
      <c r="HF278" s="1942"/>
      <c r="HG278" s="1942"/>
      <c r="HH278" s="1942"/>
      <c r="HI278" s="1942"/>
      <c r="HJ278" s="1946"/>
      <c r="HK278" s="1942"/>
      <c r="HL278" s="1942"/>
      <c r="HM278" s="1942"/>
      <c r="HN278" s="1942"/>
      <c r="HO278" s="1942"/>
      <c r="HP278" s="1942"/>
      <c r="HQ278" s="1946"/>
      <c r="HR278" s="1942"/>
      <c r="HS278" s="1942"/>
      <c r="HT278" s="1942"/>
      <c r="HU278" s="1942"/>
      <c r="HV278" s="1942"/>
      <c r="HW278" s="1942"/>
      <c r="HX278" s="1946"/>
      <c r="HY278" s="1942"/>
      <c r="HZ278" s="1942"/>
      <c r="IA278" s="1942"/>
      <c r="IB278" s="1942"/>
      <c r="IC278" s="1942"/>
      <c r="ID278" s="1942"/>
      <c r="IE278" s="1946"/>
      <c r="IF278" s="1942"/>
      <c r="IG278" s="1942"/>
      <c r="IH278" s="1942"/>
      <c r="II278" s="1942"/>
      <c r="IJ278" s="1942"/>
      <c r="IK278" s="1944"/>
    </row>
    <row r="279" spans="1:245" ht="8.1" hidden="1" customHeight="1" x14ac:dyDescent="0.35">
      <c r="A279" s="195">
        <f ca="1">IF(B279=0,0,"XXX")</f>
        <v>0</v>
      </c>
      <c r="B279" s="1959">
        <f ca="1">IF(AND(F277&gt;=0,F279=0),0,IF(AND(F277=0,F279&gt;0),"1.4.2",IF(F277+F279=0,0,"1.4.3")))</f>
        <v>0</v>
      </c>
      <c r="C279" s="453">
        <f ca="1">IF(F279=0,0,"CONFECÇÃO DE COBERTURA NÃO")</f>
        <v>0</v>
      </c>
      <c r="D279" s="358">
        <f ca="1">IF(F279=0,0,"início:")</f>
        <v>0</v>
      </c>
      <c r="E279" s="359">
        <f ca="1">IF(F279=0,0,IF(D296&lt;D295,0,D318+D314))</f>
        <v>0</v>
      </c>
      <c r="F279" s="1961">
        <f ca="1">IF(D296&lt;D295,0,IF(D313&gt;0,D313,D316))</f>
        <v>0</v>
      </c>
      <c r="G279" s="1963">
        <f ca="1">IF(F279=0,0,"dias")</f>
        <v>0</v>
      </c>
      <c r="H279" s="1945">
        <f ca="1">IF(OR(H316=10,H313=10),10,0)</f>
        <v>0</v>
      </c>
      <c r="I279" s="1941">
        <f t="shared" ref="I279:BT279" ca="1" si="311">IF(OR(I316=10,I313=10),10,0)</f>
        <v>0</v>
      </c>
      <c r="J279" s="1941">
        <f t="shared" ca="1" si="311"/>
        <v>0</v>
      </c>
      <c r="K279" s="1941">
        <f t="shared" ca="1" si="311"/>
        <v>0</v>
      </c>
      <c r="L279" s="1941">
        <f t="shared" ca="1" si="311"/>
        <v>0</v>
      </c>
      <c r="M279" s="1941">
        <f t="shared" ca="1" si="311"/>
        <v>0</v>
      </c>
      <c r="N279" s="1943">
        <f t="shared" ca="1" si="311"/>
        <v>0</v>
      </c>
      <c r="O279" s="1945">
        <f t="shared" ca="1" si="311"/>
        <v>0</v>
      </c>
      <c r="P279" s="1941">
        <f t="shared" ca="1" si="311"/>
        <v>0</v>
      </c>
      <c r="Q279" s="1941">
        <f t="shared" ca="1" si="311"/>
        <v>0</v>
      </c>
      <c r="R279" s="1941">
        <f t="shared" ca="1" si="311"/>
        <v>0</v>
      </c>
      <c r="S279" s="1941">
        <f t="shared" ca="1" si="311"/>
        <v>0</v>
      </c>
      <c r="T279" s="1941">
        <f t="shared" ca="1" si="311"/>
        <v>0</v>
      </c>
      <c r="U279" s="1943">
        <f t="shared" ca="1" si="311"/>
        <v>0</v>
      </c>
      <c r="V279" s="1945">
        <f t="shared" ca="1" si="311"/>
        <v>0</v>
      </c>
      <c r="W279" s="1941">
        <f t="shared" ca="1" si="311"/>
        <v>0</v>
      </c>
      <c r="X279" s="1941">
        <f t="shared" ca="1" si="311"/>
        <v>0</v>
      </c>
      <c r="Y279" s="1941">
        <f t="shared" ca="1" si="311"/>
        <v>0</v>
      </c>
      <c r="Z279" s="1941">
        <f t="shared" ca="1" si="311"/>
        <v>0</v>
      </c>
      <c r="AA279" s="1941">
        <f t="shared" ca="1" si="311"/>
        <v>0</v>
      </c>
      <c r="AB279" s="1943">
        <f t="shared" ca="1" si="311"/>
        <v>0</v>
      </c>
      <c r="AC279" s="1945">
        <f t="shared" ca="1" si="311"/>
        <v>0</v>
      </c>
      <c r="AD279" s="1941">
        <f t="shared" ca="1" si="311"/>
        <v>0</v>
      </c>
      <c r="AE279" s="1941">
        <f t="shared" ca="1" si="311"/>
        <v>0</v>
      </c>
      <c r="AF279" s="1941">
        <f t="shared" ca="1" si="311"/>
        <v>0</v>
      </c>
      <c r="AG279" s="1941">
        <f t="shared" ca="1" si="311"/>
        <v>0</v>
      </c>
      <c r="AH279" s="1941">
        <f t="shared" ca="1" si="311"/>
        <v>0</v>
      </c>
      <c r="AI279" s="1943">
        <f t="shared" ca="1" si="311"/>
        <v>0</v>
      </c>
      <c r="AJ279" s="1945">
        <f t="shared" ca="1" si="311"/>
        <v>0</v>
      </c>
      <c r="AK279" s="1941">
        <f t="shared" ca="1" si="311"/>
        <v>0</v>
      </c>
      <c r="AL279" s="1941">
        <f t="shared" ca="1" si="311"/>
        <v>0</v>
      </c>
      <c r="AM279" s="1941">
        <f t="shared" ca="1" si="311"/>
        <v>0</v>
      </c>
      <c r="AN279" s="1941">
        <f t="shared" ca="1" si="311"/>
        <v>0</v>
      </c>
      <c r="AO279" s="1941">
        <f t="shared" ca="1" si="311"/>
        <v>0</v>
      </c>
      <c r="AP279" s="1943">
        <f t="shared" ca="1" si="311"/>
        <v>0</v>
      </c>
      <c r="AQ279" s="1945">
        <f t="shared" ca="1" si="311"/>
        <v>0</v>
      </c>
      <c r="AR279" s="1941">
        <f t="shared" ca="1" si="311"/>
        <v>0</v>
      </c>
      <c r="AS279" s="1941">
        <f t="shared" ca="1" si="311"/>
        <v>0</v>
      </c>
      <c r="AT279" s="1941">
        <f t="shared" ca="1" si="311"/>
        <v>0</v>
      </c>
      <c r="AU279" s="1941">
        <f t="shared" ca="1" si="311"/>
        <v>0</v>
      </c>
      <c r="AV279" s="1941">
        <f t="shared" ca="1" si="311"/>
        <v>0</v>
      </c>
      <c r="AW279" s="1943">
        <f t="shared" ca="1" si="311"/>
        <v>0</v>
      </c>
      <c r="AX279" s="1945">
        <f t="shared" ca="1" si="311"/>
        <v>0</v>
      </c>
      <c r="AY279" s="1941">
        <f t="shared" ca="1" si="311"/>
        <v>0</v>
      </c>
      <c r="AZ279" s="1941">
        <f t="shared" ca="1" si="311"/>
        <v>0</v>
      </c>
      <c r="BA279" s="1941">
        <f t="shared" ca="1" si="311"/>
        <v>0</v>
      </c>
      <c r="BB279" s="1941">
        <f t="shared" ca="1" si="311"/>
        <v>0</v>
      </c>
      <c r="BC279" s="1941">
        <f t="shared" ca="1" si="311"/>
        <v>0</v>
      </c>
      <c r="BD279" s="1943">
        <f t="shared" ca="1" si="311"/>
        <v>0</v>
      </c>
      <c r="BE279" s="1945">
        <f t="shared" ca="1" si="311"/>
        <v>0</v>
      </c>
      <c r="BF279" s="1941">
        <f t="shared" ca="1" si="311"/>
        <v>0</v>
      </c>
      <c r="BG279" s="1941">
        <f t="shared" ca="1" si="311"/>
        <v>0</v>
      </c>
      <c r="BH279" s="1941">
        <f t="shared" ca="1" si="311"/>
        <v>0</v>
      </c>
      <c r="BI279" s="1941">
        <f t="shared" ca="1" si="311"/>
        <v>0</v>
      </c>
      <c r="BJ279" s="1941">
        <f t="shared" ca="1" si="311"/>
        <v>0</v>
      </c>
      <c r="BK279" s="1943">
        <f t="shared" ca="1" si="311"/>
        <v>0</v>
      </c>
      <c r="BL279" s="1945">
        <f t="shared" ca="1" si="311"/>
        <v>0</v>
      </c>
      <c r="BM279" s="1941">
        <f t="shared" ca="1" si="311"/>
        <v>0</v>
      </c>
      <c r="BN279" s="1941">
        <f t="shared" ca="1" si="311"/>
        <v>0</v>
      </c>
      <c r="BO279" s="1941">
        <f t="shared" ca="1" si="311"/>
        <v>0</v>
      </c>
      <c r="BP279" s="1941">
        <f t="shared" ca="1" si="311"/>
        <v>0</v>
      </c>
      <c r="BQ279" s="1941">
        <f t="shared" ca="1" si="311"/>
        <v>0</v>
      </c>
      <c r="BR279" s="1943">
        <f t="shared" ca="1" si="311"/>
        <v>0</v>
      </c>
      <c r="BS279" s="1945">
        <f t="shared" ca="1" si="311"/>
        <v>0</v>
      </c>
      <c r="BT279" s="1941">
        <f t="shared" ca="1" si="311"/>
        <v>0</v>
      </c>
      <c r="BU279" s="1941">
        <f t="shared" ref="BU279:EF279" ca="1" si="312">IF(OR(BU316=10,BU313=10),10,0)</f>
        <v>0</v>
      </c>
      <c r="BV279" s="1941">
        <f t="shared" ca="1" si="312"/>
        <v>0</v>
      </c>
      <c r="BW279" s="1941">
        <f t="shared" ca="1" si="312"/>
        <v>0</v>
      </c>
      <c r="BX279" s="1941">
        <f t="shared" ca="1" si="312"/>
        <v>0</v>
      </c>
      <c r="BY279" s="1943">
        <f t="shared" ca="1" si="312"/>
        <v>0</v>
      </c>
      <c r="BZ279" s="1945">
        <f t="shared" ca="1" si="312"/>
        <v>0</v>
      </c>
      <c r="CA279" s="1941">
        <f t="shared" ca="1" si="312"/>
        <v>0</v>
      </c>
      <c r="CB279" s="1941">
        <f t="shared" ca="1" si="312"/>
        <v>0</v>
      </c>
      <c r="CC279" s="1941">
        <f t="shared" ca="1" si="312"/>
        <v>0</v>
      </c>
      <c r="CD279" s="1941">
        <f t="shared" ca="1" si="312"/>
        <v>0</v>
      </c>
      <c r="CE279" s="1941">
        <f t="shared" ca="1" si="312"/>
        <v>0</v>
      </c>
      <c r="CF279" s="1943">
        <f t="shared" ca="1" si="312"/>
        <v>0</v>
      </c>
      <c r="CG279" s="1945">
        <f t="shared" ca="1" si="312"/>
        <v>0</v>
      </c>
      <c r="CH279" s="1941">
        <f t="shared" ca="1" si="312"/>
        <v>0</v>
      </c>
      <c r="CI279" s="1941">
        <f t="shared" ca="1" si="312"/>
        <v>0</v>
      </c>
      <c r="CJ279" s="1941">
        <f t="shared" ca="1" si="312"/>
        <v>0</v>
      </c>
      <c r="CK279" s="1941">
        <f t="shared" ca="1" si="312"/>
        <v>0</v>
      </c>
      <c r="CL279" s="1941">
        <f t="shared" ca="1" si="312"/>
        <v>0</v>
      </c>
      <c r="CM279" s="1943">
        <f t="shared" ca="1" si="312"/>
        <v>0</v>
      </c>
      <c r="CN279" s="1945">
        <f t="shared" ca="1" si="312"/>
        <v>0</v>
      </c>
      <c r="CO279" s="1941">
        <f t="shared" ca="1" si="312"/>
        <v>0</v>
      </c>
      <c r="CP279" s="1941">
        <f t="shared" ca="1" si="312"/>
        <v>0</v>
      </c>
      <c r="CQ279" s="1941">
        <f t="shared" ca="1" si="312"/>
        <v>0</v>
      </c>
      <c r="CR279" s="1941">
        <f t="shared" ca="1" si="312"/>
        <v>0</v>
      </c>
      <c r="CS279" s="1941">
        <f t="shared" ca="1" si="312"/>
        <v>0</v>
      </c>
      <c r="CT279" s="1943">
        <f t="shared" ca="1" si="312"/>
        <v>0</v>
      </c>
      <c r="CU279" s="1945">
        <f t="shared" ca="1" si="312"/>
        <v>0</v>
      </c>
      <c r="CV279" s="1941">
        <f t="shared" ca="1" si="312"/>
        <v>0</v>
      </c>
      <c r="CW279" s="1941">
        <f t="shared" ca="1" si="312"/>
        <v>0</v>
      </c>
      <c r="CX279" s="1941">
        <f t="shared" ca="1" si="312"/>
        <v>0</v>
      </c>
      <c r="CY279" s="1941">
        <f t="shared" ca="1" si="312"/>
        <v>0</v>
      </c>
      <c r="CZ279" s="1941">
        <f t="shared" ca="1" si="312"/>
        <v>0</v>
      </c>
      <c r="DA279" s="1943">
        <f t="shared" ca="1" si="312"/>
        <v>0</v>
      </c>
      <c r="DB279" s="1945">
        <f t="shared" ca="1" si="312"/>
        <v>0</v>
      </c>
      <c r="DC279" s="1941">
        <f t="shared" ca="1" si="312"/>
        <v>0</v>
      </c>
      <c r="DD279" s="1941">
        <f t="shared" ca="1" si="312"/>
        <v>0</v>
      </c>
      <c r="DE279" s="1941">
        <f t="shared" ca="1" si="312"/>
        <v>0</v>
      </c>
      <c r="DF279" s="1941">
        <f t="shared" ca="1" si="312"/>
        <v>0</v>
      </c>
      <c r="DG279" s="1941">
        <f t="shared" ca="1" si="312"/>
        <v>0</v>
      </c>
      <c r="DH279" s="1943">
        <f t="shared" ca="1" si="312"/>
        <v>0</v>
      </c>
      <c r="DI279" s="1945">
        <f t="shared" ca="1" si="312"/>
        <v>0</v>
      </c>
      <c r="DJ279" s="1941">
        <f t="shared" ca="1" si="312"/>
        <v>0</v>
      </c>
      <c r="DK279" s="1941">
        <f t="shared" ca="1" si="312"/>
        <v>0</v>
      </c>
      <c r="DL279" s="1941">
        <f t="shared" ca="1" si="312"/>
        <v>0</v>
      </c>
      <c r="DM279" s="1941">
        <f t="shared" ca="1" si="312"/>
        <v>0</v>
      </c>
      <c r="DN279" s="1941">
        <f t="shared" ca="1" si="312"/>
        <v>0</v>
      </c>
      <c r="DO279" s="1943">
        <f t="shared" ca="1" si="312"/>
        <v>0</v>
      </c>
      <c r="DP279" s="1945">
        <f t="shared" ca="1" si="312"/>
        <v>0</v>
      </c>
      <c r="DQ279" s="1941">
        <f t="shared" ca="1" si="312"/>
        <v>0</v>
      </c>
      <c r="DR279" s="1941">
        <f t="shared" ca="1" si="312"/>
        <v>0</v>
      </c>
      <c r="DS279" s="1941">
        <f t="shared" ca="1" si="312"/>
        <v>0</v>
      </c>
      <c r="DT279" s="1941">
        <f t="shared" ca="1" si="312"/>
        <v>0</v>
      </c>
      <c r="DU279" s="1941">
        <f t="shared" ca="1" si="312"/>
        <v>0</v>
      </c>
      <c r="DV279" s="1943">
        <f t="shared" ca="1" si="312"/>
        <v>0</v>
      </c>
      <c r="DW279" s="1945">
        <f t="shared" ca="1" si="312"/>
        <v>0</v>
      </c>
      <c r="DX279" s="1941">
        <f t="shared" ca="1" si="312"/>
        <v>0</v>
      </c>
      <c r="DY279" s="1941">
        <f t="shared" ca="1" si="312"/>
        <v>0</v>
      </c>
      <c r="DZ279" s="1941">
        <f t="shared" ca="1" si="312"/>
        <v>0</v>
      </c>
      <c r="EA279" s="1941">
        <f t="shared" ca="1" si="312"/>
        <v>0</v>
      </c>
      <c r="EB279" s="1941">
        <f t="shared" ca="1" si="312"/>
        <v>0</v>
      </c>
      <c r="EC279" s="1943">
        <f t="shared" ca="1" si="312"/>
        <v>0</v>
      </c>
      <c r="ED279" s="1945">
        <f t="shared" ca="1" si="312"/>
        <v>0</v>
      </c>
      <c r="EE279" s="1941">
        <f t="shared" ca="1" si="312"/>
        <v>0</v>
      </c>
      <c r="EF279" s="1941">
        <f t="shared" ca="1" si="312"/>
        <v>0</v>
      </c>
      <c r="EG279" s="1941">
        <f t="shared" ref="EG279:GR279" ca="1" si="313">IF(OR(EG316=10,EG313=10),10,0)</f>
        <v>0</v>
      </c>
      <c r="EH279" s="1941">
        <f t="shared" ca="1" si="313"/>
        <v>0</v>
      </c>
      <c r="EI279" s="1941">
        <f t="shared" ca="1" si="313"/>
        <v>0</v>
      </c>
      <c r="EJ279" s="1943">
        <f t="shared" ca="1" si="313"/>
        <v>0</v>
      </c>
      <c r="EK279" s="1945">
        <f t="shared" ca="1" si="313"/>
        <v>0</v>
      </c>
      <c r="EL279" s="1941">
        <f t="shared" ca="1" si="313"/>
        <v>0</v>
      </c>
      <c r="EM279" s="1941">
        <f t="shared" ca="1" si="313"/>
        <v>0</v>
      </c>
      <c r="EN279" s="1941">
        <f t="shared" ca="1" si="313"/>
        <v>0</v>
      </c>
      <c r="EO279" s="1941">
        <f t="shared" ca="1" si="313"/>
        <v>0</v>
      </c>
      <c r="EP279" s="1941">
        <f t="shared" ca="1" si="313"/>
        <v>0</v>
      </c>
      <c r="EQ279" s="1943">
        <f t="shared" ca="1" si="313"/>
        <v>0</v>
      </c>
      <c r="ER279" s="1945">
        <f t="shared" ca="1" si="313"/>
        <v>0</v>
      </c>
      <c r="ES279" s="1941">
        <f t="shared" ca="1" si="313"/>
        <v>0</v>
      </c>
      <c r="ET279" s="1941">
        <f t="shared" ca="1" si="313"/>
        <v>0</v>
      </c>
      <c r="EU279" s="1941">
        <f t="shared" ca="1" si="313"/>
        <v>0</v>
      </c>
      <c r="EV279" s="1941">
        <f t="shared" ca="1" si="313"/>
        <v>0</v>
      </c>
      <c r="EW279" s="1941">
        <f t="shared" ca="1" si="313"/>
        <v>0</v>
      </c>
      <c r="EX279" s="1943">
        <f t="shared" ca="1" si="313"/>
        <v>0</v>
      </c>
      <c r="EY279" s="1945">
        <f t="shared" ca="1" si="313"/>
        <v>0</v>
      </c>
      <c r="EZ279" s="1941">
        <f t="shared" ca="1" si="313"/>
        <v>0</v>
      </c>
      <c r="FA279" s="1941">
        <f t="shared" ca="1" si="313"/>
        <v>0</v>
      </c>
      <c r="FB279" s="1941">
        <f t="shared" ca="1" si="313"/>
        <v>0</v>
      </c>
      <c r="FC279" s="1941">
        <f t="shared" ca="1" si="313"/>
        <v>0</v>
      </c>
      <c r="FD279" s="1941">
        <f t="shared" ca="1" si="313"/>
        <v>0</v>
      </c>
      <c r="FE279" s="1943">
        <f t="shared" ca="1" si="313"/>
        <v>0</v>
      </c>
      <c r="FF279" s="1945">
        <f t="shared" ca="1" si="313"/>
        <v>0</v>
      </c>
      <c r="FG279" s="1941">
        <f t="shared" ca="1" si="313"/>
        <v>0</v>
      </c>
      <c r="FH279" s="1941">
        <f t="shared" ca="1" si="313"/>
        <v>0</v>
      </c>
      <c r="FI279" s="1941">
        <f t="shared" ca="1" si="313"/>
        <v>0</v>
      </c>
      <c r="FJ279" s="1941">
        <f t="shared" ca="1" si="313"/>
        <v>0</v>
      </c>
      <c r="FK279" s="1941">
        <f t="shared" ca="1" si="313"/>
        <v>0</v>
      </c>
      <c r="FL279" s="1943">
        <f t="shared" ca="1" si="313"/>
        <v>0</v>
      </c>
      <c r="FM279" s="1945">
        <f t="shared" ca="1" si="313"/>
        <v>0</v>
      </c>
      <c r="FN279" s="1941">
        <f t="shared" ca="1" si="313"/>
        <v>0</v>
      </c>
      <c r="FO279" s="1941">
        <f t="shared" ca="1" si="313"/>
        <v>0</v>
      </c>
      <c r="FP279" s="1941">
        <f t="shared" ca="1" si="313"/>
        <v>0</v>
      </c>
      <c r="FQ279" s="1941">
        <f t="shared" ca="1" si="313"/>
        <v>0</v>
      </c>
      <c r="FR279" s="1941">
        <f t="shared" ca="1" si="313"/>
        <v>0</v>
      </c>
      <c r="FS279" s="1943">
        <f t="shared" ca="1" si="313"/>
        <v>0</v>
      </c>
      <c r="FT279" s="1945">
        <f t="shared" ca="1" si="313"/>
        <v>0</v>
      </c>
      <c r="FU279" s="1941">
        <f t="shared" ca="1" si="313"/>
        <v>0</v>
      </c>
      <c r="FV279" s="1941">
        <f t="shared" ca="1" si="313"/>
        <v>0</v>
      </c>
      <c r="FW279" s="1941">
        <f t="shared" ca="1" si="313"/>
        <v>0</v>
      </c>
      <c r="FX279" s="1941">
        <f t="shared" ca="1" si="313"/>
        <v>0</v>
      </c>
      <c r="FY279" s="1941">
        <f t="shared" ca="1" si="313"/>
        <v>0</v>
      </c>
      <c r="FZ279" s="1943">
        <f t="shared" ca="1" si="313"/>
        <v>0</v>
      </c>
      <c r="GA279" s="1945">
        <f t="shared" ca="1" si="313"/>
        <v>0</v>
      </c>
      <c r="GB279" s="1941">
        <f t="shared" ca="1" si="313"/>
        <v>0</v>
      </c>
      <c r="GC279" s="1941">
        <f t="shared" ca="1" si="313"/>
        <v>0</v>
      </c>
      <c r="GD279" s="1941">
        <f t="shared" ca="1" si="313"/>
        <v>0</v>
      </c>
      <c r="GE279" s="1941">
        <f t="shared" ca="1" si="313"/>
        <v>0</v>
      </c>
      <c r="GF279" s="1941">
        <f t="shared" ca="1" si="313"/>
        <v>0</v>
      </c>
      <c r="GG279" s="1943">
        <f t="shared" ca="1" si="313"/>
        <v>0</v>
      </c>
      <c r="GH279" s="1945">
        <f t="shared" ca="1" si="313"/>
        <v>0</v>
      </c>
      <c r="GI279" s="1941">
        <f t="shared" ca="1" si="313"/>
        <v>0</v>
      </c>
      <c r="GJ279" s="1941">
        <f t="shared" ca="1" si="313"/>
        <v>0</v>
      </c>
      <c r="GK279" s="1941">
        <f t="shared" ca="1" si="313"/>
        <v>0</v>
      </c>
      <c r="GL279" s="1941">
        <f t="shared" ca="1" si="313"/>
        <v>0</v>
      </c>
      <c r="GM279" s="1941">
        <f t="shared" ca="1" si="313"/>
        <v>0</v>
      </c>
      <c r="GN279" s="1943">
        <f t="shared" ca="1" si="313"/>
        <v>0</v>
      </c>
      <c r="GO279" s="1945">
        <f t="shared" ca="1" si="313"/>
        <v>0</v>
      </c>
      <c r="GP279" s="1941">
        <f t="shared" ca="1" si="313"/>
        <v>0</v>
      </c>
      <c r="GQ279" s="1941">
        <f t="shared" ca="1" si="313"/>
        <v>0</v>
      </c>
      <c r="GR279" s="1941">
        <f t="shared" ca="1" si="313"/>
        <v>0</v>
      </c>
      <c r="GS279" s="1941">
        <f t="shared" ref="GS279:IK279" ca="1" si="314">IF(OR(GS316=10,GS313=10),10,0)</f>
        <v>0</v>
      </c>
      <c r="GT279" s="1941">
        <f t="shared" ca="1" si="314"/>
        <v>0</v>
      </c>
      <c r="GU279" s="1943">
        <f t="shared" ca="1" si="314"/>
        <v>0</v>
      </c>
      <c r="GV279" s="1945">
        <f t="shared" ca="1" si="314"/>
        <v>0</v>
      </c>
      <c r="GW279" s="1941">
        <f t="shared" ca="1" si="314"/>
        <v>0</v>
      </c>
      <c r="GX279" s="1941">
        <f t="shared" ca="1" si="314"/>
        <v>0</v>
      </c>
      <c r="GY279" s="1941">
        <f t="shared" ca="1" si="314"/>
        <v>0</v>
      </c>
      <c r="GZ279" s="1941">
        <f t="shared" ca="1" si="314"/>
        <v>0</v>
      </c>
      <c r="HA279" s="1941">
        <f t="shared" ca="1" si="314"/>
        <v>0</v>
      </c>
      <c r="HB279" s="1943">
        <f t="shared" ca="1" si="314"/>
        <v>0</v>
      </c>
      <c r="HC279" s="1945">
        <f t="shared" ca="1" si="314"/>
        <v>0</v>
      </c>
      <c r="HD279" s="1941">
        <f t="shared" ca="1" si="314"/>
        <v>0</v>
      </c>
      <c r="HE279" s="1941">
        <f t="shared" ca="1" si="314"/>
        <v>0</v>
      </c>
      <c r="HF279" s="1941">
        <f t="shared" ca="1" si="314"/>
        <v>0</v>
      </c>
      <c r="HG279" s="1941">
        <f t="shared" ca="1" si="314"/>
        <v>0</v>
      </c>
      <c r="HH279" s="1941">
        <f t="shared" ca="1" si="314"/>
        <v>0</v>
      </c>
      <c r="HI279" s="1943">
        <f t="shared" ca="1" si="314"/>
        <v>0</v>
      </c>
      <c r="HJ279" s="1945">
        <f t="shared" ca="1" si="314"/>
        <v>0</v>
      </c>
      <c r="HK279" s="1941">
        <f t="shared" ca="1" si="314"/>
        <v>0</v>
      </c>
      <c r="HL279" s="1941">
        <f t="shared" ca="1" si="314"/>
        <v>0</v>
      </c>
      <c r="HM279" s="1941">
        <f t="shared" ca="1" si="314"/>
        <v>0</v>
      </c>
      <c r="HN279" s="1941">
        <f t="shared" ca="1" si="314"/>
        <v>0</v>
      </c>
      <c r="HO279" s="1941">
        <f t="shared" ca="1" si="314"/>
        <v>0</v>
      </c>
      <c r="HP279" s="1943">
        <f t="shared" ca="1" si="314"/>
        <v>0</v>
      </c>
      <c r="HQ279" s="1945">
        <f t="shared" ca="1" si="314"/>
        <v>0</v>
      </c>
      <c r="HR279" s="1941">
        <f t="shared" ca="1" si="314"/>
        <v>0</v>
      </c>
      <c r="HS279" s="1941">
        <f t="shared" ca="1" si="314"/>
        <v>0</v>
      </c>
      <c r="HT279" s="1941">
        <f t="shared" ca="1" si="314"/>
        <v>0</v>
      </c>
      <c r="HU279" s="1941">
        <f t="shared" ca="1" si="314"/>
        <v>0</v>
      </c>
      <c r="HV279" s="1941">
        <f t="shared" ca="1" si="314"/>
        <v>0</v>
      </c>
      <c r="HW279" s="1943">
        <f t="shared" ca="1" si="314"/>
        <v>0</v>
      </c>
      <c r="HX279" s="1945">
        <f t="shared" ca="1" si="314"/>
        <v>0</v>
      </c>
      <c r="HY279" s="1941">
        <f t="shared" ca="1" si="314"/>
        <v>0</v>
      </c>
      <c r="HZ279" s="1941">
        <f t="shared" ca="1" si="314"/>
        <v>0</v>
      </c>
      <c r="IA279" s="1941">
        <f t="shared" ca="1" si="314"/>
        <v>0</v>
      </c>
      <c r="IB279" s="1941">
        <f t="shared" ca="1" si="314"/>
        <v>0</v>
      </c>
      <c r="IC279" s="1941">
        <f t="shared" ca="1" si="314"/>
        <v>0</v>
      </c>
      <c r="ID279" s="1943">
        <f t="shared" ca="1" si="314"/>
        <v>0</v>
      </c>
      <c r="IE279" s="1945">
        <f t="shared" ca="1" si="314"/>
        <v>0</v>
      </c>
      <c r="IF279" s="1941">
        <f t="shared" ca="1" si="314"/>
        <v>0</v>
      </c>
      <c r="IG279" s="1941">
        <f t="shared" ca="1" si="314"/>
        <v>0</v>
      </c>
      <c r="IH279" s="1941">
        <f t="shared" ca="1" si="314"/>
        <v>0</v>
      </c>
      <c r="II279" s="1941">
        <f t="shared" ca="1" si="314"/>
        <v>0</v>
      </c>
      <c r="IJ279" s="1941">
        <f t="shared" ca="1" si="314"/>
        <v>0</v>
      </c>
      <c r="IK279" s="1943">
        <f t="shared" ca="1" si="314"/>
        <v>0</v>
      </c>
    </row>
    <row r="280" spans="1:245" ht="8.1" hidden="1" customHeight="1" x14ac:dyDescent="0.35">
      <c r="A280" s="195">
        <f ca="1">IF(B279=0,0,"XXX")</f>
        <v>0</v>
      </c>
      <c r="B280" s="1960"/>
      <c r="C280" s="452">
        <f ca="1">IF(F279=0,0,"COMPARTILHADA COM PAREDES")</f>
        <v>0</v>
      </c>
      <c r="D280" s="360">
        <f ca="1">IF(F279=0,0,"término:")</f>
        <v>0</v>
      </c>
      <c r="E280" s="361">
        <f ca="1">IF(F279=0,0,IF(D296&lt;D295,0,D319+D315))</f>
        <v>0</v>
      </c>
      <c r="F280" s="1962"/>
      <c r="G280" s="1964"/>
      <c r="H280" s="1946"/>
      <c r="I280" s="1942"/>
      <c r="J280" s="1942"/>
      <c r="K280" s="1942"/>
      <c r="L280" s="1942"/>
      <c r="M280" s="1942"/>
      <c r="N280" s="1944"/>
      <c r="O280" s="1946"/>
      <c r="P280" s="1942"/>
      <c r="Q280" s="1942"/>
      <c r="R280" s="1942"/>
      <c r="S280" s="1942"/>
      <c r="T280" s="1942"/>
      <c r="U280" s="1944"/>
      <c r="V280" s="1946"/>
      <c r="W280" s="1942"/>
      <c r="X280" s="1942"/>
      <c r="Y280" s="1942"/>
      <c r="Z280" s="1942"/>
      <c r="AA280" s="1942"/>
      <c r="AB280" s="1944"/>
      <c r="AC280" s="1946"/>
      <c r="AD280" s="1942"/>
      <c r="AE280" s="1942"/>
      <c r="AF280" s="1942"/>
      <c r="AG280" s="1942"/>
      <c r="AH280" s="1942"/>
      <c r="AI280" s="1944"/>
      <c r="AJ280" s="1946"/>
      <c r="AK280" s="1942"/>
      <c r="AL280" s="1942"/>
      <c r="AM280" s="1942"/>
      <c r="AN280" s="1942"/>
      <c r="AO280" s="1942"/>
      <c r="AP280" s="1944"/>
      <c r="AQ280" s="1946"/>
      <c r="AR280" s="1942"/>
      <c r="AS280" s="1942"/>
      <c r="AT280" s="1942"/>
      <c r="AU280" s="1942"/>
      <c r="AV280" s="1942"/>
      <c r="AW280" s="1944"/>
      <c r="AX280" s="1946"/>
      <c r="AY280" s="1942"/>
      <c r="AZ280" s="1942"/>
      <c r="BA280" s="1942"/>
      <c r="BB280" s="1942"/>
      <c r="BC280" s="1942"/>
      <c r="BD280" s="1944"/>
      <c r="BE280" s="1946"/>
      <c r="BF280" s="1942"/>
      <c r="BG280" s="1942"/>
      <c r="BH280" s="1942"/>
      <c r="BI280" s="1942"/>
      <c r="BJ280" s="1942"/>
      <c r="BK280" s="1944"/>
      <c r="BL280" s="1946"/>
      <c r="BM280" s="1942"/>
      <c r="BN280" s="1942"/>
      <c r="BO280" s="1942"/>
      <c r="BP280" s="1942"/>
      <c r="BQ280" s="1942"/>
      <c r="BR280" s="1944"/>
      <c r="BS280" s="1946"/>
      <c r="BT280" s="1942"/>
      <c r="BU280" s="1942"/>
      <c r="BV280" s="1942"/>
      <c r="BW280" s="1942"/>
      <c r="BX280" s="1942"/>
      <c r="BY280" s="1944"/>
      <c r="BZ280" s="1946"/>
      <c r="CA280" s="1942"/>
      <c r="CB280" s="1942"/>
      <c r="CC280" s="1942"/>
      <c r="CD280" s="1942"/>
      <c r="CE280" s="1942"/>
      <c r="CF280" s="1944"/>
      <c r="CG280" s="1946"/>
      <c r="CH280" s="1942"/>
      <c r="CI280" s="1942"/>
      <c r="CJ280" s="1942"/>
      <c r="CK280" s="1942"/>
      <c r="CL280" s="1942"/>
      <c r="CM280" s="1944"/>
      <c r="CN280" s="1946"/>
      <c r="CO280" s="1942"/>
      <c r="CP280" s="1942"/>
      <c r="CQ280" s="1942"/>
      <c r="CR280" s="1942"/>
      <c r="CS280" s="1942"/>
      <c r="CT280" s="1944"/>
      <c r="CU280" s="1946"/>
      <c r="CV280" s="1942"/>
      <c r="CW280" s="1942"/>
      <c r="CX280" s="1942"/>
      <c r="CY280" s="1942"/>
      <c r="CZ280" s="1942"/>
      <c r="DA280" s="1944"/>
      <c r="DB280" s="1946"/>
      <c r="DC280" s="1942"/>
      <c r="DD280" s="1942"/>
      <c r="DE280" s="1942"/>
      <c r="DF280" s="1942"/>
      <c r="DG280" s="1942"/>
      <c r="DH280" s="1944"/>
      <c r="DI280" s="1946"/>
      <c r="DJ280" s="1942"/>
      <c r="DK280" s="1942"/>
      <c r="DL280" s="1942"/>
      <c r="DM280" s="1942"/>
      <c r="DN280" s="1942"/>
      <c r="DO280" s="1944"/>
      <c r="DP280" s="1946"/>
      <c r="DQ280" s="1942"/>
      <c r="DR280" s="1942"/>
      <c r="DS280" s="1942"/>
      <c r="DT280" s="1942"/>
      <c r="DU280" s="1942"/>
      <c r="DV280" s="1944"/>
      <c r="DW280" s="1946"/>
      <c r="DX280" s="1942"/>
      <c r="DY280" s="1942"/>
      <c r="DZ280" s="1942"/>
      <c r="EA280" s="1942"/>
      <c r="EB280" s="1942"/>
      <c r="EC280" s="1944"/>
      <c r="ED280" s="1946"/>
      <c r="EE280" s="1942"/>
      <c r="EF280" s="1942"/>
      <c r="EG280" s="1942"/>
      <c r="EH280" s="1942"/>
      <c r="EI280" s="1942"/>
      <c r="EJ280" s="1944"/>
      <c r="EK280" s="1946"/>
      <c r="EL280" s="1942"/>
      <c r="EM280" s="1942"/>
      <c r="EN280" s="1942"/>
      <c r="EO280" s="1942"/>
      <c r="EP280" s="1942"/>
      <c r="EQ280" s="1944"/>
      <c r="ER280" s="1946"/>
      <c r="ES280" s="1942"/>
      <c r="ET280" s="1942"/>
      <c r="EU280" s="1942"/>
      <c r="EV280" s="1942"/>
      <c r="EW280" s="1942"/>
      <c r="EX280" s="1944"/>
      <c r="EY280" s="1946"/>
      <c r="EZ280" s="1942"/>
      <c r="FA280" s="1942"/>
      <c r="FB280" s="1942"/>
      <c r="FC280" s="1942"/>
      <c r="FD280" s="1942"/>
      <c r="FE280" s="1944"/>
      <c r="FF280" s="1946"/>
      <c r="FG280" s="1942"/>
      <c r="FH280" s="1942"/>
      <c r="FI280" s="1942"/>
      <c r="FJ280" s="1942"/>
      <c r="FK280" s="1942"/>
      <c r="FL280" s="1944"/>
      <c r="FM280" s="1946"/>
      <c r="FN280" s="1942"/>
      <c r="FO280" s="1942"/>
      <c r="FP280" s="1942"/>
      <c r="FQ280" s="1942"/>
      <c r="FR280" s="1942"/>
      <c r="FS280" s="1944"/>
      <c r="FT280" s="1946"/>
      <c r="FU280" s="1942"/>
      <c r="FV280" s="1942"/>
      <c r="FW280" s="1942"/>
      <c r="FX280" s="1942"/>
      <c r="FY280" s="1942"/>
      <c r="FZ280" s="1944"/>
      <c r="GA280" s="1946"/>
      <c r="GB280" s="1942"/>
      <c r="GC280" s="1942"/>
      <c r="GD280" s="1942"/>
      <c r="GE280" s="1942"/>
      <c r="GF280" s="1942"/>
      <c r="GG280" s="1944"/>
      <c r="GH280" s="1946"/>
      <c r="GI280" s="1942"/>
      <c r="GJ280" s="1942"/>
      <c r="GK280" s="1942"/>
      <c r="GL280" s="1942"/>
      <c r="GM280" s="1942"/>
      <c r="GN280" s="1944"/>
      <c r="GO280" s="1946"/>
      <c r="GP280" s="1942"/>
      <c r="GQ280" s="1942"/>
      <c r="GR280" s="1942"/>
      <c r="GS280" s="1942"/>
      <c r="GT280" s="1942"/>
      <c r="GU280" s="1944"/>
      <c r="GV280" s="1946"/>
      <c r="GW280" s="1942"/>
      <c r="GX280" s="1942"/>
      <c r="GY280" s="1942"/>
      <c r="GZ280" s="1942"/>
      <c r="HA280" s="1942"/>
      <c r="HB280" s="1944"/>
      <c r="HC280" s="1946"/>
      <c r="HD280" s="1942"/>
      <c r="HE280" s="1942"/>
      <c r="HF280" s="1942"/>
      <c r="HG280" s="1942"/>
      <c r="HH280" s="1942"/>
      <c r="HI280" s="1944"/>
      <c r="HJ280" s="1946"/>
      <c r="HK280" s="1942"/>
      <c r="HL280" s="1942"/>
      <c r="HM280" s="1942"/>
      <c r="HN280" s="1942"/>
      <c r="HO280" s="1942"/>
      <c r="HP280" s="1944"/>
      <c r="HQ280" s="1946"/>
      <c r="HR280" s="1942"/>
      <c r="HS280" s="1942"/>
      <c r="HT280" s="1942"/>
      <c r="HU280" s="1942"/>
      <c r="HV280" s="1942"/>
      <c r="HW280" s="1944"/>
      <c r="HX280" s="1946"/>
      <c r="HY280" s="1942"/>
      <c r="HZ280" s="1942"/>
      <c r="IA280" s="1942"/>
      <c r="IB280" s="1942"/>
      <c r="IC280" s="1942"/>
      <c r="ID280" s="1944"/>
      <c r="IE280" s="1946"/>
      <c r="IF280" s="1942"/>
      <c r="IG280" s="1942"/>
      <c r="IH280" s="1942"/>
      <c r="II280" s="1942"/>
      <c r="IJ280" s="1942"/>
      <c r="IK280" s="1944"/>
    </row>
    <row r="281" spans="1:245" ht="8.1" customHeight="1" x14ac:dyDescent="0.35">
      <c r="A281" s="195" t="str">
        <f ca="1">IF(B281=0,0,"XXX")</f>
        <v>XXX</v>
      </c>
      <c r="B281" s="1959" t="str">
        <f ca="1">IF(D296&lt;D295,0,IF(AND(B277=0,B279=0),"1.4.2",IF(AND(B277&gt;0,B279=0),"1.4.3",IF(B279="1.4.2","1.4.3",IF(B279="1.4.3","1.4.4","1.4.2")))))</f>
        <v>1.4.2</v>
      </c>
      <c r="C281" s="1965" t="str">
        <f>IF(ENTRADAS!$F$22=0,0,"MONTAGEM DAS PAREDES")</f>
        <v>MONTAGEM DAS PAREDES</v>
      </c>
      <c r="D281" s="358" t="str">
        <f>IF(ENTRADAS!$F$22=0,0,"início:")</f>
        <v>início:</v>
      </c>
      <c r="E281" s="359">
        <f ca="1">D329</f>
        <v>46017.737500000003</v>
      </c>
      <c r="F281" s="454">
        <f ca="1">IF(D296&lt;D295,0,D324)</f>
        <v>29</v>
      </c>
      <c r="G281" s="455" t="str">
        <f>IF(ENTRADAS!$F$22=0,0,"dias")</f>
        <v>dias</v>
      </c>
      <c r="H281" s="1939">
        <f ca="1">H324</f>
        <v>0</v>
      </c>
      <c r="I281" s="1940">
        <f t="shared" ref="I281:AZ281" ca="1" si="315">I324</f>
        <v>0</v>
      </c>
      <c r="J281" s="1940">
        <f t="shared" ca="1" si="315"/>
        <v>0</v>
      </c>
      <c r="K281" s="1940">
        <f t="shared" ca="1" si="315"/>
        <v>0</v>
      </c>
      <c r="L281" s="1940">
        <f t="shared" ca="1" si="315"/>
        <v>0</v>
      </c>
      <c r="M281" s="1940">
        <f t="shared" ca="1" si="315"/>
        <v>0</v>
      </c>
      <c r="N281" s="1940">
        <f t="shared" ca="1" si="315"/>
        <v>0</v>
      </c>
      <c r="O281" s="1939">
        <f t="shared" ca="1" si="315"/>
        <v>0</v>
      </c>
      <c r="P281" s="1940">
        <f t="shared" ca="1" si="315"/>
        <v>0</v>
      </c>
      <c r="Q281" s="1940">
        <f t="shared" ca="1" si="315"/>
        <v>0</v>
      </c>
      <c r="R281" s="1940">
        <f t="shared" ca="1" si="315"/>
        <v>0</v>
      </c>
      <c r="S281" s="1940">
        <f t="shared" ca="1" si="315"/>
        <v>0</v>
      </c>
      <c r="T281" s="1940">
        <f t="shared" ca="1" si="315"/>
        <v>0</v>
      </c>
      <c r="U281" s="1940">
        <f t="shared" ca="1" si="315"/>
        <v>0</v>
      </c>
      <c r="V281" s="1939">
        <f t="shared" ca="1" si="315"/>
        <v>0</v>
      </c>
      <c r="W281" s="1940">
        <f t="shared" ca="1" si="315"/>
        <v>0</v>
      </c>
      <c r="X281" s="1940">
        <f t="shared" ca="1" si="315"/>
        <v>0</v>
      </c>
      <c r="Y281" s="1940">
        <f t="shared" ca="1" si="315"/>
        <v>0</v>
      </c>
      <c r="Z281" s="1940">
        <f t="shared" ca="1" si="315"/>
        <v>0</v>
      </c>
      <c r="AA281" s="1940">
        <f t="shared" ca="1" si="315"/>
        <v>0</v>
      </c>
      <c r="AB281" s="1940">
        <f t="shared" ca="1" si="315"/>
        <v>0</v>
      </c>
      <c r="AC281" s="1939">
        <f t="shared" ca="1" si="315"/>
        <v>0</v>
      </c>
      <c r="AD281" s="1940">
        <f t="shared" ca="1" si="315"/>
        <v>0</v>
      </c>
      <c r="AE281" s="1940">
        <f t="shared" ca="1" si="315"/>
        <v>0</v>
      </c>
      <c r="AF281" s="1940">
        <f t="shared" ca="1" si="315"/>
        <v>0</v>
      </c>
      <c r="AG281" s="1940">
        <f t="shared" ca="1" si="315"/>
        <v>0</v>
      </c>
      <c r="AH281" s="1940">
        <f t="shared" ca="1" si="315"/>
        <v>0</v>
      </c>
      <c r="AI281" s="1940">
        <f t="shared" ca="1" si="315"/>
        <v>0</v>
      </c>
      <c r="AJ281" s="1939">
        <f t="shared" ca="1" si="315"/>
        <v>0</v>
      </c>
      <c r="AK281" s="1940">
        <f t="shared" ca="1" si="315"/>
        <v>0</v>
      </c>
      <c r="AL281" s="1940">
        <f t="shared" ca="1" si="315"/>
        <v>0</v>
      </c>
      <c r="AM281" s="1940">
        <f t="shared" ca="1" si="315"/>
        <v>0</v>
      </c>
      <c r="AN281" s="1940">
        <f t="shared" ca="1" si="315"/>
        <v>0</v>
      </c>
      <c r="AO281" s="1940">
        <f t="shared" ca="1" si="315"/>
        <v>0</v>
      </c>
      <c r="AP281" s="1940">
        <f t="shared" ca="1" si="315"/>
        <v>0</v>
      </c>
      <c r="AQ281" s="1939">
        <f t="shared" ca="1" si="315"/>
        <v>0</v>
      </c>
      <c r="AR281" s="1940">
        <f t="shared" ca="1" si="315"/>
        <v>0</v>
      </c>
      <c r="AS281" s="1940">
        <f t="shared" ca="1" si="315"/>
        <v>0</v>
      </c>
      <c r="AT281" s="1940">
        <f t="shared" ca="1" si="315"/>
        <v>0</v>
      </c>
      <c r="AU281" s="1940">
        <f t="shared" ca="1" si="315"/>
        <v>0</v>
      </c>
      <c r="AV281" s="1940">
        <f t="shared" ca="1" si="315"/>
        <v>0</v>
      </c>
      <c r="AW281" s="1940">
        <f t="shared" ca="1" si="315"/>
        <v>0</v>
      </c>
      <c r="AX281" s="1939">
        <f t="shared" ca="1" si="315"/>
        <v>0</v>
      </c>
      <c r="AY281" s="1940">
        <f t="shared" ca="1" si="315"/>
        <v>0</v>
      </c>
      <c r="AZ281" s="1940">
        <f t="shared" ca="1" si="315"/>
        <v>0</v>
      </c>
      <c r="BA281" s="1940">
        <f ca="1">BA324</f>
        <v>0</v>
      </c>
      <c r="BB281" s="1940">
        <f t="shared" ref="BB281:DM281" ca="1" si="316">BB324</f>
        <v>0</v>
      </c>
      <c r="BC281" s="1940">
        <f t="shared" ca="1" si="316"/>
        <v>0</v>
      </c>
      <c r="BD281" s="1940">
        <f t="shared" ca="1" si="316"/>
        <v>0</v>
      </c>
      <c r="BE281" s="1939">
        <f t="shared" ca="1" si="316"/>
        <v>0</v>
      </c>
      <c r="BF281" s="1940">
        <f t="shared" ca="1" si="316"/>
        <v>0</v>
      </c>
      <c r="BG281" s="1940">
        <f t="shared" ca="1" si="316"/>
        <v>0</v>
      </c>
      <c r="BH281" s="1940">
        <f t="shared" ca="1" si="316"/>
        <v>0</v>
      </c>
      <c r="BI281" s="1940">
        <f t="shared" ca="1" si="316"/>
        <v>0</v>
      </c>
      <c r="BJ281" s="1940">
        <f t="shared" ca="1" si="316"/>
        <v>0</v>
      </c>
      <c r="BK281" s="1940">
        <f t="shared" ca="1" si="316"/>
        <v>0</v>
      </c>
      <c r="BL281" s="1939">
        <f t="shared" ca="1" si="316"/>
        <v>0</v>
      </c>
      <c r="BM281" s="1940">
        <f t="shared" ca="1" si="316"/>
        <v>0</v>
      </c>
      <c r="BN281" s="1940">
        <f t="shared" ca="1" si="316"/>
        <v>0</v>
      </c>
      <c r="BO281" s="1940">
        <f t="shared" ca="1" si="316"/>
        <v>0</v>
      </c>
      <c r="BP281" s="1940">
        <f t="shared" ca="1" si="316"/>
        <v>0</v>
      </c>
      <c r="BQ281" s="1940">
        <f t="shared" ca="1" si="316"/>
        <v>0</v>
      </c>
      <c r="BR281" s="1940">
        <f t="shared" ca="1" si="316"/>
        <v>0</v>
      </c>
      <c r="BS281" s="1939">
        <f t="shared" ca="1" si="316"/>
        <v>0</v>
      </c>
      <c r="BT281" s="1940">
        <f t="shared" ca="1" si="316"/>
        <v>0</v>
      </c>
      <c r="BU281" s="1940">
        <f t="shared" ca="1" si="316"/>
        <v>0</v>
      </c>
      <c r="BV281" s="1940">
        <f t="shared" ca="1" si="316"/>
        <v>0</v>
      </c>
      <c r="BW281" s="1940">
        <f t="shared" ca="1" si="316"/>
        <v>0</v>
      </c>
      <c r="BX281" s="1940">
        <f t="shared" ca="1" si="316"/>
        <v>0</v>
      </c>
      <c r="BY281" s="1940">
        <f t="shared" ca="1" si="316"/>
        <v>0</v>
      </c>
      <c r="BZ281" s="1939">
        <f t="shared" ca="1" si="316"/>
        <v>0</v>
      </c>
      <c r="CA281" s="1940">
        <f t="shared" ca="1" si="316"/>
        <v>0</v>
      </c>
      <c r="CB281" s="1940">
        <f t="shared" ca="1" si="316"/>
        <v>0</v>
      </c>
      <c r="CC281" s="1940">
        <f t="shared" ca="1" si="316"/>
        <v>0</v>
      </c>
      <c r="CD281" s="1940">
        <f t="shared" ca="1" si="316"/>
        <v>0</v>
      </c>
      <c r="CE281" s="1940">
        <f t="shared" ca="1" si="316"/>
        <v>0</v>
      </c>
      <c r="CF281" s="1940">
        <f t="shared" ca="1" si="316"/>
        <v>0</v>
      </c>
      <c r="CG281" s="1939">
        <f t="shared" ca="1" si="316"/>
        <v>0</v>
      </c>
      <c r="CH281" s="1940">
        <f t="shared" ca="1" si="316"/>
        <v>0</v>
      </c>
      <c r="CI281" s="1940">
        <f t="shared" ca="1" si="316"/>
        <v>0</v>
      </c>
      <c r="CJ281" s="1940">
        <f t="shared" ca="1" si="316"/>
        <v>0</v>
      </c>
      <c r="CK281" s="1940">
        <f t="shared" ca="1" si="316"/>
        <v>0</v>
      </c>
      <c r="CL281" s="1940">
        <f t="shared" ca="1" si="316"/>
        <v>0</v>
      </c>
      <c r="CM281" s="1940">
        <f t="shared" ca="1" si="316"/>
        <v>0</v>
      </c>
      <c r="CN281" s="1939">
        <f t="shared" ca="1" si="316"/>
        <v>0</v>
      </c>
      <c r="CO281" s="1940">
        <f t="shared" ca="1" si="316"/>
        <v>0</v>
      </c>
      <c r="CP281" s="1940">
        <f t="shared" ca="1" si="316"/>
        <v>0</v>
      </c>
      <c r="CQ281" s="1940">
        <f t="shared" ca="1" si="316"/>
        <v>0</v>
      </c>
      <c r="CR281" s="1940">
        <f t="shared" ca="1" si="316"/>
        <v>0</v>
      </c>
      <c r="CS281" s="1940">
        <f t="shared" ca="1" si="316"/>
        <v>0</v>
      </c>
      <c r="CT281" s="1940">
        <f t="shared" ca="1" si="316"/>
        <v>0</v>
      </c>
      <c r="CU281" s="1939">
        <f t="shared" ca="1" si="316"/>
        <v>0</v>
      </c>
      <c r="CV281" s="1940">
        <f t="shared" ca="1" si="316"/>
        <v>0</v>
      </c>
      <c r="CW281" s="1940">
        <f t="shared" ca="1" si="316"/>
        <v>0</v>
      </c>
      <c r="CX281" s="1940">
        <f t="shared" ca="1" si="316"/>
        <v>0</v>
      </c>
      <c r="CY281" s="1940">
        <f t="shared" ca="1" si="316"/>
        <v>0</v>
      </c>
      <c r="CZ281" s="1940">
        <f t="shared" ca="1" si="316"/>
        <v>0</v>
      </c>
      <c r="DA281" s="1940">
        <f t="shared" ca="1" si="316"/>
        <v>0</v>
      </c>
      <c r="DB281" s="1939">
        <f t="shared" ca="1" si="316"/>
        <v>0</v>
      </c>
      <c r="DC281" s="1940">
        <f t="shared" ca="1" si="316"/>
        <v>0</v>
      </c>
      <c r="DD281" s="1940">
        <f t="shared" ca="1" si="316"/>
        <v>0</v>
      </c>
      <c r="DE281" s="1940">
        <f t="shared" ca="1" si="316"/>
        <v>0</v>
      </c>
      <c r="DF281" s="1940">
        <f t="shared" ca="1" si="316"/>
        <v>0</v>
      </c>
      <c r="DG281" s="1940">
        <f t="shared" ca="1" si="316"/>
        <v>0</v>
      </c>
      <c r="DH281" s="1940">
        <f t="shared" ca="1" si="316"/>
        <v>10</v>
      </c>
      <c r="DI281" s="1939">
        <f t="shared" ca="1" si="316"/>
        <v>10</v>
      </c>
      <c r="DJ281" s="1940">
        <f t="shared" ca="1" si="316"/>
        <v>10</v>
      </c>
      <c r="DK281" s="1940">
        <f t="shared" ca="1" si="316"/>
        <v>10</v>
      </c>
      <c r="DL281" s="1940">
        <f t="shared" ca="1" si="316"/>
        <v>10</v>
      </c>
      <c r="DM281" s="1940">
        <f t="shared" ca="1" si="316"/>
        <v>10</v>
      </c>
      <c r="DN281" s="1940">
        <f t="shared" ref="DN281:FY281" ca="1" si="317">DN324</f>
        <v>10</v>
      </c>
      <c r="DO281" s="1940">
        <f t="shared" ca="1" si="317"/>
        <v>10</v>
      </c>
      <c r="DP281" s="1939">
        <f t="shared" ca="1" si="317"/>
        <v>10</v>
      </c>
      <c r="DQ281" s="1940">
        <f t="shared" ca="1" si="317"/>
        <v>10</v>
      </c>
      <c r="DR281" s="1940">
        <f t="shared" ca="1" si="317"/>
        <v>10</v>
      </c>
      <c r="DS281" s="1940">
        <f t="shared" ca="1" si="317"/>
        <v>10</v>
      </c>
      <c r="DT281" s="1940">
        <f t="shared" ca="1" si="317"/>
        <v>10</v>
      </c>
      <c r="DU281" s="1940">
        <f t="shared" ca="1" si="317"/>
        <v>10</v>
      </c>
      <c r="DV281" s="1940">
        <f t="shared" ca="1" si="317"/>
        <v>10</v>
      </c>
      <c r="DW281" s="1939">
        <f t="shared" ca="1" si="317"/>
        <v>10</v>
      </c>
      <c r="DX281" s="1940">
        <f t="shared" ca="1" si="317"/>
        <v>10</v>
      </c>
      <c r="DY281" s="1940">
        <f t="shared" ca="1" si="317"/>
        <v>10</v>
      </c>
      <c r="DZ281" s="1940">
        <f t="shared" ca="1" si="317"/>
        <v>10</v>
      </c>
      <c r="EA281" s="1940">
        <f t="shared" ca="1" si="317"/>
        <v>10</v>
      </c>
      <c r="EB281" s="1940">
        <f t="shared" ca="1" si="317"/>
        <v>10</v>
      </c>
      <c r="EC281" s="1940">
        <f t="shared" ca="1" si="317"/>
        <v>10</v>
      </c>
      <c r="ED281" s="1939">
        <f t="shared" ca="1" si="317"/>
        <v>10</v>
      </c>
      <c r="EE281" s="1940">
        <f t="shared" ca="1" si="317"/>
        <v>10</v>
      </c>
      <c r="EF281" s="1940">
        <f t="shared" ca="1" si="317"/>
        <v>10</v>
      </c>
      <c r="EG281" s="1940">
        <f t="shared" ca="1" si="317"/>
        <v>10</v>
      </c>
      <c r="EH281" s="1940">
        <f t="shared" ca="1" si="317"/>
        <v>10</v>
      </c>
      <c r="EI281" s="1940">
        <f t="shared" ca="1" si="317"/>
        <v>10</v>
      </c>
      <c r="EJ281" s="1940">
        <f t="shared" ca="1" si="317"/>
        <v>10</v>
      </c>
      <c r="EK281" s="1939">
        <f t="shared" ca="1" si="317"/>
        <v>0</v>
      </c>
      <c r="EL281" s="1940">
        <f t="shared" ca="1" si="317"/>
        <v>0</v>
      </c>
      <c r="EM281" s="1940">
        <f t="shared" ca="1" si="317"/>
        <v>0</v>
      </c>
      <c r="EN281" s="1940">
        <f t="shared" ca="1" si="317"/>
        <v>0</v>
      </c>
      <c r="EO281" s="1940">
        <f t="shared" ca="1" si="317"/>
        <v>0</v>
      </c>
      <c r="EP281" s="1940">
        <f t="shared" ca="1" si="317"/>
        <v>0</v>
      </c>
      <c r="EQ281" s="1940">
        <f t="shared" ca="1" si="317"/>
        <v>0</v>
      </c>
      <c r="ER281" s="1939">
        <f t="shared" ca="1" si="317"/>
        <v>0</v>
      </c>
      <c r="ES281" s="1940">
        <f t="shared" ca="1" si="317"/>
        <v>0</v>
      </c>
      <c r="ET281" s="1940">
        <f t="shared" ca="1" si="317"/>
        <v>0</v>
      </c>
      <c r="EU281" s="1940">
        <f t="shared" ca="1" si="317"/>
        <v>0</v>
      </c>
      <c r="EV281" s="1940">
        <f t="shared" ca="1" si="317"/>
        <v>0</v>
      </c>
      <c r="EW281" s="1940">
        <f t="shared" ca="1" si="317"/>
        <v>0</v>
      </c>
      <c r="EX281" s="1940">
        <f t="shared" ca="1" si="317"/>
        <v>0</v>
      </c>
      <c r="EY281" s="1939">
        <f t="shared" ca="1" si="317"/>
        <v>0</v>
      </c>
      <c r="EZ281" s="1940">
        <f t="shared" ca="1" si="317"/>
        <v>0</v>
      </c>
      <c r="FA281" s="1940">
        <f t="shared" ca="1" si="317"/>
        <v>0</v>
      </c>
      <c r="FB281" s="1940">
        <f t="shared" ca="1" si="317"/>
        <v>0</v>
      </c>
      <c r="FC281" s="1940">
        <f t="shared" ca="1" si="317"/>
        <v>0</v>
      </c>
      <c r="FD281" s="1940">
        <f t="shared" ca="1" si="317"/>
        <v>0</v>
      </c>
      <c r="FE281" s="1940">
        <f t="shared" ca="1" si="317"/>
        <v>0</v>
      </c>
      <c r="FF281" s="1939">
        <f t="shared" ca="1" si="317"/>
        <v>0</v>
      </c>
      <c r="FG281" s="1940">
        <f t="shared" ca="1" si="317"/>
        <v>0</v>
      </c>
      <c r="FH281" s="1940">
        <f t="shared" ca="1" si="317"/>
        <v>0</v>
      </c>
      <c r="FI281" s="1940">
        <f t="shared" ca="1" si="317"/>
        <v>0</v>
      </c>
      <c r="FJ281" s="1940">
        <f t="shared" ca="1" si="317"/>
        <v>0</v>
      </c>
      <c r="FK281" s="1940">
        <f t="shared" ca="1" si="317"/>
        <v>0</v>
      </c>
      <c r="FL281" s="1940">
        <f t="shared" ca="1" si="317"/>
        <v>0</v>
      </c>
      <c r="FM281" s="1939">
        <f t="shared" ca="1" si="317"/>
        <v>0</v>
      </c>
      <c r="FN281" s="1940">
        <f t="shared" ca="1" si="317"/>
        <v>0</v>
      </c>
      <c r="FO281" s="1940">
        <f t="shared" ca="1" si="317"/>
        <v>0</v>
      </c>
      <c r="FP281" s="1940">
        <f t="shared" ca="1" si="317"/>
        <v>0</v>
      </c>
      <c r="FQ281" s="1940">
        <f t="shared" ca="1" si="317"/>
        <v>0</v>
      </c>
      <c r="FR281" s="1940">
        <f t="shared" ca="1" si="317"/>
        <v>0</v>
      </c>
      <c r="FS281" s="1940">
        <f t="shared" ca="1" si="317"/>
        <v>0</v>
      </c>
      <c r="FT281" s="1939">
        <f t="shared" ca="1" si="317"/>
        <v>0</v>
      </c>
      <c r="FU281" s="1940">
        <f t="shared" ca="1" si="317"/>
        <v>0</v>
      </c>
      <c r="FV281" s="1940">
        <f t="shared" ca="1" si="317"/>
        <v>0</v>
      </c>
      <c r="FW281" s="1940">
        <f t="shared" ca="1" si="317"/>
        <v>0</v>
      </c>
      <c r="FX281" s="1940">
        <f t="shared" ca="1" si="317"/>
        <v>0</v>
      </c>
      <c r="FY281" s="1940">
        <f t="shared" ca="1" si="317"/>
        <v>0</v>
      </c>
      <c r="FZ281" s="1940">
        <f t="shared" ref="FZ281:IK281" ca="1" si="318">FZ324</f>
        <v>0</v>
      </c>
      <c r="GA281" s="1939">
        <f t="shared" ca="1" si="318"/>
        <v>0</v>
      </c>
      <c r="GB281" s="1940">
        <f t="shared" ca="1" si="318"/>
        <v>0</v>
      </c>
      <c r="GC281" s="1940">
        <f t="shared" ca="1" si="318"/>
        <v>0</v>
      </c>
      <c r="GD281" s="1940">
        <f t="shared" ca="1" si="318"/>
        <v>0</v>
      </c>
      <c r="GE281" s="1940">
        <f t="shared" ca="1" si="318"/>
        <v>0</v>
      </c>
      <c r="GF281" s="1940">
        <f t="shared" ca="1" si="318"/>
        <v>0</v>
      </c>
      <c r="GG281" s="1940">
        <f t="shared" ca="1" si="318"/>
        <v>0</v>
      </c>
      <c r="GH281" s="1939">
        <f t="shared" ca="1" si="318"/>
        <v>0</v>
      </c>
      <c r="GI281" s="1940">
        <f t="shared" ca="1" si="318"/>
        <v>0</v>
      </c>
      <c r="GJ281" s="1940">
        <f t="shared" ca="1" si="318"/>
        <v>0</v>
      </c>
      <c r="GK281" s="1940">
        <f t="shared" ca="1" si="318"/>
        <v>0</v>
      </c>
      <c r="GL281" s="1940">
        <f t="shared" ca="1" si="318"/>
        <v>0</v>
      </c>
      <c r="GM281" s="1940">
        <f t="shared" ca="1" si="318"/>
        <v>0</v>
      </c>
      <c r="GN281" s="1940">
        <f t="shared" ca="1" si="318"/>
        <v>0</v>
      </c>
      <c r="GO281" s="1939">
        <f t="shared" ca="1" si="318"/>
        <v>0</v>
      </c>
      <c r="GP281" s="1940">
        <f t="shared" ca="1" si="318"/>
        <v>0</v>
      </c>
      <c r="GQ281" s="1940">
        <f t="shared" ca="1" si="318"/>
        <v>0</v>
      </c>
      <c r="GR281" s="1940">
        <f t="shared" ca="1" si="318"/>
        <v>0</v>
      </c>
      <c r="GS281" s="1940">
        <f t="shared" ca="1" si="318"/>
        <v>0</v>
      </c>
      <c r="GT281" s="1940">
        <f t="shared" ca="1" si="318"/>
        <v>0</v>
      </c>
      <c r="GU281" s="1940">
        <f t="shared" ca="1" si="318"/>
        <v>0</v>
      </c>
      <c r="GV281" s="1939">
        <f t="shared" ca="1" si="318"/>
        <v>0</v>
      </c>
      <c r="GW281" s="1940">
        <f t="shared" ca="1" si="318"/>
        <v>0</v>
      </c>
      <c r="GX281" s="1940">
        <f t="shared" ca="1" si="318"/>
        <v>0</v>
      </c>
      <c r="GY281" s="1940">
        <f t="shared" ca="1" si="318"/>
        <v>0</v>
      </c>
      <c r="GZ281" s="1940">
        <f t="shared" ca="1" si="318"/>
        <v>0</v>
      </c>
      <c r="HA281" s="1940">
        <f t="shared" ca="1" si="318"/>
        <v>0</v>
      </c>
      <c r="HB281" s="1940">
        <f t="shared" ca="1" si="318"/>
        <v>0</v>
      </c>
      <c r="HC281" s="1939">
        <f t="shared" ca="1" si="318"/>
        <v>0</v>
      </c>
      <c r="HD281" s="1940">
        <f t="shared" ca="1" si="318"/>
        <v>0</v>
      </c>
      <c r="HE281" s="1940">
        <f t="shared" ca="1" si="318"/>
        <v>0</v>
      </c>
      <c r="HF281" s="1940">
        <f t="shared" ca="1" si="318"/>
        <v>0</v>
      </c>
      <c r="HG281" s="1940">
        <f t="shared" ca="1" si="318"/>
        <v>0</v>
      </c>
      <c r="HH281" s="1940">
        <f t="shared" ca="1" si="318"/>
        <v>0</v>
      </c>
      <c r="HI281" s="1940">
        <f t="shared" ca="1" si="318"/>
        <v>0</v>
      </c>
      <c r="HJ281" s="1939">
        <f t="shared" ca="1" si="318"/>
        <v>0</v>
      </c>
      <c r="HK281" s="1940">
        <f t="shared" ca="1" si="318"/>
        <v>0</v>
      </c>
      <c r="HL281" s="1940">
        <f t="shared" ca="1" si="318"/>
        <v>0</v>
      </c>
      <c r="HM281" s="1940">
        <f t="shared" ca="1" si="318"/>
        <v>0</v>
      </c>
      <c r="HN281" s="1940">
        <f t="shared" ca="1" si="318"/>
        <v>0</v>
      </c>
      <c r="HO281" s="1940">
        <f t="shared" ca="1" si="318"/>
        <v>0</v>
      </c>
      <c r="HP281" s="1940">
        <f t="shared" ca="1" si="318"/>
        <v>0</v>
      </c>
      <c r="HQ281" s="1939">
        <f t="shared" ca="1" si="318"/>
        <v>0</v>
      </c>
      <c r="HR281" s="1940">
        <f t="shared" ca="1" si="318"/>
        <v>0</v>
      </c>
      <c r="HS281" s="1940">
        <f t="shared" ca="1" si="318"/>
        <v>0</v>
      </c>
      <c r="HT281" s="1940">
        <f t="shared" ca="1" si="318"/>
        <v>0</v>
      </c>
      <c r="HU281" s="1940">
        <f t="shared" ca="1" si="318"/>
        <v>0</v>
      </c>
      <c r="HV281" s="1940">
        <f t="shared" ca="1" si="318"/>
        <v>0</v>
      </c>
      <c r="HW281" s="1940">
        <f t="shared" ca="1" si="318"/>
        <v>0</v>
      </c>
      <c r="HX281" s="1939">
        <f t="shared" ca="1" si="318"/>
        <v>0</v>
      </c>
      <c r="HY281" s="1940">
        <f t="shared" ca="1" si="318"/>
        <v>0</v>
      </c>
      <c r="HZ281" s="1940">
        <f t="shared" ca="1" si="318"/>
        <v>0</v>
      </c>
      <c r="IA281" s="1940">
        <f t="shared" ca="1" si="318"/>
        <v>0</v>
      </c>
      <c r="IB281" s="1940">
        <f t="shared" ca="1" si="318"/>
        <v>0</v>
      </c>
      <c r="IC281" s="1940">
        <f t="shared" ca="1" si="318"/>
        <v>0</v>
      </c>
      <c r="ID281" s="1940">
        <f t="shared" ca="1" si="318"/>
        <v>0</v>
      </c>
      <c r="IE281" s="1939">
        <f t="shared" ca="1" si="318"/>
        <v>0</v>
      </c>
      <c r="IF281" s="1940">
        <f t="shared" ca="1" si="318"/>
        <v>0</v>
      </c>
      <c r="IG281" s="1940">
        <f t="shared" ca="1" si="318"/>
        <v>0</v>
      </c>
      <c r="IH281" s="1940">
        <f t="shared" ca="1" si="318"/>
        <v>0</v>
      </c>
      <c r="II281" s="1940">
        <f t="shared" ca="1" si="318"/>
        <v>0</v>
      </c>
      <c r="IJ281" s="1940">
        <f t="shared" ca="1" si="318"/>
        <v>0</v>
      </c>
      <c r="IK281" s="1938">
        <f t="shared" ca="1" si="318"/>
        <v>0</v>
      </c>
    </row>
    <row r="282" spans="1:245" ht="8.1" customHeight="1" x14ac:dyDescent="0.35">
      <c r="A282" s="195" t="str">
        <f ca="1">IF(B281=0,0,"XXX")</f>
        <v>XXX</v>
      </c>
      <c r="B282" s="1960"/>
      <c r="C282" s="1966"/>
      <c r="D282" s="360" t="str">
        <f>IF(ENTRADAS!$F$22=0,0,"término:")</f>
        <v>término:</v>
      </c>
      <c r="E282" s="361">
        <f ca="1">D330</f>
        <v>46045.737500000003</v>
      </c>
      <c r="F282" s="1913"/>
      <c r="G282" s="1914"/>
      <c r="H282" s="1939"/>
      <c r="I282" s="1940"/>
      <c r="J282" s="1940"/>
      <c r="K282" s="1940"/>
      <c r="L282" s="1940"/>
      <c r="M282" s="1940"/>
      <c r="N282" s="1940"/>
      <c r="O282" s="1939"/>
      <c r="P282" s="1940"/>
      <c r="Q282" s="1940"/>
      <c r="R282" s="1940"/>
      <c r="S282" s="1940"/>
      <c r="T282" s="1940"/>
      <c r="U282" s="1940"/>
      <c r="V282" s="1939"/>
      <c r="W282" s="1940"/>
      <c r="X282" s="1940"/>
      <c r="Y282" s="1940"/>
      <c r="Z282" s="1940"/>
      <c r="AA282" s="1940"/>
      <c r="AB282" s="1940"/>
      <c r="AC282" s="1939"/>
      <c r="AD282" s="1940"/>
      <c r="AE282" s="1940"/>
      <c r="AF282" s="1940"/>
      <c r="AG282" s="1940"/>
      <c r="AH282" s="1940"/>
      <c r="AI282" s="1940"/>
      <c r="AJ282" s="1939"/>
      <c r="AK282" s="1940"/>
      <c r="AL282" s="1940"/>
      <c r="AM282" s="1940"/>
      <c r="AN282" s="1940"/>
      <c r="AO282" s="1940"/>
      <c r="AP282" s="1940"/>
      <c r="AQ282" s="1939"/>
      <c r="AR282" s="1940"/>
      <c r="AS282" s="1940"/>
      <c r="AT282" s="1940"/>
      <c r="AU282" s="1940"/>
      <c r="AV282" s="1940"/>
      <c r="AW282" s="1940"/>
      <c r="AX282" s="1939"/>
      <c r="AY282" s="1940"/>
      <c r="AZ282" s="1940"/>
      <c r="BA282" s="1940"/>
      <c r="BB282" s="1940"/>
      <c r="BC282" s="1940"/>
      <c r="BD282" s="1940"/>
      <c r="BE282" s="1939"/>
      <c r="BF282" s="1940"/>
      <c r="BG282" s="1940"/>
      <c r="BH282" s="1940"/>
      <c r="BI282" s="1940"/>
      <c r="BJ282" s="1940"/>
      <c r="BK282" s="1940"/>
      <c r="BL282" s="1939"/>
      <c r="BM282" s="1940"/>
      <c r="BN282" s="1940"/>
      <c r="BO282" s="1940"/>
      <c r="BP282" s="1940"/>
      <c r="BQ282" s="1940"/>
      <c r="BR282" s="1940"/>
      <c r="BS282" s="1939"/>
      <c r="BT282" s="1940"/>
      <c r="BU282" s="1940"/>
      <c r="BV282" s="1940"/>
      <c r="BW282" s="1940"/>
      <c r="BX282" s="1940"/>
      <c r="BY282" s="1940"/>
      <c r="BZ282" s="1939"/>
      <c r="CA282" s="1940"/>
      <c r="CB282" s="1940"/>
      <c r="CC282" s="1940"/>
      <c r="CD282" s="1940"/>
      <c r="CE282" s="1940"/>
      <c r="CF282" s="1940"/>
      <c r="CG282" s="1939"/>
      <c r="CH282" s="1940"/>
      <c r="CI282" s="1940"/>
      <c r="CJ282" s="1940"/>
      <c r="CK282" s="1940"/>
      <c r="CL282" s="1940"/>
      <c r="CM282" s="1940"/>
      <c r="CN282" s="1939"/>
      <c r="CO282" s="1940"/>
      <c r="CP282" s="1940"/>
      <c r="CQ282" s="1940"/>
      <c r="CR282" s="1940"/>
      <c r="CS282" s="1940"/>
      <c r="CT282" s="1940"/>
      <c r="CU282" s="1939"/>
      <c r="CV282" s="1940"/>
      <c r="CW282" s="1940"/>
      <c r="CX282" s="1940"/>
      <c r="CY282" s="1940"/>
      <c r="CZ282" s="1940"/>
      <c r="DA282" s="1940"/>
      <c r="DB282" s="1939"/>
      <c r="DC282" s="1940"/>
      <c r="DD282" s="1940"/>
      <c r="DE282" s="1940"/>
      <c r="DF282" s="1940"/>
      <c r="DG282" s="1940"/>
      <c r="DH282" s="1940"/>
      <c r="DI282" s="1939"/>
      <c r="DJ282" s="1940"/>
      <c r="DK282" s="1940"/>
      <c r="DL282" s="1940"/>
      <c r="DM282" s="1940"/>
      <c r="DN282" s="1940"/>
      <c r="DO282" s="1940"/>
      <c r="DP282" s="1939"/>
      <c r="DQ282" s="1940"/>
      <c r="DR282" s="1940"/>
      <c r="DS282" s="1940"/>
      <c r="DT282" s="1940"/>
      <c r="DU282" s="1940"/>
      <c r="DV282" s="1940"/>
      <c r="DW282" s="1939"/>
      <c r="DX282" s="1940"/>
      <c r="DY282" s="1940"/>
      <c r="DZ282" s="1940"/>
      <c r="EA282" s="1940"/>
      <c r="EB282" s="1940"/>
      <c r="EC282" s="1940"/>
      <c r="ED282" s="1939"/>
      <c r="EE282" s="1940"/>
      <c r="EF282" s="1940"/>
      <c r="EG282" s="1940"/>
      <c r="EH282" s="1940"/>
      <c r="EI282" s="1940"/>
      <c r="EJ282" s="1940"/>
      <c r="EK282" s="1939"/>
      <c r="EL282" s="1940"/>
      <c r="EM282" s="1940"/>
      <c r="EN282" s="1940"/>
      <c r="EO282" s="1940"/>
      <c r="EP282" s="1940"/>
      <c r="EQ282" s="1940"/>
      <c r="ER282" s="1939"/>
      <c r="ES282" s="1940"/>
      <c r="ET282" s="1940"/>
      <c r="EU282" s="1940"/>
      <c r="EV282" s="1940"/>
      <c r="EW282" s="1940"/>
      <c r="EX282" s="1940"/>
      <c r="EY282" s="1939"/>
      <c r="EZ282" s="1940"/>
      <c r="FA282" s="1940"/>
      <c r="FB282" s="1940"/>
      <c r="FC282" s="1940"/>
      <c r="FD282" s="1940"/>
      <c r="FE282" s="1940"/>
      <c r="FF282" s="1939"/>
      <c r="FG282" s="1940"/>
      <c r="FH282" s="1940"/>
      <c r="FI282" s="1940"/>
      <c r="FJ282" s="1940"/>
      <c r="FK282" s="1940"/>
      <c r="FL282" s="1940"/>
      <c r="FM282" s="1939"/>
      <c r="FN282" s="1940"/>
      <c r="FO282" s="1940"/>
      <c r="FP282" s="1940"/>
      <c r="FQ282" s="1940"/>
      <c r="FR282" s="1940"/>
      <c r="FS282" s="1940"/>
      <c r="FT282" s="1939"/>
      <c r="FU282" s="1940"/>
      <c r="FV282" s="1940"/>
      <c r="FW282" s="1940"/>
      <c r="FX282" s="1940"/>
      <c r="FY282" s="1940"/>
      <c r="FZ282" s="1940"/>
      <c r="GA282" s="1939"/>
      <c r="GB282" s="1940"/>
      <c r="GC282" s="1940"/>
      <c r="GD282" s="1940"/>
      <c r="GE282" s="1940"/>
      <c r="GF282" s="1940"/>
      <c r="GG282" s="1940"/>
      <c r="GH282" s="1939"/>
      <c r="GI282" s="1940"/>
      <c r="GJ282" s="1940"/>
      <c r="GK282" s="1940"/>
      <c r="GL282" s="1940"/>
      <c r="GM282" s="1940"/>
      <c r="GN282" s="1940"/>
      <c r="GO282" s="1939"/>
      <c r="GP282" s="1940"/>
      <c r="GQ282" s="1940"/>
      <c r="GR282" s="1940"/>
      <c r="GS282" s="1940"/>
      <c r="GT282" s="1940"/>
      <c r="GU282" s="1940"/>
      <c r="GV282" s="1939"/>
      <c r="GW282" s="1940"/>
      <c r="GX282" s="1940"/>
      <c r="GY282" s="1940"/>
      <c r="GZ282" s="1940"/>
      <c r="HA282" s="1940"/>
      <c r="HB282" s="1940"/>
      <c r="HC282" s="1939"/>
      <c r="HD282" s="1940"/>
      <c r="HE282" s="1940"/>
      <c r="HF282" s="1940"/>
      <c r="HG282" s="1940"/>
      <c r="HH282" s="1940"/>
      <c r="HI282" s="1940"/>
      <c r="HJ282" s="1939"/>
      <c r="HK282" s="1940"/>
      <c r="HL282" s="1940"/>
      <c r="HM282" s="1940"/>
      <c r="HN282" s="1940"/>
      <c r="HO282" s="1940"/>
      <c r="HP282" s="1940"/>
      <c r="HQ282" s="1939"/>
      <c r="HR282" s="1940"/>
      <c r="HS282" s="1940"/>
      <c r="HT282" s="1940"/>
      <c r="HU282" s="1940"/>
      <c r="HV282" s="1940"/>
      <c r="HW282" s="1940"/>
      <c r="HX282" s="1939"/>
      <c r="HY282" s="1940"/>
      <c r="HZ282" s="1940"/>
      <c r="IA282" s="1940"/>
      <c r="IB282" s="1940"/>
      <c r="IC282" s="1940"/>
      <c r="ID282" s="1940"/>
      <c r="IE282" s="1939"/>
      <c r="IF282" s="1940"/>
      <c r="IG282" s="1940"/>
      <c r="IH282" s="1940"/>
      <c r="II282" s="1940"/>
      <c r="IJ282" s="1940"/>
      <c r="IK282" s="1938"/>
    </row>
    <row r="283" spans="1:245" ht="8.1" hidden="1" customHeight="1" x14ac:dyDescent="0.35">
      <c r="A283" s="195">
        <f>IF(B283=0,0,"XXX")</f>
        <v>0</v>
      </c>
      <c r="B283" s="1959">
        <f>IF(ENTRADAS!$D$912=0,0,IF(B281="1.4.2","1.4.3",IF(B281="1.4.3","1.4.4",IF(B281="1.4.4","1.4.5",0))))</f>
        <v>0</v>
      </c>
      <c r="C283" s="1965">
        <f ca="1">IF(F283=0,0,"MONTAGEM DA COBERTURA")</f>
        <v>0</v>
      </c>
      <c r="D283" s="358">
        <f ca="1">IF(F283=0,0,"início:")</f>
        <v>0</v>
      </c>
      <c r="E283" s="359">
        <f ca="1">IF(D296&lt;D295,0,D340)</f>
        <v>46042.837500000001</v>
      </c>
      <c r="F283" s="454">
        <f ca="1">IF(D296&lt;D295,0,D335)</f>
        <v>0</v>
      </c>
      <c r="G283" s="455">
        <f ca="1">IF(F283=0,0,"dias")</f>
        <v>0</v>
      </c>
      <c r="H283" s="1907">
        <f ca="1">H335</f>
        <v>0</v>
      </c>
      <c r="I283" s="1908">
        <f t="shared" ref="I283:BT283" ca="1" si="319">I335</f>
        <v>0</v>
      </c>
      <c r="J283" s="1908">
        <f t="shared" ca="1" si="319"/>
        <v>0</v>
      </c>
      <c r="K283" s="1908">
        <f t="shared" ca="1" si="319"/>
        <v>0</v>
      </c>
      <c r="L283" s="1908">
        <f t="shared" ca="1" si="319"/>
        <v>0</v>
      </c>
      <c r="M283" s="1908">
        <f t="shared" ca="1" si="319"/>
        <v>0</v>
      </c>
      <c r="N283" s="1908">
        <f t="shared" ca="1" si="319"/>
        <v>0</v>
      </c>
      <c r="O283" s="1907">
        <f t="shared" ca="1" si="319"/>
        <v>0</v>
      </c>
      <c r="P283" s="1908">
        <f t="shared" ca="1" si="319"/>
        <v>0</v>
      </c>
      <c r="Q283" s="1908">
        <f t="shared" ca="1" si="319"/>
        <v>0</v>
      </c>
      <c r="R283" s="1908">
        <f t="shared" ca="1" si="319"/>
        <v>0</v>
      </c>
      <c r="S283" s="1908">
        <f t="shared" ca="1" si="319"/>
        <v>0</v>
      </c>
      <c r="T283" s="1908">
        <f t="shared" ca="1" si="319"/>
        <v>0</v>
      </c>
      <c r="U283" s="1908">
        <f t="shared" ca="1" si="319"/>
        <v>0</v>
      </c>
      <c r="V283" s="1907">
        <f t="shared" ca="1" si="319"/>
        <v>0</v>
      </c>
      <c r="W283" s="1908">
        <f t="shared" ca="1" si="319"/>
        <v>0</v>
      </c>
      <c r="X283" s="1908">
        <f t="shared" ca="1" si="319"/>
        <v>0</v>
      </c>
      <c r="Y283" s="1908">
        <f t="shared" ca="1" si="319"/>
        <v>0</v>
      </c>
      <c r="Z283" s="1908">
        <f t="shared" ca="1" si="319"/>
        <v>0</v>
      </c>
      <c r="AA283" s="1908">
        <f t="shared" ca="1" si="319"/>
        <v>0</v>
      </c>
      <c r="AB283" s="1908">
        <f t="shared" ca="1" si="319"/>
        <v>0</v>
      </c>
      <c r="AC283" s="1907">
        <f t="shared" ca="1" si="319"/>
        <v>0</v>
      </c>
      <c r="AD283" s="1908">
        <f t="shared" ca="1" si="319"/>
        <v>0</v>
      </c>
      <c r="AE283" s="1908">
        <f t="shared" ca="1" si="319"/>
        <v>0</v>
      </c>
      <c r="AF283" s="1908">
        <f t="shared" ca="1" si="319"/>
        <v>0</v>
      </c>
      <c r="AG283" s="1908">
        <f t="shared" ca="1" si="319"/>
        <v>0</v>
      </c>
      <c r="AH283" s="1908">
        <f t="shared" ca="1" si="319"/>
        <v>0</v>
      </c>
      <c r="AI283" s="1908">
        <f t="shared" ca="1" si="319"/>
        <v>0</v>
      </c>
      <c r="AJ283" s="1907">
        <f t="shared" ca="1" si="319"/>
        <v>0</v>
      </c>
      <c r="AK283" s="1908">
        <f t="shared" ca="1" si="319"/>
        <v>0</v>
      </c>
      <c r="AL283" s="1908">
        <f t="shared" ca="1" si="319"/>
        <v>0</v>
      </c>
      <c r="AM283" s="1908">
        <f t="shared" ca="1" si="319"/>
        <v>0</v>
      </c>
      <c r="AN283" s="1908">
        <f t="shared" ca="1" si="319"/>
        <v>0</v>
      </c>
      <c r="AO283" s="1908">
        <f t="shared" ca="1" si="319"/>
        <v>0</v>
      </c>
      <c r="AP283" s="1908">
        <f t="shared" ca="1" si="319"/>
        <v>0</v>
      </c>
      <c r="AQ283" s="1907">
        <f t="shared" ca="1" si="319"/>
        <v>0</v>
      </c>
      <c r="AR283" s="1908">
        <f t="shared" ca="1" si="319"/>
        <v>0</v>
      </c>
      <c r="AS283" s="1908">
        <f t="shared" ca="1" si="319"/>
        <v>0</v>
      </c>
      <c r="AT283" s="1908">
        <f t="shared" ca="1" si="319"/>
        <v>0</v>
      </c>
      <c r="AU283" s="1908">
        <f t="shared" ca="1" si="319"/>
        <v>0</v>
      </c>
      <c r="AV283" s="1908">
        <f t="shared" ca="1" si="319"/>
        <v>0</v>
      </c>
      <c r="AW283" s="1908">
        <f t="shared" ca="1" si="319"/>
        <v>0</v>
      </c>
      <c r="AX283" s="1907">
        <f t="shared" ca="1" si="319"/>
        <v>0</v>
      </c>
      <c r="AY283" s="1908">
        <f t="shared" ca="1" si="319"/>
        <v>0</v>
      </c>
      <c r="AZ283" s="1908">
        <f t="shared" ca="1" si="319"/>
        <v>0</v>
      </c>
      <c r="BA283" s="1908">
        <f t="shared" ca="1" si="319"/>
        <v>0</v>
      </c>
      <c r="BB283" s="1908">
        <f t="shared" ca="1" si="319"/>
        <v>0</v>
      </c>
      <c r="BC283" s="1908">
        <f t="shared" ca="1" si="319"/>
        <v>0</v>
      </c>
      <c r="BD283" s="1908">
        <f t="shared" ca="1" si="319"/>
        <v>0</v>
      </c>
      <c r="BE283" s="1907">
        <f t="shared" ca="1" si="319"/>
        <v>0</v>
      </c>
      <c r="BF283" s="1908">
        <f t="shared" ca="1" si="319"/>
        <v>0</v>
      </c>
      <c r="BG283" s="1908">
        <f t="shared" ca="1" si="319"/>
        <v>0</v>
      </c>
      <c r="BH283" s="1908">
        <f t="shared" ca="1" si="319"/>
        <v>0</v>
      </c>
      <c r="BI283" s="1908">
        <f t="shared" ca="1" si="319"/>
        <v>0</v>
      </c>
      <c r="BJ283" s="1908">
        <f t="shared" ca="1" si="319"/>
        <v>0</v>
      </c>
      <c r="BK283" s="1908">
        <f t="shared" ca="1" si="319"/>
        <v>0</v>
      </c>
      <c r="BL283" s="1907">
        <f t="shared" ca="1" si="319"/>
        <v>0</v>
      </c>
      <c r="BM283" s="1908">
        <f t="shared" ca="1" si="319"/>
        <v>0</v>
      </c>
      <c r="BN283" s="1908">
        <f t="shared" ca="1" si="319"/>
        <v>0</v>
      </c>
      <c r="BO283" s="1908">
        <f t="shared" ca="1" si="319"/>
        <v>0</v>
      </c>
      <c r="BP283" s="1908">
        <f t="shared" ca="1" si="319"/>
        <v>0</v>
      </c>
      <c r="BQ283" s="1908">
        <f t="shared" ca="1" si="319"/>
        <v>0</v>
      </c>
      <c r="BR283" s="1908">
        <f t="shared" ca="1" si="319"/>
        <v>0</v>
      </c>
      <c r="BS283" s="1907">
        <f t="shared" ca="1" si="319"/>
        <v>0</v>
      </c>
      <c r="BT283" s="1908">
        <f t="shared" ca="1" si="319"/>
        <v>0</v>
      </c>
      <c r="BU283" s="1908">
        <f t="shared" ref="BU283:EF283" ca="1" si="320">BU335</f>
        <v>0</v>
      </c>
      <c r="BV283" s="1908">
        <f t="shared" ca="1" si="320"/>
        <v>0</v>
      </c>
      <c r="BW283" s="1908">
        <f t="shared" ca="1" si="320"/>
        <v>0</v>
      </c>
      <c r="BX283" s="1908">
        <f t="shared" ca="1" si="320"/>
        <v>0</v>
      </c>
      <c r="BY283" s="1908">
        <f t="shared" ca="1" si="320"/>
        <v>0</v>
      </c>
      <c r="BZ283" s="1907">
        <f t="shared" ca="1" si="320"/>
        <v>0</v>
      </c>
      <c r="CA283" s="1908">
        <f t="shared" ca="1" si="320"/>
        <v>0</v>
      </c>
      <c r="CB283" s="1908">
        <f t="shared" ca="1" si="320"/>
        <v>0</v>
      </c>
      <c r="CC283" s="1908">
        <f t="shared" ca="1" si="320"/>
        <v>0</v>
      </c>
      <c r="CD283" s="1908">
        <f t="shared" ca="1" si="320"/>
        <v>0</v>
      </c>
      <c r="CE283" s="1908">
        <f t="shared" ca="1" si="320"/>
        <v>0</v>
      </c>
      <c r="CF283" s="1908">
        <f t="shared" ca="1" si="320"/>
        <v>0</v>
      </c>
      <c r="CG283" s="1907">
        <f t="shared" ca="1" si="320"/>
        <v>0</v>
      </c>
      <c r="CH283" s="1908">
        <f t="shared" ca="1" si="320"/>
        <v>0</v>
      </c>
      <c r="CI283" s="1908">
        <f t="shared" ca="1" si="320"/>
        <v>0</v>
      </c>
      <c r="CJ283" s="1908">
        <f t="shared" ca="1" si="320"/>
        <v>0</v>
      </c>
      <c r="CK283" s="1908">
        <f t="shared" ca="1" si="320"/>
        <v>0</v>
      </c>
      <c r="CL283" s="1908">
        <f t="shared" ca="1" si="320"/>
        <v>0</v>
      </c>
      <c r="CM283" s="1908">
        <f t="shared" ca="1" si="320"/>
        <v>0</v>
      </c>
      <c r="CN283" s="1907">
        <f t="shared" ca="1" si="320"/>
        <v>0</v>
      </c>
      <c r="CO283" s="1908">
        <f t="shared" ca="1" si="320"/>
        <v>0</v>
      </c>
      <c r="CP283" s="1908">
        <f t="shared" ca="1" si="320"/>
        <v>0</v>
      </c>
      <c r="CQ283" s="1908">
        <f t="shared" ca="1" si="320"/>
        <v>0</v>
      </c>
      <c r="CR283" s="1908">
        <f t="shared" ca="1" si="320"/>
        <v>0</v>
      </c>
      <c r="CS283" s="1908">
        <f t="shared" ca="1" si="320"/>
        <v>0</v>
      </c>
      <c r="CT283" s="1908">
        <f t="shared" ca="1" si="320"/>
        <v>0</v>
      </c>
      <c r="CU283" s="1907">
        <f t="shared" ca="1" si="320"/>
        <v>0</v>
      </c>
      <c r="CV283" s="1908">
        <f t="shared" ca="1" si="320"/>
        <v>0</v>
      </c>
      <c r="CW283" s="1908">
        <f t="shared" ca="1" si="320"/>
        <v>0</v>
      </c>
      <c r="CX283" s="1908">
        <f t="shared" ca="1" si="320"/>
        <v>0</v>
      </c>
      <c r="CY283" s="1908">
        <f t="shared" ca="1" si="320"/>
        <v>0</v>
      </c>
      <c r="CZ283" s="1908">
        <f t="shared" ca="1" si="320"/>
        <v>0</v>
      </c>
      <c r="DA283" s="1908">
        <f t="shared" ca="1" si="320"/>
        <v>0</v>
      </c>
      <c r="DB283" s="1907">
        <f t="shared" ca="1" si="320"/>
        <v>0</v>
      </c>
      <c r="DC283" s="1908">
        <f t="shared" ca="1" si="320"/>
        <v>0</v>
      </c>
      <c r="DD283" s="1908">
        <f t="shared" ca="1" si="320"/>
        <v>0</v>
      </c>
      <c r="DE283" s="1908">
        <f t="shared" ca="1" si="320"/>
        <v>0</v>
      </c>
      <c r="DF283" s="1908">
        <f t="shared" ca="1" si="320"/>
        <v>0</v>
      </c>
      <c r="DG283" s="1908">
        <f t="shared" ca="1" si="320"/>
        <v>0</v>
      </c>
      <c r="DH283" s="1908">
        <f t="shared" ca="1" si="320"/>
        <v>0</v>
      </c>
      <c r="DI283" s="1907">
        <f t="shared" ca="1" si="320"/>
        <v>0</v>
      </c>
      <c r="DJ283" s="1908">
        <f t="shared" ca="1" si="320"/>
        <v>0</v>
      </c>
      <c r="DK283" s="1908">
        <f t="shared" ca="1" si="320"/>
        <v>0</v>
      </c>
      <c r="DL283" s="1908">
        <f t="shared" ca="1" si="320"/>
        <v>0</v>
      </c>
      <c r="DM283" s="1908">
        <f t="shared" ca="1" si="320"/>
        <v>0</v>
      </c>
      <c r="DN283" s="1908">
        <f t="shared" ca="1" si="320"/>
        <v>0</v>
      </c>
      <c r="DO283" s="1908">
        <f t="shared" ca="1" si="320"/>
        <v>0</v>
      </c>
      <c r="DP283" s="1907">
        <f t="shared" ca="1" si="320"/>
        <v>0</v>
      </c>
      <c r="DQ283" s="1908">
        <f t="shared" ca="1" si="320"/>
        <v>0</v>
      </c>
      <c r="DR283" s="1908">
        <f t="shared" ca="1" si="320"/>
        <v>0</v>
      </c>
      <c r="DS283" s="1908">
        <f t="shared" ca="1" si="320"/>
        <v>0</v>
      </c>
      <c r="DT283" s="1908">
        <f t="shared" ca="1" si="320"/>
        <v>0</v>
      </c>
      <c r="DU283" s="1908">
        <f t="shared" ca="1" si="320"/>
        <v>0</v>
      </c>
      <c r="DV283" s="1908">
        <f t="shared" ca="1" si="320"/>
        <v>0</v>
      </c>
      <c r="DW283" s="1907">
        <f t="shared" ca="1" si="320"/>
        <v>0</v>
      </c>
      <c r="DX283" s="1908">
        <f t="shared" ca="1" si="320"/>
        <v>0</v>
      </c>
      <c r="DY283" s="1908">
        <f t="shared" ca="1" si="320"/>
        <v>0</v>
      </c>
      <c r="DZ283" s="1908">
        <f t="shared" ca="1" si="320"/>
        <v>0</v>
      </c>
      <c r="EA283" s="1908">
        <f t="shared" ca="1" si="320"/>
        <v>0</v>
      </c>
      <c r="EB283" s="1908">
        <f t="shared" ca="1" si="320"/>
        <v>0</v>
      </c>
      <c r="EC283" s="1908">
        <f t="shared" ca="1" si="320"/>
        <v>0</v>
      </c>
      <c r="ED283" s="1907">
        <f t="shared" ca="1" si="320"/>
        <v>0</v>
      </c>
      <c r="EE283" s="1908">
        <f t="shared" ca="1" si="320"/>
        <v>0</v>
      </c>
      <c r="EF283" s="1908">
        <f t="shared" ca="1" si="320"/>
        <v>0</v>
      </c>
      <c r="EG283" s="1908">
        <f t="shared" ref="EG283:GR283" ca="1" si="321">EG335</f>
        <v>0</v>
      </c>
      <c r="EH283" s="1908">
        <f t="shared" ca="1" si="321"/>
        <v>0</v>
      </c>
      <c r="EI283" s="1908">
        <f t="shared" ca="1" si="321"/>
        <v>0</v>
      </c>
      <c r="EJ283" s="1908">
        <f t="shared" ca="1" si="321"/>
        <v>0</v>
      </c>
      <c r="EK283" s="1907">
        <f t="shared" ca="1" si="321"/>
        <v>0</v>
      </c>
      <c r="EL283" s="1908">
        <f t="shared" ca="1" si="321"/>
        <v>0</v>
      </c>
      <c r="EM283" s="1908">
        <f t="shared" ca="1" si="321"/>
        <v>0</v>
      </c>
      <c r="EN283" s="1908">
        <f t="shared" ca="1" si="321"/>
        <v>0</v>
      </c>
      <c r="EO283" s="1908">
        <f t="shared" ca="1" si="321"/>
        <v>0</v>
      </c>
      <c r="EP283" s="1908">
        <f t="shared" ca="1" si="321"/>
        <v>0</v>
      </c>
      <c r="EQ283" s="1908">
        <f t="shared" ca="1" si="321"/>
        <v>0</v>
      </c>
      <c r="ER283" s="1907">
        <f t="shared" ca="1" si="321"/>
        <v>0</v>
      </c>
      <c r="ES283" s="1908">
        <f t="shared" ca="1" si="321"/>
        <v>0</v>
      </c>
      <c r="ET283" s="1908">
        <f t="shared" ca="1" si="321"/>
        <v>0</v>
      </c>
      <c r="EU283" s="1908">
        <f t="shared" ca="1" si="321"/>
        <v>0</v>
      </c>
      <c r="EV283" s="1908">
        <f t="shared" ca="1" si="321"/>
        <v>0</v>
      </c>
      <c r="EW283" s="1908">
        <f t="shared" ca="1" si="321"/>
        <v>0</v>
      </c>
      <c r="EX283" s="1908">
        <f t="shared" ca="1" si="321"/>
        <v>0</v>
      </c>
      <c r="EY283" s="1907">
        <f t="shared" ca="1" si="321"/>
        <v>0</v>
      </c>
      <c r="EZ283" s="1908">
        <f t="shared" ca="1" si="321"/>
        <v>0</v>
      </c>
      <c r="FA283" s="1908">
        <f t="shared" ca="1" si="321"/>
        <v>0</v>
      </c>
      <c r="FB283" s="1908">
        <f t="shared" ca="1" si="321"/>
        <v>0</v>
      </c>
      <c r="FC283" s="1908">
        <f t="shared" ca="1" si="321"/>
        <v>0</v>
      </c>
      <c r="FD283" s="1908">
        <f t="shared" ca="1" si="321"/>
        <v>0</v>
      </c>
      <c r="FE283" s="1908">
        <f t="shared" ca="1" si="321"/>
        <v>0</v>
      </c>
      <c r="FF283" s="1907">
        <f t="shared" ca="1" si="321"/>
        <v>0</v>
      </c>
      <c r="FG283" s="1908">
        <f t="shared" ca="1" si="321"/>
        <v>0</v>
      </c>
      <c r="FH283" s="1908">
        <f t="shared" ca="1" si="321"/>
        <v>0</v>
      </c>
      <c r="FI283" s="1908">
        <f t="shared" ca="1" si="321"/>
        <v>0</v>
      </c>
      <c r="FJ283" s="1908">
        <f t="shared" ca="1" si="321"/>
        <v>0</v>
      </c>
      <c r="FK283" s="1908">
        <f t="shared" ca="1" si="321"/>
        <v>0</v>
      </c>
      <c r="FL283" s="1908">
        <f t="shared" ca="1" si="321"/>
        <v>0</v>
      </c>
      <c r="FM283" s="1907">
        <f t="shared" ca="1" si="321"/>
        <v>0</v>
      </c>
      <c r="FN283" s="1908">
        <f t="shared" ca="1" si="321"/>
        <v>0</v>
      </c>
      <c r="FO283" s="1908">
        <f t="shared" ca="1" si="321"/>
        <v>0</v>
      </c>
      <c r="FP283" s="1908">
        <f t="shared" ca="1" si="321"/>
        <v>0</v>
      </c>
      <c r="FQ283" s="1908">
        <f t="shared" ca="1" si="321"/>
        <v>0</v>
      </c>
      <c r="FR283" s="1908">
        <f t="shared" ca="1" si="321"/>
        <v>0</v>
      </c>
      <c r="FS283" s="1908">
        <f t="shared" ca="1" si="321"/>
        <v>0</v>
      </c>
      <c r="FT283" s="1907">
        <f t="shared" ca="1" si="321"/>
        <v>0</v>
      </c>
      <c r="FU283" s="1908">
        <f t="shared" ca="1" si="321"/>
        <v>0</v>
      </c>
      <c r="FV283" s="1908">
        <f t="shared" ca="1" si="321"/>
        <v>0</v>
      </c>
      <c r="FW283" s="1908">
        <f t="shared" ca="1" si="321"/>
        <v>0</v>
      </c>
      <c r="FX283" s="1908">
        <f t="shared" ca="1" si="321"/>
        <v>0</v>
      </c>
      <c r="FY283" s="1908">
        <f t="shared" ca="1" si="321"/>
        <v>0</v>
      </c>
      <c r="FZ283" s="1908">
        <f t="shared" ca="1" si="321"/>
        <v>0</v>
      </c>
      <c r="GA283" s="1907">
        <f t="shared" ca="1" si="321"/>
        <v>0</v>
      </c>
      <c r="GB283" s="1908">
        <f t="shared" ca="1" si="321"/>
        <v>0</v>
      </c>
      <c r="GC283" s="1908">
        <f t="shared" ca="1" si="321"/>
        <v>0</v>
      </c>
      <c r="GD283" s="1908">
        <f t="shared" ca="1" si="321"/>
        <v>0</v>
      </c>
      <c r="GE283" s="1908">
        <f t="shared" ca="1" si="321"/>
        <v>0</v>
      </c>
      <c r="GF283" s="1908">
        <f t="shared" ca="1" si="321"/>
        <v>0</v>
      </c>
      <c r="GG283" s="1908">
        <f t="shared" ca="1" si="321"/>
        <v>0</v>
      </c>
      <c r="GH283" s="1907">
        <f t="shared" ca="1" si="321"/>
        <v>0</v>
      </c>
      <c r="GI283" s="1908">
        <f t="shared" ca="1" si="321"/>
        <v>0</v>
      </c>
      <c r="GJ283" s="1908">
        <f t="shared" ca="1" si="321"/>
        <v>0</v>
      </c>
      <c r="GK283" s="1908">
        <f t="shared" ca="1" si="321"/>
        <v>0</v>
      </c>
      <c r="GL283" s="1908">
        <f t="shared" ca="1" si="321"/>
        <v>0</v>
      </c>
      <c r="GM283" s="1908">
        <f t="shared" ca="1" si="321"/>
        <v>0</v>
      </c>
      <c r="GN283" s="1908">
        <f t="shared" ca="1" si="321"/>
        <v>0</v>
      </c>
      <c r="GO283" s="1907">
        <f t="shared" ca="1" si="321"/>
        <v>0</v>
      </c>
      <c r="GP283" s="1908">
        <f t="shared" ca="1" si="321"/>
        <v>0</v>
      </c>
      <c r="GQ283" s="1908">
        <f t="shared" ca="1" si="321"/>
        <v>0</v>
      </c>
      <c r="GR283" s="1908">
        <f t="shared" ca="1" si="321"/>
        <v>0</v>
      </c>
      <c r="GS283" s="1908">
        <f t="shared" ref="GS283:IK283" ca="1" si="322">GS335</f>
        <v>0</v>
      </c>
      <c r="GT283" s="1908">
        <f t="shared" ca="1" si="322"/>
        <v>0</v>
      </c>
      <c r="GU283" s="1908">
        <f t="shared" ca="1" si="322"/>
        <v>0</v>
      </c>
      <c r="GV283" s="1907">
        <f t="shared" ca="1" si="322"/>
        <v>0</v>
      </c>
      <c r="GW283" s="1908">
        <f t="shared" ca="1" si="322"/>
        <v>0</v>
      </c>
      <c r="GX283" s="1908">
        <f t="shared" ca="1" si="322"/>
        <v>0</v>
      </c>
      <c r="GY283" s="1908">
        <f t="shared" ca="1" si="322"/>
        <v>0</v>
      </c>
      <c r="GZ283" s="1908">
        <f t="shared" ca="1" si="322"/>
        <v>0</v>
      </c>
      <c r="HA283" s="1908">
        <f t="shared" ca="1" si="322"/>
        <v>0</v>
      </c>
      <c r="HB283" s="1908">
        <f t="shared" ca="1" si="322"/>
        <v>0</v>
      </c>
      <c r="HC283" s="1907">
        <f t="shared" ca="1" si="322"/>
        <v>0</v>
      </c>
      <c r="HD283" s="1908">
        <f t="shared" ca="1" si="322"/>
        <v>0</v>
      </c>
      <c r="HE283" s="1908">
        <f t="shared" ca="1" si="322"/>
        <v>0</v>
      </c>
      <c r="HF283" s="1908">
        <f t="shared" ca="1" si="322"/>
        <v>0</v>
      </c>
      <c r="HG283" s="1908">
        <f t="shared" ca="1" si="322"/>
        <v>0</v>
      </c>
      <c r="HH283" s="1908">
        <f t="shared" ca="1" si="322"/>
        <v>0</v>
      </c>
      <c r="HI283" s="1908">
        <f t="shared" ca="1" si="322"/>
        <v>0</v>
      </c>
      <c r="HJ283" s="1907">
        <f t="shared" ca="1" si="322"/>
        <v>0</v>
      </c>
      <c r="HK283" s="1908">
        <f t="shared" ca="1" si="322"/>
        <v>0</v>
      </c>
      <c r="HL283" s="1908">
        <f t="shared" ca="1" si="322"/>
        <v>0</v>
      </c>
      <c r="HM283" s="1908">
        <f t="shared" ca="1" si="322"/>
        <v>0</v>
      </c>
      <c r="HN283" s="1908">
        <f t="shared" ca="1" si="322"/>
        <v>0</v>
      </c>
      <c r="HO283" s="1908">
        <f t="shared" ca="1" si="322"/>
        <v>0</v>
      </c>
      <c r="HP283" s="1908">
        <f t="shared" ca="1" si="322"/>
        <v>0</v>
      </c>
      <c r="HQ283" s="1907">
        <f t="shared" ca="1" si="322"/>
        <v>0</v>
      </c>
      <c r="HR283" s="1908">
        <f t="shared" ca="1" si="322"/>
        <v>0</v>
      </c>
      <c r="HS283" s="1908">
        <f t="shared" ca="1" si="322"/>
        <v>0</v>
      </c>
      <c r="HT283" s="1908">
        <f t="shared" ca="1" si="322"/>
        <v>0</v>
      </c>
      <c r="HU283" s="1908">
        <f t="shared" ca="1" si="322"/>
        <v>0</v>
      </c>
      <c r="HV283" s="1908">
        <f t="shared" ca="1" si="322"/>
        <v>0</v>
      </c>
      <c r="HW283" s="1908">
        <f t="shared" ca="1" si="322"/>
        <v>0</v>
      </c>
      <c r="HX283" s="1907">
        <f t="shared" ca="1" si="322"/>
        <v>0</v>
      </c>
      <c r="HY283" s="1908">
        <f t="shared" ca="1" si="322"/>
        <v>0</v>
      </c>
      <c r="HZ283" s="1908">
        <f t="shared" ca="1" si="322"/>
        <v>0</v>
      </c>
      <c r="IA283" s="1908">
        <f t="shared" ca="1" si="322"/>
        <v>0</v>
      </c>
      <c r="IB283" s="1908">
        <f t="shared" ca="1" si="322"/>
        <v>0</v>
      </c>
      <c r="IC283" s="1908">
        <f t="shared" ca="1" si="322"/>
        <v>0</v>
      </c>
      <c r="ID283" s="1908">
        <f t="shared" ca="1" si="322"/>
        <v>0</v>
      </c>
      <c r="IE283" s="1907">
        <f t="shared" ca="1" si="322"/>
        <v>0</v>
      </c>
      <c r="IF283" s="1908">
        <f t="shared" ca="1" si="322"/>
        <v>0</v>
      </c>
      <c r="IG283" s="1908">
        <f t="shared" ca="1" si="322"/>
        <v>0</v>
      </c>
      <c r="IH283" s="1908">
        <f t="shared" ca="1" si="322"/>
        <v>0</v>
      </c>
      <c r="II283" s="1908">
        <f t="shared" ca="1" si="322"/>
        <v>0</v>
      </c>
      <c r="IJ283" s="1908">
        <f t="shared" ca="1" si="322"/>
        <v>0</v>
      </c>
      <c r="IK283" s="1909">
        <f t="shared" ca="1" si="322"/>
        <v>0</v>
      </c>
    </row>
    <row r="284" spans="1:245" ht="8.1" hidden="1" customHeight="1" x14ac:dyDescent="0.35">
      <c r="A284" s="195">
        <f>IF(B283=0,0,"XXX")</f>
        <v>0</v>
      </c>
      <c r="B284" s="1960"/>
      <c r="C284" s="1966"/>
      <c r="D284" s="360">
        <f ca="1">IF(F283=0,0,"término:")</f>
        <v>0</v>
      </c>
      <c r="E284" s="361">
        <f ca="1">IF(D296&lt;D295,0,D341)</f>
        <v>46041.837500000001</v>
      </c>
      <c r="F284" s="1913"/>
      <c r="G284" s="1914"/>
      <c r="H284" s="1907"/>
      <c r="I284" s="1908"/>
      <c r="J284" s="1908"/>
      <c r="K284" s="1908"/>
      <c r="L284" s="1908"/>
      <c r="M284" s="1908"/>
      <c r="N284" s="1908"/>
      <c r="O284" s="1907"/>
      <c r="P284" s="1908"/>
      <c r="Q284" s="1908"/>
      <c r="R284" s="1908"/>
      <c r="S284" s="1908"/>
      <c r="T284" s="1908"/>
      <c r="U284" s="1908"/>
      <c r="V284" s="1907"/>
      <c r="W284" s="1908"/>
      <c r="X284" s="1908"/>
      <c r="Y284" s="1908"/>
      <c r="Z284" s="1908"/>
      <c r="AA284" s="1908"/>
      <c r="AB284" s="1908"/>
      <c r="AC284" s="1907"/>
      <c r="AD284" s="1908"/>
      <c r="AE284" s="1908"/>
      <c r="AF284" s="1908"/>
      <c r="AG284" s="1908"/>
      <c r="AH284" s="1908"/>
      <c r="AI284" s="1908"/>
      <c r="AJ284" s="1907"/>
      <c r="AK284" s="1908"/>
      <c r="AL284" s="1908"/>
      <c r="AM284" s="1908"/>
      <c r="AN284" s="1908"/>
      <c r="AO284" s="1908"/>
      <c r="AP284" s="1908"/>
      <c r="AQ284" s="1907"/>
      <c r="AR284" s="1908"/>
      <c r="AS284" s="1908"/>
      <c r="AT284" s="1908"/>
      <c r="AU284" s="1908"/>
      <c r="AV284" s="1908"/>
      <c r="AW284" s="1908"/>
      <c r="AX284" s="1907"/>
      <c r="AY284" s="1908"/>
      <c r="AZ284" s="1908"/>
      <c r="BA284" s="1908"/>
      <c r="BB284" s="1908"/>
      <c r="BC284" s="1908"/>
      <c r="BD284" s="1908"/>
      <c r="BE284" s="1907"/>
      <c r="BF284" s="1908"/>
      <c r="BG284" s="1908"/>
      <c r="BH284" s="1908"/>
      <c r="BI284" s="1908"/>
      <c r="BJ284" s="1908"/>
      <c r="BK284" s="1908"/>
      <c r="BL284" s="1907"/>
      <c r="BM284" s="1908"/>
      <c r="BN284" s="1908"/>
      <c r="BO284" s="1908"/>
      <c r="BP284" s="1908"/>
      <c r="BQ284" s="1908"/>
      <c r="BR284" s="1908"/>
      <c r="BS284" s="1907"/>
      <c r="BT284" s="1908"/>
      <c r="BU284" s="1908"/>
      <c r="BV284" s="1908"/>
      <c r="BW284" s="1908"/>
      <c r="BX284" s="1908"/>
      <c r="BY284" s="1908"/>
      <c r="BZ284" s="1907"/>
      <c r="CA284" s="1908"/>
      <c r="CB284" s="1908"/>
      <c r="CC284" s="1908"/>
      <c r="CD284" s="1908"/>
      <c r="CE284" s="1908"/>
      <c r="CF284" s="1908"/>
      <c r="CG284" s="1907"/>
      <c r="CH284" s="1908"/>
      <c r="CI284" s="1908"/>
      <c r="CJ284" s="1908"/>
      <c r="CK284" s="1908"/>
      <c r="CL284" s="1908"/>
      <c r="CM284" s="1908"/>
      <c r="CN284" s="1907"/>
      <c r="CO284" s="1908"/>
      <c r="CP284" s="1908"/>
      <c r="CQ284" s="1908"/>
      <c r="CR284" s="1908"/>
      <c r="CS284" s="1908"/>
      <c r="CT284" s="1908"/>
      <c r="CU284" s="1907"/>
      <c r="CV284" s="1908"/>
      <c r="CW284" s="1908"/>
      <c r="CX284" s="1908"/>
      <c r="CY284" s="1908"/>
      <c r="CZ284" s="1908"/>
      <c r="DA284" s="1908"/>
      <c r="DB284" s="1907"/>
      <c r="DC284" s="1908"/>
      <c r="DD284" s="1908"/>
      <c r="DE284" s="1908"/>
      <c r="DF284" s="1908"/>
      <c r="DG284" s="1908"/>
      <c r="DH284" s="1908"/>
      <c r="DI284" s="1907"/>
      <c r="DJ284" s="1908"/>
      <c r="DK284" s="1908"/>
      <c r="DL284" s="1908"/>
      <c r="DM284" s="1908"/>
      <c r="DN284" s="1908"/>
      <c r="DO284" s="1908"/>
      <c r="DP284" s="1907"/>
      <c r="DQ284" s="1908"/>
      <c r="DR284" s="1908"/>
      <c r="DS284" s="1908"/>
      <c r="DT284" s="1908"/>
      <c r="DU284" s="1908"/>
      <c r="DV284" s="1908"/>
      <c r="DW284" s="1907"/>
      <c r="DX284" s="1908"/>
      <c r="DY284" s="1908"/>
      <c r="DZ284" s="1908"/>
      <c r="EA284" s="1908"/>
      <c r="EB284" s="1908"/>
      <c r="EC284" s="1908"/>
      <c r="ED284" s="1907"/>
      <c r="EE284" s="1908"/>
      <c r="EF284" s="1908"/>
      <c r="EG284" s="1908"/>
      <c r="EH284" s="1908"/>
      <c r="EI284" s="1908"/>
      <c r="EJ284" s="1908"/>
      <c r="EK284" s="1907"/>
      <c r="EL284" s="1908"/>
      <c r="EM284" s="1908"/>
      <c r="EN284" s="1908"/>
      <c r="EO284" s="1908"/>
      <c r="EP284" s="1908"/>
      <c r="EQ284" s="1908"/>
      <c r="ER284" s="1907"/>
      <c r="ES284" s="1908"/>
      <c r="ET284" s="1908"/>
      <c r="EU284" s="1908"/>
      <c r="EV284" s="1908"/>
      <c r="EW284" s="1908"/>
      <c r="EX284" s="1908"/>
      <c r="EY284" s="1907"/>
      <c r="EZ284" s="1908"/>
      <c r="FA284" s="1908"/>
      <c r="FB284" s="1908"/>
      <c r="FC284" s="1908"/>
      <c r="FD284" s="1908"/>
      <c r="FE284" s="1908"/>
      <c r="FF284" s="1907"/>
      <c r="FG284" s="1908"/>
      <c r="FH284" s="1908"/>
      <c r="FI284" s="1908"/>
      <c r="FJ284" s="1908"/>
      <c r="FK284" s="1908"/>
      <c r="FL284" s="1908"/>
      <c r="FM284" s="1907"/>
      <c r="FN284" s="1908"/>
      <c r="FO284" s="1908"/>
      <c r="FP284" s="1908"/>
      <c r="FQ284" s="1908"/>
      <c r="FR284" s="1908"/>
      <c r="FS284" s="1908"/>
      <c r="FT284" s="1907"/>
      <c r="FU284" s="1908"/>
      <c r="FV284" s="1908"/>
      <c r="FW284" s="1908"/>
      <c r="FX284" s="1908"/>
      <c r="FY284" s="1908"/>
      <c r="FZ284" s="1908"/>
      <c r="GA284" s="1907"/>
      <c r="GB284" s="1908"/>
      <c r="GC284" s="1908"/>
      <c r="GD284" s="1908"/>
      <c r="GE284" s="1908"/>
      <c r="GF284" s="1908"/>
      <c r="GG284" s="1908"/>
      <c r="GH284" s="1907"/>
      <c r="GI284" s="1908"/>
      <c r="GJ284" s="1908"/>
      <c r="GK284" s="1908"/>
      <c r="GL284" s="1908"/>
      <c r="GM284" s="1908"/>
      <c r="GN284" s="1908"/>
      <c r="GO284" s="1907"/>
      <c r="GP284" s="1908"/>
      <c r="GQ284" s="1908"/>
      <c r="GR284" s="1908"/>
      <c r="GS284" s="1908"/>
      <c r="GT284" s="1908"/>
      <c r="GU284" s="1908"/>
      <c r="GV284" s="1907"/>
      <c r="GW284" s="1908"/>
      <c r="GX284" s="1908"/>
      <c r="GY284" s="1908"/>
      <c r="GZ284" s="1908"/>
      <c r="HA284" s="1908"/>
      <c r="HB284" s="1908"/>
      <c r="HC284" s="1907"/>
      <c r="HD284" s="1908"/>
      <c r="HE284" s="1908"/>
      <c r="HF284" s="1908"/>
      <c r="HG284" s="1908"/>
      <c r="HH284" s="1908"/>
      <c r="HI284" s="1908"/>
      <c r="HJ284" s="1907"/>
      <c r="HK284" s="1908"/>
      <c r="HL284" s="1908"/>
      <c r="HM284" s="1908"/>
      <c r="HN284" s="1908"/>
      <c r="HO284" s="1908"/>
      <c r="HP284" s="1908"/>
      <c r="HQ284" s="1907"/>
      <c r="HR284" s="1908"/>
      <c r="HS284" s="1908"/>
      <c r="HT284" s="1908"/>
      <c r="HU284" s="1908"/>
      <c r="HV284" s="1908"/>
      <c r="HW284" s="1908"/>
      <c r="HX284" s="1907"/>
      <c r="HY284" s="1908"/>
      <c r="HZ284" s="1908"/>
      <c r="IA284" s="1908"/>
      <c r="IB284" s="1908"/>
      <c r="IC284" s="1908"/>
      <c r="ID284" s="1908"/>
      <c r="IE284" s="1907"/>
      <c r="IF284" s="1908"/>
      <c r="IG284" s="1908"/>
      <c r="IH284" s="1908"/>
      <c r="II284" s="1908"/>
      <c r="IJ284" s="1908"/>
      <c r="IK284" s="1909"/>
    </row>
    <row r="285" spans="1:245" ht="7.5" hidden="1" customHeight="1" x14ac:dyDescent="0.35">
      <c r="A285" s="195">
        <f>IF(B285=0,0,"XXX")</f>
        <v>0</v>
      </c>
      <c r="B285" s="1910">
        <f>IF(ENTRADAS!M1253=0,0,ENTRADAS!C1253)</f>
        <v>0</v>
      </c>
      <c r="C285" s="1911">
        <f>IF(ENTRADAS!M1253="x",ENTRADAS!D1253,0)</f>
        <v>0</v>
      </c>
      <c r="D285" s="358" t="str">
        <f>IF(ENTRADAS!$F$22=0,0,"início:")</f>
        <v>início:</v>
      </c>
      <c r="E285" s="359">
        <f>IF(C285=0,0,IF(F286&gt;0,F286+D297,E274+2))</f>
        <v>0</v>
      </c>
      <c r="F285" s="454">
        <f>IF(C285=0,0,ENTRADAS!$H$1253)</f>
        <v>0</v>
      </c>
      <c r="G285" s="455" t="str">
        <f>IF(ENTRADAS!$F$22=0,0,"dias")</f>
        <v>dias</v>
      </c>
      <c r="H285" s="1907">
        <f t="shared" ref="H285:BS285" ca="1" si="323">IF(AND(H260&gt;$E$285-$D$297,H260&lt;=$E$286-$D$297),10,0)</f>
        <v>0</v>
      </c>
      <c r="I285" s="1908">
        <f t="shared" ca="1" si="323"/>
        <v>0</v>
      </c>
      <c r="J285" s="1908">
        <f t="shared" ca="1" si="323"/>
        <v>0</v>
      </c>
      <c r="K285" s="1908">
        <f t="shared" ca="1" si="323"/>
        <v>0</v>
      </c>
      <c r="L285" s="1908">
        <f t="shared" ca="1" si="323"/>
        <v>0</v>
      </c>
      <c r="M285" s="1908">
        <f t="shared" ca="1" si="323"/>
        <v>0</v>
      </c>
      <c r="N285" s="1908">
        <f t="shared" ca="1" si="323"/>
        <v>0</v>
      </c>
      <c r="O285" s="1907">
        <f t="shared" ca="1" si="323"/>
        <v>0</v>
      </c>
      <c r="P285" s="1908">
        <f t="shared" ca="1" si="323"/>
        <v>0</v>
      </c>
      <c r="Q285" s="1908">
        <f t="shared" ca="1" si="323"/>
        <v>0</v>
      </c>
      <c r="R285" s="1908">
        <f t="shared" ca="1" si="323"/>
        <v>0</v>
      </c>
      <c r="S285" s="1908">
        <f t="shared" ca="1" si="323"/>
        <v>0</v>
      </c>
      <c r="T285" s="1908">
        <f t="shared" ca="1" si="323"/>
        <v>0</v>
      </c>
      <c r="U285" s="1908">
        <f t="shared" ca="1" si="323"/>
        <v>0</v>
      </c>
      <c r="V285" s="1907">
        <f t="shared" ca="1" si="323"/>
        <v>0</v>
      </c>
      <c r="W285" s="1908">
        <f t="shared" ca="1" si="323"/>
        <v>0</v>
      </c>
      <c r="X285" s="1908">
        <f t="shared" ca="1" si="323"/>
        <v>0</v>
      </c>
      <c r="Y285" s="1908">
        <f t="shared" ca="1" si="323"/>
        <v>0</v>
      </c>
      <c r="Z285" s="1908">
        <f t="shared" ca="1" si="323"/>
        <v>0</v>
      </c>
      <c r="AA285" s="1908">
        <f t="shared" ca="1" si="323"/>
        <v>0</v>
      </c>
      <c r="AB285" s="1908">
        <f t="shared" ca="1" si="323"/>
        <v>0</v>
      </c>
      <c r="AC285" s="1907">
        <f t="shared" ca="1" si="323"/>
        <v>0</v>
      </c>
      <c r="AD285" s="1908">
        <f t="shared" ca="1" si="323"/>
        <v>0</v>
      </c>
      <c r="AE285" s="1908">
        <f t="shared" ca="1" si="323"/>
        <v>0</v>
      </c>
      <c r="AF285" s="1908">
        <f t="shared" ca="1" si="323"/>
        <v>0</v>
      </c>
      <c r="AG285" s="1908">
        <f t="shared" ca="1" si="323"/>
        <v>0</v>
      </c>
      <c r="AH285" s="1908">
        <f t="shared" ca="1" si="323"/>
        <v>0</v>
      </c>
      <c r="AI285" s="1908">
        <f t="shared" ca="1" si="323"/>
        <v>0</v>
      </c>
      <c r="AJ285" s="1907">
        <f t="shared" ca="1" si="323"/>
        <v>0</v>
      </c>
      <c r="AK285" s="1908">
        <f t="shared" ca="1" si="323"/>
        <v>0</v>
      </c>
      <c r="AL285" s="1908">
        <f t="shared" ca="1" si="323"/>
        <v>0</v>
      </c>
      <c r="AM285" s="1908">
        <f t="shared" ca="1" si="323"/>
        <v>0</v>
      </c>
      <c r="AN285" s="1908">
        <f t="shared" ca="1" si="323"/>
        <v>0</v>
      </c>
      <c r="AO285" s="1908">
        <f t="shared" ca="1" si="323"/>
        <v>0</v>
      </c>
      <c r="AP285" s="1908">
        <f t="shared" ca="1" si="323"/>
        <v>0</v>
      </c>
      <c r="AQ285" s="1907">
        <f t="shared" ca="1" si="323"/>
        <v>0</v>
      </c>
      <c r="AR285" s="1908">
        <f t="shared" ca="1" si="323"/>
        <v>0</v>
      </c>
      <c r="AS285" s="1908">
        <f t="shared" ca="1" si="323"/>
        <v>0</v>
      </c>
      <c r="AT285" s="1908">
        <f t="shared" ca="1" si="323"/>
        <v>0</v>
      </c>
      <c r="AU285" s="1908">
        <f t="shared" ca="1" si="323"/>
        <v>0</v>
      </c>
      <c r="AV285" s="1908">
        <f t="shared" ca="1" si="323"/>
        <v>0</v>
      </c>
      <c r="AW285" s="1908">
        <f t="shared" ca="1" si="323"/>
        <v>0</v>
      </c>
      <c r="AX285" s="1907">
        <f t="shared" ca="1" si="323"/>
        <v>0</v>
      </c>
      <c r="AY285" s="1908">
        <f t="shared" ca="1" si="323"/>
        <v>0</v>
      </c>
      <c r="AZ285" s="1908">
        <f t="shared" ca="1" si="323"/>
        <v>0</v>
      </c>
      <c r="BA285" s="1908">
        <f t="shared" ca="1" si="323"/>
        <v>0</v>
      </c>
      <c r="BB285" s="1908">
        <f t="shared" ca="1" si="323"/>
        <v>0</v>
      </c>
      <c r="BC285" s="1908">
        <f t="shared" ca="1" si="323"/>
        <v>0</v>
      </c>
      <c r="BD285" s="1908">
        <f t="shared" ca="1" si="323"/>
        <v>0</v>
      </c>
      <c r="BE285" s="1907">
        <f t="shared" ca="1" si="323"/>
        <v>0</v>
      </c>
      <c r="BF285" s="1908">
        <f t="shared" ca="1" si="323"/>
        <v>0</v>
      </c>
      <c r="BG285" s="1908">
        <f t="shared" ca="1" si="323"/>
        <v>0</v>
      </c>
      <c r="BH285" s="1908">
        <f t="shared" ca="1" si="323"/>
        <v>0</v>
      </c>
      <c r="BI285" s="1908">
        <f t="shared" ca="1" si="323"/>
        <v>0</v>
      </c>
      <c r="BJ285" s="1908">
        <f t="shared" ca="1" si="323"/>
        <v>0</v>
      </c>
      <c r="BK285" s="1908">
        <f t="shared" ca="1" si="323"/>
        <v>0</v>
      </c>
      <c r="BL285" s="1907">
        <f t="shared" ca="1" si="323"/>
        <v>0</v>
      </c>
      <c r="BM285" s="1908">
        <f t="shared" ca="1" si="323"/>
        <v>0</v>
      </c>
      <c r="BN285" s="1908">
        <f t="shared" ca="1" si="323"/>
        <v>0</v>
      </c>
      <c r="BO285" s="1908">
        <f t="shared" ca="1" si="323"/>
        <v>0</v>
      </c>
      <c r="BP285" s="1908">
        <f t="shared" ca="1" si="323"/>
        <v>0</v>
      </c>
      <c r="BQ285" s="1908">
        <f t="shared" ca="1" si="323"/>
        <v>0</v>
      </c>
      <c r="BR285" s="1908">
        <f t="shared" ca="1" si="323"/>
        <v>0</v>
      </c>
      <c r="BS285" s="1907">
        <f t="shared" ca="1" si="323"/>
        <v>0</v>
      </c>
      <c r="BT285" s="1908">
        <f t="shared" ref="BT285:CT285" ca="1" si="324">IF(AND(BT260&gt;$E$285-$D$297,BT260&lt;=$E$286-$D$297),10,0)</f>
        <v>0</v>
      </c>
      <c r="BU285" s="1908">
        <f t="shared" ca="1" si="324"/>
        <v>0</v>
      </c>
      <c r="BV285" s="1908">
        <f t="shared" ca="1" si="324"/>
        <v>0</v>
      </c>
      <c r="BW285" s="1908">
        <f t="shared" ca="1" si="324"/>
        <v>0</v>
      </c>
      <c r="BX285" s="1908">
        <f t="shared" ca="1" si="324"/>
        <v>0</v>
      </c>
      <c r="BY285" s="1908">
        <f t="shared" ca="1" si="324"/>
        <v>0</v>
      </c>
      <c r="BZ285" s="1907">
        <f t="shared" ca="1" si="324"/>
        <v>0</v>
      </c>
      <c r="CA285" s="1908">
        <f t="shared" ca="1" si="324"/>
        <v>0</v>
      </c>
      <c r="CB285" s="1908">
        <f t="shared" ca="1" si="324"/>
        <v>0</v>
      </c>
      <c r="CC285" s="1908">
        <f t="shared" ca="1" si="324"/>
        <v>0</v>
      </c>
      <c r="CD285" s="1908">
        <f t="shared" ca="1" si="324"/>
        <v>0</v>
      </c>
      <c r="CE285" s="1908">
        <f t="shared" ca="1" si="324"/>
        <v>0</v>
      </c>
      <c r="CF285" s="1908">
        <f t="shared" ca="1" si="324"/>
        <v>0</v>
      </c>
      <c r="CG285" s="1907">
        <f t="shared" ca="1" si="324"/>
        <v>0</v>
      </c>
      <c r="CH285" s="1908">
        <f t="shared" ca="1" si="324"/>
        <v>0</v>
      </c>
      <c r="CI285" s="1908">
        <f t="shared" ca="1" si="324"/>
        <v>0</v>
      </c>
      <c r="CJ285" s="1908">
        <f t="shared" ca="1" si="324"/>
        <v>0</v>
      </c>
      <c r="CK285" s="1908">
        <f t="shared" ca="1" si="324"/>
        <v>0</v>
      </c>
      <c r="CL285" s="1908">
        <f t="shared" ca="1" si="324"/>
        <v>0</v>
      </c>
      <c r="CM285" s="1908">
        <f t="shared" ca="1" si="324"/>
        <v>0</v>
      </c>
      <c r="CN285" s="1907">
        <f t="shared" ca="1" si="324"/>
        <v>0</v>
      </c>
      <c r="CO285" s="1908">
        <f t="shared" ca="1" si="324"/>
        <v>0</v>
      </c>
      <c r="CP285" s="1908">
        <f t="shared" ca="1" si="324"/>
        <v>0</v>
      </c>
      <c r="CQ285" s="1908">
        <f t="shared" ca="1" si="324"/>
        <v>0</v>
      </c>
      <c r="CR285" s="1908">
        <f t="shared" ca="1" si="324"/>
        <v>0</v>
      </c>
      <c r="CS285" s="1908">
        <f t="shared" ca="1" si="324"/>
        <v>0</v>
      </c>
      <c r="CT285" s="1908">
        <f t="shared" ca="1" si="324"/>
        <v>0</v>
      </c>
      <c r="CU285" s="1907">
        <f t="shared" ref="CU285:DH285" ca="1" si="325">IF(AND(CU260&gt;$E$285-$D$297,CU260&lt;=$E$286-$D$297),10,0)</f>
        <v>0</v>
      </c>
      <c r="CV285" s="1908">
        <f t="shared" ca="1" si="325"/>
        <v>0</v>
      </c>
      <c r="CW285" s="1908">
        <f t="shared" ca="1" si="325"/>
        <v>0</v>
      </c>
      <c r="CX285" s="1908">
        <f t="shared" ca="1" si="325"/>
        <v>0</v>
      </c>
      <c r="CY285" s="1908">
        <f t="shared" ca="1" si="325"/>
        <v>0</v>
      </c>
      <c r="CZ285" s="1908">
        <f t="shared" ca="1" si="325"/>
        <v>0</v>
      </c>
      <c r="DA285" s="1908">
        <f t="shared" ca="1" si="325"/>
        <v>0</v>
      </c>
      <c r="DB285" s="1907">
        <f t="shared" ca="1" si="325"/>
        <v>0</v>
      </c>
      <c r="DC285" s="1908">
        <f t="shared" ca="1" si="325"/>
        <v>0</v>
      </c>
      <c r="DD285" s="1908">
        <f t="shared" ca="1" si="325"/>
        <v>0</v>
      </c>
      <c r="DE285" s="1908">
        <f t="shared" ca="1" si="325"/>
        <v>0</v>
      </c>
      <c r="DF285" s="1908">
        <f t="shared" ca="1" si="325"/>
        <v>0</v>
      </c>
      <c r="DG285" s="1908">
        <f t="shared" ca="1" si="325"/>
        <v>0</v>
      </c>
      <c r="DH285" s="1908">
        <f t="shared" ca="1" si="325"/>
        <v>0</v>
      </c>
      <c r="DI285" s="1907">
        <f t="shared" ref="DI285:FT285" ca="1" si="326">IF(AND(DI260&gt;$E$285-$D$297,DI260&lt;=$E$286-$D$297),10,0)</f>
        <v>0</v>
      </c>
      <c r="DJ285" s="1908">
        <f t="shared" ca="1" si="326"/>
        <v>0</v>
      </c>
      <c r="DK285" s="1908">
        <f t="shared" ca="1" si="326"/>
        <v>0</v>
      </c>
      <c r="DL285" s="1908">
        <f t="shared" ca="1" si="326"/>
        <v>0</v>
      </c>
      <c r="DM285" s="1908">
        <f t="shared" ca="1" si="326"/>
        <v>0</v>
      </c>
      <c r="DN285" s="1908">
        <f t="shared" ca="1" si="326"/>
        <v>0</v>
      </c>
      <c r="DO285" s="1908">
        <f t="shared" ca="1" si="326"/>
        <v>0</v>
      </c>
      <c r="DP285" s="1907">
        <f t="shared" ca="1" si="326"/>
        <v>0</v>
      </c>
      <c r="DQ285" s="1908">
        <f t="shared" ca="1" si="326"/>
        <v>0</v>
      </c>
      <c r="DR285" s="1908">
        <f t="shared" ca="1" si="326"/>
        <v>0</v>
      </c>
      <c r="DS285" s="1908">
        <f t="shared" ca="1" si="326"/>
        <v>0</v>
      </c>
      <c r="DT285" s="1908">
        <f t="shared" ca="1" si="326"/>
        <v>0</v>
      </c>
      <c r="DU285" s="1908">
        <f t="shared" ca="1" si="326"/>
        <v>0</v>
      </c>
      <c r="DV285" s="1908">
        <f t="shared" ca="1" si="326"/>
        <v>0</v>
      </c>
      <c r="DW285" s="1907">
        <f t="shared" ca="1" si="326"/>
        <v>0</v>
      </c>
      <c r="DX285" s="1908">
        <f t="shared" ca="1" si="326"/>
        <v>0</v>
      </c>
      <c r="DY285" s="1908">
        <f t="shared" ca="1" si="326"/>
        <v>0</v>
      </c>
      <c r="DZ285" s="1908">
        <f t="shared" ca="1" si="326"/>
        <v>0</v>
      </c>
      <c r="EA285" s="1908">
        <f t="shared" ca="1" si="326"/>
        <v>0</v>
      </c>
      <c r="EB285" s="1908">
        <f t="shared" ca="1" si="326"/>
        <v>0</v>
      </c>
      <c r="EC285" s="1908">
        <f t="shared" ca="1" si="326"/>
        <v>0</v>
      </c>
      <c r="ED285" s="1907">
        <f t="shared" ca="1" si="326"/>
        <v>0</v>
      </c>
      <c r="EE285" s="1908">
        <f t="shared" ca="1" si="326"/>
        <v>0</v>
      </c>
      <c r="EF285" s="1908">
        <f t="shared" ca="1" si="326"/>
        <v>0</v>
      </c>
      <c r="EG285" s="1908">
        <f t="shared" ca="1" si="326"/>
        <v>0</v>
      </c>
      <c r="EH285" s="1908">
        <f t="shared" ca="1" si="326"/>
        <v>0</v>
      </c>
      <c r="EI285" s="1908">
        <f t="shared" ca="1" si="326"/>
        <v>0</v>
      </c>
      <c r="EJ285" s="1908">
        <f t="shared" ca="1" si="326"/>
        <v>0</v>
      </c>
      <c r="EK285" s="1907">
        <f t="shared" ca="1" si="326"/>
        <v>0</v>
      </c>
      <c r="EL285" s="1908">
        <f t="shared" ca="1" si="326"/>
        <v>0</v>
      </c>
      <c r="EM285" s="1908">
        <f t="shared" ca="1" si="326"/>
        <v>0</v>
      </c>
      <c r="EN285" s="1908">
        <f t="shared" ca="1" si="326"/>
        <v>0</v>
      </c>
      <c r="EO285" s="1908">
        <f t="shared" ca="1" si="326"/>
        <v>0</v>
      </c>
      <c r="EP285" s="1908">
        <f t="shared" ca="1" si="326"/>
        <v>0</v>
      </c>
      <c r="EQ285" s="1908">
        <f t="shared" ca="1" si="326"/>
        <v>0</v>
      </c>
      <c r="ER285" s="1907">
        <f t="shared" ca="1" si="326"/>
        <v>0</v>
      </c>
      <c r="ES285" s="1908">
        <f t="shared" ca="1" si="326"/>
        <v>0</v>
      </c>
      <c r="ET285" s="1908">
        <f t="shared" ca="1" si="326"/>
        <v>0</v>
      </c>
      <c r="EU285" s="1908">
        <f t="shared" ca="1" si="326"/>
        <v>0</v>
      </c>
      <c r="EV285" s="1908">
        <f t="shared" ca="1" si="326"/>
        <v>0</v>
      </c>
      <c r="EW285" s="1908">
        <f t="shared" ca="1" si="326"/>
        <v>0</v>
      </c>
      <c r="EX285" s="1908">
        <f t="shared" ca="1" si="326"/>
        <v>0</v>
      </c>
      <c r="EY285" s="1907">
        <f t="shared" ca="1" si="326"/>
        <v>0</v>
      </c>
      <c r="EZ285" s="1908">
        <f t="shared" ca="1" si="326"/>
        <v>0</v>
      </c>
      <c r="FA285" s="1908">
        <f t="shared" ca="1" si="326"/>
        <v>0</v>
      </c>
      <c r="FB285" s="1908">
        <f t="shared" ca="1" si="326"/>
        <v>0</v>
      </c>
      <c r="FC285" s="1908">
        <f t="shared" ca="1" si="326"/>
        <v>0</v>
      </c>
      <c r="FD285" s="1908">
        <f t="shared" ca="1" si="326"/>
        <v>0</v>
      </c>
      <c r="FE285" s="1908">
        <f t="shared" ca="1" si="326"/>
        <v>0</v>
      </c>
      <c r="FF285" s="1907">
        <f t="shared" ca="1" si="326"/>
        <v>0</v>
      </c>
      <c r="FG285" s="1908">
        <f t="shared" ca="1" si="326"/>
        <v>0</v>
      </c>
      <c r="FH285" s="1908">
        <f t="shared" ca="1" si="326"/>
        <v>0</v>
      </c>
      <c r="FI285" s="1908">
        <f t="shared" ca="1" si="326"/>
        <v>0</v>
      </c>
      <c r="FJ285" s="1908">
        <f t="shared" ca="1" si="326"/>
        <v>0</v>
      </c>
      <c r="FK285" s="1908">
        <f t="shared" ca="1" si="326"/>
        <v>0</v>
      </c>
      <c r="FL285" s="1908">
        <f t="shared" ca="1" si="326"/>
        <v>0</v>
      </c>
      <c r="FM285" s="1907">
        <f t="shared" ca="1" si="326"/>
        <v>0</v>
      </c>
      <c r="FN285" s="1908">
        <f t="shared" ca="1" si="326"/>
        <v>0</v>
      </c>
      <c r="FO285" s="1908">
        <f t="shared" ca="1" si="326"/>
        <v>0</v>
      </c>
      <c r="FP285" s="1908">
        <f t="shared" ca="1" si="326"/>
        <v>0</v>
      </c>
      <c r="FQ285" s="1908">
        <f t="shared" ca="1" si="326"/>
        <v>0</v>
      </c>
      <c r="FR285" s="1908">
        <f t="shared" ca="1" si="326"/>
        <v>0</v>
      </c>
      <c r="FS285" s="1908">
        <f t="shared" ca="1" si="326"/>
        <v>0</v>
      </c>
      <c r="FT285" s="1907">
        <f t="shared" ca="1" si="326"/>
        <v>0</v>
      </c>
      <c r="FU285" s="1908">
        <f t="shared" ref="FU285:IF285" ca="1" si="327">IF(AND(FU260&gt;$E$285-$D$297,FU260&lt;=$E$286-$D$297),10,0)</f>
        <v>0</v>
      </c>
      <c r="FV285" s="1908">
        <f t="shared" ca="1" si="327"/>
        <v>0</v>
      </c>
      <c r="FW285" s="1908">
        <f t="shared" ca="1" si="327"/>
        <v>0</v>
      </c>
      <c r="FX285" s="1908">
        <f t="shared" ca="1" si="327"/>
        <v>0</v>
      </c>
      <c r="FY285" s="1908">
        <f t="shared" ca="1" si="327"/>
        <v>0</v>
      </c>
      <c r="FZ285" s="1908">
        <f t="shared" ca="1" si="327"/>
        <v>0</v>
      </c>
      <c r="GA285" s="1907">
        <f t="shared" ca="1" si="327"/>
        <v>0</v>
      </c>
      <c r="GB285" s="1908">
        <f t="shared" ca="1" si="327"/>
        <v>0</v>
      </c>
      <c r="GC285" s="1908">
        <f t="shared" ca="1" si="327"/>
        <v>0</v>
      </c>
      <c r="GD285" s="1908">
        <f t="shared" ca="1" si="327"/>
        <v>0</v>
      </c>
      <c r="GE285" s="1908">
        <f t="shared" ca="1" si="327"/>
        <v>0</v>
      </c>
      <c r="GF285" s="1908">
        <f t="shared" ca="1" si="327"/>
        <v>0</v>
      </c>
      <c r="GG285" s="1908">
        <f t="shared" ca="1" si="327"/>
        <v>0</v>
      </c>
      <c r="GH285" s="1907">
        <f t="shared" ca="1" si="327"/>
        <v>0</v>
      </c>
      <c r="GI285" s="1908">
        <f t="shared" ca="1" si="327"/>
        <v>0</v>
      </c>
      <c r="GJ285" s="1908">
        <f t="shared" ca="1" si="327"/>
        <v>0</v>
      </c>
      <c r="GK285" s="1908">
        <f t="shared" ca="1" si="327"/>
        <v>0</v>
      </c>
      <c r="GL285" s="1908">
        <f t="shared" ca="1" si="327"/>
        <v>0</v>
      </c>
      <c r="GM285" s="1908">
        <f t="shared" ca="1" si="327"/>
        <v>0</v>
      </c>
      <c r="GN285" s="1908">
        <f t="shared" ca="1" si="327"/>
        <v>0</v>
      </c>
      <c r="GO285" s="1907">
        <f t="shared" ca="1" si="327"/>
        <v>0</v>
      </c>
      <c r="GP285" s="1908">
        <f t="shared" ca="1" si="327"/>
        <v>0</v>
      </c>
      <c r="GQ285" s="1908">
        <f t="shared" ca="1" si="327"/>
        <v>0</v>
      </c>
      <c r="GR285" s="1908">
        <f t="shared" ca="1" si="327"/>
        <v>0</v>
      </c>
      <c r="GS285" s="1908">
        <f t="shared" ca="1" si="327"/>
        <v>0</v>
      </c>
      <c r="GT285" s="1908">
        <f t="shared" ca="1" si="327"/>
        <v>0</v>
      </c>
      <c r="GU285" s="1908">
        <f t="shared" ca="1" si="327"/>
        <v>0</v>
      </c>
      <c r="GV285" s="1907">
        <f t="shared" ca="1" si="327"/>
        <v>0</v>
      </c>
      <c r="GW285" s="1908">
        <f t="shared" ca="1" si="327"/>
        <v>0</v>
      </c>
      <c r="GX285" s="1908">
        <f t="shared" ca="1" si="327"/>
        <v>0</v>
      </c>
      <c r="GY285" s="1908">
        <f t="shared" ca="1" si="327"/>
        <v>0</v>
      </c>
      <c r="GZ285" s="1908">
        <f t="shared" ca="1" si="327"/>
        <v>0</v>
      </c>
      <c r="HA285" s="1908">
        <f t="shared" ca="1" si="327"/>
        <v>0</v>
      </c>
      <c r="HB285" s="1908">
        <f t="shared" ca="1" si="327"/>
        <v>0</v>
      </c>
      <c r="HC285" s="1907">
        <f t="shared" ca="1" si="327"/>
        <v>0</v>
      </c>
      <c r="HD285" s="1908">
        <f t="shared" ca="1" si="327"/>
        <v>0</v>
      </c>
      <c r="HE285" s="1908">
        <f t="shared" ca="1" si="327"/>
        <v>0</v>
      </c>
      <c r="HF285" s="1908">
        <f t="shared" ca="1" si="327"/>
        <v>0</v>
      </c>
      <c r="HG285" s="1908">
        <f t="shared" ca="1" si="327"/>
        <v>0</v>
      </c>
      <c r="HH285" s="1908">
        <f t="shared" ca="1" si="327"/>
        <v>0</v>
      </c>
      <c r="HI285" s="1908">
        <f t="shared" ca="1" si="327"/>
        <v>0</v>
      </c>
      <c r="HJ285" s="1907">
        <f t="shared" ca="1" si="327"/>
        <v>0</v>
      </c>
      <c r="HK285" s="1908">
        <f t="shared" ca="1" si="327"/>
        <v>0</v>
      </c>
      <c r="HL285" s="1908">
        <f t="shared" ca="1" si="327"/>
        <v>0</v>
      </c>
      <c r="HM285" s="1908">
        <f t="shared" ca="1" si="327"/>
        <v>0</v>
      </c>
      <c r="HN285" s="1908">
        <f t="shared" ca="1" si="327"/>
        <v>0</v>
      </c>
      <c r="HO285" s="1908">
        <f t="shared" ca="1" si="327"/>
        <v>0</v>
      </c>
      <c r="HP285" s="1908">
        <f t="shared" ca="1" si="327"/>
        <v>0</v>
      </c>
      <c r="HQ285" s="1907">
        <f t="shared" ca="1" si="327"/>
        <v>0</v>
      </c>
      <c r="HR285" s="1908">
        <f t="shared" ca="1" si="327"/>
        <v>0</v>
      </c>
      <c r="HS285" s="1908">
        <f t="shared" ca="1" si="327"/>
        <v>0</v>
      </c>
      <c r="HT285" s="1908">
        <f t="shared" ca="1" si="327"/>
        <v>0</v>
      </c>
      <c r="HU285" s="1908">
        <f t="shared" ca="1" si="327"/>
        <v>0</v>
      </c>
      <c r="HV285" s="1908">
        <f t="shared" ca="1" si="327"/>
        <v>0</v>
      </c>
      <c r="HW285" s="1908">
        <f t="shared" ca="1" si="327"/>
        <v>0</v>
      </c>
      <c r="HX285" s="1907">
        <f t="shared" ca="1" si="327"/>
        <v>0</v>
      </c>
      <c r="HY285" s="1908">
        <f t="shared" ca="1" si="327"/>
        <v>0</v>
      </c>
      <c r="HZ285" s="1908">
        <f t="shared" ca="1" si="327"/>
        <v>0</v>
      </c>
      <c r="IA285" s="1908">
        <f t="shared" ca="1" si="327"/>
        <v>0</v>
      </c>
      <c r="IB285" s="1908">
        <f t="shared" ca="1" si="327"/>
        <v>0</v>
      </c>
      <c r="IC285" s="1908">
        <f t="shared" ca="1" si="327"/>
        <v>0</v>
      </c>
      <c r="ID285" s="1908">
        <f t="shared" ca="1" si="327"/>
        <v>0</v>
      </c>
      <c r="IE285" s="1907">
        <f t="shared" ca="1" si="327"/>
        <v>0</v>
      </c>
      <c r="IF285" s="1908">
        <f t="shared" ca="1" si="327"/>
        <v>0</v>
      </c>
      <c r="IG285" s="1908">
        <f ca="1">IF(AND(IG260&gt;$E$285-$D$297,IG260&lt;=$E$286-$D$297),10,0)</f>
        <v>0</v>
      </c>
      <c r="IH285" s="1908">
        <f ca="1">IF(AND(IH260&gt;$E$285-$D$297,IH260&lt;=$E$286-$D$297),10,0)</f>
        <v>0</v>
      </c>
      <c r="II285" s="1908">
        <f ca="1">IF(AND(II260&gt;$E$285-$D$297,II260&lt;=$E$286-$D$297),10,0)</f>
        <v>0</v>
      </c>
      <c r="IJ285" s="1908">
        <f ca="1">IF(AND(IJ260&gt;$E$285-$D$297,IJ260&lt;=$E$286-$D$297),10,0)</f>
        <v>0</v>
      </c>
      <c r="IK285" s="1909">
        <f ca="1">IF(AND(IK260&gt;$E$285-$D$297,IK260&lt;=$E$286-$D$297),10,0)</f>
        <v>0</v>
      </c>
    </row>
    <row r="286" spans="1:245" ht="7.5" hidden="1" customHeight="1" x14ac:dyDescent="0.35">
      <c r="A286" s="195">
        <f>IF(B285=0,0,"XXX")</f>
        <v>0</v>
      </c>
      <c r="B286" s="1910"/>
      <c r="C286" s="1912"/>
      <c r="D286" s="360" t="str">
        <f>IF(ENTRADAS!$F$22=0,0,"término:")</f>
        <v>término:</v>
      </c>
      <c r="E286" s="361">
        <f>IF(C285=0,0,E285+F285)</f>
        <v>0</v>
      </c>
      <c r="F286" s="1913"/>
      <c r="G286" s="1914"/>
      <c r="H286" s="1907"/>
      <c r="I286" s="1908"/>
      <c r="J286" s="1908"/>
      <c r="K286" s="1908"/>
      <c r="L286" s="1908"/>
      <c r="M286" s="1908"/>
      <c r="N286" s="1908"/>
      <c r="O286" s="1907"/>
      <c r="P286" s="1908"/>
      <c r="Q286" s="1908"/>
      <c r="R286" s="1908"/>
      <c r="S286" s="1908"/>
      <c r="T286" s="1908"/>
      <c r="U286" s="1908"/>
      <c r="V286" s="1907"/>
      <c r="W286" s="1908"/>
      <c r="X286" s="1908"/>
      <c r="Y286" s="1908"/>
      <c r="Z286" s="1908"/>
      <c r="AA286" s="1908"/>
      <c r="AB286" s="1908"/>
      <c r="AC286" s="1907"/>
      <c r="AD286" s="1908"/>
      <c r="AE286" s="1908"/>
      <c r="AF286" s="1908"/>
      <c r="AG286" s="1908"/>
      <c r="AH286" s="1908"/>
      <c r="AI286" s="1908"/>
      <c r="AJ286" s="1907"/>
      <c r="AK286" s="1908"/>
      <c r="AL286" s="1908"/>
      <c r="AM286" s="1908"/>
      <c r="AN286" s="1908"/>
      <c r="AO286" s="1908"/>
      <c r="AP286" s="1908"/>
      <c r="AQ286" s="1907"/>
      <c r="AR286" s="1908"/>
      <c r="AS286" s="1908"/>
      <c r="AT286" s="1908"/>
      <c r="AU286" s="1908"/>
      <c r="AV286" s="1908"/>
      <c r="AW286" s="1908"/>
      <c r="AX286" s="1907"/>
      <c r="AY286" s="1908"/>
      <c r="AZ286" s="1908"/>
      <c r="BA286" s="1908"/>
      <c r="BB286" s="1908"/>
      <c r="BC286" s="1908"/>
      <c r="BD286" s="1908"/>
      <c r="BE286" s="1907"/>
      <c r="BF286" s="1908"/>
      <c r="BG286" s="1908"/>
      <c r="BH286" s="1908"/>
      <c r="BI286" s="1908"/>
      <c r="BJ286" s="1908"/>
      <c r="BK286" s="1908"/>
      <c r="BL286" s="1907"/>
      <c r="BM286" s="1908"/>
      <c r="BN286" s="1908"/>
      <c r="BO286" s="1908"/>
      <c r="BP286" s="1908"/>
      <c r="BQ286" s="1908"/>
      <c r="BR286" s="1908"/>
      <c r="BS286" s="1907"/>
      <c r="BT286" s="1908"/>
      <c r="BU286" s="1908"/>
      <c r="BV286" s="1908"/>
      <c r="BW286" s="1908"/>
      <c r="BX286" s="1908"/>
      <c r="BY286" s="1908"/>
      <c r="BZ286" s="1907"/>
      <c r="CA286" s="1908"/>
      <c r="CB286" s="1908"/>
      <c r="CC286" s="1908"/>
      <c r="CD286" s="1908"/>
      <c r="CE286" s="1908"/>
      <c r="CF286" s="1908"/>
      <c r="CG286" s="1907"/>
      <c r="CH286" s="1908"/>
      <c r="CI286" s="1908"/>
      <c r="CJ286" s="1908"/>
      <c r="CK286" s="1908"/>
      <c r="CL286" s="1908"/>
      <c r="CM286" s="1908"/>
      <c r="CN286" s="1907"/>
      <c r="CO286" s="1908"/>
      <c r="CP286" s="1908"/>
      <c r="CQ286" s="1908"/>
      <c r="CR286" s="1908"/>
      <c r="CS286" s="1908"/>
      <c r="CT286" s="1908"/>
      <c r="CU286" s="1907"/>
      <c r="CV286" s="1908"/>
      <c r="CW286" s="1908"/>
      <c r="CX286" s="1908"/>
      <c r="CY286" s="1908"/>
      <c r="CZ286" s="1908"/>
      <c r="DA286" s="1908"/>
      <c r="DB286" s="1907"/>
      <c r="DC286" s="1908"/>
      <c r="DD286" s="1908"/>
      <c r="DE286" s="1908"/>
      <c r="DF286" s="1908"/>
      <c r="DG286" s="1908"/>
      <c r="DH286" s="1908"/>
      <c r="DI286" s="1907"/>
      <c r="DJ286" s="1908"/>
      <c r="DK286" s="1908"/>
      <c r="DL286" s="1908"/>
      <c r="DM286" s="1908"/>
      <c r="DN286" s="1908"/>
      <c r="DO286" s="1908"/>
      <c r="DP286" s="1907"/>
      <c r="DQ286" s="1908"/>
      <c r="DR286" s="1908"/>
      <c r="DS286" s="1908"/>
      <c r="DT286" s="1908"/>
      <c r="DU286" s="1908"/>
      <c r="DV286" s="1908"/>
      <c r="DW286" s="1907"/>
      <c r="DX286" s="1908"/>
      <c r="DY286" s="1908"/>
      <c r="DZ286" s="1908"/>
      <c r="EA286" s="1908"/>
      <c r="EB286" s="1908"/>
      <c r="EC286" s="1908"/>
      <c r="ED286" s="1907"/>
      <c r="EE286" s="1908"/>
      <c r="EF286" s="1908"/>
      <c r="EG286" s="1908"/>
      <c r="EH286" s="1908"/>
      <c r="EI286" s="1908"/>
      <c r="EJ286" s="1908"/>
      <c r="EK286" s="1907"/>
      <c r="EL286" s="1908"/>
      <c r="EM286" s="1908"/>
      <c r="EN286" s="1908"/>
      <c r="EO286" s="1908"/>
      <c r="EP286" s="1908"/>
      <c r="EQ286" s="1908"/>
      <c r="ER286" s="1907"/>
      <c r="ES286" s="1908"/>
      <c r="ET286" s="1908"/>
      <c r="EU286" s="1908"/>
      <c r="EV286" s="1908"/>
      <c r="EW286" s="1908"/>
      <c r="EX286" s="1908"/>
      <c r="EY286" s="1907"/>
      <c r="EZ286" s="1908"/>
      <c r="FA286" s="1908"/>
      <c r="FB286" s="1908"/>
      <c r="FC286" s="1908"/>
      <c r="FD286" s="1908"/>
      <c r="FE286" s="1908"/>
      <c r="FF286" s="1907"/>
      <c r="FG286" s="1908"/>
      <c r="FH286" s="1908"/>
      <c r="FI286" s="1908"/>
      <c r="FJ286" s="1908"/>
      <c r="FK286" s="1908"/>
      <c r="FL286" s="1908"/>
      <c r="FM286" s="1907"/>
      <c r="FN286" s="1908"/>
      <c r="FO286" s="1908"/>
      <c r="FP286" s="1908"/>
      <c r="FQ286" s="1908"/>
      <c r="FR286" s="1908"/>
      <c r="FS286" s="1908"/>
      <c r="FT286" s="1907"/>
      <c r="FU286" s="1908"/>
      <c r="FV286" s="1908"/>
      <c r="FW286" s="1908"/>
      <c r="FX286" s="1908"/>
      <c r="FY286" s="1908"/>
      <c r="FZ286" s="1908"/>
      <c r="GA286" s="1907"/>
      <c r="GB286" s="1908"/>
      <c r="GC286" s="1908"/>
      <c r="GD286" s="1908"/>
      <c r="GE286" s="1908"/>
      <c r="GF286" s="1908"/>
      <c r="GG286" s="1908"/>
      <c r="GH286" s="1907"/>
      <c r="GI286" s="1908"/>
      <c r="GJ286" s="1908"/>
      <c r="GK286" s="1908"/>
      <c r="GL286" s="1908"/>
      <c r="GM286" s="1908"/>
      <c r="GN286" s="1908"/>
      <c r="GO286" s="1907"/>
      <c r="GP286" s="1908"/>
      <c r="GQ286" s="1908"/>
      <c r="GR286" s="1908"/>
      <c r="GS286" s="1908"/>
      <c r="GT286" s="1908"/>
      <c r="GU286" s="1908"/>
      <c r="GV286" s="1907"/>
      <c r="GW286" s="1908"/>
      <c r="GX286" s="1908"/>
      <c r="GY286" s="1908"/>
      <c r="GZ286" s="1908"/>
      <c r="HA286" s="1908"/>
      <c r="HB286" s="1908"/>
      <c r="HC286" s="1907"/>
      <c r="HD286" s="1908"/>
      <c r="HE286" s="1908"/>
      <c r="HF286" s="1908"/>
      <c r="HG286" s="1908"/>
      <c r="HH286" s="1908"/>
      <c r="HI286" s="1908"/>
      <c r="HJ286" s="1907"/>
      <c r="HK286" s="1908"/>
      <c r="HL286" s="1908"/>
      <c r="HM286" s="1908"/>
      <c r="HN286" s="1908"/>
      <c r="HO286" s="1908"/>
      <c r="HP286" s="1908"/>
      <c r="HQ286" s="1907"/>
      <c r="HR286" s="1908"/>
      <c r="HS286" s="1908"/>
      <c r="HT286" s="1908"/>
      <c r="HU286" s="1908"/>
      <c r="HV286" s="1908"/>
      <c r="HW286" s="1908"/>
      <c r="HX286" s="1907"/>
      <c r="HY286" s="1908"/>
      <c r="HZ286" s="1908"/>
      <c r="IA286" s="1908"/>
      <c r="IB286" s="1908"/>
      <c r="IC286" s="1908"/>
      <c r="ID286" s="1908"/>
      <c r="IE286" s="1907"/>
      <c r="IF286" s="1908"/>
      <c r="IG286" s="1908"/>
      <c r="IH286" s="1908"/>
      <c r="II286" s="1908"/>
      <c r="IJ286" s="1908"/>
      <c r="IK286" s="1909"/>
    </row>
    <row r="287" spans="1:245" ht="7.5" hidden="1" customHeight="1" x14ac:dyDescent="0.35">
      <c r="A287" s="195">
        <f>IF(B287=0,0,"XXX")</f>
        <v>0</v>
      </c>
      <c r="B287" s="1910">
        <f>IF(ENTRADAS!M1254=0,0,ENTRADAS!C1254)</f>
        <v>0</v>
      </c>
      <c r="C287" s="1911">
        <f>IF(ENTRADAS!M1254="x",ENTRADAS!D1254,0)</f>
        <v>0</v>
      </c>
      <c r="D287" s="358" t="str">
        <f>IF(ENTRADAS!$F$22=0,0,"início:")</f>
        <v>início:</v>
      </c>
      <c r="E287" s="359">
        <f>IF(C287=0,0,IF(F288&gt;0,F288+D297,IF(ENTRADAS!$O$1252="J",E274+2,E274+1+F285+2)))</f>
        <v>0</v>
      </c>
      <c r="F287" s="454">
        <f>IF(C287=0,0,ENTRADAS!$H$1254)</f>
        <v>0</v>
      </c>
      <c r="G287" s="455" t="str">
        <f>IF(ENTRADAS!$F$22=0,0,"dias")</f>
        <v>dias</v>
      </c>
      <c r="H287" s="1907">
        <f ca="1">IF(ENTRADAS!$O$1252="J",IF(AND(H260+$D$297&gt;=$E$287,H260+$D$297&lt;=$E$288),10,0),IF(AND(H260+$D$297+1&gt;=$E$287,H260+$D$297+1&lt;=$E$288),10,0))</f>
        <v>0</v>
      </c>
      <c r="I287" s="1908">
        <f ca="1">IF(ENTRADAS!$O$1252="J",IF(AND(I260+$D$297&gt;=$E$287,I260+$D$297&lt;=$E$288),10,0),IF(AND(I260+$D$297+1&gt;=$E$287,I260+$D$297+1&lt;=$E$288),10,0))</f>
        <v>0</v>
      </c>
      <c r="J287" s="1908">
        <f ca="1">IF(ENTRADAS!$O$1252="J",IF(AND(J260+$D$297&gt;=$E$287,J260+$D$297&lt;=$E$288),10,0),IF(AND(J260+$D$297+1&gt;=$E$287,J260+$D$297+1&lt;=$E$288),10,0))</f>
        <v>0</v>
      </c>
      <c r="K287" s="1908">
        <f ca="1">IF(ENTRADAS!$O$1252="J",IF(AND(K260+$D$297&gt;=$E$287,K260+$D$297&lt;=$E$288),10,0),IF(AND(K260+$D$297+1&gt;=$E$287,K260+$D$297+1&lt;=$E$288),10,0))</f>
        <v>0</v>
      </c>
      <c r="L287" s="1908">
        <f ca="1">IF(ENTRADAS!$O$1252="J",IF(AND(L260+$D$297&gt;=$E$287,L260+$D$297&lt;=$E$288),10,0),IF(AND(L260+$D$297+1&gt;=$E$287,L260+$D$297+1&lt;=$E$288),10,0))</f>
        <v>0</v>
      </c>
      <c r="M287" s="1908">
        <f ca="1">IF(ENTRADAS!$O$1252="J",IF(AND(M260+$D$297&gt;=$E$287,M260+$D$297&lt;=$E$288),10,0),IF(AND(M260+$D$297+1&gt;=$E$287,M260+$D$297+1&lt;=$E$288),10,0))</f>
        <v>0</v>
      </c>
      <c r="N287" s="1908">
        <f ca="1">IF(ENTRADAS!$O$1252="J",IF(AND(N260+$D$297&gt;=$E$287,N260+$D$297&lt;=$E$288),10,0),IF(AND(N260+$D$297+1&gt;=$E$287,N260+$D$297+1&lt;=$E$288),10,0))</f>
        <v>0</v>
      </c>
      <c r="O287" s="1907">
        <f ca="1">IF(ENTRADAS!$O$1252="J",IF(AND(O260+$D$297&gt;=$E$287,O260+$D$297&lt;=$E$288),10,0),IF(AND(O260+$D$297+1&gt;=$E$287,O260+$D$297+1&lt;=$E$288),10,0))</f>
        <v>0</v>
      </c>
      <c r="P287" s="1908">
        <f ca="1">IF(ENTRADAS!$O$1252="J",IF(AND(P260+$D$297&gt;=$E$287,P260+$D$297&lt;=$E$288),10,0),IF(AND(P260+$D$297+1&gt;=$E$287,P260+$D$297+1&lt;=$E$288),10,0))</f>
        <v>0</v>
      </c>
      <c r="Q287" s="1908">
        <f ca="1">IF(ENTRADAS!$O$1252="J",IF(AND(Q260+$D$297&gt;=$E$287,Q260+$D$297&lt;=$E$288),10,0),IF(AND(Q260+$D$297+1&gt;=$E$287,Q260+$D$297+1&lt;=$E$288),10,0))</f>
        <v>0</v>
      </c>
      <c r="R287" s="1908">
        <f ca="1">IF(ENTRADAS!$O$1252="J",IF(AND(R260+$D$297&gt;=$E$287,R260+$D$297&lt;=$E$288),10,0),IF(AND(R260+$D$297+1&gt;=$E$287,R260+$D$297+1&lt;=$E$288),10,0))</f>
        <v>0</v>
      </c>
      <c r="S287" s="1908">
        <f ca="1">IF(ENTRADAS!$O$1252="J",IF(AND(S260+$D$297&gt;=$E$287,S260+$D$297&lt;=$E$288),10,0),IF(AND(S260+$D$297+1&gt;=$E$287,S260+$D$297+1&lt;=$E$288),10,0))</f>
        <v>0</v>
      </c>
      <c r="T287" s="1908">
        <f ca="1">IF(ENTRADAS!$O$1252="J",IF(AND(T260+$D$297&gt;=$E$287,T260+$D$297&lt;=$E$288),10,0),IF(AND(T260+$D$297+1&gt;=$E$287,T260+$D$297+1&lt;=$E$288),10,0))</f>
        <v>0</v>
      </c>
      <c r="U287" s="1908">
        <f ca="1">IF(ENTRADAS!$O$1252="J",IF(AND(U260+$D$297&gt;=$E$287,U260+$D$297&lt;=$E$288),10,0),IF(AND(U260+$D$297+1&gt;=$E$287,U260+$D$297+1&lt;=$E$288),10,0))</f>
        <v>0</v>
      </c>
      <c r="V287" s="1907">
        <f ca="1">IF(ENTRADAS!$O$1252="J",IF(AND(V260+$D$297&gt;=$E$287,V260+$D$297&lt;=$E$288),10,0),IF(AND(V260+$D$297+1&gt;=$E$287,V260+$D$297+1&lt;=$E$288),10,0))</f>
        <v>0</v>
      </c>
      <c r="W287" s="1908">
        <f ca="1">IF(ENTRADAS!$O$1252="J",IF(AND(W260+$D$297&gt;=$E$287,W260+$D$297&lt;=$E$288),10,0),IF(AND(W260+$D$297+1&gt;=$E$287,W260+$D$297+1&lt;=$E$288),10,0))</f>
        <v>0</v>
      </c>
      <c r="X287" s="1908">
        <f ca="1">IF(ENTRADAS!$O$1252="J",IF(AND(X260+$D$297&gt;=$E$287,X260+$D$297&lt;=$E$288),10,0),IF(AND(X260+$D$297+1&gt;=$E$287,X260+$D$297+1&lt;=$E$288),10,0))</f>
        <v>0</v>
      </c>
      <c r="Y287" s="1908">
        <f ca="1">IF(ENTRADAS!$O$1252="J",IF(AND(Y260+$D$297&gt;=$E$287,Y260+$D$297&lt;=$E$288),10,0),IF(AND(Y260+$D$297+1&gt;=$E$287,Y260+$D$297+1&lt;=$E$288),10,0))</f>
        <v>0</v>
      </c>
      <c r="Z287" s="1908">
        <f ca="1">IF(ENTRADAS!$O$1252="J",IF(AND(Z260+$D$297&gt;=$E$287,Z260+$D$297&lt;=$E$288),10,0),IF(AND(Z260+$D$297+1&gt;=$E$287,Z260+$D$297+1&lt;=$E$288),10,0))</f>
        <v>0</v>
      </c>
      <c r="AA287" s="1908">
        <f ca="1">IF(ENTRADAS!$O$1252="J",IF(AND(AA260+$D$297&gt;=$E$287,AA260+$D$297&lt;=$E$288),10,0),IF(AND(AA260+$D$297+1&gt;=$E$287,AA260+$D$297+1&lt;=$E$288),10,0))</f>
        <v>0</v>
      </c>
      <c r="AB287" s="1908">
        <f ca="1">IF(ENTRADAS!$O$1252="J",IF(AND(AB260+$D$297&gt;=$E$287,AB260+$D$297&lt;=$E$288),10,0),IF(AND(AB260+$D$297+1&gt;=$E$287,AB260+$D$297+1&lt;=$E$288),10,0))</f>
        <v>0</v>
      </c>
      <c r="AC287" s="1907">
        <f ca="1">IF(ENTRADAS!$O$1252="J",IF(AND(AC260+$D$297&gt;=$E$287,AC260+$D$297&lt;=$E$288),10,0),IF(AND(AC260+$D$297+1&gt;=$E$287,AC260+$D$297+1&lt;=$E$288),10,0))</f>
        <v>0</v>
      </c>
      <c r="AD287" s="1908">
        <f ca="1">IF(ENTRADAS!$O$1252="J",IF(AND(AD260+$D$297&gt;=$E$287,AD260+$D$297&lt;=$E$288),10,0),IF(AND(AD260+$D$297+1&gt;=$E$287,AD260+$D$297+1&lt;=$E$288),10,0))</f>
        <v>0</v>
      </c>
      <c r="AE287" s="1908">
        <f ca="1">IF(ENTRADAS!$O$1252="J",IF(AND(AE260+$D$297&gt;=$E$287,AE260+$D$297&lt;=$E$288),10,0),IF(AND(AE260+$D$297+1&gt;=$E$287,AE260+$D$297+1&lt;=$E$288),10,0))</f>
        <v>0</v>
      </c>
      <c r="AF287" s="1908">
        <f ca="1">IF(ENTRADAS!$O$1252="J",IF(AND(AF260+$D$297&gt;=$E$287,AF260+$D$297&lt;=$E$288),10,0),IF(AND(AF260+$D$297+1&gt;=$E$287,AF260+$D$297+1&lt;=$E$288),10,0))</f>
        <v>0</v>
      </c>
      <c r="AG287" s="1908">
        <f ca="1">IF(ENTRADAS!$O$1252="J",IF(AND(AG260+$D$297&gt;=$E$287,AG260+$D$297&lt;=$E$288),10,0),IF(AND(AG260+$D$297+1&gt;=$E$287,AG260+$D$297+1&lt;=$E$288),10,0))</f>
        <v>0</v>
      </c>
      <c r="AH287" s="1908">
        <f ca="1">IF(ENTRADAS!$O$1252="J",IF(AND(AH260+$D$297&gt;=$E$287,AH260+$D$297&lt;=$E$288),10,0),IF(AND(AH260+$D$297+1&gt;=$E$287,AH260+$D$297+1&lt;=$E$288),10,0))</f>
        <v>0</v>
      </c>
      <c r="AI287" s="1908">
        <f ca="1">IF(ENTRADAS!$O$1252="J",IF(AND(AI260+$D$297&gt;=$E$287,AI260+$D$297&lt;=$E$288),10,0),IF(AND(AI260+$D$297+1&gt;=$E$287,AI260+$D$297+1&lt;=$E$288),10,0))</f>
        <v>0</v>
      </c>
      <c r="AJ287" s="1907">
        <f ca="1">IF(ENTRADAS!$O$1252="J",IF(AND(AJ260+$D$297&gt;=$E$287,AJ260+$D$297&lt;=$E$288),10,0),IF(AND(AJ260+$D$297+1&gt;=$E$287,AJ260+$D$297+1&lt;=$E$288),10,0))</f>
        <v>0</v>
      </c>
      <c r="AK287" s="1908">
        <f ca="1">IF(ENTRADAS!$O$1252="J",IF(AND(AK260+$D$297&gt;=$E$287,AK260+$D$297&lt;=$E$288),10,0),IF(AND(AK260+$D$297+1&gt;=$E$287,AK260+$D$297+1&lt;=$E$288),10,0))</f>
        <v>0</v>
      </c>
      <c r="AL287" s="1908">
        <f ca="1">IF(ENTRADAS!$O$1252="J",IF(AND(AL260+$D$297&gt;=$E$287,AL260+$D$297&lt;=$E$288),10,0),IF(AND(AL260+$D$297+1&gt;=$E$287,AL260+$D$297+1&lt;=$E$288),10,0))</f>
        <v>0</v>
      </c>
      <c r="AM287" s="1908">
        <f ca="1">IF(ENTRADAS!$O$1252="J",IF(AND(AM260+$D$297&gt;=$E$287,AM260+$D$297&lt;=$E$288),10,0),IF(AND(AM260+$D$297+1&gt;=$E$287,AM260+$D$297+1&lt;=$E$288),10,0))</f>
        <v>0</v>
      </c>
      <c r="AN287" s="1908">
        <f ca="1">IF(ENTRADAS!$O$1252="J",IF(AND(AN260+$D$297&gt;=$E$287,AN260+$D$297&lt;=$E$288),10,0),IF(AND(AN260+$D$297+1&gt;=$E$287,AN260+$D$297+1&lt;=$E$288),10,0))</f>
        <v>0</v>
      </c>
      <c r="AO287" s="1908">
        <f ca="1">IF(ENTRADAS!$O$1252="J",IF(AND(AO260+$D$297&gt;=$E$287,AO260+$D$297&lt;=$E$288),10,0),IF(AND(AO260+$D$297+1&gt;=$E$287,AO260+$D$297+1&lt;=$E$288),10,0))</f>
        <v>0</v>
      </c>
      <c r="AP287" s="1908">
        <f ca="1">IF(ENTRADAS!$O$1252="J",IF(AND(AP260+$D$297&gt;=$E$287,AP260+$D$297&lt;=$E$288),10,0),IF(AND(AP260+$D$297+1&gt;=$E$287,AP260+$D$297+1&lt;=$E$288),10,0))</f>
        <v>0</v>
      </c>
      <c r="AQ287" s="1907">
        <f ca="1">IF(ENTRADAS!$O$1252="J",IF(AND(AQ260+$D$297&gt;=$E$287,AQ260+$D$297&lt;=$E$288),10,0),IF(AND(AQ260+$D$297+1&gt;=$E$287,AQ260+$D$297+1&lt;=$E$288),10,0))</f>
        <v>0</v>
      </c>
      <c r="AR287" s="1908">
        <f ca="1">IF(ENTRADAS!$O$1252="J",IF(AND(AR260+$D$297&gt;=$E$287,AR260+$D$297&lt;=$E$288),10,0),IF(AND(AR260+$D$297+1&gt;=$E$287,AR260+$D$297+1&lt;=$E$288),10,0))</f>
        <v>0</v>
      </c>
      <c r="AS287" s="1908">
        <f ca="1">IF(ENTRADAS!$O$1252="J",IF(AND(AS260+$D$297&gt;=$E$287,AS260+$D$297&lt;=$E$288),10,0),IF(AND(AS260+$D$297+1&gt;=$E$287,AS260+$D$297+1&lt;=$E$288),10,0))</f>
        <v>0</v>
      </c>
      <c r="AT287" s="1908">
        <f ca="1">IF(ENTRADAS!$O$1252="J",IF(AND(AT260+$D$297&gt;=$E$287,AT260+$D$297&lt;=$E$288),10,0),IF(AND(AT260+$D$297+1&gt;=$E$287,AT260+$D$297+1&lt;=$E$288),10,0))</f>
        <v>0</v>
      </c>
      <c r="AU287" s="1908">
        <f ca="1">IF(ENTRADAS!$O$1252="J",IF(AND(AU260+$D$297&gt;=$E$287,AU260+$D$297&lt;=$E$288),10,0),IF(AND(AU260+$D$297+1&gt;=$E$287,AU260+$D$297+1&lt;=$E$288),10,0))</f>
        <v>0</v>
      </c>
      <c r="AV287" s="1908">
        <f ca="1">IF(ENTRADAS!$O$1252="J",IF(AND(AV260+$D$297&gt;=$E$287,AV260+$D$297&lt;=$E$288),10,0),IF(AND(AV260+$D$297+1&gt;=$E$287,AV260+$D$297+1&lt;=$E$288),10,0))</f>
        <v>0</v>
      </c>
      <c r="AW287" s="1908">
        <f ca="1">IF(ENTRADAS!$O$1252="J",IF(AND(AW260+$D$297&gt;=$E$287,AW260+$D$297&lt;=$E$288),10,0),IF(AND(AW260+$D$297+1&gt;=$E$287,AW260+$D$297+1&lt;=$E$288),10,0))</f>
        <v>0</v>
      </c>
      <c r="AX287" s="1907">
        <f ca="1">IF(ENTRADAS!$O$1252="J",IF(AND(AX260+$D$297&gt;=$E$287,AX260+$D$297&lt;=$E$288),10,0),IF(AND(AX260+$D$297+1&gt;=$E$287,AX260+$D$297+1&lt;=$E$288),10,0))</f>
        <v>0</v>
      </c>
      <c r="AY287" s="1908">
        <f ca="1">IF(ENTRADAS!$O$1252="J",IF(AND(AY260+$D$297&gt;=$E$287,AY260+$D$297&lt;=$E$288),10,0),IF(AND(AY260+$D$297+1&gt;=$E$287,AY260+$D$297+1&lt;=$E$288),10,0))</f>
        <v>0</v>
      </c>
      <c r="AZ287" s="1908">
        <f ca="1">IF(ENTRADAS!$O$1252="J",IF(AND(AZ260+$D$297&gt;=$E$287,AZ260+$D$297&lt;=$E$288),10,0),IF(AND(AZ260+$D$297+1&gt;=$E$287,AZ260+$D$297+1&lt;=$E$288),10,0))</f>
        <v>0</v>
      </c>
      <c r="BA287" s="1908">
        <f ca="1">IF(ENTRADAS!$O$1252="J",IF(AND(BA260+$D$297&gt;=$E$287,BA260+$D$297&lt;=$E$288),10,0),IF(AND(BA260+$D$297+1&gt;=$E$287,BA260+$D$297+1&lt;=$E$288),10,0))</f>
        <v>0</v>
      </c>
      <c r="BB287" s="1908">
        <f ca="1">IF(ENTRADAS!$O$1252="J",IF(AND(BB260+$D$297&gt;=$E$287,BB260+$D$297&lt;=$E$288),10,0),IF(AND(BB260+$D$297+1&gt;=$E$287,BB260+$D$297+1&lt;=$E$288),10,0))</f>
        <v>0</v>
      </c>
      <c r="BC287" s="1908">
        <f ca="1">IF(ENTRADAS!$O$1252="J",IF(AND(BC260+$D$297&gt;=$E$287,BC260+$D$297&lt;=$E$288),10,0),IF(AND(BC260+$D$297+1&gt;=$E$287,BC260+$D$297+1&lt;=$E$288),10,0))</f>
        <v>0</v>
      </c>
      <c r="BD287" s="1908">
        <f ca="1">IF(ENTRADAS!$O$1252="J",IF(AND(BD260+$D$297&gt;=$E$287,BD260+$D$297&lt;=$E$288),10,0),IF(AND(BD260+$D$297+1&gt;=$E$287,BD260+$D$297+1&lt;=$E$288),10,0))</f>
        <v>0</v>
      </c>
      <c r="BE287" s="1907">
        <f ca="1">IF(ENTRADAS!$O$1252="J",IF(AND(BE260+$D$297&gt;=$E$287,BE260+$D$297&lt;=$E$288),10,0),IF(AND(BE260+$D$297+1&gt;=$E$287,BE260+$D$297+1&lt;=$E$288),10,0))</f>
        <v>0</v>
      </c>
      <c r="BF287" s="1908">
        <f ca="1">IF(ENTRADAS!$O$1252="J",IF(AND(BF260+$D$297&gt;=$E$287,BF260+$D$297&lt;=$E$288),10,0),IF(AND(BF260+$D$297+1&gt;=$E$287,BF260+$D$297+1&lt;=$E$288),10,0))</f>
        <v>0</v>
      </c>
      <c r="BG287" s="1908">
        <f ca="1">IF(ENTRADAS!$O$1252="J",IF(AND(BG260+$D$297&gt;=$E$287,BG260+$D$297&lt;=$E$288),10,0),IF(AND(BG260+$D$297+1&gt;=$E$287,BG260+$D$297+1&lt;=$E$288),10,0))</f>
        <v>0</v>
      </c>
      <c r="BH287" s="1908">
        <f ca="1">IF(ENTRADAS!$O$1252="J",IF(AND(BH260+$D$297&gt;=$E$287,BH260+$D$297&lt;=$E$288),10,0),IF(AND(BH260+$D$297+1&gt;=$E$287,BH260+$D$297+1&lt;=$E$288),10,0))</f>
        <v>0</v>
      </c>
      <c r="BI287" s="1908">
        <f ca="1">IF(ENTRADAS!$O$1252="J",IF(AND(BI260+$D$297&gt;=$E$287,BI260+$D$297&lt;=$E$288),10,0),IF(AND(BI260+$D$297+1&gt;=$E$287,BI260+$D$297+1&lt;=$E$288),10,0))</f>
        <v>0</v>
      </c>
      <c r="BJ287" s="1908">
        <f ca="1">IF(ENTRADAS!$O$1252="J",IF(AND(BJ260+$D$297&gt;=$E$287,BJ260+$D$297&lt;=$E$288),10,0),IF(AND(BJ260+$D$297+1&gt;=$E$287,BJ260+$D$297+1&lt;=$E$288),10,0))</f>
        <v>0</v>
      </c>
      <c r="BK287" s="1908">
        <f ca="1">IF(ENTRADAS!$O$1252="J",IF(AND(BK260+$D$297&gt;=$E$287,BK260+$D$297&lt;=$E$288),10,0),IF(AND(BK260+$D$297+1&gt;=$E$287,BK260+$D$297+1&lt;=$E$288),10,0))</f>
        <v>0</v>
      </c>
      <c r="BL287" s="1907">
        <f ca="1">IF(ENTRADAS!$O$1252="J",IF(AND(BL260+$D$297&gt;=$E$287,BL260+$D$297&lt;=$E$288),10,0),IF(AND(BL260+$D$297+1&gt;=$E$287,BL260+$D$297+1&lt;=$E$288),10,0))</f>
        <v>0</v>
      </c>
      <c r="BM287" s="1908">
        <f ca="1">IF(ENTRADAS!$O$1252="J",IF(AND(BM260+$D$297&gt;=$E$287,BM260+$D$297&lt;=$E$288),10,0),IF(AND(BM260+$D$297+1&gt;=$E$287,BM260+$D$297+1&lt;=$E$288),10,0))</f>
        <v>0</v>
      </c>
      <c r="BN287" s="1908">
        <f ca="1">IF(ENTRADAS!$O$1252="J",IF(AND(BN260+$D$297&gt;=$E$287,BN260+$D$297&lt;=$E$288),10,0),IF(AND(BN260+$D$297+1&gt;=$E$287,BN260+$D$297+1&lt;=$E$288),10,0))</f>
        <v>0</v>
      </c>
      <c r="BO287" s="1908">
        <f ca="1">IF(ENTRADAS!$O$1252="J",IF(AND(BO260+$D$297&gt;=$E$287,BO260+$D$297&lt;=$E$288),10,0),IF(AND(BO260+$D$297+1&gt;=$E$287,BO260+$D$297+1&lt;=$E$288),10,0))</f>
        <v>0</v>
      </c>
      <c r="BP287" s="1908">
        <f ca="1">IF(ENTRADAS!$O$1252="J",IF(AND(BP260+$D$297&gt;=$E$287,BP260+$D$297&lt;=$E$288),10,0),IF(AND(BP260+$D$297+1&gt;=$E$287,BP260+$D$297+1&lt;=$E$288),10,0))</f>
        <v>0</v>
      </c>
      <c r="BQ287" s="1908">
        <f ca="1">IF(ENTRADAS!$O$1252="J",IF(AND(BQ260+$D$297&gt;=$E$287,BQ260+$D$297&lt;=$E$288),10,0),IF(AND(BQ260+$D$297+1&gt;=$E$287,BQ260+$D$297+1&lt;=$E$288),10,0))</f>
        <v>0</v>
      </c>
      <c r="BR287" s="1908">
        <f ca="1">IF(ENTRADAS!$O$1252="J",IF(AND(BR260+$D$297&gt;=$E$287,BR260+$D$297&lt;=$E$288),10,0),IF(AND(BR260+$D$297+1&gt;=$E$287,BR260+$D$297+1&lt;=$E$288),10,0))</f>
        <v>0</v>
      </c>
      <c r="BS287" s="1907">
        <f ca="1">IF(ENTRADAS!$O$1252="J",IF(AND(BS260+$D$297&gt;=$E$287,BS260+$D$297&lt;=$E$288),10,0),IF(AND(BS260+$D$297+1&gt;=$E$287,BS260+$D$297+1&lt;=$E$288),10,0))</f>
        <v>0</v>
      </c>
      <c r="BT287" s="1908">
        <f ca="1">IF(ENTRADAS!$O$1252="J",IF(AND(BT260+$D$297&gt;=$E$287,BT260+$D$297&lt;=$E$288),10,0),IF(AND(BT260+$D$297+1&gt;=$E$287,BT260+$D$297+1&lt;=$E$288),10,0))</f>
        <v>0</v>
      </c>
      <c r="BU287" s="1908">
        <f ca="1">IF(ENTRADAS!$O$1252="J",IF(AND(BU260+$D$297&gt;=$E$287,BU260+$D$297&lt;=$E$288),10,0),IF(AND(BU260+$D$297+1&gt;=$E$287,BU260+$D$297+1&lt;=$E$288),10,0))</f>
        <v>0</v>
      </c>
      <c r="BV287" s="1908">
        <f ca="1">IF(ENTRADAS!$O$1252="J",IF(AND(BV260+$D$297&gt;=$E$287,BV260+$D$297&lt;=$E$288),10,0),IF(AND(BV260+$D$297+1&gt;=$E$287,BV260+$D$297+1&lt;=$E$288),10,0))</f>
        <v>0</v>
      </c>
      <c r="BW287" s="1908">
        <f ca="1">IF(ENTRADAS!$O$1252="J",IF(AND(BW260+$D$297&gt;=$E$287,BW260+$D$297&lt;=$E$288),10,0),IF(AND(BW260+$D$297+1&gt;=$E$287,BW260+$D$297+1&lt;=$E$288),10,0))</f>
        <v>0</v>
      </c>
      <c r="BX287" s="1908">
        <f ca="1">IF(ENTRADAS!$O$1252="J",IF(AND(BX260+$D$297&gt;=$E$287,BX260+$D$297&lt;=$E$288),10,0),IF(AND(BX260+$D$297+1&gt;=$E$287,BX260+$D$297+1&lt;=$E$288),10,0))</f>
        <v>0</v>
      </c>
      <c r="BY287" s="1908">
        <f ca="1">IF(ENTRADAS!$O$1252="J",IF(AND(BY260+$D$297&gt;=$E$287,BY260+$D$297&lt;=$E$288),10,0),IF(AND(BY260+$D$297+1&gt;=$E$287,BY260+$D$297+1&lt;=$E$288),10,0))</f>
        <v>0</v>
      </c>
      <c r="BZ287" s="1907">
        <f ca="1">IF(ENTRADAS!$O$1252="J",IF(AND(BZ260+$D$297&gt;=$E$287,BZ260+$D$297&lt;=$E$288),10,0),IF(AND(BZ260+$D$297+1&gt;=$E$287,BZ260+$D$297+1&lt;=$E$288),10,0))</f>
        <v>0</v>
      </c>
      <c r="CA287" s="1908">
        <f ca="1">IF(ENTRADAS!$O$1252="J",IF(AND(CA260+$D$297&gt;=$E$287,CA260+$D$297&lt;=$E$288),10,0),IF(AND(CA260+$D$297+1&gt;=$E$287,CA260+$D$297+1&lt;=$E$288),10,0))</f>
        <v>0</v>
      </c>
      <c r="CB287" s="1908">
        <f ca="1">IF(ENTRADAS!$O$1252="J",IF(AND(CB260+$D$297&gt;=$E$287,CB260+$D$297&lt;=$E$288),10,0),IF(AND(CB260+$D$297+1&gt;=$E$287,CB260+$D$297+1&lt;=$E$288),10,0))</f>
        <v>0</v>
      </c>
      <c r="CC287" s="1908">
        <f ca="1">IF(ENTRADAS!$O$1252="J",IF(AND(CC260+$D$297&gt;=$E$287,CC260+$D$297&lt;=$E$288),10,0),IF(AND(CC260+$D$297+1&gt;=$E$287,CC260+$D$297+1&lt;=$E$288),10,0))</f>
        <v>0</v>
      </c>
      <c r="CD287" s="1908">
        <f ca="1">IF(ENTRADAS!$O$1252="J",IF(AND(CD260+$D$297&gt;=$E$287,CD260+$D$297&lt;=$E$288),10,0),IF(AND(CD260+$D$297+1&gt;=$E$287,CD260+$D$297+1&lt;=$E$288),10,0))</f>
        <v>0</v>
      </c>
      <c r="CE287" s="1908">
        <f ca="1">IF(ENTRADAS!$O$1252="J",IF(AND(CE260+$D$297&gt;=$E$287,CE260+$D$297&lt;=$E$288),10,0),IF(AND(CE260+$D$297+1&gt;=$E$287,CE260+$D$297+1&lt;=$E$288),10,0))</f>
        <v>0</v>
      </c>
      <c r="CF287" s="1908">
        <f ca="1">IF(ENTRADAS!$O$1252="J",IF(AND(CF260+$D$297&gt;=$E$287,CF260+$D$297&lt;=$E$288),10,0),IF(AND(CF260+$D$297+1&gt;=$E$287,CF260+$D$297+1&lt;=$E$288),10,0))</f>
        <v>0</v>
      </c>
      <c r="CG287" s="1907">
        <f ca="1">IF(ENTRADAS!$O$1252="J",IF(AND(CG260+$D$297&gt;=$E$287,CG260+$D$297&lt;=$E$288),10,0),IF(AND(CG260+$D$297+1&gt;=$E$287,CG260+$D$297+1&lt;=$E$288),10,0))</f>
        <v>0</v>
      </c>
      <c r="CH287" s="1908">
        <f ca="1">IF(ENTRADAS!$O$1252="J",IF(AND(CH260+$D$297&gt;=$E$287,CH260+$D$297&lt;=$E$288),10,0),IF(AND(CH260+$D$297+1&gt;=$E$287,CH260+$D$297+1&lt;=$E$288),10,0))</f>
        <v>0</v>
      </c>
      <c r="CI287" s="1908">
        <f ca="1">IF(ENTRADAS!$O$1252="J",IF(AND(CI260+$D$297&gt;=$E$287,CI260+$D$297&lt;=$E$288),10,0),IF(AND(CI260+$D$297+1&gt;=$E$287,CI260+$D$297+1&lt;=$E$288),10,0))</f>
        <v>0</v>
      </c>
      <c r="CJ287" s="1908">
        <f ca="1">IF(ENTRADAS!$O$1252="J",IF(AND(CJ260+$D$297&gt;=$E$287,CJ260+$D$297&lt;=$E$288),10,0),IF(AND(CJ260+$D$297+1&gt;=$E$287,CJ260+$D$297+1&lt;=$E$288),10,0))</f>
        <v>0</v>
      </c>
      <c r="CK287" s="1908">
        <f ca="1">IF(ENTRADAS!$O$1252="J",IF(AND(CK260+$D$297&gt;=$E$287,CK260+$D$297&lt;=$E$288),10,0),IF(AND(CK260+$D$297+1&gt;=$E$287,CK260+$D$297+1&lt;=$E$288),10,0))</f>
        <v>0</v>
      </c>
      <c r="CL287" s="1908">
        <f ca="1">IF(ENTRADAS!$O$1252="J",IF(AND(CL260+$D$297&gt;=$E$287,CL260+$D$297&lt;=$E$288),10,0),IF(AND(CL260+$D$297+1&gt;=$E$287,CL260+$D$297+1&lt;=$E$288),10,0))</f>
        <v>0</v>
      </c>
      <c r="CM287" s="1908">
        <f ca="1">IF(ENTRADAS!$O$1252="J",IF(AND(CM260+$D$297&gt;=$E$287,CM260+$D$297&lt;=$E$288),10,0),IF(AND(CM260+$D$297+1&gt;=$E$287,CM260+$D$297+1&lt;=$E$288),10,0))</f>
        <v>0</v>
      </c>
      <c r="CN287" s="1907">
        <f ca="1">IF(ENTRADAS!$O$1252="J",IF(AND(CN260+$D$297&gt;=$E$287,CN260+$D$297&lt;=$E$288),10,0),IF(AND(CN260+$D$297+1&gt;=$E$287,CN260+$D$297+1&lt;=$E$288),10,0))</f>
        <v>0</v>
      </c>
      <c r="CO287" s="1908">
        <f ca="1">IF(ENTRADAS!$O$1252="J",IF(AND(CO260+$D$297&gt;=$E$287,CO260+$D$297&lt;=$E$288),10,0),IF(AND(CO260+$D$297+1&gt;=$E$287,CO260+$D$297+1&lt;=$E$288),10,0))</f>
        <v>0</v>
      </c>
      <c r="CP287" s="1908">
        <f ca="1">IF(ENTRADAS!$O$1252="J",IF(AND(CP260+$D$297&gt;=$E$287,CP260+$D$297&lt;=$E$288),10,0),IF(AND(CP260+$D$297+1&gt;=$E$287,CP260+$D$297+1&lt;=$E$288),10,0))</f>
        <v>0</v>
      </c>
      <c r="CQ287" s="1908">
        <f ca="1">IF(ENTRADAS!$O$1252="J",IF(AND(CQ260+$D$297&gt;=$E$287,CQ260+$D$297&lt;=$E$288),10,0),IF(AND(CQ260+$D$297+1&gt;=$E$287,CQ260+$D$297+1&lt;=$E$288),10,0))</f>
        <v>0</v>
      </c>
      <c r="CR287" s="1908">
        <f ca="1">IF(ENTRADAS!$O$1252="J",IF(AND(CR260+$D$297&gt;=$E$287,CR260+$D$297&lt;=$E$288),10,0),IF(AND(CR260+$D$297+1&gt;=$E$287,CR260+$D$297+1&lt;=$E$288),10,0))</f>
        <v>0</v>
      </c>
      <c r="CS287" s="1908">
        <f ca="1">IF(ENTRADAS!$O$1252="J",IF(AND(CS260+$D$297&gt;=$E$287,CS260+$D$297&lt;=$E$288),10,0),IF(AND(CS260+$D$297+1&gt;=$E$287,CS260+$D$297+1&lt;=$E$288),10,0))</f>
        <v>0</v>
      </c>
      <c r="CT287" s="1908">
        <f ca="1">IF(ENTRADAS!$O$1252="J",IF(AND(CT260+$D$297&gt;=$E$287,CT260+$D$297&lt;=$E$288),10,0),IF(AND(CT260+$D$297+1&gt;=$E$287,CT260+$D$297+1&lt;=$E$288),10,0))</f>
        <v>0</v>
      </c>
      <c r="CU287" s="1907">
        <f ca="1">IF(ENTRADAS!$O$1252="J",IF(AND(CU260+$D$297&gt;=$E$287,CU260+$D$297&lt;=$E$288),10,0),IF(AND(CU260+$D$297+1&gt;=$E$287,CU260+$D$297+1&lt;=$E$288),10,0))</f>
        <v>0</v>
      </c>
      <c r="CV287" s="1908">
        <f ca="1">IF(ENTRADAS!$O$1252="J",IF(AND(CV260+$D$297&gt;=$E$287,CV260+$D$297&lt;=$E$288),10,0),IF(AND(CV260+$D$297+1&gt;=$E$287,CV260+$D$297+1&lt;=$E$288),10,0))</f>
        <v>0</v>
      </c>
      <c r="CW287" s="1908">
        <f ca="1">IF(ENTRADAS!$O$1252="J",IF(AND(CW260+$D$297&gt;=$E$287,CW260+$D$297&lt;=$E$288),10,0),IF(AND(CW260+$D$297+1&gt;=$E$287,CW260+$D$297+1&lt;=$E$288),10,0))</f>
        <v>0</v>
      </c>
      <c r="CX287" s="1908">
        <f ca="1">IF(ENTRADAS!$O$1252="J",IF(AND(CX260+$D$297&gt;=$E$287,CX260+$D$297&lt;=$E$288),10,0),IF(AND(CX260+$D$297+1&gt;=$E$287,CX260+$D$297+1&lt;=$E$288),10,0))</f>
        <v>0</v>
      </c>
      <c r="CY287" s="1908">
        <f ca="1">IF(ENTRADAS!$O$1252="J",IF(AND(CY260+$D$297&gt;=$E$287,CY260+$D$297&lt;=$E$288),10,0),IF(AND(CY260+$D$297+1&gt;=$E$287,CY260+$D$297+1&lt;=$E$288),10,0))</f>
        <v>0</v>
      </c>
      <c r="CZ287" s="1908">
        <f ca="1">IF(ENTRADAS!$O$1252="J",IF(AND(CZ260+$D$297&gt;=$E$287,CZ260+$D$297&lt;=$E$288),10,0),IF(AND(CZ260+$D$297+1&gt;=$E$287,CZ260+$D$297+1&lt;=$E$288),10,0))</f>
        <v>0</v>
      </c>
      <c r="DA287" s="1908">
        <f ca="1">IF(ENTRADAS!$O$1252="J",IF(AND(DA260+$D$297&gt;=$E$287,DA260+$D$297&lt;=$E$288),10,0),IF(AND(DA260+$D$297+1&gt;=$E$287,DA260+$D$297+1&lt;=$E$288),10,0))</f>
        <v>0</v>
      </c>
      <c r="DB287" s="1907">
        <f ca="1">IF(ENTRADAS!$O$1252="J",IF(AND(DB260+$D$297&gt;=$E$287,DB260+$D$297&lt;=$E$288),10,0),IF(AND(DB260+$D$297+1&gt;=$E$287,DB260+$D$297+1&lt;=$E$288),10,0))</f>
        <v>0</v>
      </c>
      <c r="DC287" s="1908">
        <f ca="1">IF(ENTRADAS!$O$1252="J",IF(AND(DC260+$D$297&gt;=$E$287,DC260+$D$297&lt;=$E$288),10,0),IF(AND(DC260+$D$297+1&gt;=$E$287,DC260+$D$297+1&lt;=$E$288),10,0))</f>
        <v>0</v>
      </c>
      <c r="DD287" s="1908">
        <f ca="1">IF(ENTRADAS!$O$1252="J",IF(AND(DD260+$D$297&gt;=$E$287,DD260+$D$297&lt;=$E$288),10,0),IF(AND(DD260+$D$297+1&gt;=$E$287,DD260+$D$297+1&lt;=$E$288),10,0))</f>
        <v>0</v>
      </c>
      <c r="DE287" s="1908">
        <f ca="1">IF(ENTRADAS!$O$1252="J",IF(AND(DE260+$D$297&gt;=$E$287,DE260+$D$297&lt;=$E$288),10,0),IF(AND(DE260+$D$297+1&gt;=$E$287,DE260+$D$297+1&lt;=$E$288),10,0))</f>
        <v>0</v>
      </c>
      <c r="DF287" s="1908">
        <f ca="1">IF(ENTRADAS!$O$1252="J",IF(AND(DF260+$D$297&gt;=$E$287,DF260+$D$297&lt;=$E$288),10,0),IF(AND(DF260+$D$297+1&gt;=$E$287,DF260+$D$297+1&lt;=$E$288),10,0))</f>
        <v>0</v>
      </c>
      <c r="DG287" s="1908">
        <f ca="1">IF(ENTRADAS!$O$1252="J",IF(AND(DG260+$D$297&gt;=$E$287,DG260+$D$297&lt;=$E$288),10,0),IF(AND(DG260+$D$297+1&gt;=$E$287,DG260+$D$297+1&lt;=$E$288),10,0))</f>
        <v>0</v>
      </c>
      <c r="DH287" s="1908">
        <f ca="1">IF(ENTRADAS!$O$1252="J",IF(AND(DH260+$D$297&gt;=$E$287,DH260+$D$297&lt;=$E$288),10,0),IF(AND(DH260+$D$297+1&gt;=$E$287,DH260+$D$297+1&lt;=$E$288),10,0))</f>
        <v>0</v>
      </c>
      <c r="DI287" s="1907">
        <f ca="1">IF(ENTRADAS!$O$1252="J",IF(AND(DI260+$D$297&gt;=$E$287,DI260+$D$297&lt;=$E$288),10,0),IF(AND(DI260+$D$297+1&gt;=$E$287,DI260+$D$297+1&lt;=$E$288),10,0))</f>
        <v>0</v>
      </c>
      <c r="DJ287" s="1908">
        <f ca="1">IF(ENTRADAS!$O$1252="J",IF(AND(DJ260+$D$297&gt;=$E$287,DJ260+$D$297&lt;=$E$288),10,0),IF(AND(DJ260+$D$297+1&gt;=$E$287,DJ260+$D$297+1&lt;=$E$288),10,0))</f>
        <v>0</v>
      </c>
      <c r="DK287" s="1908">
        <f ca="1">IF(ENTRADAS!$O$1252="J",IF(AND(DK260+$D$297&gt;=$E$287,DK260+$D$297&lt;=$E$288),10,0),IF(AND(DK260+$D$297+1&gt;=$E$287,DK260+$D$297+1&lt;=$E$288),10,0))</f>
        <v>0</v>
      </c>
      <c r="DL287" s="1908">
        <f ca="1">IF(ENTRADAS!$O$1252="J",IF(AND(DL260+$D$297&gt;=$E$287,DL260+$D$297&lt;=$E$288),10,0),IF(AND(DL260+$D$297+1&gt;=$E$287,DL260+$D$297+1&lt;=$E$288),10,0))</f>
        <v>0</v>
      </c>
      <c r="DM287" s="1908">
        <f ca="1">IF(ENTRADAS!$O$1252="J",IF(AND(DM260+$D$297&gt;=$E$287,DM260+$D$297&lt;=$E$288),10,0),IF(AND(DM260+$D$297+1&gt;=$E$287,DM260+$D$297+1&lt;=$E$288),10,0))</f>
        <v>0</v>
      </c>
      <c r="DN287" s="1908">
        <f ca="1">IF(ENTRADAS!$O$1252="J",IF(AND(DN260+$D$297&gt;=$E$287,DN260+$D$297&lt;=$E$288),10,0),IF(AND(DN260+$D$297+1&gt;=$E$287,DN260+$D$297+1&lt;=$E$288),10,0))</f>
        <v>0</v>
      </c>
      <c r="DO287" s="1908">
        <f ca="1">IF(ENTRADAS!$O$1252="J",IF(AND(DO260+$D$297&gt;=$E$287,DO260+$D$297&lt;=$E$288),10,0),IF(AND(DO260+$D$297+1&gt;=$E$287,DO260+$D$297+1&lt;=$E$288),10,0))</f>
        <v>0</v>
      </c>
      <c r="DP287" s="1907">
        <f ca="1">IF(ENTRADAS!$O$1252="J",IF(AND(DP260+$D$297&gt;=$E$287,DP260+$D$297&lt;=$E$288),10,0),IF(AND(DP260+$D$297+1&gt;=$E$287,DP260+$D$297+1&lt;=$E$288),10,0))</f>
        <v>0</v>
      </c>
      <c r="DQ287" s="1908">
        <f ca="1">IF(ENTRADAS!$O$1252="J",IF(AND(DQ260+$D$297&gt;=$E$287,DQ260+$D$297&lt;=$E$288),10,0),IF(AND(DQ260+$D$297+1&gt;=$E$287,DQ260+$D$297+1&lt;=$E$288),10,0))</f>
        <v>0</v>
      </c>
      <c r="DR287" s="1908">
        <f ca="1">IF(ENTRADAS!$O$1252="J",IF(AND(DR260+$D$297&gt;=$E$287,DR260+$D$297&lt;=$E$288),10,0),IF(AND(DR260+$D$297+1&gt;=$E$287,DR260+$D$297+1&lt;=$E$288),10,0))</f>
        <v>0</v>
      </c>
      <c r="DS287" s="1908">
        <f ca="1">IF(ENTRADAS!$O$1252="J",IF(AND(DS260+$D$297&gt;=$E$287,DS260+$D$297&lt;=$E$288),10,0),IF(AND(DS260+$D$297+1&gt;=$E$287,DS260+$D$297+1&lt;=$E$288),10,0))</f>
        <v>0</v>
      </c>
      <c r="DT287" s="1908">
        <f ca="1">IF(ENTRADAS!$O$1252="J",IF(AND(DT260+$D$297&gt;=$E$287,DT260+$D$297&lt;=$E$288),10,0),IF(AND(DT260+$D$297+1&gt;=$E$287,DT260+$D$297+1&lt;=$E$288),10,0))</f>
        <v>0</v>
      </c>
      <c r="DU287" s="1908">
        <f ca="1">IF(ENTRADAS!$O$1252="J",IF(AND(DU260+$D$297&gt;=$E$287,DU260+$D$297&lt;=$E$288),10,0),IF(AND(DU260+$D$297+1&gt;=$E$287,DU260+$D$297+1&lt;=$E$288),10,0))</f>
        <v>0</v>
      </c>
      <c r="DV287" s="1908">
        <f ca="1">IF(ENTRADAS!$O$1252="J",IF(AND(DV260+$D$297&gt;=$E$287,DV260+$D$297&lt;=$E$288),10,0),IF(AND(DV260+$D$297+1&gt;=$E$287,DV260+$D$297+1&lt;=$E$288),10,0))</f>
        <v>0</v>
      </c>
      <c r="DW287" s="1907">
        <f ca="1">IF(ENTRADAS!$O$1252="J",IF(AND(DW260+$D$297&gt;=$E$287,DW260+$D$297&lt;=$E$288),10,0),IF(AND(DW260+$D$297+1&gt;=$E$287,DW260+$D$297+1&lt;=$E$288),10,0))</f>
        <v>0</v>
      </c>
      <c r="DX287" s="1908">
        <f ca="1">IF(ENTRADAS!$O$1252="J",IF(AND(DX260+$D$297&gt;=$E$287,DX260+$D$297&lt;=$E$288),10,0),IF(AND(DX260+$D$297+1&gt;=$E$287,DX260+$D$297+1&lt;=$E$288),10,0))</f>
        <v>0</v>
      </c>
      <c r="DY287" s="1908">
        <f ca="1">IF(ENTRADAS!$O$1252="J",IF(AND(DY260+$D$297&gt;=$E$287,DY260+$D$297&lt;=$E$288),10,0),IF(AND(DY260+$D$297+1&gt;=$E$287,DY260+$D$297+1&lt;=$E$288),10,0))</f>
        <v>0</v>
      </c>
      <c r="DZ287" s="1908">
        <f ca="1">IF(ENTRADAS!$O$1252="J",IF(AND(DZ260+$D$297&gt;=$E$287,DZ260+$D$297&lt;=$E$288),10,0),IF(AND(DZ260+$D$297+1&gt;=$E$287,DZ260+$D$297+1&lt;=$E$288),10,0))</f>
        <v>0</v>
      </c>
      <c r="EA287" s="1908">
        <f ca="1">IF(ENTRADAS!$O$1252="J",IF(AND(EA260+$D$297&gt;=$E$287,EA260+$D$297&lt;=$E$288),10,0),IF(AND(EA260+$D$297+1&gt;=$E$287,EA260+$D$297+1&lt;=$E$288),10,0))</f>
        <v>0</v>
      </c>
      <c r="EB287" s="1908">
        <f ca="1">IF(ENTRADAS!$O$1252="J",IF(AND(EB260+$D$297&gt;=$E$287,EB260+$D$297&lt;=$E$288),10,0),IF(AND(EB260+$D$297+1&gt;=$E$287,EB260+$D$297+1&lt;=$E$288),10,0))</f>
        <v>0</v>
      </c>
      <c r="EC287" s="1908">
        <f ca="1">IF(ENTRADAS!$O$1252="J",IF(AND(EC260+$D$297&gt;=$E$287,EC260+$D$297&lt;=$E$288),10,0),IF(AND(EC260+$D$297+1&gt;=$E$287,EC260+$D$297+1&lt;=$E$288),10,0))</f>
        <v>0</v>
      </c>
      <c r="ED287" s="1907">
        <f ca="1">IF(ENTRADAS!$O$1252="J",IF(AND(ED260+$D$297&gt;=$E$287,ED260+$D$297&lt;=$E$288),10,0),IF(AND(ED260+$D$297+1&gt;=$E$287,ED260+$D$297+1&lt;=$E$288),10,0))</f>
        <v>0</v>
      </c>
      <c r="EE287" s="1908">
        <f ca="1">IF(ENTRADAS!$O$1252="J",IF(AND(EE260+$D$297&gt;=$E$287,EE260+$D$297&lt;=$E$288),10,0),IF(AND(EE260+$D$297+1&gt;=$E$287,EE260+$D$297+1&lt;=$E$288),10,0))</f>
        <v>0</v>
      </c>
      <c r="EF287" s="1908">
        <f ca="1">IF(ENTRADAS!$O$1252="J",IF(AND(EF260+$D$297&gt;=$E$287,EF260+$D$297&lt;=$E$288),10,0),IF(AND(EF260+$D$297+1&gt;=$E$287,EF260+$D$297+1&lt;=$E$288),10,0))</f>
        <v>0</v>
      </c>
      <c r="EG287" s="1908">
        <f ca="1">IF(ENTRADAS!$O$1252="J",IF(AND(EG260+$D$297&gt;=$E$287,EG260+$D$297&lt;=$E$288),10,0),IF(AND(EG260+$D$297+1&gt;=$E$287,EG260+$D$297+1&lt;=$E$288),10,0))</f>
        <v>0</v>
      </c>
      <c r="EH287" s="1908">
        <f ca="1">IF(ENTRADAS!$O$1252="J",IF(AND(EH260+$D$297&gt;=$E$287,EH260+$D$297&lt;=$E$288),10,0),IF(AND(EH260+$D$297+1&gt;=$E$287,EH260+$D$297+1&lt;=$E$288),10,0))</f>
        <v>0</v>
      </c>
      <c r="EI287" s="1908">
        <f ca="1">IF(ENTRADAS!$O$1252="J",IF(AND(EI260+$D$297&gt;=$E$287,EI260+$D$297&lt;=$E$288),10,0),IF(AND(EI260+$D$297+1&gt;=$E$287,EI260+$D$297+1&lt;=$E$288),10,0))</f>
        <v>0</v>
      </c>
      <c r="EJ287" s="1908">
        <f ca="1">IF(ENTRADAS!$O$1252="J",IF(AND(EJ260+$D$297&gt;=$E$287,EJ260+$D$297&lt;=$E$288),10,0),IF(AND(EJ260+$D$297+1&gt;=$E$287,EJ260+$D$297+1&lt;=$E$288),10,0))</f>
        <v>0</v>
      </c>
      <c r="EK287" s="1907">
        <f ca="1">IF(ENTRADAS!$O$1252="J",IF(AND(EK260+$D$297&gt;=$E$287,EK260+$D$297&lt;=$E$288),10,0),IF(AND(EK260+$D$297+1&gt;=$E$287,EK260+$D$297+1&lt;=$E$288),10,0))</f>
        <v>0</v>
      </c>
      <c r="EL287" s="1908">
        <f ca="1">IF(ENTRADAS!$O$1252="J",IF(AND(EL260+$D$297&gt;=$E$287,EL260+$D$297&lt;=$E$288),10,0),IF(AND(EL260+$D$297+1&gt;=$E$287,EL260+$D$297+1&lt;=$E$288),10,0))</f>
        <v>0</v>
      </c>
      <c r="EM287" s="1908">
        <f ca="1">IF(ENTRADAS!$O$1252="J",IF(AND(EM260+$D$297&gt;=$E$287,EM260+$D$297&lt;=$E$288),10,0),IF(AND(EM260+$D$297+1&gt;=$E$287,EM260+$D$297+1&lt;=$E$288),10,0))</f>
        <v>0</v>
      </c>
      <c r="EN287" s="1908">
        <f ca="1">IF(ENTRADAS!$O$1252="J",IF(AND(EN260+$D$297&gt;=$E$287,EN260+$D$297&lt;=$E$288),10,0),IF(AND(EN260+$D$297+1&gt;=$E$287,EN260+$D$297+1&lt;=$E$288),10,0))</f>
        <v>0</v>
      </c>
      <c r="EO287" s="1908">
        <f ca="1">IF(ENTRADAS!$O$1252="J",IF(AND(EO260+$D$297&gt;=$E$287,EO260+$D$297&lt;=$E$288),10,0),IF(AND(EO260+$D$297+1&gt;=$E$287,EO260+$D$297+1&lt;=$E$288),10,0))</f>
        <v>0</v>
      </c>
      <c r="EP287" s="1908">
        <f ca="1">IF(ENTRADAS!$O$1252="J",IF(AND(EP260+$D$297&gt;=$E$287,EP260+$D$297&lt;=$E$288),10,0),IF(AND(EP260+$D$297+1&gt;=$E$287,EP260+$D$297+1&lt;=$E$288),10,0))</f>
        <v>0</v>
      </c>
      <c r="EQ287" s="1908">
        <f ca="1">IF(ENTRADAS!$O$1252="J",IF(AND(EQ260+$D$297&gt;=$E$287,EQ260+$D$297&lt;=$E$288),10,0),IF(AND(EQ260+$D$297+1&gt;=$E$287,EQ260+$D$297+1&lt;=$E$288),10,0))</f>
        <v>0</v>
      </c>
      <c r="ER287" s="1907">
        <f ca="1">IF(ENTRADAS!$O$1252="J",IF(AND(ER260+$D$297&gt;=$E$287,ER260+$D$297&lt;=$E$288),10,0),IF(AND(ER260+$D$297+1&gt;=$E$287,ER260+$D$297+1&lt;=$E$288),10,0))</f>
        <v>0</v>
      </c>
      <c r="ES287" s="1908">
        <f ca="1">IF(ENTRADAS!$O$1252="J",IF(AND(ES260+$D$297&gt;=$E$287,ES260+$D$297&lt;=$E$288),10,0),IF(AND(ES260+$D$297+1&gt;=$E$287,ES260+$D$297+1&lt;=$E$288),10,0))</f>
        <v>0</v>
      </c>
      <c r="ET287" s="1908">
        <f ca="1">IF(ENTRADAS!$O$1252="J",IF(AND(ET260+$D$297&gt;=$E$287,ET260+$D$297&lt;=$E$288),10,0),IF(AND(ET260+$D$297+1&gt;=$E$287,ET260+$D$297+1&lt;=$E$288),10,0))</f>
        <v>0</v>
      </c>
      <c r="EU287" s="1908">
        <f ca="1">IF(ENTRADAS!$O$1252="J",IF(AND(EU260+$D$297&gt;=$E$287,EU260+$D$297&lt;=$E$288),10,0),IF(AND(EU260+$D$297+1&gt;=$E$287,EU260+$D$297+1&lt;=$E$288),10,0))</f>
        <v>0</v>
      </c>
      <c r="EV287" s="1908">
        <f ca="1">IF(ENTRADAS!$O$1252="J",IF(AND(EV260+$D$297&gt;=$E$287,EV260+$D$297&lt;=$E$288),10,0),IF(AND(EV260+$D$297+1&gt;=$E$287,EV260+$D$297+1&lt;=$E$288),10,0))</f>
        <v>0</v>
      </c>
      <c r="EW287" s="1908">
        <f ca="1">IF(ENTRADAS!$O$1252="J",IF(AND(EW260+$D$297&gt;=$E$287,EW260+$D$297&lt;=$E$288),10,0),IF(AND(EW260+$D$297+1&gt;=$E$287,EW260+$D$297+1&lt;=$E$288),10,0))</f>
        <v>0</v>
      </c>
      <c r="EX287" s="1908">
        <f ca="1">IF(ENTRADAS!$O$1252="J",IF(AND(EX260+$D$297&gt;=$E$287,EX260+$D$297&lt;=$E$288),10,0),IF(AND(EX260+$D$297+1&gt;=$E$287,EX260+$D$297+1&lt;=$E$288),10,0))</f>
        <v>0</v>
      </c>
      <c r="EY287" s="1907">
        <f ca="1">IF(ENTRADAS!$O$1252="J",IF(AND(EY260+$D$297&gt;=$E$287,EY260+$D$297&lt;=$E$288),10,0),IF(AND(EY260+$D$297+1&gt;=$E$287,EY260+$D$297+1&lt;=$E$288),10,0))</f>
        <v>0</v>
      </c>
      <c r="EZ287" s="1908">
        <f ca="1">IF(ENTRADAS!$O$1252="J",IF(AND(EZ260+$D$297&gt;=$E$287,EZ260+$D$297&lt;=$E$288),10,0),IF(AND(EZ260+$D$297+1&gt;=$E$287,EZ260+$D$297+1&lt;=$E$288),10,0))</f>
        <v>0</v>
      </c>
      <c r="FA287" s="1908">
        <f ca="1">IF(ENTRADAS!$O$1252="J",IF(AND(FA260+$D$297&gt;=$E$287,FA260+$D$297&lt;=$E$288),10,0),IF(AND(FA260+$D$297+1&gt;=$E$287,FA260+$D$297+1&lt;=$E$288),10,0))</f>
        <v>0</v>
      </c>
      <c r="FB287" s="1908">
        <f ca="1">IF(ENTRADAS!$O$1252="J",IF(AND(FB260+$D$297&gt;=$E$287,FB260+$D$297&lt;=$E$288),10,0),IF(AND(FB260+$D$297+1&gt;=$E$287,FB260+$D$297+1&lt;=$E$288),10,0))</f>
        <v>0</v>
      </c>
      <c r="FC287" s="1908">
        <f ca="1">IF(ENTRADAS!$O$1252="J",IF(AND(FC260+$D$297&gt;=$E$287,FC260+$D$297&lt;=$E$288),10,0),IF(AND(FC260+$D$297+1&gt;=$E$287,FC260+$D$297+1&lt;=$E$288),10,0))</f>
        <v>0</v>
      </c>
      <c r="FD287" s="1908">
        <f ca="1">IF(ENTRADAS!$O$1252="J",IF(AND(FD260+$D$297&gt;=$E$287,FD260+$D$297&lt;=$E$288),10,0),IF(AND(FD260+$D$297+1&gt;=$E$287,FD260+$D$297+1&lt;=$E$288),10,0))</f>
        <v>0</v>
      </c>
      <c r="FE287" s="1908">
        <f ca="1">IF(ENTRADAS!$O$1252="J",IF(AND(FE260+$D$297&gt;=$E$287,FE260+$D$297&lt;=$E$288),10,0),IF(AND(FE260+$D$297+1&gt;=$E$287,FE260+$D$297+1&lt;=$E$288),10,0))</f>
        <v>0</v>
      </c>
      <c r="FF287" s="1907">
        <f ca="1">IF(ENTRADAS!$O$1252="J",IF(AND(FF260+$D$297&gt;=$E$287,FF260+$D$297&lt;=$E$288),10,0),IF(AND(FF260+$D$297+1&gt;=$E$287,FF260+$D$297+1&lt;=$E$288),10,0))</f>
        <v>0</v>
      </c>
      <c r="FG287" s="1908">
        <f ca="1">IF(ENTRADAS!$O$1252="J",IF(AND(FG260+$D$297&gt;=$E$287,FG260+$D$297&lt;=$E$288),10,0),IF(AND(FG260+$D$297+1&gt;=$E$287,FG260+$D$297+1&lt;=$E$288),10,0))</f>
        <v>0</v>
      </c>
      <c r="FH287" s="1908">
        <f ca="1">IF(ENTRADAS!$O$1252="J",IF(AND(FH260+$D$297&gt;=$E$287,FH260+$D$297&lt;=$E$288),10,0),IF(AND(FH260+$D$297+1&gt;=$E$287,FH260+$D$297+1&lt;=$E$288),10,0))</f>
        <v>0</v>
      </c>
      <c r="FI287" s="1908">
        <f ca="1">IF(ENTRADAS!$O$1252="J",IF(AND(FI260+$D$297&gt;=$E$287,FI260+$D$297&lt;=$E$288),10,0),IF(AND(FI260+$D$297+1&gt;=$E$287,FI260+$D$297+1&lt;=$E$288),10,0))</f>
        <v>0</v>
      </c>
      <c r="FJ287" s="1908">
        <f ca="1">IF(ENTRADAS!$O$1252="J",IF(AND(FJ260+$D$297&gt;=$E$287,FJ260+$D$297&lt;=$E$288),10,0),IF(AND(FJ260+$D$297+1&gt;=$E$287,FJ260+$D$297+1&lt;=$E$288),10,0))</f>
        <v>0</v>
      </c>
      <c r="FK287" s="1908">
        <f ca="1">IF(ENTRADAS!$O$1252="J",IF(AND(FK260+$D$297&gt;=$E$287,FK260+$D$297&lt;=$E$288),10,0),IF(AND(FK260+$D$297+1&gt;=$E$287,FK260+$D$297+1&lt;=$E$288),10,0))</f>
        <v>0</v>
      </c>
      <c r="FL287" s="1908">
        <f ca="1">IF(ENTRADAS!$O$1252="J",IF(AND(FL260+$D$297&gt;=$E$287,FL260+$D$297&lt;=$E$288),10,0),IF(AND(FL260+$D$297+1&gt;=$E$287,FL260+$D$297+1&lt;=$E$288),10,0))</f>
        <v>0</v>
      </c>
      <c r="FM287" s="1907">
        <f ca="1">IF(ENTRADAS!$O$1252="J",IF(AND(FM260+$D$297&gt;=$E$287,FM260+$D$297&lt;=$E$288),10,0),IF(AND(FM260+$D$297+1&gt;=$E$287,FM260+$D$297+1&lt;=$E$288),10,0))</f>
        <v>0</v>
      </c>
      <c r="FN287" s="1908">
        <f ca="1">IF(ENTRADAS!$O$1252="J",IF(AND(FN260+$D$297&gt;=$E$287,FN260+$D$297&lt;=$E$288),10,0),IF(AND(FN260+$D$297+1&gt;=$E$287,FN260+$D$297+1&lt;=$E$288),10,0))</f>
        <v>0</v>
      </c>
      <c r="FO287" s="1908">
        <f ca="1">IF(ENTRADAS!$O$1252="J",IF(AND(FO260+$D$297&gt;=$E$287,FO260+$D$297&lt;=$E$288),10,0),IF(AND(FO260+$D$297+1&gt;=$E$287,FO260+$D$297+1&lt;=$E$288),10,0))</f>
        <v>0</v>
      </c>
      <c r="FP287" s="1908">
        <f ca="1">IF(ENTRADAS!$O$1252="J",IF(AND(FP260+$D$297&gt;=$E$287,FP260+$D$297&lt;=$E$288),10,0),IF(AND(FP260+$D$297+1&gt;=$E$287,FP260+$D$297+1&lt;=$E$288),10,0))</f>
        <v>0</v>
      </c>
      <c r="FQ287" s="1908">
        <f ca="1">IF(ENTRADAS!$O$1252="J",IF(AND(FQ260+$D$297&gt;=$E$287,FQ260+$D$297&lt;=$E$288),10,0),IF(AND(FQ260+$D$297+1&gt;=$E$287,FQ260+$D$297+1&lt;=$E$288),10,0))</f>
        <v>0</v>
      </c>
      <c r="FR287" s="1908">
        <f ca="1">IF(ENTRADAS!$O$1252="J",IF(AND(FR260+$D$297&gt;=$E$287,FR260+$D$297&lt;=$E$288),10,0),IF(AND(FR260+$D$297+1&gt;=$E$287,FR260+$D$297+1&lt;=$E$288),10,0))</f>
        <v>0</v>
      </c>
      <c r="FS287" s="1908">
        <f ca="1">IF(ENTRADAS!$O$1252="J",IF(AND(FS260+$D$297&gt;=$E$287,FS260+$D$297&lt;=$E$288),10,0),IF(AND(FS260+$D$297+1&gt;=$E$287,FS260+$D$297+1&lt;=$E$288),10,0))</f>
        <v>0</v>
      </c>
      <c r="FT287" s="1907">
        <f ca="1">IF(ENTRADAS!$O$1252="J",IF(AND(FT260+$D$297&gt;=$E$287,FT260+$D$297&lt;=$E$288),10,0),IF(AND(FT260+$D$297+1&gt;=$E$287,FT260+$D$297+1&lt;=$E$288),10,0))</f>
        <v>0</v>
      </c>
      <c r="FU287" s="1908">
        <f ca="1">IF(ENTRADAS!$O$1252="J",IF(AND(FU260+$D$297&gt;=$E$287,FU260+$D$297&lt;=$E$288),10,0),IF(AND(FU260+$D$297+1&gt;=$E$287,FU260+$D$297+1&lt;=$E$288),10,0))</f>
        <v>0</v>
      </c>
      <c r="FV287" s="1908">
        <f ca="1">IF(ENTRADAS!$O$1252="J",IF(AND(FV260+$D$297&gt;=$E$287,FV260+$D$297&lt;=$E$288),10,0),IF(AND(FV260+$D$297+1&gt;=$E$287,FV260+$D$297+1&lt;=$E$288),10,0))</f>
        <v>0</v>
      </c>
      <c r="FW287" s="1908">
        <f ca="1">IF(ENTRADAS!$O$1252="J",IF(AND(FW260+$D$297&gt;=$E$287,FW260+$D$297&lt;=$E$288),10,0),IF(AND(FW260+$D$297+1&gt;=$E$287,FW260+$D$297+1&lt;=$E$288),10,0))</f>
        <v>0</v>
      </c>
      <c r="FX287" s="1908">
        <f ca="1">IF(ENTRADAS!$O$1252="J",IF(AND(FX260+$D$297&gt;=$E$287,FX260+$D$297&lt;=$E$288),10,0),IF(AND(FX260+$D$297+1&gt;=$E$287,FX260+$D$297+1&lt;=$E$288),10,0))</f>
        <v>0</v>
      </c>
      <c r="FY287" s="1908">
        <f ca="1">IF(ENTRADAS!$O$1252="J",IF(AND(FY260+$D$297&gt;=$E$287,FY260+$D$297&lt;=$E$288),10,0),IF(AND(FY260+$D$297+1&gt;=$E$287,FY260+$D$297+1&lt;=$E$288),10,0))</f>
        <v>0</v>
      </c>
      <c r="FZ287" s="1908">
        <f ca="1">IF(ENTRADAS!$O$1252="J",IF(AND(FZ260+$D$297&gt;=$E$287,FZ260+$D$297&lt;=$E$288),10,0),IF(AND(FZ260+$D$297+1&gt;=$E$287,FZ260+$D$297+1&lt;=$E$288),10,0))</f>
        <v>0</v>
      </c>
      <c r="GA287" s="1907">
        <f ca="1">IF(ENTRADAS!$O$1252="J",IF(AND(GA260+$D$297&gt;=$E$287,GA260+$D$297&lt;=$E$288),10,0),IF(AND(GA260+$D$297+1&gt;=$E$287,GA260+$D$297+1&lt;=$E$288),10,0))</f>
        <v>0</v>
      </c>
      <c r="GB287" s="1908">
        <f ca="1">IF(ENTRADAS!$O$1252="J",IF(AND(GB260+$D$297&gt;=$E$287,GB260+$D$297&lt;=$E$288),10,0),IF(AND(GB260+$D$297+1&gt;=$E$287,GB260+$D$297+1&lt;=$E$288),10,0))</f>
        <v>0</v>
      </c>
      <c r="GC287" s="1908">
        <f ca="1">IF(ENTRADAS!$O$1252="J",IF(AND(GC260+$D$297&gt;=$E$287,GC260+$D$297&lt;=$E$288),10,0),IF(AND(GC260+$D$297+1&gt;=$E$287,GC260+$D$297+1&lt;=$E$288),10,0))</f>
        <v>0</v>
      </c>
      <c r="GD287" s="1908">
        <f ca="1">IF(ENTRADAS!$O$1252="J",IF(AND(GD260+$D$297&gt;=$E$287,GD260+$D$297&lt;=$E$288),10,0),IF(AND(GD260+$D$297+1&gt;=$E$287,GD260+$D$297+1&lt;=$E$288),10,0))</f>
        <v>0</v>
      </c>
      <c r="GE287" s="1908">
        <f ca="1">IF(ENTRADAS!$O$1252="J",IF(AND(GE260+$D$297&gt;=$E$287,GE260+$D$297&lt;=$E$288),10,0),IF(AND(GE260+$D$297+1&gt;=$E$287,GE260+$D$297+1&lt;=$E$288),10,0))</f>
        <v>0</v>
      </c>
      <c r="GF287" s="1908">
        <f ca="1">IF(ENTRADAS!$O$1252="J",IF(AND(GF260+$D$297&gt;=$E$287,GF260+$D$297&lt;=$E$288),10,0),IF(AND(GF260+$D$297+1&gt;=$E$287,GF260+$D$297+1&lt;=$E$288),10,0))</f>
        <v>0</v>
      </c>
      <c r="GG287" s="1908">
        <f ca="1">IF(ENTRADAS!$O$1252="J",IF(AND(GG260+$D$297&gt;=$E$287,GG260+$D$297&lt;=$E$288),10,0),IF(AND(GG260+$D$297+1&gt;=$E$287,GG260+$D$297+1&lt;=$E$288),10,0))</f>
        <v>0</v>
      </c>
      <c r="GH287" s="1907">
        <f ca="1">IF(ENTRADAS!$O$1252="J",IF(AND(GH260+$D$297&gt;=$E$287,GH260+$D$297&lt;=$E$288),10,0),IF(AND(GH260+$D$297+1&gt;=$E$287,GH260+$D$297+1&lt;=$E$288),10,0))</f>
        <v>0</v>
      </c>
      <c r="GI287" s="1908">
        <f ca="1">IF(ENTRADAS!$O$1252="J",IF(AND(GI260+$D$297&gt;=$E$287,GI260+$D$297&lt;=$E$288),10,0),IF(AND(GI260+$D$297+1&gt;=$E$287,GI260+$D$297+1&lt;=$E$288),10,0))</f>
        <v>0</v>
      </c>
      <c r="GJ287" s="1908">
        <f ca="1">IF(ENTRADAS!$O$1252="J",IF(AND(GJ260+$D$297&gt;=$E$287,GJ260+$D$297&lt;=$E$288),10,0),IF(AND(GJ260+$D$297+1&gt;=$E$287,GJ260+$D$297+1&lt;=$E$288),10,0))</f>
        <v>0</v>
      </c>
      <c r="GK287" s="1908">
        <f ca="1">IF(ENTRADAS!$O$1252="J",IF(AND(GK260+$D$297&gt;=$E$287,GK260+$D$297&lt;=$E$288),10,0),IF(AND(GK260+$D$297+1&gt;=$E$287,GK260+$D$297+1&lt;=$E$288),10,0))</f>
        <v>0</v>
      </c>
      <c r="GL287" s="1908">
        <f ca="1">IF(ENTRADAS!$O$1252="J",IF(AND(GL260+$D$297&gt;=$E$287,GL260+$D$297&lt;=$E$288),10,0),IF(AND(GL260+$D$297+1&gt;=$E$287,GL260+$D$297+1&lt;=$E$288),10,0))</f>
        <v>0</v>
      </c>
      <c r="GM287" s="1908">
        <f ca="1">IF(ENTRADAS!$O$1252="J",IF(AND(GM260+$D$297&gt;=$E$287,GM260+$D$297&lt;=$E$288),10,0),IF(AND(GM260+$D$297+1&gt;=$E$287,GM260+$D$297+1&lt;=$E$288),10,0))</f>
        <v>0</v>
      </c>
      <c r="GN287" s="1908">
        <f ca="1">IF(ENTRADAS!$O$1252="J",IF(AND(GN260+$D$297&gt;=$E$287,GN260+$D$297&lt;=$E$288),10,0),IF(AND(GN260+$D$297+1&gt;=$E$287,GN260+$D$297+1&lt;=$E$288),10,0))</f>
        <v>0</v>
      </c>
      <c r="GO287" s="1907">
        <f ca="1">IF(ENTRADAS!$O$1252="J",IF(AND(GO260+$D$297&gt;=$E$287,GO260+$D$297&lt;=$E$288),10,0),IF(AND(GO260+$D$297+1&gt;=$E$287,GO260+$D$297+1&lt;=$E$288),10,0))</f>
        <v>0</v>
      </c>
      <c r="GP287" s="1908">
        <f ca="1">IF(ENTRADAS!$O$1252="J",IF(AND(GP260+$D$297&gt;=$E$287,GP260+$D$297&lt;=$E$288),10,0),IF(AND(GP260+$D$297+1&gt;=$E$287,GP260+$D$297+1&lt;=$E$288),10,0))</f>
        <v>0</v>
      </c>
      <c r="GQ287" s="1908">
        <f ca="1">IF(ENTRADAS!$O$1252="J",IF(AND(GQ260+$D$297&gt;=$E$287,GQ260+$D$297&lt;=$E$288),10,0),IF(AND(GQ260+$D$297+1&gt;=$E$287,GQ260+$D$297+1&lt;=$E$288),10,0))</f>
        <v>0</v>
      </c>
      <c r="GR287" s="1908">
        <f ca="1">IF(ENTRADAS!$O$1252="J",IF(AND(GR260+$D$297&gt;=$E$287,GR260+$D$297&lt;=$E$288),10,0),IF(AND(GR260+$D$297+1&gt;=$E$287,GR260+$D$297+1&lt;=$E$288),10,0))</f>
        <v>0</v>
      </c>
      <c r="GS287" s="1908">
        <f ca="1">IF(ENTRADAS!$O$1252="J",IF(AND(GS260+$D$297&gt;=$E$287,GS260+$D$297&lt;=$E$288),10,0),IF(AND(GS260+$D$297+1&gt;=$E$287,GS260+$D$297+1&lt;=$E$288),10,0))</f>
        <v>0</v>
      </c>
      <c r="GT287" s="1908">
        <f ca="1">IF(ENTRADAS!$O$1252="J",IF(AND(GT260+$D$297&gt;=$E$287,GT260+$D$297&lt;=$E$288),10,0),IF(AND(GT260+$D$297+1&gt;=$E$287,GT260+$D$297+1&lt;=$E$288),10,0))</f>
        <v>0</v>
      </c>
      <c r="GU287" s="1908">
        <f ca="1">IF(ENTRADAS!$O$1252="J",IF(AND(GU260+$D$297&gt;=$E$287,GU260+$D$297&lt;=$E$288),10,0),IF(AND(GU260+$D$297+1&gt;=$E$287,GU260+$D$297+1&lt;=$E$288),10,0))</f>
        <v>0</v>
      </c>
      <c r="GV287" s="1907">
        <f ca="1">IF(ENTRADAS!$O$1252="J",IF(AND(GV260+$D$297&gt;=$E$287,GV260+$D$297&lt;=$E$288),10,0),IF(AND(GV260+$D$297+1&gt;=$E$287,GV260+$D$297+1&lt;=$E$288),10,0))</f>
        <v>0</v>
      </c>
      <c r="GW287" s="1908">
        <f ca="1">IF(ENTRADAS!$O$1252="J",IF(AND(GW260+$D$297&gt;=$E$287,GW260+$D$297&lt;=$E$288),10,0),IF(AND(GW260+$D$297+1&gt;=$E$287,GW260+$D$297+1&lt;=$E$288),10,0))</f>
        <v>0</v>
      </c>
      <c r="GX287" s="1908">
        <f ca="1">IF(ENTRADAS!$O$1252="J",IF(AND(GX260+$D$297&gt;=$E$287,GX260+$D$297&lt;=$E$288),10,0),IF(AND(GX260+$D$297+1&gt;=$E$287,GX260+$D$297+1&lt;=$E$288),10,0))</f>
        <v>0</v>
      </c>
      <c r="GY287" s="1908">
        <f ca="1">IF(ENTRADAS!$O$1252="J",IF(AND(GY260+$D$297&gt;=$E$287,GY260+$D$297&lt;=$E$288),10,0),IF(AND(GY260+$D$297+1&gt;=$E$287,GY260+$D$297+1&lt;=$E$288),10,0))</f>
        <v>0</v>
      </c>
      <c r="GZ287" s="1908">
        <f ca="1">IF(ENTRADAS!$O$1252="J",IF(AND(GZ260+$D$297&gt;=$E$287,GZ260+$D$297&lt;=$E$288),10,0),IF(AND(GZ260+$D$297+1&gt;=$E$287,GZ260+$D$297+1&lt;=$E$288),10,0))</f>
        <v>0</v>
      </c>
      <c r="HA287" s="1908">
        <f ca="1">IF(ENTRADAS!$O$1252="J",IF(AND(HA260+$D$297&gt;=$E$287,HA260+$D$297&lt;=$E$288),10,0),IF(AND(HA260+$D$297+1&gt;=$E$287,HA260+$D$297+1&lt;=$E$288),10,0))</f>
        <v>0</v>
      </c>
      <c r="HB287" s="1908">
        <f ca="1">IF(ENTRADAS!$O$1252="J",IF(AND(HB260+$D$297&gt;=$E$287,HB260+$D$297&lt;=$E$288),10,0),IF(AND(HB260+$D$297+1&gt;=$E$287,HB260+$D$297+1&lt;=$E$288),10,0))</f>
        <v>0</v>
      </c>
      <c r="HC287" s="1907">
        <f ca="1">IF(ENTRADAS!$O$1252="J",IF(AND(HC260+$D$297&gt;=$E$287,HC260+$D$297&lt;=$E$288),10,0),IF(AND(HC260+$D$297+1&gt;=$E$287,HC260+$D$297+1&lt;=$E$288),10,0))</f>
        <v>0</v>
      </c>
      <c r="HD287" s="1908">
        <f ca="1">IF(ENTRADAS!$O$1252="J",IF(AND(HD260+$D$297&gt;=$E$287,HD260+$D$297&lt;=$E$288),10,0),IF(AND(HD260+$D$297+1&gt;=$E$287,HD260+$D$297+1&lt;=$E$288),10,0))</f>
        <v>0</v>
      </c>
      <c r="HE287" s="1908">
        <f ca="1">IF(ENTRADAS!$O$1252="J",IF(AND(HE260+$D$297&gt;=$E$287,HE260+$D$297&lt;=$E$288),10,0),IF(AND(HE260+$D$297+1&gt;=$E$287,HE260+$D$297+1&lt;=$E$288),10,0))</f>
        <v>0</v>
      </c>
      <c r="HF287" s="1908">
        <f ca="1">IF(ENTRADAS!$O$1252="J",IF(AND(HF260+$D$297&gt;=$E$287,HF260+$D$297&lt;=$E$288),10,0),IF(AND(HF260+$D$297+1&gt;=$E$287,HF260+$D$297+1&lt;=$E$288),10,0))</f>
        <v>0</v>
      </c>
      <c r="HG287" s="1908">
        <f ca="1">IF(ENTRADAS!$O$1252="J",IF(AND(HG260+$D$297&gt;=$E$287,HG260+$D$297&lt;=$E$288),10,0),IF(AND(HG260+$D$297+1&gt;=$E$287,HG260+$D$297+1&lt;=$E$288),10,0))</f>
        <v>0</v>
      </c>
      <c r="HH287" s="1908">
        <f ca="1">IF(ENTRADAS!$O$1252="J",IF(AND(HH260+$D$297&gt;=$E$287,HH260+$D$297&lt;=$E$288),10,0),IF(AND(HH260+$D$297+1&gt;=$E$287,HH260+$D$297+1&lt;=$E$288),10,0))</f>
        <v>0</v>
      </c>
      <c r="HI287" s="1908">
        <f ca="1">IF(ENTRADAS!$O$1252="J",IF(AND(HI260+$D$297&gt;=$E$287,HI260+$D$297&lt;=$E$288),10,0),IF(AND(HI260+$D$297+1&gt;=$E$287,HI260+$D$297+1&lt;=$E$288),10,0))</f>
        <v>0</v>
      </c>
      <c r="HJ287" s="1907">
        <f ca="1">IF(ENTRADAS!$O$1252="J",IF(AND(HJ260+$D$297&gt;=$E$287,HJ260+$D$297&lt;=$E$288),10,0),IF(AND(HJ260+$D$297+1&gt;=$E$287,HJ260+$D$297+1&lt;=$E$288),10,0))</f>
        <v>0</v>
      </c>
      <c r="HK287" s="1908">
        <f ca="1">IF(ENTRADAS!$O$1252="J",IF(AND(HK260+$D$297&gt;=$E$287,HK260+$D$297&lt;=$E$288),10,0),IF(AND(HK260+$D$297+1&gt;=$E$287,HK260+$D$297+1&lt;=$E$288),10,0))</f>
        <v>0</v>
      </c>
      <c r="HL287" s="1908">
        <f ca="1">IF(ENTRADAS!$O$1252="J",IF(AND(HL260+$D$297&gt;=$E$287,HL260+$D$297&lt;=$E$288),10,0),IF(AND(HL260+$D$297+1&gt;=$E$287,HL260+$D$297+1&lt;=$E$288),10,0))</f>
        <v>0</v>
      </c>
      <c r="HM287" s="1908">
        <f ca="1">IF(ENTRADAS!$O$1252="J",IF(AND(HM260+$D$297&gt;=$E$287,HM260+$D$297&lt;=$E$288),10,0),IF(AND(HM260+$D$297+1&gt;=$E$287,HM260+$D$297+1&lt;=$E$288),10,0))</f>
        <v>0</v>
      </c>
      <c r="HN287" s="1908">
        <f ca="1">IF(ENTRADAS!$O$1252="J",IF(AND(HN260+$D$297&gt;=$E$287,HN260+$D$297&lt;=$E$288),10,0),IF(AND(HN260+$D$297+1&gt;=$E$287,HN260+$D$297+1&lt;=$E$288),10,0))</f>
        <v>0</v>
      </c>
      <c r="HO287" s="1908">
        <f ca="1">IF(ENTRADAS!$O$1252="J",IF(AND(HO260+$D$297&gt;=$E$287,HO260+$D$297&lt;=$E$288),10,0),IF(AND(HO260+$D$297+1&gt;=$E$287,HO260+$D$297+1&lt;=$E$288),10,0))</f>
        <v>0</v>
      </c>
      <c r="HP287" s="1908">
        <f ca="1">IF(ENTRADAS!$O$1252="J",IF(AND(HP260+$D$297&gt;=$E$287,HP260+$D$297&lt;=$E$288),10,0),IF(AND(HP260+$D$297+1&gt;=$E$287,HP260+$D$297+1&lt;=$E$288),10,0))</f>
        <v>0</v>
      </c>
      <c r="HQ287" s="1907">
        <f ca="1">IF(ENTRADAS!$O$1252="J",IF(AND(HQ260+$D$297&gt;=$E$287,HQ260+$D$297&lt;=$E$288),10,0),IF(AND(HQ260+$D$297+1&gt;=$E$287,HQ260+$D$297+1&lt;=$E$288),10,0))</f>
        <v>0</v>
      </c>
      <c r="HR287" s="1908">
        <f ca="1">IF(ENTRADAS!$O$1252="J",IF(AND(HR260+$D$297&gt;=$E$287,HR260+$D$297&lt;=$E$288),10,0),IF(AND(HR260+$D$297+1&gt;=$E$287,HR260+$D$297+1&lt;=$E$288),10,0))</f>
        <v>0</v>
      </c>
      <c r="HS287" s="1908">
        <f ca="1">IF(ENTRADAS!$O$1252="J",IF(AND(HS260+$D$297&gt;=$E$287,HS260+$D$297&lt;=$E$288),10,0),IF(AND(HS260+$D$297+1&gt;=$E$287,HS260+$D$297+1&lt;=$E$288),10,0))</f>
        <v>0</v>
      </c>
      <c r="HT287" s="1908">
        <f ca="1">IF(ENTRADAS!$O$1252="J",IF(AND(HT260+$D$297&gt;=$E$287,HT260+$D$297&lt;=$E$288),10,0),IF(AND(HT260+$D$297+1&gt;=$E$287,HT260+$D$297+1&lt;=$E$288),10,0))</f>
        <v>0</v>
      </c>
      <c r="HU287" s="1908">
        <f ca="1">IF(ENTRADAS!$O$1252="J",IF(AND(HU260+$D$297&gt;=$E$287,HU260+$D$297&lt;=$E$288),10,0),IF(AND(HU260+$D$297+1&gt;=$E$287,HU260+$D$297+1&lt;=$E$288),10,0))</f>
        <v>0</v>
      </c>
      <c r="HV287" s="1908">
        <f ca="1">IF(ENTRADAS!$O$1252="J",IF(AND(HV260+$D$297&gt;=$E$287,HV260+$D$297&lt;=$E$288),10,0),IF(AND(HV260+$D$297+1&gt;=$E$287,HV260+$D$297+1&lt;=$E$288),10,0))</f>
        <v>0</v>
      </c>
      <c r="HW287" s="1908">
        <f ca="1">IF(ENTRADAS!$O$1252="J",IF(AND(HW260+$D$297&gt;=$E$287,HW260+$D$297&lt;=$E$288),10,0),IF(AND(HW260+$D$297+1&gt;=$E$287,HW260+$D$297+1&lt;=$E$288),10,0))</f>
        <v>0</v>
      </c>
      <c r="HX287" s="1907">
        <f ca="1">IF(ENTRADAS!$O$1252="J",IF(AND(HX260+$D$297&gt;=$E$287,HX260+$D$297&lt;=$E$288),10,0),IF(AND(HX260+$D$297+1&gt;=$E$287,HX260+$D$297+1&lt;=$E$288),10,0))</f>
        <v>0</v>
      </c>
      <c r="HY287" s="1908">
        <f ca="1">IF(ENTRADAS!$O$1252="J",IF(AND(HY260+$D$297&gt;=$E$287,HY260+$D$297&lt;=$E$288),10,0),IF(AND(HY260+$D$297+1&gt;=$E$287,HY260+$D$297+1&lt;=$E$288),10,0))</f>
        <v>0</v>
      </c>
      <c r="HZ287" s="1908">
        <f ca="1">IF(ENTRADAS!$O$1252="J",IF(AND(HZ260+$D$297&gt;=$E$287,HZ260+$D$297&lt;=$E$288),10,0),IF(AND(HZ260+$D$297+1&gt;=$E$287,HZ260+$D$297+1&lt;=$E$288),10,0))</f>
        <v>0</v>
      </c>
      <c r="IA287" s="1908">
        <f ca="1">IF(ENTRADAS!$O$1252="J",IF(AND(IA260+$D$297&gt;=$E$287,IA260+$D$297&lt;=$E$288),10,0),IF(AND(IA260+$D$297+1&gt;=$E$287,IA260+$D$297+1&lt;=$E$288),10,0))</f>
        <v>0</v>
      </c>
      <c r="IB287" s="1908">
        <f ca="1">IF(ENTRADAS!$O$1252="J",IF(AND(IB260+$D$297&gt;=$E$287,IB260+$D$297&lt;=$E$288),10,0),IF(AND(IB260+$D$297+1&gt;=$E$287,IB260+$D$297+1&lt;=$E$288),10,0))</f>
        <v>0</v>
      </c>
      <c r="IC287" s="1908">
        <f ca="1">IF(ENTRADAS!$O$1252="J",IF(AND(IC260+$D$297&gt;=$E$287,IC260+$D$297&lt;=$E$288),10,0),IF(AND(IC260+$D$297+1&gt;=$E$287,IC260+$D$297+1&lt;=$E$288),10,0))</f>
        <v>0</v>
      </c>
      <c r="ID287" s="1908">
        <f ca="1">IF(ENTRADAS!$O$1252="J",IF(AND(ID260+$D$297&gt;=$E$287,ID260+$D$297&lt;=$E$288),10,0),IF(AND(ID260+$D$297+1&gt;=$E$287,ID260+$D$297+1&lt;=$E$288),10,0))</f>
        <v>0</v>
      </c>
      <c r="IE287" s="1907">
        <f ca="1">IF(ENTRADAS!$O$1252="J",IF(AND(IE260+$D$297&gt;=$E$287,IE260+$D$297&lt;=$E$288),10,0),IF(AND(IE260+$D$297+1&gt;=$E$287,IE260+$D$297+1&lt;=$E$288),10,0))</f>
        <v>0</v>
      </c>
      <c r="IF287" s="1908">
        <f ca="1">IF(ENTRADAS!$O$1252="J",IF(AND(IF260+$D$297&gt;=$E$287,IF260+$D$297&lt;=$E$288),10,0),IF(AND(IF260+$D$297+1&gt;=$E$287,IF260+$D$297+1&lt;=$E$288),10,0))</f>
        <v>0</v>
      </c>
      <c r="IG287" s="1908">
        <f ca="1">IF(ENTRADAS!$O$1252="J",IF(AND(IG260+$D$297&gt;=$E$287,IG260+$D$297&lt;=$E$288),10,0),IF(AND(IG260+$D$297+1&gt;=$E$287,IG260+$D$297+1&lt;=$E$288),10,0))</f>
        <v>0</v>
      </c>
      <c r="IH287" s="1908">
        <f ca="1">IF(ENTRADAS!$O$1252="J",IF(AND(IH260+$D$297&gt;=$E$287,IH260+$D$297&lt;=$E$288),10,0),IF(AND(IH260+$D$297+1&gt;=$E$287,IH260+$D$297+1&lt;=$E$288),10,0))</f>
        <v>0</v>
      </c>
      <c r="II287" s="1908">
        <f ca="1">IF(ENTRADAS!$O$1252="J",IF(AND(II260+$D$297&gt;=$E$287,II260+$D$297&lt;=$E$288),10,0),IF(AND(II260+$D$297+1&gt;=$E$287,II260+$D$297+1&lt;=$E$288),10,0))</f>
        <v>0</v>
      </c>
      <c r="IJ287" s="1908">
        <f ca="1">IF(ENTRADAS!$O$1252="J",IF(AND(IJ260+$D$297&gt;=$E$287,IJ260+$D$297&lt;=$E$288),10,0),IF(AND(IJ260+$D$297+1&gt;=$E$287,IJ260+$D$297+1&lt;=$E$288),10,0))</f>
        <v>0</v>
      </c>
      <c r="IK287" s="1909">
        <f ca="1">IF(ENTRADAS!$O$1252="J",IF(AND(IK260+$D$297&gt;=$E$287,IK260+$D$297&lt;=$E$288),10,0),IF(AND(IK260+$D$297+1&gt;=$E$287,IK260+$D$297+1&lt;=$E$288),10,0))</f>
        <v>0</v>
      </c>
    </row>
    <row r="288" spans="1:245" ht="7.5" hidden="1" customHeight="1" x14ac:dyDescent="0.35">
      <c r="A288" s="195">
        <f>IF(B287=0,0,"XXX")</f>
        <v>0</v>
      </c>
      <c r="B288" s="1910"/>
      <c r="C288" s="1912"/>
      <c r="D288" s="360" t="str">
        <f>IF(ENTRADAS!$F$22=0,0,"término:")</f>
        <v>término:</v>
      </c>
      <c r="E288" s="361">
        <f>IF(C287=0,0,E287+F287)</f>
        <v>0</v>
      </c>
      <c r="F288" s="1913"/>
      <c r="G288" s="1914"/>
      <c r="H288" s="1907"/>
      <c r="I288" s="1908"/>
      <c r="J288" s="1908"/>
      <c r="K288" s="1908"/>
      <c r="L288" s="1908"/>
      <c r="M288" s="1908"/>
      <c r="N288" s="1908"/>
      <c r="O288" s="1907"/>
      <c r="P288" s="1908"/>
      <c r="Q288" s="1908"/>
      <c r="R288" s="1908"/>
      <c r="S288" s="1908"/>
      <c r="T288" s="1908"/>
      <c r="U288" s="1908"/>
      <c r="V288" s="1907"/>
      <c r="W288" s="1908"/>
      <c r="X288" s="1908"/>
      <c r="Y288" s="1908"/>
      <c r="Z288" s="1908"/>
      <c r="AA288" s="1908"/>
      <c r="AB288" s="1908"/>
      <c r="AC288" s="1907"/>
      <c r="AD288" s="1908"/>
      <c r="AE288" s="1908"/>
      <c r="AF288" s="1908"/>
      <c r="AG288" s="1908"/>
      <c r="AH288" s="1908"/>
      <c r="AI288" s="1908"/>
      <c r="AJ288" s="1907"/>
      <c r="AK288" s="1908"/>
      <c r="AL288" s="1908"/>
      <c r="AM288" s="1908"/>
      <c r="AN288" s="1908"/>
      <c r="AO288" s="1908"/>
      <c r="AP288" s="1908"/>
      <c r="AQ288" s="1907"/>
      <c r="AR288" s="1908"/>
      <c r="AS288" s="1908"/>
      <c r="AT288" s="1908"/>
      <c r="AU288" s="1908"/>
      <c r="AV288" s="1908"/>
      <c r="AW288" s="1908"/>
      <c r="AX288" s="1907"/>
      <c r="AY288" s="1908"/>
      <c r="AZ288" s="1908"/>
      <c r="BA288" s="1908"/>
      <c r="BB288" s="1908"/>
      <c r="BC288" s="1908"/>
      <c r="BD288" s="1908"/>
      <c r="BE288" s="1907"/>
      <c r="BF288" s="1908"/>
      <c r="BG288" s="1908"/>
      <c r="BH288" s="1908"/>
      <c r="BI288" s="1908"/>
      <c r="BJ288" s="1908"/>
      <c r="BK288" s="1908"/>
      <c r="BL288" s="1907"/>
      <c r="BM288" s="1908"/>
      <c r="BN288" s="1908"/>
      <c r="BO288" s="1908"/>
      <c r="BP288" s="1908"/>
      <c r="BQ288" s="1908"/>
      <c r="BR288" s="1908"/>
      <c r="BS288" s="1907"/>
      <c r="BT288" s="1908"/>
      <c r="BU288" s="1908"/>
      <c r="BV288" s="1908"/>
      <c r="BW288" s="1908"/>
      <c r="BX288" s="1908"/>
      <c r="BY288" s="1908"/>
      <c r="BZ288" s="1907"/>
      <c r="CA288" s="1908"/>
      <c r="CB288" s="1908"/>
      <c r="CC288" s="1908"/>
      <c r="CD288" s="1908"/>
      <c r="CE288" s="1908"/>
      <c r="CF288" s="1908"/>
      <c r="CG288" s="1907"/>
      <c r="CH288" s="1908"/>
      <c r="CI288" s="1908"/>
      <c r="CJ288" s="1908"/>
      <c r="CK288" s="1908"/>
      <c r="CL288" s="1908"/>
      <c r="CM288" s="1908"/>
      <c r="CN288" s="1907"/>
      <c r="CO288" s="1908"/>
      <c r="CP288" s="1908"/>
      <c r="CQ288" s="1908"/>
      <c r="CR288" s="1908"/>
      <c r="CS288" s="1908"/>
      <c r="CT288" s="1908"/>
      <c r="CU288" s="1907"/>
      <c r="CV288" s="1908"/>
      <c r="CW288" s="1908"/>
      <c r="CX288" s="1908"/>
      <c r="CY288" s="1908"/>
      <c r="CZ288" s="1908"/>
      <c r="DA288" s="1908"/>
      <c r="DB288" s="1907"/>
      <c r="DC288" s="1908"/>
      <c r="DD288" s="1908"/>
      <c r="DE288" s="1908"/>
      <c r="DF288" s="1908"/>
      <c r="DG288" s="1908"/>
      <c r="DH288" s="1908"/>
      <c r="DI288" s="1907"/>
      <c r="DJ288" s="1908"/>
      <c r="DK288" s="1908"/>
      <c r="DL288" s="1908"/>
      <c r="DM288" s="1908"/>
      <c r="DN288" s="1908"/>
      <c r="DO288" s="1908"/>
      <c r="DP288" s="1907"/>
      <c r="DQ288" s="1908"/>
      <c r="DR288" s="1908"/>
      <c r="DS288" s="1908"/>
      <c r="DT288" s="1908"/>
      <c r="DU288" s="1908"/>
      <c r="DV288" s="1908"/>
      <c r="DW288" s="1907"/>
      <c r="DX288" s="1908"/>
      <c r="DY288" s="1908"/>
      <c r="DZ288" s="1908"/>
      <c r="EA288" s="1908"/>
      <c r="EB288" s="1908"/>
      <c r="EC288" s="1908"/>
      <c r="ED288" s="1907"/>
      <c r="EE288" s="1908"/>
      <c r="EF288" s="1908"/>
      <c r="EG288" s="1908"/>
      <c r="EH288" s="1908"/>
      <c r="EI288" s="1908"/>
      <c r="EJ288" s="1908"/>
      <c r="EK288" s="1907"/>
      <c r="EL288" s="1908"/>
      <c r="EM288" s="1908"/>
      <c r="EN288" s="1908"/>
      <c r="EO288" s="1908"/>
      <c r="EP288" s="1908"/>
      <c r="EQ288" s="1908"/>
      <c r="ER288" s="1907"/>
      <c r="ES288" s="1908"/>
      <c r="ET288" s="1908"/>
      <c r="EU288" s="1908"/>
      <c r="EV288" s="1908"/>
      <c r="EW288" s="1908"/>
      <c r="EX288" s="1908"/>
      <c r="EY288" s="1907"/>
      <c r="EZ288" s="1908"/>
      <c r="FA288" s="1908"/>
      <c r="FB288" s="1908"/>
      <c r="FC288" s="1908"/>
      <c r="FD288" s="1908"/>
      <c r="FE288" s="1908"/>
      <c r="FF288" s="1907"/>
      <c r="FG288" s="1908"/>
      <c r="FH288" s="1908"/>
      <c r="FI288" s="1908"/>
      <c r="FJ288" s="1908"/>
      <c r="FK288" s="1908"/>
      <c r="FL288" s="1908"/>
      <c r="FM288" s="1907"/>
      <c r="FN288" s="1908"/>
      <c r="FO288" s="1908"/>
      <c r="FP288" s="1908"/>
      <c r="FQ288" s="1908"/>
      <c r="FR288" s="1908"/>
      <c r="FS288" s="1908"/>
      <c r="FT288" s="1907"/>
      <c r="FU288" s="1908"/>
      <c r="FV288" s="1908"/>
      <c r="FW288" s="1908"/>
      <c r="FX288" s="1908"/>
      <c r="FY288" s="1908"/>
      <c r="FZ288" s="1908"/>
      <c r="GA288" s="1907"/>
      <c r="GB288" s="1908"/>
      <c r="GC288" s="1908"/>
      <c r="GD288" s="1908"/>
      <c r="GE288" s="1908"/>
      <c r="GF288" s="1908"/>
      <c r="GG288" s="1908"/>
      <c r="GH288" s="1907"/>
      <c r="GI288" s="1908"/>
      <c r="GJ288" s="1908"/>
      <c r="GK288" s="1908"/>
      <c r="GL288" s="1908"/>
      <c r="GM288" s="1908"/>
      <c r="GN288" s="1908"/>
      <c r="GO288" s="1907"/>
      <c r="GP288" s="1908"/>
      <c r="GQ288" s="1908"/>
      <c r="GR288" s="1908"/>
      <c r="GS288" s="1908"/>
      <c r="GT288" s="1908"/>
      <c r="GU288" s="1908"/>
      <c r="GV288" s="1907"/>
      <c r="GW288" s="1908"/>
      <c r="GX288" s="1908"/>
      <c r="GY288" s="1908"/>
      <c r="GZ288" s="1908"/>
      <c r="HA288" s="1908"/>
      <c r="HB288" s="1908"/>
      <c r="HC288" s="1907"/>
      <c r="HD288" s="1908"/>
      <c r="HE288" s="1908"/>
      <c r="HF288" s="1908"/>
      <c r="HG288" s="1908"/>
      <c r="HH288" s="1908"/>
      <c r="HI288" s="1908"/>
      <c r="HJ288" s="1907"/>
      <c r="HK288" s="1908"/>
      <c r="HL288" s="1908"/>
      <c r="HM288" s="1908"/>
      <c r="HN288" s="1908"/>
      <c r="HO288" s="1908"/>
      <c r="HP288" s="1908"/>
      <c r="HQ288" s="1907"/>
      <c r="HR288" s="1908"/>
      <c r="HS288" s="1908"/>
      <c r="HT288" s="1908"/>
      <c r="HU288" s="1908"/>
      <c r="HV288" s="1908"/>
      <c r="HW288" s="1908"/>
      <c r="HX288" s="1907"/>
      <c r="HY288" s="1908"/>
      <c r="HZ288" s="1908"/>
      <c r="IA288" s="1908"/>
      <c r="IB288" s="1908"/>
      <c r="IC288" s="1908"/>
      <c r="ID288" s="1908"/>
      <c r="IE288" s="1907"/>
      <c r="IF288" s="1908"/>
      <c r="IG288" s="1908"/>
      <c r="IH288" s="1908"/>
      <c r="II288" s="1908"/>
      <c r="IJ288" s="1908"/>
      <c r="IK288" s="1909"/>
    </row>
    <row r="289" spans="1:245" ht="7.5" hidden="1" customHeight="1" x14ac:dyDescent="0.35">
      <c r="A289" s="195">
        <f>IF(B289=0,0,"XXX")</f>
        <v>0</v>
      </c>
      <c r="B289" s="1910">
        <f>IF(ENTRADAS!M1255=0,0,ENTRADAS!C1255)</f>
        <v>0</v>
      </c>
      <c r="C289" s="1911">
        <f>IF(ENTRADAS!M1255="x",ENTRADAS!D1255,0)</f>
        <v>0</v>
      </c>
      <c r="D289" s="358" t="str">
        <f>IF(ENTRADAS!$F$22=0,0,"início:")</f>
        <v>início:</v>
      </c>
      <c r="E289" s="359">
        <f>IF(C289=0,0,IF(F290&gt;0,F290+D297,IF(ENTRADAS!$O$1252="J",E274+2,E274+1+F285+1+F287+2)))</f>
        <v>0</v>
      </c>
      <c r="F289" s="454">
        <f>IF(C289=0,0,ENTRADAS!$H$1255)</f>
        <v>0</v>
      </c>
      <c r="G289" s="455" t="str">
        <f>IF(ENTRADAS!$F$22=0,0,"dias")</f>
        <v>dias</v>
      </c>
      <c r="H289" s="1907">
        <f ca="1">IF(ENTRADAS!$O$1252="J",IF(AND(H260+$D$297&gt;=$E$289,H260+$D$297&lt;=$E$290),10,0),IF(AND(H260+$D$297+2&gt;=$E$289,H260+$D$297+2&lt;=$E$290),10,0))</f>
        <v>0</v>
      </c>
      <c r="I289" s="1908">
        <f ca="1">IF(ENTRADAS!$O$1252="J",IF(AND(I260+$D$297&gt;=$E$289,I260+$D$297&lt;=$E$290),10,0),IF(AND(I260+$D$297+2&gt;=$E$289,I260+$D$297+2&lt;=$E$290),10,0))</f>
        <v>0</v>
      </c>
      <c r="J289" s="1908">
        <f ca="1">IF(ENTRADAS!$O$1252="J",IF(AND(J260+$D$297&gt;=$E$289,J260+$D$297&lt;=$E$290),10,0),IF(AND(J260+$D$297+2&gt;=$E$289,J260+$D$297+2&lt;=$E$290),10,0))</f>
        <v>0</v>
      </c>
      <c r="K289" s="1908">
        <f ca="1">IF(ENTRADAS!$O$1252="J",IF(AND(K260+$D$297&gt;=$E$289,K260+$D$297&lt;=$E$290),10,0),IF(AND(K260+$D$297+2&gt;=$E$289,K260+$D$297+2&lt;=$E$290),10,0))</f>
        <v>0</v>
      </c>
      <c r="L289" s="1908">
        <f ca="1">IF(ENTRADAS!$O$1252="J",IF(AND(L260+$D$297&gt;=$E$289,L260+$D$297&lt;=$E$290),10,0),IF(AND(L260+$D$297+2&gt;=$E$289,L260+$D$297+2&lt;=$E$290),10,0))</f>
        <v>0</v>
      </c>
      <c r="M289" s="1908">
        <f ca="1">IF(ENTRADAS!$O$1252="J",IF(AND(M260+$D$297&gt;=$E$289,M260+$D$297&lt;=$E$290),10,0),IF(AND(M260+$D$297+2&gt;=$E$289,M260+$D$297+2&lt;=$E$290),10,0))</f>
        <v>0</v>
      </c>
      <c r="N289" s="1908">
        <f ca="1">IF(ENTRADAS!$O$1252="J",IF(AND(N260+$D$297&gt;=$E$289,N260+$D$297&lt;=$E$290),10,0),IF(AND(N260+$D$297+2&gt;=$E$289,N260+$D$297+2&lt;=$E$290),10,0))</f>
        <v>0</v>
      </c>
      <c r="O289" s="1907">
        <f ca="1">IF(ENTRADAS!$O$1252="J",IF(AND(O260+$D$297&gt;=$E$289,O260+$D$297&lt;=$E$290),10,0),IF(AND(O260+$D$297+2&gt;=$E$289,O260+$D$297+2&lt;=$E$290),10,0))</f>
        <v>0</v>
      </c>
      <c r="P289" s="1908">
        <f ca="1">IF(ENTRADAS!$O$1252="J",IF(AND(P260+$D$297&gt;=$E$289,P260+$D$297&lt;=$E$290),10,0),IF(AND(P260+$D$297+2&gt;=$E$289,P260+$D$297+2&lt;=$E$290),10,0))</f>
        <v>0</v>
      </c>
      <c r="Q289" s="1908">
        <f ca="1">IF(ENTRADAS!$O$1252="J",IF(AND(Q260+$D$297&gt;=$E$289,Q260+$D$297&lt;=$E$290),10,0),IF(AND(Q260+$D$297+2&gt;=$E$289,Q260+$D$297+2&lt;=$E$290),10,0))</f>
        <v>0</v>
      </c>
      <c r="R289" s="1908">
        <f ca="1">IF(ENTRADAS!$O$1252="J",IF(AND(R260+$D$297&gt;=$E$289,R260+$D$297&lt;=$E$290),10,0),IF(AND(R260+$D$297+2&gt;=$E$289,R260+$D$297+2&lt;=$E$290),10,0))</f>
        <v>0</v>
      </c>
      <c r="S289" s="1908">
        <f ca="1">IF(ENTRADAS!$O$1252="J",IF(AND(S260+$D$297&gt;=$E$289,S260+$D$297&lt;=$E$290),10,0),IF(AND(S260+$D$297+2&gt;=$E$289,S260+$D$297+2&lt;=$E$290),10,0))</f>
        <v>0</v>
      </c>
      <c r="T289" s="1908">
        <f ca="1">IF(ENTRADAS!$O$1252="J",IF(AND(T260+$D$297&gt;=$E$289,T260+$D$297&lt;=$E$290),10,0),IF(AND(T260+$D$297+2&gt;=$E$289,T260+$D$297+2&lt;=$E$290),10,0))</f>
        <v>0</v>
      </c>
      <c r="U289" s="1908">
        <f ca="1">IF(ENTRADAS!$O$1252="J",IF(AND(U260+$D$297&gt;=$E$289,U260+$D$297&lt;=$E$290),10,0),IF(AND(U260+$D$297+2&gt;=$E$289,U260+$D$297+2&lt;=$E$290),10,0))</f>
        <v>0</v>
      </c>
      <c r="V289" s="1907">
        <f ca="1">IF(ENTRADAS!$O$1252="J",IF(AND(V260+$D$297&gt;=$E$289,V260+$D$297&lt;=$E$290),10,0),IF(AND(V260+$D$297+2&gt;=$E$289,V260+$D$297+2&lt;=$E$290),10,0))</f>
        <v>0</v>
      </c>
      <c r="W289" s="1908">
        <f ca="1">IF(ENTRADAS!$O$1252="J",IF(AND(W260+$D$297&gt;=$E$289,W260+$D$297&lt;=$E$290),10,0),IF(AND(W260+$D$297+2&gt;=$E$289,W260+$D$297+2&lt;=$E$290),10,0))</f>
        <v>0</v>
      </c>
      <c r="X289" s="1908">
        <f ca="1">IF(ENTRADAS!$O$1252="J",IF(AND(X260+$D$297&gt;=$E$289,X260+$D$297&lt;=$E$290),10,0),IF(AND(X260+$D$297+2&gt;=$E$289,X260+$D$297+2&lt;=$E$290),10,0))</f>
        <v>0</v>
      </c>
      <c r="Y289" s="1908">
        <f ca="1">IF(ENTRADAS!$O$1252="J",IF(AND(Y260+$D$297&gt;=$E$289,Y260+$D$297&lt;=$E$290),10,0),IF(AND(Y260+$D$297+2&gt;=$E$289,Y260+$D$297+2&lt;=$E$290),10,0))</f>
        <v>0</v>
      </c>
      <c r="Z289" s="1908">
        <f ca="1">IF(ENTRADAS!$O$1252="J",IF(AND(Z260+$D$297&gt;=$E$289,Z260+$D$297&lt;=$E$290),10,0),IF(AND(Z260+$D$297+2&gt;=$E$289,Z260+$D$297+2&lt;=$E$290),10,0))</f>
        <v>0</v>
      </c>
      <c r="AA289" s="1908">
        <f ca="1">IF(ENTRADAS!$O$1252="J",IF(AND(AA260+$D$297&gt;=$E$289,AA260+$D$297&lt;=$E$290),10,0),IF(AND(AA260+$D$297+2&gt;=$E$289,AA260+$D$297+2&lt;=$E$290),10,0))</f>
        <v>0</v>
      </c>
      <c r="AB289" s="1908">
        <f ca="1">IF(ENTRADAS!$O$1252="J",IF(AND(AB260+$D$297&gt;=$E$289,AB260+$D$297&lt;=$E$290),10,0),IF(AND(AB260+$D$297+2&gt;=$E$289,AB260+$D$297+2&lt;=$E$290),10,0))</f>
        <v>0</v>
      </c>
      <c r="AC289" s="1907">
        <f ca="1">IF(ENTRADAS!$O$1252="J",IF(AND(AC260+$D$297&gt;=$E$289,AC260+$D$297&lt;=$E$290),10,0),IF(AND(AC260+$D$297+2&gt;=$E$289,AC260+$D$297+2&lt;=$E$290),10,0))</f>
        <v>0</v>
      </c>
      <c r="AD289" s="1908">
        <f ca="1">IF(ENTRADAS!$O$1252="J",IF(AND(AD260+$D$297&gt;=$E$289,AD260+$D$297&lt;=$E$290),10,0),IF(AND(AD260+$D$297+2&gt;=$E$289,AD260+$D$297+2&lt;=$E$290),10,0))</f>
        <v>0</v>
      </c>
      <c r="AE289" s="1908">
        <f ca="1">IF(ENTRADAS!$O$1252="J",IF(AND(AE260+$D$297&gt;=$E$289,AE260+$D$297&lt;=$E$290),10,0),IF(AND(AE260+$D$297+2&gt;=$E$289,AE260+$D$297+2&lt;=$E$290),10,0))</f>
        <v>0</v>
      </c>
      <c r="AF289" s="1908">
        <f ca="1">IF(ENTRADAS!$O$1252="J",IF(AND(AF260+$D$297&gt;=$E$289,AF260+$D$297&lt;=$E$290),10,0),IF(AND(AF260+$D$297+2&gt;=$E$289,AF260+$D$297+2&lt;=$E$290),10,0))</f>
        <v>0</v>
      </c>
      <c r="AG289" s="1908">
        <f ca="1">IF(ENTRADAS!$O$1252="J",IF(AND(AG260+$D$297&gt;=$E$289,AG260+$D$297&lt;=$E$290),10,0),IF(AND(AG260+$D$297+2&gt;=$E$289,AG260+$D$297+2&lt;=$E$290),10,0))</f>
        <v>0</v>
      </c>
      <c r="AH289" s="1908">
        <f ca="1">IF(ENTRADAS!$O$1252="J",IF(AND(AH260+$D$297&gt;=$E$289,AH260+$D$297&lt;=$E$290),10,0),IF(AND(AH260+$D$297+2&gt;=$E$289,AH260+$D$297+2&lt;=$E$290),10,0))</f>
        <v>0</v>
      </c>
      <c r="AI289" s="1908">
        <f ca="1">IF(ENTRADAS!$O$1252="J",IF(AND(AI260+$D$297&gt;=$E$289,AI260+$D$297&lt;=$E$290),10,0),IF(AND(AI260+$D$297+2&gt;=$E$289,AI260+$D$297+2&lt;=$E$290),10,0))</f>
        <v>0</v>
      </c>
      <c r="AJ289" s="1907">
        <f ca="1">IF(ENTRADAS!$O$1252="J",IF(AND(AJ260+$D$297&gt;=$E$289,AJ260+$D$297&lt;=$E$290),10,0),IF(AND(AJ260+$D$297+2&gt;=$E$289,AJ260+$D$297+2&lt;=$E$290),10,0))</f>
        <v>0</v>
      </c>
      <c r="AK289" s="1908">
        <f ca="1">IF(ENTRADAS!$O$1252="J",IF(AND(AK260+$D$297&gt;=$E$289,AK260+$D$297&lt;=$E$290),10,0),IF(AND(AK260+$D$297+2&gt;=$E$289,AK260+$D$297+2&lt;=$E$290),10,0))</f>
        <v>0</v>
      </c>
      <c r="AL289" s="1908">
        <f ca="1">IF(ENTRADAS!$O$1252="J",IF(AND(AL260+$D$297&gt;=$E$289,AL260+$D$297&lt;=$E$290),10,0),IF(AND(AL260+$D$297+2&gt;=$E$289,AL260+$D$297+2&lt;=$E$290),10,0))</f>
        <v>0</v>
      </c>
      <c r="AM289" s="1908">
        <f ca="1">IF(ENTRADAS!$O$1252="J",IF(AND(AM260+$D$297&gt;=$E$289,AM260+$D$297&lt;=$E$290),10,0),IF(AND(AM260+$D$297+2&gt;=$E$289,AM260+$D$297+2&lt;=$E$290),10,0))</f>
        <v>0</v>
      </c>
      <c r="AN289" s="1908">
        <f ca="1">IF(ENTRADAS!$O$1252="J",IF(AND(AN260+$D$297&gt;=$E$289,AN260+$D$297&lt;=$E$290),10,0),IF(AND(AN260+$D$297+2&gt;=$E$289,AN260+$D$297+2&lt;=$E$290),10,0))</f>
        <v>0</v>
      </c>
      <c r="AO289" s="1908">
        <f ca="1">IF(ENTRADAS!$O$1252="J",IF(AND(AO260+$D$297&gt;=$E$289,AO260+$D$297&lt;=$E$290),10,0),IF(AND(AO260+$D$297+2&gt;=$E$289,AO260+$D$297+2&lt;=$E$290),10,0))</f>
        <v>0</v>
      </c>
      <c r="AP289" s="1908">
        <f ca="1">IF(ENTRADAS!$O$1252="J",IF(AND(AP260+$D$297&gt;=$E$289,AP260+$D$297&lt;=$E$290),10,0),IF(AND(AP260+$D$297+2&gt;=$E$289,AP260+$D$297+2&lt;=$E$290),10,0))</f>
        <v>0</v>
      </c>
      <c r="AQ289" s="1907">
        <f ca="1">IF(ENTRADAS!$O$1252="J",IF(AND(AQ260+$D$297&gt;=$E$289,AQ260+$D$297&lt;=$E$290),10,0),IF(AND(AQ260+$D$297+2&gt;=$E$289,AQ260+$D$297+2&lt;=$E$290),10,0))</f>
        <v>0</v>
      </c>
      <c r="AR289" s="1908">
        <f ca="1">IF(ENTRADAS!$O$1252="J",IF(AND(AR260+$D$297&gt;=$E$289,AR260+$D$297&lt;=$E$290),10,0),IF(AND(AR260+$D$297+2&gt;=$E$289,AR260+$D$297+2&lt;=$E$290),10,0))</f>
        <v>0</v>
      </c>
      <c r="AS289" s="1908">
        <f ca="1">IF(ENTRADAS!$O$1252="J",IF(AND(AS260+$D$297&gt;=$E$289,AS260+$D$297&lt;=$E$290),10,0),IF(AND(AS260+$D$297+2&gt;=$E$289,AS260+$D$297+2&lt;=$E$290),10,0))</f>
        <v>0</v>
      </c>
      <c r="AT289" s="1908">
        <f ca="1">IF(ENTRADAS!$O$1252="J",IF(AND(AT260+$D$297&gt;=$E$289,AT260+$D$297&lt;=$E$290),10,0),IF(AND(AT260+$D$297+2&gt;=$E$289,AT260+$D$297+2&lt;=$E$290),10,0))</f>
        <v>0</v>
      </c>
      <c r="AU289" s="1908">
        <f ca="1">IF(ENTRADAS!$O$1252="J",IF(AND(AU260+$D$297&gt;=$E$289,AU260+$D$297&lt;=$E$290),10,0),IF(AND(AU260+$D$297+2&gt;=$E$289,AU260+$D$297+2&lt;=$E$290),10,0))</f>
        <v>0</v>
      </c>
      <c r="AV289" s="1908">
        <f ca="1">IF(ENTRADAS!$O$1252="J",IF(AND(AV260+$D$297&gt;=$E$289,AV260+$D$297&lt;=$E$290),10,0),IF(AND(AV260+$D$297+2&gt;=$E$289,AV260+$D$297+2&lt;=$E$290),10,0))</f>
        <v>0</v>
      </c>
      <c r="AW289" s="1908">
        <f ca="1">IF(ENTRADAS!$O$1252="J",IF(AND(AW260+$D$297&gt;=$E$289,AW260+$D$297&lt;=$E$290),10,0),IF(AND(AW260+$D$297+2&gt;=$E$289,AW260+$D$297+2&lt;=$E$290),10,0))</f>
        <v>0</v>
      </c>
      <c r="AX289" s="1907">
        <f ca="1">IF(ENTRADAS!$O$1252="J",IF(AND(AX260+$D$297&gt;=$E$289,AX260+$D$297&lt;=$E$290),10,0),IF(AND(AX260+$D$297+2&gt;=$E$289,AX260+$D$297+2&lt;=$E$290),10,0))</f>
        <v>0</v>
      </c>
      <c r="AY289" s="1908">
        <f ca="1">IF(ENTRADAS!$O$1252="J",IF(AND(AY260+$D$297&gt;=$E$289,AY260+$D$297&lt;=$E$290),10,0),IF(AND(AY260+$D$297+2&gt;=$E$289,AY260+$D$297+2&lt;=$E$290),10,0))</f>
        <v>0</v>
      </c>
      <c r="AZ289" s="1908">
        <f ca="1">IF(ENTRADAS!$O$1252="J",IF(AND(AZ260+$D$297&gt;=$E$289,AZ260+$D$297&lt;=$E$290),10,0),IF(AND(AZ260+$D$297+2&gt;=$E$289,AZ260+$D$297+2&lt;=$E$290),10,0))</f>
        <v>0</v>
      </c>
      <c r="BA289" s="1908">
        <f ca="1">IF(ENTRADAS!$O$1252="J",IF(AND(BA260+$D$297&gt;=$E$289,BA260+$D$297&lt;=$E$290),10,0),IF(AND(BA260+$D$297+2&gt;=$E$289,BA260+$D$297+2&lt;=$E$290),10,0))</f>
        <v>0</v>
      </c>
      <c r="BB289" s="1908">
        <f ca="1">IF(ENTRADAS!$O$1252="J",IF(AND(BB260+$D$297&gt;=$E$289,BB260+$D$297&lt;=$E$290),10,0),IF(AND(BB260+$D$297+2&gt;=$E$289,BB260+$D$297+2&lt;=$E$290),10,0))</f>
        <v>0</v>
      </c>
      <c r="BC289" s="1908">
        <f ca="1">IF(ENTRADAS!$O$1252="J",IF(AND(BC260+$D$297&gt;=$E$289,BC260+$D$297&lt;=$E$290),10,0),IF(AND(BC260+$D$297+2&gt;=$E$289,BC260+$D$297+2&lt;=$E$290),10,0))</f>
        <v>0</v>
      </c>
      <c r="BD289" s="1908">
        <f ca="1">IF(ENTRADAS!$O$1252="J",IF(AND(BD260+$D$297&gt;=$E$289,BD260+$D$297&lt;=$E$290),10,0),IF(AND(BD260+$D$297+2&gt;=$E$289,BD260+$D$297+2&lt;=$E$290),10,0))</f>
        <v>0</v>
      </c>
      <c r="BE289" s="1907">
        <f ca="1">IF(ENTRADAS!$O$1252="J",IF(AND(BE260+$D$297&gt;=$E$289,BE260+$D$297&lt;=$E$290),10,0),IF(AND(BE260+$D$297+2&gt;=$E$289,BE260+$D$297+2&lt;=$E$290),10,0))</f>
        <v>0</v>
      </c>
      <c r="BF289" s="1908">
        <f ca="1">IF(ENTRADAS!$O$1252="J",IF(AND(BF260+$D$297&gt;=$E$289,BF260+$D$297&lt;=$E$290),10,0),IF(AND(BF260+$D$297+2&gt;=$E$289,BF260+$D$297+2&lt;=$E$290),10,0))</f>
        <v>0</v>
      </c>
      <c r="BG289" s="1908">
        <f ca="1">IF(ENTRADAS!$O$1252="J",IF(AND(BG260+$D$297&gt;=$E$289,BG260+$D$297&lt;=$E$290),10,0),IF(AND(BG260+$D$297+2&gt;=$E$289,BG260+$D$297+2&lt;=$E$290),10,0))</f>
        <v>0</v>
      </c>
      <c r="BH289" s="1908">
        <f ca="1">IF(ENTRADAS!$O$1252="J",IF(AND(BH260+$D$297&gt;=$E$289,BH260+$D$297&lt;=$E$290),10,0),IF(AND(BH260+$D$297+2&gt;=$E$289,BH260+$D$297+2&lt;=$E$290),10,0))</f>
        <v>0</v>
      </c>
      <c r="BI289" s="1908">
        <f ca="1">IF(ENTRADAS!$O$1252="J",IF(AND(BI260+$D$297&gt;=$E$289,BI260+$D$297&lt;=$E$290),10,0),IF(AND(BI260+$D$297+2&gt;=$E$289,BI260+$D$297+2&lt;=$E$290),10,0))</f>
        <v>0</v>
      </c>
      <c r="BJ289" s="1908">
        <f ca="1">IF(ENTRADAS!$O$1252="J",IF(AND(BJ260+$D$297&gt;=$E$289,BJ260+$D$297&lt;=$E$290),10,0),IF(AND(BJ260+$D$297+2&gt;=$E$289,BJ260+$D$297+2&lt;=$E$290),10,0))</f>
        <v>0</v>
      </c>
      <c r="BK289" s="1908">
        <f ca="1">IF(ENTRADAS!$O$1252="J",IF(AND(BK260+$D$297&gt;=$E$289,BK260+$D$297&lt;=$E$290),10,0),IF(AND(BK260+$D$297+2&gt;=$E$289,BK260+$D$297+2&lt;=$E$290),10,0))</f>
        <v>0</v>
      </c>
      <c r="BL289" s="1907">
        <f ca="1">IF(ENTRADAS!$O$1252="J",IF(AND(BL260+$D$297&gt;=$E$289,BL260+$D$297&lt;=$E$290),10,0),IF(AND(BL260+$D$297+2&gt;=$E$289,BL260+$D$297+2&lt;=$E$290),10,0))</f>
        <v>0</v>
      </c>
      <c r="BM289" s="1908">
        <f ca="1">IF(ENTRADAS!$O$1252="J",IF(AND(BM260+$D$297&gt;=$E$289,BM260+$D$297&lt;=$E$290),10,0),IF(AND(BM260+$D$297+2&gt;=$E$289,BM260+$D$297+2&lt;=$E$290),10,0))</f>
        <v>0</v>
      </c>
      <c r="BN289" s="1908">
        <f ca="1">IF(ENTRADAS!$O$1252="J",IF(AND(BN260+$D$297&gt;=$E$289,BN260+$D$297&lt;=$E$290),10,0),IF(AND(BN260+$D$297+2&gt;=$E$289,BN260+$D$297+2&lt;=$E$290),10,0))</f>
        <v>0</v>
      </c>
      <c r="BO289" s="1908">
        <f ca="1">IF(ENTRADAS!$O$1252="J",IF(AND(BO260+$D$297&gt;=$E$289,BO260+$D$297&lt;=$E$290),10,0),IF(AND(BO260+$D$297+2&gt;=$E$289,BO260+$D$297+2&lt;=$E$290),10,0))</f>
        <v>0</v>
      </c>
      <c r="BP289" s="1908">
        <f ca="1">IF(ENTRADAS!$O$1252="J",IF(AND(BP260+$D$297&gt;=$E$289,BP260+$D$297&lt;=$E$290),10,0),IF(AND(BP260+$D$297+2&gt;=$E$289,BP260+$D$297+2&lt;=$E$290),10,0))</f>
        <v>0</v>
      </c>
      <c r="BQ289" s="1908">
        <f ca="1">IF(ENTRADAS!$O$1252="J",IF(AND(BQ260+$D$297&gt;=$E$289,BQ260+$D$297&lt;=$E$290),10,0),IF(AND(BQ260+$D$297+2&gt;=$E$289,BQ260+$D$297+2&lt;=$E$290),10,0))</f>
        <v>0</v>
      </c>
      <c r="BR289" s="1908">
        <f ca="1">IF(ENTRADAS!$O$1252="J",IF(AND(BR260+$D$297&gt;=$E$289,BR260+$D$297&lt;=$E$290),10,0),IF(AND(BR260+$D$297+2&gt;=$E$289,BR260+$D$297+2&lt;=$E$290),10,0))</f>
        <v>0</v>
      </c>
      <c r="BS289" s="1907">
        <f ca="1">IF(ENTRADAS!$O$1252="J",IF(AND(BS260+$D$297&gt;=$E$289,BS260+$D$297&lt;=$E$290),10,0),IF(AND(BS260+$D$297+2&gt;=$E$289,BS260+$D$297+2&lt;=$E$290),10,0))</f>
        <v>0</v>
      </c>
      <c r="BT289" s="1908">
        <f ca="1">IF(ENTRADAS!$O$1252="J",IF(AND(BT260+$D$297&gt;=$E$289,BT260+$D$297&lt;=$E$290),10,0),IF(AND(BT260+$D$297+2&gt;=$E$289,BT260+$D$297+2&lt;=$E$290),10,0))</f>
        <v>0</v>
      </c>
      <c r="BU289" s="1908">
        <f ca="1">IF(ENTRADAS!$O$1252="J",IF(AND(BU260+$D$297&gt;=$E$289,BU260+$D$297&lt;=$E$290),10,0),IF(AND(BU260+$D$297+2&gt;=$E$289,BU260+$D$297+2&lt;=$E$290),10,0))</f>
        <v>0</v>
      </c>
      <c r="BV289" s="1908">
        <f ca="1">IF(ENTRADAS!$O$1252="J",IF(AND(BV260+$D$297&gt;=$E$289,BV260+$D$297&lt;=$E$290),10,0),IF(AND(BV260+$D$297+2&gt;=$E$289,BV260+$D$297+2&lt;=$E$290),10,0))</f>
        <v>0</v>
      </c>
      <c r="BW289" s="1908">
        <f ca="1">IF(ENTRADAS!$O$1252="J",IF(AND(BW260+$D$297&gt;=$E$289,BW260+$D$297&lt;=$E$290),10,0),IF(AND(BW260+$D$297+2&gt;=$E$289,BW260+$D$297+2&lt;=$E$290),10,0))</f>
        <v>0</v>
      </c>
      <c r="BX289" s="1908">
        <f ca="1">IF(ENTRADAS!$O$1252="J",IF(AND(BX260+$D$297&gt;=$E$289,BX260+$D$297&lt;=$E$290),10,0),IF(AND(BX260+$D$297+2&gt;=$E$289,BX260+$D$297+2&lt;=$E$290),10,0))</f>
        <v>0</v>
      </c>
      <c r="BY289" s="1908">
        <f ca="1">IF(ENTRADAS!$O$1252="J",IF(AND(BY260+$D$297&gt;=$E$289,BY260+$D$297&lt;=$E$290),10,0),IF(AND(BY260+$D$297+2&gt;=$E$289,BY260+$D$297+2&lt;=$E$290),10,0))</f>
        <v>0</v>
      </c>
      <c r="BZ289" s="1907">
        <f ca="1">IF(ENTRADAS!$O$1252="J",IF(AND(BZ260+$D$297&gt;=$E$289,BZ260+$D$297&lt;=$E$290),10,0),IF(AND(BZ260+$D$297+2&gt;=$E$289,BZ260+$D$297+2&lt;=$E$290),10,0))</f>
        <v>0</v>
      </c>
      <c r="CA289" s="1908">
        <f ca="1">IF(ENTRADAS!$O$1252="J",IF(AND(CA260+$D$297&gt;=$E$289,CA260+$D$297&lt;=$E$290),10,0),IF(AND(CA260+$D$297+2&gt;=$E$289,CA260+$D$297+2&lt;=$E$290),10,0))</f>
        <v>0</v>
      </c>
      <c r="CB289" s="1908">
        <f ca="1">IF(ENTRADAS!$O$1252="J",IF(AND(CB260+$D$297&gt;=$E$289,CB260+$D$297&lt;=$E$290),10,0),IF(AND(CB260+$D$297+2&gt;=$E$289,CB260+$D$297+2&lt;=$E$290),10,0))</f>
        <v>0</v>
      </c>
      <c r="CC289" s="1908">
        <f ca="1">IF(ENTRADAS!$O$1252="J",IF(AND(CC260+$D$297&gt;=$E$289,CC260+$D$297&lt;=$E$290),10,0),IF(AND(CC260+$D$297+2&gt;=$E$289,CC260+$D$297+2&lt;=$E$290),10,0))</f>
        <v>0</v>
      </c>
      <c r="CD289" s="1908">
        <f ca="1">IF(ENTRADAS!$O$1252="J",IF(AND(CD260+$D$297&gt;=$E$289,CD260+$D$297&lt;=$E$290),10,0),IF(AND(CD260+$D$297+2&gt;=$E$289,CD260+$D$297+2&lt;=$E$290),10,0))</f>
        <v>0</v>
      </c>
      <c r="CE289" s="1908">
        <f ca="1">IF(ENTRADAS!$O$1252="J",IF(AND(CE260+$D$297&gt;=$E$289,CE260+$D$297&lt;=$E$290),10,0),IF(AND(CE260+$D$297+2&gt;=$E$289,CE260+$D$297+2&lt;=$E$290),10,0))</f>
        <v>0</v>
      </c>
      <c r="CF289" s="1908">
        <f ca="1">IF(ENTRADAS!$O$1252="J",IF(AND(CF260+$D$297&gt;=$E$289,CF260+$D$297&lt;=$E$290),10,0),IF(AND(CF260+$D$297+2&gt;=$E$289,CF260+$D$297+2&lt;=$E$290),10,0))</f>
        <v>0</v>
      </c>
      <c r="CG289" s="1907">
        <f ca="1">IF(ENTRADAS!$O$1252="J",IF(AND(CG260+$D$297&gt;=$E$289,CG260+$D$297&lt;=$E$290),10,0),IF(AND(CG260+$D$297+2&gt;=$E$289,CG260+$D$297+2&lt;=$E$290),10,0))</f>
        <v>0</v>
      </c>
      <c r="CH289" s="1908">
        <f ca="1">IF(ENTRADAS!$O$1252="J",IF(AND(CH260+$D$297&gt;=$E$289,CH260+$D$297&lt;=$E$290),10,0),IF(AND(CH260+$D$297+2&gt;=$E$289,CH260+$D$297+2&lt;=$E$290),10,0))</f>
        <v>0</v>
      </c>
      <c r="CI289" s="1908">
        <f ca="1">IF(ENTRADAS!$O$1252="J",IF(AND(CI260+$D$297&gt;=$E$289,CI260+$D$297&lt;=$E$290),10,0),IF(AND(CI260+$D$297+2&gt;=$E$289,CI260+$D$297+2&lt;=$E$290),10,0))</f>
        <v>0</v>
      </c>
      <c r="CJ289" s="1908">
        <f ca="1">IF(ENTRADAS!$O$1252="J",IF(AND(CJ260+$D$297&gt;=$E$289,CJ260+$D$297&lt;=$E$290),10,0),IF(AND(CJ260+$D$297+2&gt;=$E$289,CJ260+$D$297+2&lt;=$E$290),10,0))</f>
        <v>0</v>
      </c>
      <c r="CK289" s="1908">
        <f ca="1">IF(ENTRADAS!$O$1252="J",IF(AND(CK260+$D$297&gt;=$E$289,CK260+$D$297&lt;=$E$290),10,0),IF(AND(CK260+$D$297+2&gt;=$E$289,CK260+$D$297+2&lt;=$E$290),10,0))</f>
        <v>0</v>
      </c>
      <c r="CL289" s="1908">
        <f ca="1">IF(ENTRADAS!$O$1252="J",IF(AND(CL260+$D$297&gt;=$E$289,CL260+$D$297&lt;=$E$290),10,0),IF(AND(CL260+$D$297+2&gt;=$E$289,CL260+$D$297+2&lt;=$E$290),10,0))</f>
        <v>0</v>
      </c>
      <c r="CM289" s="1908">
        <f ca="1">IF(ENTRADAS!$O$1252="J",IF(AND(CM260+$D$297&gt;=$E$289,CM260+$D$297&lt;=$E$290),10,0),IF(AND(CM260+$D$297+2&gt;=$E$289,CM260+$D$297+2&lt;=$E$290),10,0))</f>
        <v>0</v>
      </c>
      <c r="CN289" s="1907">
        <f ca="1">IF(ENTRADAS!$O$1252="J",IF(AND(CN260+$D$297&gt;=$E$289,CN260+$D$297&lt;=$E$290),10,0),IF(AND(CN260+$D$297+2&gt;=$E$289,CN260+$D$297+2&lt;=$E$290),10,0))</f>
        <v>0</v>
      </c>
      <c r="CO289" s="1908">
        <f ca="1">IF(ENTRADAS!$O$1252="J",IF(AND(CO260+$D$297&gt;=$E$289,CO260+$D$297&lt;=$E$290),10,0),IF(AND(CO260+$D$297+2&gt;=$E$289,CO260+$D$297+2&lt;=$E$290),10,0))</f>
        <v>0</v>
      </c>
      <c r="CP289" s="1908">
        <f ca="1">IF(ENTRADAS!$O$1252="J",IF(AND(CP260+$D$297&gt;=$E$289,CP260+$D$297&lt;=$E$290),10,0),IF(AND(CP260+$D$297+2&gt;=$E$289,CP260+$D$297+2&lt;=$E$290),10,0))</f>
        <v>0</v>
      </c>
      <c r="CQ289" s="1908">
        <f ca="1">IF(ENTRADAS!$O$1252="J",IF(AND(CQ260+$D$297&gt;=$E$289,CQ260+$D$297&lt;=$E$290),10,0),IF(AND(CQ260+$D$297+2&gt;=$E$289,CQ260+$D$297+2&lt;=$E$290),10,0))</f>
        <v>0</v>
      </c>
      <c r="CR289" s="1908">
        <f ca="1">IF(ENTRADAS!$O$1252="J",IF(AND(CR260+$D$297&gt;=$E$289,CR260+$D$297&lt;=$E$290),10,0),IF(AND(CR260+$D$297+2&gt;=$E$289,CR260+$D$297+2&lt;=$E$290),10,0))</f>
        <v>0</v>
      </c>
      <c r="CS289" s="1908">
        <f ca="1">IF(ENTRADAS!$O$1252="J",IF(AND(CS260+$D$297&gt;=$E$289,CS260+$D$297&lt;=$E$290),10,0),IF(AND(CS260+$D$297+2&gt;=$E$289,CS260+$D$297+2&lt;=$E$290),10,0))</f>
        <v>0</v>
      </c>
      <c r="CT289" s="1908">
        <f ca="1">IF(ENTRADAS!$O$1252="J",IF(AND(CT260+$D$297&gt;=$E$289,CT260+$D$297&lt;=$E$290),10,0),IF(AND(CT260+$D$297+2&gt;=$E$289,CT260+$D$297+2&lt;=$E$290),10,0))</f>
        <v>0</v>
      </c>
      <c r="CU289" s="1907">
        <f ca="1">IF(ENTRADAS!$O$1252="J",IF(AND(CU260+$D$297&gt;=$E$289,CU260+$D$297&lt;=$E$290),10,0),IF(AND(CU260+$D$297+2&gt;=$E$289,CU260+$D$297+2&lt;=$E$290),10,0))</f>
        <v>0</v>
      </c>
      <c r="CV289" s="1908">
        <f ca="1">IF(ENTRADAS!$O$1252="J",IF(AND(CV260+$D$297&gt;=$E$289,CV260+$D$297&lt;=$E$290),10,0),IF(AND(CV260+$D$297+2&gt;=$E$289,CV260+$D$297+2&lt;=$E$290),10,0))</f>
        <v>0</v>
      </c>
      <c r="CW289" s="1908">
        <f ca="1">IF(ENTRADAS!$O$1252="J",IF(AND(CW260+$D$297&gt;=$E$289,CW260+$D$297&lt;=$E$290),10,0),IF(AND(CW260+$D$297+2&gt;=$E$289,CW260+$D$297+2&lt;=$E$290),10,0))</f>
        <v>0</v>
      </c>
      <c r="CX289" s="1908">
        <f ca="1">IF(ENTRADAS!$O$1252="J",IF(AND(CX260+$D$297&gt;=$E$289,CX260+$D$297&lt;=$E$290),10,0),IF(AND(CX260+$D$297+2&gt;=$E$289,CX260+$D$297+2&lt;=$E$290),10,0))</f>
        <v>0</v>
      </c>
      <c r="CY289" s="1908">
        <f ca="1">IF(ENTRADAS!$O$1252="J",IF(AND(CY260+$D$297&gt;=$E$289,CY260+$D$297&lt;=$E$290),10,0),IF(AND(CY260+$D$297+2&gt;=$E$289,CY260+$D$297+2&lt;=$E$290),10,0))</f>
        <v>0</v>
      </c>
      <c r="CZ289" s="1908">
        <f ca="1">IF(ENTRADAS!$O$1252="J",IF(AND(CZ260+$D$297&gt;=$E$289,CZ260+$D$297&lt;=$E$290),10,0),IF(AND(CZ260+$D$297+2&gt;=$E$289,CZ260+$D$297+2&lt;=$E$290),10,0))</f>
        <v>0</v>
      </c>
      <c r="DA289" s="1908">
        <f ca="1">IF(ENTRADAS!$O$1252="J",IF(AND(DA260+$D$297&gt;=$E$289,DA260+$D$297&lt;=$E$290),10,0),IF(AND(DA260+$D$297+2&gt;=$E$289,DA260+$D$297+2&lt;=$E$290),10,0))</f>
        <v>0</v>
      </c>
      <c r="DB289" s="1907">
        <f ca="1">IF(ENTRADAS!$O$1252="J",IF(AND(DB260+$D$297&gt;=$E$289,DB260+$D$297&lt;=$E$290),10,0),IF(AND(DB260+$D$297+2&gt;=$E$289,DB260+$D$297+2&lt;=$E$290),10,0))</f>
        <v>0</v>
      </c>
      <c r="DC289" s="1908">
        <f ca="1">IF(ENTRADAS!$O$1252="J",IF(AND(DC260+$D$297&gt;=$E$289,DC260+$D$297&lt;=$E$290),10,0),IF(AND(DC260+$D$297+2&gt;=$E$289,DC260+$D$297+2&lt;=$E$290),10,0))</f>
        <v>0</v>
      </c>
      <c r="DD289" s="1908">
        <f ca="1">IF(ENTRADAS!$O$1252="J",IF(AND(DD260+$D$297&gt;=$E$289,DD260+$D$297&lt;=$E$290),10,0),IF(AND(DD260+$D$297+2&gt;=$E$289,DD260+$D$297+2&lt;=$E$290),10,0))</f>
        <v>0</v>
      </c>
      <c r="DE289" s="1908">
        <f ca="1">IF(ENTRADAS!$O$1252="J",IF(AND(DE260+$D$297&gt;=$E$289,DE260+$D$297&lt;=$E$290),10,0),IF(AND(DE260+$D$297+2&gt;=$E$289,DE260+$D$297+2&lt;=$E$290),10,0))</f>
        <v>0</v>
      </c>
      <c r="DF289" s="1908">
        <f ca="1">IF(ENTRADAS!$O$1252="J",IF(AND(DF260+$D$297&gt;=$E$289,DF260+$D$297&lt;=$E$290),10,0),IF(AND(DF260+$D$297+2&gt;=$E$289,DF260+$D$297+2&lt;=$E$290),10,0))</f>
        <v>0</v>
      </c>
      <c r="DG289" s="1908">
        <f ca="1">IF(ENTRADAS!$O$1252="J",IF(AND(DG260+$D$297&gt;=$E$289,DG260+$D$297&lt;=$E$290),10,0),IF(AND(DG260+$D$297+2&gt;=$E$289,DG260+$D$297+2&lt;=$E$290),10,0))</f>
        <v>0</v>
      </c>
      <c r="DH289" s="1908">
        <f ca="1">IF(ENTRADAS!$O$1252="J",IF(AND(DH260+$D$297&gt;=$E$289,DH260+$D$297&lt;=$E$290),10,0),IF(AND(DH260+$D$297+2&gt;=$E$289,DH260+$D$297+2&lt;=$E$290),10,0))</f>
        <v>0</v>
      </c>
      <c r="DI289" s="1907">
        <f ca="1">IF(ENTRADAS!$O$1252="J",IF(AND(DI260+$D$297&gt;=$E$289,DI260+$D$297&lt;=$E$290),10,0),IF(AND(DI260+$D$297+2&gt;=$E$289,DI260+$D$297+2&lt;=$E$290),10,0))</f>
        <v>0</v>
      </c>
      <c r="DJ289" s="1908">
        <f ca="1">IF(ENTRADAS!$O$1252="J",IF(AND(DJ260+$D$297&gt;=$E$289,DJ260+$D$297&lt;=$E$290),10,0),IF(AND(DJ260+$D$297+2&gt;=$E$289,DJ260+$D$297+2&lt;=$E$290),10,0))</f>
        <v>0</v>
      </c>
      <c r="DK289" s="1908">
        <f ca="1">IF(ENTRADAS!$O$1252="J",IF(AND(DK260+$D$297&gt;=$E$289,DK260+$D$297&lt;=$E$290),10,0),IF(AND(DK260+$D$297+2&gt;=$E$289,DK260+$D$297+2&lt;=$E$290),10,0))</f>
        <v>0</v>
      </c>
      <c r="DL289" s="1908">
        <f ca="1">IF(ENTRADAS!$O$1252="J",IF(AND(DL260+$D$297&gt;=$E$289,DL260+$D$297&lt;=$E$290),10,0),IF(AND(DL260+$D$297+2&gt;=$E$289,DL260+$D$297+2&lt;=$E$290),10,0))</f>
        <v>0</v>
      </c>
      <c r="DM289" s="1908">
        <f ca="1">IF(ENTRADAS!$O$1252="J",IF(AND(DM260+$D$297&gt;=$E$289,DM260+$D$297&lt;=$E$290),10,0),IF(AND(DM260+$D$297+2&gt;=$E$289,DM260+$D$297+2&lt;=$E$290),10,0))</f>
        <v>0</v>
      </c>
      <c r="DN289" s="1908">
        <f ca="1">IF(ENTRADAS!$O$1252="J",IF(AND(DN260+$D$297&gt;=$E$289,DN260+$D$297&lt;=$E$290),10,0),IF(AND(DN260+$D$297+2&gt;=$E$289,DN260+$D$297+2&lt;=$E$290),10,0))</f>
        <v>0</v>
      </c>
      <c r="DO289" s="1908">
        <f ca="1">IF(ENTRADAS!$O$1252="J",IF(AND(DO260+$D$297&gt;=$E$289,DO260+$D$297&lt;=$E$290),10,0),IF(AND(DO260+$D$297+2&gt;=$E$289,DO260+$D$297+2&lt;=$E$290),10,0))</f>
        <v>0</v>
      </c>
      <c r="DP289" s="1907">
        <f ca="1">IF(ENTRADAS!$O$1252="J",IF(AND(DP260+$D$297&gt;=$E$289,DP260+$D$297&lt;=$E$290),10,0),IF(AND(DP260+$D$297+2&gt;=$E$289,DP260+$D$297+2&lt;=$E$290),10,0))</f>
        <v>0</v>
      </c>
      <c r="DQ289" s="1908">
        <f ca="1">IF(ENTRADAS!$O$1252="J",IF(AND(DQ260+$D$297&gt;=$E$289,DQ260+$D$297&lt;=$E$290),10,0),IF(AND(DQ260+$D$297+2&gt;=$E$289,DQ260+$D$297+2&lt;=$E$290),10,0))</f>
        <v>0</v>
      </c>
      <c r="DR289" s="1908">
        <f ca="1">IF(ENTRADAS!$O$1252="J",IF(AND(DR260+$D$297&gt;=$E$289,DR260+$D$297&lt;=$E$290),10,0),IF(AND(DR260+$D$297+2&gt;=$E$289,DR260+$D$297+2&lt;=$E$290),10,0))</f>
        <v>0</v>
      </c>
      <c r="DS289" s="1908">
        <f ca="1">IF(ENTRADAS!$O$1252="J",IF(AND(DS260+$D$297&gt;=$E$289,DS260+$D$297&lt;=$E$290),10,0),IF(AND(DS260+$D$297+2&gt;=$E$289,DS260+$D$297+2&lt;=$E$290),10,0))</f>
        <v>0</v>
      </c>
      <c r="DT289" s="1908">
        <f ca="1">IF(ENTRADAS!$O$1252="J",IF(AND(DT260+$D$297&gt;=$E$289,DT260+$D$297&lt;=$E$290),10,0),IF(AND(DT260+$D$297+2&gt;=$E$289,DT260+$D$297+2&lt;=$E$290),10,0))</f>
        <v>0</v>
      </c>
      <c r="DU289" s="1908">
        <f ca="1">IF(ENTRADAS!$O$1252="J",IF(AND(DU260+$D$297&gt;=$E$289,DU260+$D$297&lt;=$E$290),10,0),IF(AND(DU260+$D$297+2&gt;=$E$289,DU260+$D$297+2&lt;=$E$290),10,0))</f>
        <v>0</v>
      </c>
      <c r="DV289" s="1908">
        <f ca="1">IF(ENTRADAS!$O$1252="J",IF(AND(DV260+$D$297&gt;=$E$289,DV260+$D$297&lt;=$E$290),10,0),IF(AND(DV260+$D$297+2&gt;=$E$289,DV260+$D$297+2&lt;=$E$290),10,0))</f>
        <v>0</v>
      </c>
      <c r="DW289" s="1907">
        <f ca="1">IF(ENTRADAS!$O$1252="J",IF(AND(DW260+$D$297&gt;=$E$289,DW260+$D$297&lt;=$E$290),10,0),IF(AND(DW260+$D$297+2&gt;=$E$289,DW260+$D$297+2&lt;=$E$290),10,0))</f>
        <v>0</v>
      </c>
      <c r="DX289" s="1908">
        <f ca="1">IF(ENTRADAS!$O$1252="J",IF(AND(DX260+$D$297&gt;=$E$289,DX260+$D$297&lt;=$E$290),10,0),IF(AND(DX260+$D$297+2&gt;=$E$289,DX260+$D$297+2&lt;=$E$290),10,0))</f>
        <v>0</v>
      </c>
      <c r="DY289" s="1908">
        <f ca="1">IF(ENTRADAS!$O$1252="J",IF(AND(DY260+$D$297&gt;=$E$289,DY260+$D$297&lt;=$E$290),10,0),IF(AND(DY260+$D$297+2&gt;=$E$289,DY260+$D$297+2&lt;=$E$290),10,0))</f>
        <v>0</v>
      </c>
      <c r="DZ289" s="1908">
        <f ca="1">IF(ENTRADAS!$O$1252="J",IF(AND(DZ260+$D$297&gt;=$E$289,DZ260+$D$297&lt;=$E$290),10,0),IF(AND(DZ260+$D$297+2&gt;=$E$289,DZ260+$D$297+2&lt;=$E$290),10,0))</f>
        <v>0</v>
      </c>
      <c r="EA289" s="1908">
        <f ca="1">IF(ENTRADAS!$O$1252="J",IF(AND(EA260+$D$297&gt;=$E$289,EA260+$D$297&lt;=$E$290),10,0),IF(AND(EA260+$D$297+2&gt;=$E$289,EA260+$D$297+2&lt;=$E$290),10,0))</f>
        <v>0</v>
      </c>
      <c r="EB289" s="1908">
        <f ca="1">IF(ENTRADAS!$O$1252="J",IF(AND(EB260+$D$297&gt;=$E$289,EB260+$D$297&lt;=$E$290),10,0),IF(AND(EB260+$D$297+2&gt;=$E$289,EB260+$D$297+2&lt;=$E$290),10,0))</f>
        <v>0</v>
      </c>
      <c r="EC289" s="1908">
        <f ca="1">IF(ENTRADAS!$O$1252="J",IF(AND(EC260+$D$297&gt;=$E$289,EC260+$D$297&lt;=$E$290),10,0),IF(AND(EC260+$D$297+2&gt;=$E$289,EC260+$D$297+2&lt;=$E$290),10,0))</f>
        <v>0</v>
      </c>
      <c r="ED289" s="1907">
        <f ca="1">IF(ENTRADAS!$O$1252="J",IF(AND(ED260+$D$297&gt;=$E$289,ED260+$D$297&lt;=$E$290),10,0),IF(AND(ED260+$D$297+2&gt;=$E$289,ED260+$D$297+2&lt;=$E$290),10,0))</f>
        <v>0</v>
      </c>
      <c r="EE289" s="1908">
        <f ca="1">IF(ENTRADAS!$O$1252="J",IF(AND(EE260+$D$297&gt;=$E$289,EE260+$D$297&lt;=$E$290),10,0),IF(AND(EE260+$D$297+2&gt;=$E$289,EE260+$D$297+2&lt;=$E$290),10,0))</f>
        <v>0</v>
      </c>
      <c r="EF289" s="1908">
        <f ca="1">IF(ENTRADAS!$O$1252="J",IF(AND(EF260+$D$297&gt;=$E$289,EF260+$D$297&lt;=$E$290),10,0),IF(AND(EF260+$D$297+2&gt;=$E$289,EF260+$D$297+2&lt;=$E$290),10,0))</f>
        <v>0</v>
      </c>
      <c r="EG289" s="1908">
        <f ca="1">IF(ENTRADAS!$O$1252="J",IF(AND(EG260+$D$297&gt;=$E$289,EG260+$D$297&lt;=$E$290),10,0),IF(AND(EG260+$D$297+2&gt;=$E$289,EG260+$D$297+2&lt;=$E$290),10,0))</f>
        <v>0</v>
      </c>
      <c r="EH289" s="1908">
        <f ca="1">IF(ENTRADAS!$O$1252="J",IF(AND(EH260+$D$297&gt;=$E$289,EH260+$D$297&lt;=$E$290),10,0),IF(AND(EH260+$D$297+2&gt;=$E$289,EH260+$D$297+2&lt;=$E$290),10,0))</f>
        <v>0</v>
      </c>
      <c r="EI289" s="1908">
        <f ca="1">IF(ENTRADAS!$O$1252="J",IF(AND(EI260+$D$297&gt;=$E$289,EI260+$D$297&lt;=$E$290),10,0),IF(AND(EI260+$D$297+2&gt;=$E$289,EI260+$D$297+2&lt;=$E$290),10,0))</f>
        <v>0</v>
      </c>
      <c r="EJ289" s="1908">
        <f ca="1">IF(ENTRADAS!$O$1252="J",IF(AND(EJ260+$D$297&gt;=$E$289,EJ260+$D$297&lt;=$E$290),10,0),IF(AND(EJ260+$D$297+2&gt;=$E$289,EJ260+$D$297+2&lt;=$E$290),10,0))</f>
        <v>0</v>
      </c>
      <c r="EK289" s="1907">
        <f ca="1">IF(ENTRADAS!$O$1252="J",IF(AND(EK260+$D$297&gt;=$E$289,EK260+$D$297&lt;=$E$290),10,0),IF(AND(EK260+$D$297+2&gt;=$E$289,EK260+$D$297+2&lt;=$E$290),10,0))</f>
        <v>0</v>
      </c>
      <c r="EL289" s="1908">
        <f ca="1">IF(ENTRADAS!$O$1252="J",IF(AND(EL260+$D$297&gt;=$E$289,EL260+$D$297&lt;=$E$290),10,0),IF(AND(EL260+$D$297+2&gt;=$E$289,EL260+$D$297+2&lt;=$E$290),10,0))</f>
        <v>0</v>
      </c>
      <c r="EM289" s="1908">
        <f ca="1">IF(ENTRADAS!$O$1252="J",IF(AND(EM260+$D$297&gt;=$E$289,EM260+$D$297&lt;=$E$290),10,0),IF(AND(EM260+$D$297+2&gt;=$E$289,EM260+$D$297+2&lt;=$E$290),10,0))</f>
        <v>0</v>
      </c>
      <c r="EN289" s="1908">
        <f ca="1">IF(ENTRADAS!$O$1252="J",IF(AND(EN260+$D$297&gt;=$E$289,EN260+$D$297&lt;=$E$290),10,0),IF(AND(EN260+$D$297+2&gt;=$E$289,EN260+$D$297+2&lt;=$E$290),10,0))</f>
        <v>0</v>
      </c>
      <c r="EO289" s="1908">
        <f ca="1">IF(ENTRADAS!$O$1252="J",IF(AND(EO260+$D$297&gt;=$E$289,EO260+$D$297&lt;=$E$290),10,0),IF(AND(EO260+$D$297+2&gt;=$E$289,EO260+$D$297+2&lt;=$E$290),10,0))</f>
        <v>0</v>
      </c>
      <c r="EP289" s="1908">
        <f ca="1">IF(ENTRADAS!$O$1252="J",IF(AND(EP260+$D$297&gt;=$E$289,EP260+$D$297&lt;=$E$290),10,0),IF(AND(EP260+$D$297+2&gt;=$E$289,EP260+$D$297+2&lt;=$E$290),10,0))</f>
        <v>0</v>
      </c>
      <c r="EQ289" s="1908">
        <f ca="1">IF(ENTRADAS!$O$1252="J",IF(AND(EQ260+$D$297&gt;=$E$289,EQ260+$D$297&lt;=$E$290),10,0),IF(AND(EQ260+$D$297+2&gt;=$E$289,EQ260+$D$297+2&lt;=$E$290),10,0))</f>
        <v>0</v>
      </c>
      <c r="ER289" s="1907">
        <f ca="1">IF(ENTRADAS!$O$1252="J",IF(AND(ER260+$D$297&gt;=$E$289,ER260+$D$297&lt;=$E$290),10,0),IF(AND(ER260+$D$297+2&gt;=$E$289,ER260+$D$297+2&lt;=$E$290),10,0))</f>
        <v>0</v>
      </c>
      <c r="ES289" s="1908">
        <f ca="1">IF(ENTRADAS!$O$1252="J",IF(AND(ES260+$D$297&gt;=$E$289,ES260+$D$297&lt;=$E$290),10,0),IF(AND(ES260+$D$297+2&gt;=$E$289,ES260+$D$297+2&lt;=$E$290),10,0))</f>
        <v>0</v>
      </c>
      <c r="ET289" s="1908">
        <f ca="1">IF(ENTRADAS!$O$1252="J",IF(AND(ET260+$D$297&gt;=$E$289,ET260+$D$297&lt;=$E$290),10,0),IF(AND(ET260+$D$297+2&gt;=$E$289,ET260+$D$297+2&lt;=$E$290),10,0))</f>
        <v>0</v>
      </c>
      <c r="EU289" s="1908">
        <f ca="1">IF(ENTRADAS!$O$1252="J",IF(AND(EU260+$D$297&gt;=$E$289,EU260+$D$297&lt;=$E$290),10,0),IF(AND(EU260+$D$297+2&gt;=$E$289,EU260+$D$297+2&lt;=$E$290),10,0))</f>
        <v>0</v>
      </c>
      <c r="EV289" s="1908">
        <f ca="1">IF(ENTRADAS!$O$1252="J",IF(AND(EV260+$D$297&gt;=$E$289,EV260+$D$297&lt;=$E$290),10,0),IF(AND(EV260+$D$297+2&gt;=$E$289,EV260+$D$297+2&lt;=$E$290),10,0))</f>
        <v>0</v>
      </c>
      <c r="EW289" s="1908">
        <f ca="1">IF(ENTRADAS!$O$1252="J",IF(AND(EW260+$D$297&gt;=$E$289,EW260+$D$297&lt;=$E$290),10,0),IF(AND(EW260+$D$297+2&gt;=$E$289,EW260+$D$297+2&lt;=$E$290),10,0))</f>
        <v>0</v>
      </c>
      <c r="EX289" s="1908">
        <f ca="1">IF(ENTRADAS!$O$1252="J",IF(AND(EX260+$D$297&gt;=$E$289,EX260+$D$297&lt;=$E$290),10,0),IF(AND(EX260+$D$297+2&gt;=$E$289,EX260+$D$297+2&lt;=$E$290),10,0))</f>
        <v>0</v>
      </c>
      <c r="EY289" s="1907">
        <f ca="1">IF(ENTRADAS!$O$1252="J",IF(AND(EY260+$D$297&gt;=$E$289,EY260+$D$297&lt;=$E$290),10,0),IF(AND(EY260+$D$297+2&gt;=$E$289,EY260+$D$297+2&lt;=$E$290),10,0))</f>
        <v>0</v>
      </c>
      <c r="EZ289" s="1908">
        <f ca="1">IF(ENTRADAS!$O$1252="J",IF(AND(EZ260+$D$297&gt;=$E$289,EZ260+$D$297&lt;=$E$290),10,0),IF(AND(EZ260+$D$297+2&gt;=$E$289,EZ260+$D$297+2&lt;=$E$290),10,0))</f>
        <v>0</v>
      </c>
      <c r="FA289" s="1908">
        <f ca="1">IF(ENTRADAS!$O$1252="J",IF(AND(FA260+$D$297&gt;=$E$289,FA260+$D$297&lt;=$E$290),10,0),IF(AND(FA260+$D$297+2&gt;=$E$289,FA260+$D$297+2&lt;=$E$290),10,0))</f>
        <v>0</v>
      </c>
      <c r="FB289" s="1908">
        <f ca="1">IF(ENTRADAS!$O$1252="J",IF(AND(FB260+$D$297&gt;=$E$289,FB260+$D$297&lt;=$E$290),10,0),IF(AND(FB260+$D$297+2&gt;=$E$289,FB260+$D$297+2&lt;=$E$290),10,0))</f>
        <v>0</v>
      </c>
      <c r="FC289" s="1908">
        <f ca="1">IF(ENTRADAS!$O$1252="J",IF(AND(FC260+$D$297&gt;=$E$289,FC260+$D$297&lt;=$E$290),10,0),IF(AND(FC260+$D$297+2&gt;=$E$289,FC260+$D$297+2&lt;=$E$290),10,0))</f>
        <v>0</v>
      </c>
      <c r="FD289" s="1908">
        <f ca="1">IF(ENTRADAS!$O$1252="J",IF(AND(FD260+$D$297&gt;=$E$289,FD260+$D$297&lt;=$E$290),10,0),IF(AND(FD260+$D$297+2&gt;=$E$289,FD260+$D$297+2&lt;=$E$290),10,0))</f>
        <v>0</v>
      </c>
      <c r="FE289" s="1908">
        <f ca="1">IF(ENTRADAS!$O$1252="J",IF(AND(FE260+$D$297&gt;=$E$289,FE260+$D$297&lt;=$E$290),10,0),IF(AND(FE260+$D$297+2&gt;=$E$289,FE260+$D$297+2&lt;=$E$290),10,0))</f>
        <v>0</v>
      </c>
      <c r="FF289" s="1907">
        <f ca="1">IF(ENTRADAS!$O$1252="J",IF(AND(FF260+$D$297&gt;=$E$289,FF260+$D$297&lt;=$E$290),10,0),IF(AND(FF260+$D$297+2&gt;=$E$289,FF260+$D$297+2&lt;=$E$290),10,0))</f>
        <v>0</v>
      </c>
      <c r="FG289" s="1908">
        <f ca="1">IF(ENTRADAS!$O$1252="J",IF(AND(FG260+$D$297&gt;=$E$289,FG260+$D$297&lt;=$E$290),10,0),IF(AND(FG260+$D$297+2&gt;=$E$289,FG260+$D$297+2&lt;=$E$290),10,0))</f>
        <v>0</v>
      </c>
      <c r="FH289" s="1908">
        <f ca="1">IF(ENTRADAS!$O$1252="J",IF(AND(FH260+$D$297&gt;=$E$289,FH260+$D$297&lt;=$E$290),10,0),IF(AND(FH260+$D$297+2&gt;=$E$289,FH260+$D$297+2&lt;=$E$290),10,0))</f>
        <v>0</v>
      </c>
      <c r="FI289" s="1908">
        <f ca="1">IF(ENTRADAS!$O$1252="J",IF(AND(FI260+$D$297&gt;=$E$289,FI260+$D$297&lt;=$E$290),10,0),IF(AND(FI260+$D$297+2&gt;=$E$289,FI260+$D$297+2&lt;=$E$290),10,0))</f>
        <v>0</v>
      </c>
      <c r="FJ289" s="1908">
        <f ca="1">IF(ENTRADAS!$O$1252="J",IF(AND(FJ260+$D$297&gt;=$E$289,FJ260+$D$297&lt;=$E$290),10,0),IF(AND(FJ260+$D$297+2&gt;=$E$289,FJ260+$D$297+2&lt;=$E$290),10,0))</f>
        <v>0</v>
      </c>
      <c r="FK289" s="1908">
        <f ca="1">IF(ENTRADAS!$O$1252="J",IF(AND(FK260+$D$297&gt;=$E$289,FK260+$D$297&lt;=$E$290),10,0),IF(AND(FK260+$D$297+2&gt;=$E$289,FK260+$D$297+2&lt;=$E$290),10,0))</f>
        <v>0</v>
      </c>
      <c r="FL289" s="1908">
        <f ca="1">IF(ENTRADAS!$O$1252="J",IF(AND(FL260+$D$297&gt;=$E$289,FL260+$D$297&lt;=$E$290),10,0),IF(AND(FL260+$D$297+2&gt;=$E$289,FL260+$D$297+2&lt;=$E$290),10,0))</f>
        <v>0</v>
      </c>
      <c r="FM289" s="1907">
        <f ca="1">IF(ENTRADAS!$O$1252="J",IF(AND(FM260+$D$297&gt;=$E$289,FM260+$D$297&lt;=$E$290),10,0),IF(AND(FM260+$D$297+2&gt;=$E$289,FM260+$D$297+2&lt;=$E$290),10,0))</f>
        <v>0</v>
      </c>
      <c r="FN289" s="1908">
        <f ca="1">IF(ENTRADAS!$O$1252="J",IF(AND(FN260+$D$297&gt;=$E$289,FN260+$D$297&lt;=$E$290),10,0),IF(AND(FN260+$D$297+2&gt;=$E$289,FN260+$D$297+2&lt;=$E$290),10,0))</f>
        <v>0</v>
      </c>
      <c r="FO289" s="1908">
        <f ca="1">IF(ENTRADAS!$O$1252="J",IF(AND(FO260+$D$297&gt;=$E$289,FO260+$D$297&lt;=$E$290),10,0),IF(AND(FO260+$D$297+2&gt;=$E$289,FO260+$D$297+2&lt;=$E$290),10,0))</f>
        <v>0</v>
      </c>
      <c r="FP289" s="1908">
        <f ca="1">IF(ENTRADAS!$O$1252="J",IF(AND(FP260+$D$297&gt;=$E$289,FP260+$D$297&lt;=$E$290),10,0),IF(AND(FP260+$D$297+2&gt;=$E$289,FP260+$D$297+2&lt;=$E$290),10,0))</f>
        <v>0</v>
      </c>
      <c r="FQ289" s="1908">
        <f ca="1">IF(ENTRADAS!$O$1252="J",IF(AND(FQ260+$D$297&gt;=$E$289,FQ260+$D$297&lt;=$E$290),10,0),IF(AND(FQ260+$D$297+2&gt;=$E$289,FQ260+$D$297+2&lt;=$E$290),10,0))</f>
        <v>0</v>
      </c>
      <c r="FR289" s="1908">
        <f ca="1">IF(ENTRADAS!$O$1252="J",IF(AND(FR260+$D$297&gt;=$E$289,FR260+$D$297&lt;=$E$290),10,0),IF(AND(FR260+$D$297+2&gt;=$E$289,FR260+$D$297+2&lt;=$E$290),10,0))</f>
        <v>0</v>
      </c>
      <c r="FS289" s="1908">
        <f ca="1">IF(ENTRADAS!$O$1252="J",IF(AND(FS260+$D$297&gt;=$E$289,FS260+$D$297&lt;=$E$290),10,0),IF(AND(FS260+$D$297+2&gt;=$E$289,FS260+$D$297+2&lt;=$E$290),10,0))</f>
        <v>0</v>
      </c>
      <c r="FT289" s="1907">
        <f ca="1">IF(ENTRADAS!$O$1252="J",IF(AND(FT260+$D$297&gt;=$E$289,FT260+$D$297&lt;=$E$290),10,0),IF(AND(FT260+$D$297+2&gt;=$E$289,FT260+$D$297+2&lt;=$E$290),10,0))</f>
        <v>0</v>
      </c>
      <c r="FU289" s="1908">
        <f ca="1">IF(ENTRADAS!$O$1252="J",IF(AND(FU260+$D$297&gt;=$E$289,FU260+$D$297&lt;=$E$290),10,0),IF(AND(FU260+$D$297+2&gt;=$E$289,FU260+$D$297+2&lt;=$E$290),10,0))</f>
        <v>0</v>
      </c>
      <c r="FV289" s="1908">
        <f ca="1">IF(ENTRADAS!$O$1252="J",IF(AND(FV260+$D$297&gt;=$E$289,FV260+$D$297&lt;=$E$290),10,0),IF(AND(FV260+$D$297+2&gt;=$E$289,FV260+$D$297+2&lt;=$E$290),10,0))</f>
        <v>0</v>
      </c>
      <c r="FW289" s="1908">
        <f ca="1">IF(ENTRADAS!$O$1252="J",IF(AND(FW260+$D$297&gt;=$E$289,FW260+$D$297&lt;=$E$290),10,0),IF(AND(FW260+$D$297+2&gt;=$E$289,FW260+$D$297+2&lt;=$E$290),10,0))</f>
        <v>0</v>
      </c>
      <c r="FX289" s="1908">
        <f ca="1">IF(ENTRADAS!$O$1252="J",IF(AND(FX260+$D$297&gt;=$E$289,FX260+$D$297&lt;=$E$290),10,0),IF(AND(FX260+$D$297+2&gt;=$E$289,FX260+$D$297+2&lt;=$E$290),10,0))</f>
        <v>0</v>
      </c>
      <c r="FY289" s="1908">
        <f ca="1">IF(ENTRADAS!$O$1252="J",IF(AND(FY260+$D$297&gt;=$E$289,FY260+$D$297&lt;=$E$290),10,0),IF(AND(FY260+$D$297+2&gt;=$E$289,FY260+$D$297+2&lt;=$E$290),10,0))</f>
        <v>0</v>
      </c>
      <c r="FZ289" s="1908">
        <f ca="1">IF(ENTRADAS!$O$1252="J",IF(AND(FZ260+$D$297&gt;=$E$289,FZ260+$D$297&lt;=$E$290),10,0),IF(AND(FZ260+$D$297+2&gt;=$E$289,FZ260+$D$297+2&lt;=$E$290),10,0))</f>
        <v>0</v>
      </c>
      <c r="GA289" s="1907">
        <f ca="1">IF(ENTRADAS!$O$1252="J",IF(AND(GA260+$D$297&gt;=$E$289,GA260+$D$297&lt;=$E$290),10,0),IF(AND(GA260+$D$297+2&gt;=$E$289,GA260+$D$297+2&lt;=$E$290),10,0))</f>
        <v>0</v>
      </c>
      <c r="GB289" s="1908">
        <f ca="1">IF(ENTRADAS!$O$1252="J",IF(AND(GB260+$D$297&gt;=$E$289,GB260+$D$297&lt;=$E$290),10,0),IF(AND(GB260+$D$297+2&gt;=$E$289,GB260+$D$297+2&lt;=$E$290),10,0))</f>
        <v>0</v>
      </c>
      <c r="GC289" s="1908">
        <f ca="1">IF(ENTRADAS!$O$1252="J",IF(AND(GC260+$D$297&gt;=$E$289,GC260+$D$297&lt;=$E$290),10,0),IF(AND(GC260+$D$297+2&gt;=$E$289,GC260+$D$297+2&lt;=$E$290),10,0))</f>
        <v>0</v>
      </c>
      <c r="GD289" s="1908">
        <f ca="1">IF(ENTRADAS!$O$1252="J",IF(AND(GD260+$D$297&gt;=$E$289,GD260+$D$297&lt;=$E$290),10,0),IF(AND(GD260+$D$297+2&gt;=$E$289,GD260+$D$297+2&lt;=$E$290),10,0))</f>
        <v>0</v>
      </c>
      <c r="GE289" s="1908">
        <f ca="1">IF(ENTRADAS!$O$1252="J",IF(AND(GE260+$D$297&gt;=$E$289,GE260+$D$297&lt;=$E$290),10,0),IF(AND(GE260+$D$297+2&gt;=$E$289,GE260+$D$297+2&lt;=$E$290),10,0))</f>
        <v>0</v>
      </c>
      <c r="GF289" s="1908">
        <f ca="1">IF(ENTRADAS!$O$1252="J",IF(AND(GF260+$D$297&gt;=$E$289,GF260+$D$297&lt;=$E$290),10,0),IF(AND(GF260+$D$297+2&gt;=$E$289,GF260+$D$297+2&lt;=$E$290),10,0))</f>
        <v>0</v>
      </c>
      <c r="GG289" s="1908">
        <f ca="1">IF(ENTRADAS!$O$1252="J",IF(AND(GG260+$D$297&gt;=$E$289,GG260+$D$297&lt;=$E$290),10,0),IF(AND(GG260+$D$297+2&gt;=$E$289,GG260+$D$297+2&lt;=$E$290),10,0))</f>
        <v>0</v>
      </c>
      <c r="GH289" s="1907">
        <f ca="1">IF(ENTRADAS!$O$1252="J",IF(AND(GH260+$D$297&gt;=$E$289,GH260+$D$297&lt;=$E$290),10,0),IF(AND(GH260+$D$297+2&gt;=$E$289,GH260+$D$297+2&lt;=$E$290),10,0))</f>
        <v>0</v>
      </c>
      <c r="GI289" s="1908">
        <f ca="1">IF(ENTRADAS!$O$1252="J",IF(AND(GI260+$D$297&gt;=$E$289,GI260+$D$297&lt;=$E$290),10,0),IF(AND(GI260+$D$297+2&gt;=$E$289,GI260+$D$297+2&lt;=$E$290),10,0))</f>
        <v>0</v>
      </c>
      <c r="GJ289" s="1908">
        <f ca="1">IF(ENTRADAS!$O$1252="J",IF(AND(GJ260+$D$297&gt;=$E$289,GJ260+$D$297&lt;=$E$290),10,0),IF(AND(GJ260+$D$297+2&gt;=$E$289,GJ260+$D$297+2&lt;=$E$290),10,0))</f>
        <v>0</v>
      </c>
      <c r="GK289" s="1908">
        <f ca="1">IF(ENTRADAS!$O$1252="J",IF(AND(GK260+$D$297&gt;=$E$289,GK260+$D$297&lt;=$E$290),10,0),IF(AND(GK260+$D$297+2&gt;=$E$289,GK260+$D$297+2&lt;=$E$290),10,0))</f>
        <v>0</v>
      </c>
      <c r="GL289" s="1908">
        <f ca="1">IF(ENTRADAS!$O$1252="J",IF(AND(GL260+$D$297&gt;=$E$289,GL260+$D$297&lt;=$E$290),10,0),IF(AND(GL260+$D$297+2&gt;=$E$289,GL260+$D$297+2&lt;=$E$290),10,0))</f>
        <v>0</v>
      </c>
      <c r="GM289" s="1908">
        <f ca="1">IF(ENTRADAS!$O$1252="J",IF(AND(GM260+$D$297&gt;=$E$289,GM260+$D$297&lt;=$E$290),10,0),IF(AND(GM260+$D$297+2&gt;=$E$289,GM260+$D$297+2&lt;=$E$290),10,0))</f>
        <v>0</v>
      </c>
      <c r="GN289" s="1908">
        <f ca="1">IF(ENTRADAS!$O$1252="J",IF(AND(GN260+$D$297&gt;=$E$289,GN260+$D$297&lt;=$E$290),10,0),IF(AND(GN260+$D$297+2&gt;=$E$289,GN260+$D$297+2&lt;=$E$290),10,0))</f>
        <v>0</v>
      </c>
      <c r="GO289" s="1907">
        <f ca="1">IF(ENTRADAS!$O$1252="J",IF(AND(GO260+$D$297&gt;=$E$289,GO260+$D$297&lt;=$E$290),10,0),IF(AND(GO260+$D$297+2&gt;=$E$289,GO260+$D$297+2&lt;=$E$290),10,0))</f>
        <v>0</v>
      </c>
      <c r="GP289" s="1908">
        <f ca="1">IF(ENTRADAS!$O$1252="J",IF(AND(GP260+$D$297&gt;=$E$289,GP260+$D$297&lt;=$E$290),10,0),IF(AND(GP260+$D$297+2&gt;=$E$289,GP260+$D$297+2&lt;=$E$290),10,0))</f>
        <v>0</v>
      </c>
      <c r="GQ289" s="1908">
        <f ca="1">IF(ENTRADAS!$O$1252="J",IF(AND(GQ260+$D$297&gt;=$E$289,GQ260+$D$297&lt;=$E$290),10,0),IF(AND(GQ260+$D$297+2&gt;=$E$289,GQ260+$D$297+2&lt;=$E$290),10,0))</f>
        <v>0</v>
      </c>
      <c r="GR289" s="1908">
        <f ca="1">IF(ENTRADAS!$O$1252="J",IF(AND(GR260+$D$297&gt;=$E$289,GR260+$D$297&lt;=$E$290),10,0),IF(AND(GR260+$D$297+2&gt;=$E$289,GR260+$D$297+2&lt;=$E$290),10,0))</f>
        <v>0</v>
      </c>
      <c r="GS289" s="1908">
        <f ca="1">IF(ENTRADAS!$O$1252="J",IF(AND(GS260+$D$297&gt;=$E$289,GS260+$D$297&lt;=$E$290),10,0),IF(AND(GS260+$D$297+2&gt;=$E$289,GS260+$D$297+2&lt;=$E$290),10,0))</f>
        <v>0</v>
      </c>
      <c r="GT289" s="1908">
        <f ca="1">IF(ENTRADAS!$O$1252="J",IF(AND(GT260+$D$297&gt;=$E$289,GT260+$D$297&lt;=$E$290),10,0),IF(AND(GT260+$D$297+2&gt;=$E$289,GT260+$D$297+2&lt;=$E$290),10,0))</f>
        <v>0</v>
      </c>
      <c r="GU289" s="1908">
        <f ca="1">IF(ENTRADAS!$O$1252="J",IF(AND(GU260+$D$297&gt;=$E$289,GU260+$D$297&lt;=$E$290),10,0),IF(AND(GU260+$D$297+2&gt;=$E$289,GU260+$D$297+2&lt;=$E$290),10,0))</f>
        <v>0</v>
      </c>
      <c r="GV289" s="1907">
        <f ca="1">IF(ENTRADAS!$O$1252="J",IF(AND(GV260+$D$297&gt;=$E$289,GV260+$D$297&lt;=$E$290),10,0),IF(AND(GV260+$D$297+2&gt;=$E$289,GV260+$D$297+2&lt;=$E$290),10,0))</f>
        <v>0</v>
      </c>
      <c r="GW289" s="1908">
        <f ca="1">IF(ENTRADAS!$O$1252="J",IF(AND(GW260+$D$297&gt;=$E$289,GW260+$D$297&lt;=$E$290),10,0),IF(AND(GW260+$D$297+2&gt;=$E$289,GW260+$D$297+2&lt;=$E$290),10,0))</f>
        <v>0</v>
      </c>
      <c r="GX289" s="1908">
        <f ca="1">IF(ENTRADAS!$O$1252="J",IF(AND(GX260+$D$297&gt;=$E$289,GX260+$D$297&lt;=$E$290),10,0),IF(AND(GX260+$D$297+2&gt;=$E$289,GX260+$D$297+2&lt;=$E$290),10,0))</f>
        <v>0</v>
      </c>
      <c r="GY289" s="1908">
        <f ca="1">IF(ENTRADAS!$O$1252="J",IF(AND(GY260+$D$297&gt;=$E$289,GY260+$D$297&lt;=$E$290),10,0),IF(AND(GY260+$D$297+2&gt;=$E$289,GY260+$D$297+2&lt;=$E$290),10,0))</f>
        <v>0</v>
      </c>
      <c r="GZ289" s="1908">
        <f ca="1">IF(ENTRADAS!$O$1252="J",IF(AND(GZ260+$D$297&gt;=$E$289,GZ260+$D$297&lt;=$E$290),10,0),IF(AND(GZ260+$D$297+2&gt;=$E$289,GZ260+$D$297+2&lt;=$E$290),10,0))</f>
        <v>0</v>
      </c>
      <c r="HA289" s="1908">
        <f ca="1">IF(ENTRADAS!$O$1252="J",IF(AND(HA260+$D$297&gt;=$E$289,HA260+$D$297&lt;=$E$290),10,0),IF(AND(HA260+$D$297+2&gt;=$E$289,HA260+$D$297+2&lt;=$E$290),10,0))</f>
        <v>0</v>
      </c>
      <c r="HB289" s="1908">
        <f ca="1">IF(ENTRADAS!$O$1252="J",IF(AND(HB260+$D$297&gt;=$E$289,HB260+$D$297&lt;=$E$290),10,0),IF(AND(HB260+$D$297+2&gt;=$E$289,HB260+$D$297+2&lt;=$E$290),10,0))</f>
        <v>0</v>
      </c>
      <c r="HC289" s="1907">
        <f ca="1">IF(ENTRADAS!$O$1252="J",IF(AND(HC260+$D$297&gt;=$E$289,HC260+$D$297&lt;=$E$290),10,0),IF(AND(HC260+$D$297+2&gt;=$E$289,HC260+$D$297+2&lt;=$E$290),10,0))</f>
        <v>0</v>
      </c>
      <c r="HD289" s="1908">
        <f ca="1">IF(ENTRADAS!$O$1252="J",IF(AND(HD260+$D$297&gt;=$E$289,HD260+$D$297&lt;=$E$290),10,0),IF(AND(HD260+$D$297+2&gt;=$E$289,HD260+$D$297+2&lt;=$E$290),10,0))</f>
        <v>0</v>
      </c>
      <c r="HE289" s="1908">
        <f ca="1">IF(ENTRADAS!$O$1252="J",IF(AND(HE260+$D$297&gt;=$E$289,HE260+$D$297&lt;=$E$290),10,0),IF(AND(HE260+$D$297+2&gt;=$E$289,HE260+$D$297+2&lt;=$E$290),10,0))</f>
        <v>0</v>
      </c>
      <c r="HF289" s="1908">
        <f ca="1">IF(ENTRADAS!$O$1252="J",IF(AND(HF260+$D$297&gt;=$E$289,HF260+$D$297&lt;=$E$290),10,0),IF(AND(HF260+$D$297+2&gt;=$E$289,HF260+$D$297+2&lt;=$E$290),10,0))</f>
        <v>0</v>
      </c>
      <c r="HG289" s="1908">
        <f ca="1">IF(ENTRADAS!$O$1252="J",IF(AND(HG260+$D$297&gt;=$E$289,HG260+$D$297&lt;=$E$290),10,0),IF(AND(HG260+$D$297+2&gt;=$E$289,HG260+$D$297+2&lt;=$E$290),10,0))</f>
        <v>0</v>
      </c>
      <c r="HH289" s="1908">
        <f ca="1">IF(ENTRADAS!$O$1252="J",IF(AND(HH260+$D$297&gt;=$E$289,HH260+$D$297&lt;=$E$290),10,0),IF(AND(HH260+$D$297+2&gt;=$E$289,HH260+$D$297+2&lt;=$E$290),10,0))</f>
        <v>0</v>
      </c>
      <c r="HI289" s="1908">
        <f ca="1">IF(ENTRADAS!$O$1252="J",IF(AND(HI260+$D$297&gt;=$E$289,HI260+$D$297&lt;=$E$290),10,0),IF(AND(HI260+$D$297+2&gt;=$E$289,HI260+$D$297+2&lt;=$E$290),10,0))</f>
        <v>0</v>
      </c>
      <c r="HJ289" s="1907">
        <f ca="1">IF(ENTRADAS!$O$1252="J",IF(AND(HJ260+$D$297&gt;=$E$289,HJ260+$D$297&lt;=$E$290),10,0),IF(AND(HJ260+$D$297+2&gt;=$E$289,HJ260+$D$297+2&lt;=$E$290),10,0))</f>
        <v>0</v>
      </c>
      <c r="HK289" s="1908">
        <f ca="1">IF(ENTRADAS!$O$1252="J",IF(AND(HK260+$D$297&gt;=$E$289,HK260+$D$297&lt;=$E$290),10,0),IF(AND(HK260+$D$297+2&gt;=$E$289,HK260+$D$297+2&lt;=$E$290),10,0))</f>
        <v>0</v>
      </c>
      <c r="HL289" s="1908">
        <f ca="1">IF(ENTRADAS!$O$1252="J",IF(AND(HL260+$D$297&gt;=$E$289,HL260+$D$297&lt;=$E$290),10,0),IF(AND(HL260+$D$297+2&gt;=$E$289,HL260+$D$297+2&lt;=$E$290),10,0))</f>
        <v>0</v>
      </c>
      <c r="HM289" s="1908">
        <f ca="1">IF(ENTRADAS!$O$1252="J",IF(AND(HM260+$D$297&gt;=$E$289,HM260+$D$297&lt;=$E$290),10,0),IF(AND(HM260+$D$297+2&gt;=$E$289,HM260+$D$297+2&lt;=$E$290),10,0))</f>
        <v>0</v>
      </c>
      <c r="HN289" s="1908">
        <f ca="1">IF(ENTRADAS!$O$1252="J",IF(AND(HN260+$D$297&gt;=$E$289,HN260+$D$297&lt;=$E$290),10,0),IF(AND(HN260+$D$297+2&gt;=$E$289,HN260+$D$297+2&lt;=$E$290),10,0))</f>
        <v>0</v>
      </c>
      <c r="HO289" s="1908">
        <f ca="1">IF(ENTRADAS!$O$1252="J",IF(AND(HO260+$D$297&gt;=$E$289,HO260+$D$297&lt;=$E$290),10,0),IF(AND(HO260+$D$297+2&gt;=$E$289,HO260+$D$297+2&lt;=$E$290),10,0))</f>
        <v>0</v>
      </c>
      <c r="HP289" s="1908">
        <f ca="1">IF(ENTRADAS!$O$1252="J",IF(AND(HP260+$D$297&gt;=$E$289,HP260+$D$297&lt;=$E$290),10,0),IF(AND(HP260+$D$297+2&gt;=$E$289,HP260+$D$297+2&lt;=$E$290),10,0))</f>
        <v>0</v>
      </c>
      <c r="HQ289" s="1907">
        <f ca="1">IF(ENTRADAS!$O$1252="J",IF(AND(HQ260+$D$297&gt;=$E$289,HQ260+$D$297&lt;=$E$290),10,0),IF(AND(HQ260+$D$297+2&gt;=$E$289,HQ260+$D$297+2&lt;=$E$290),10,0))</f>
        <v>0</v>
      </c>
      <c r="HR289" s="1908">
        <f ca="1">IF(ENTRADAS!$O$1252="J",IF(AND(HR260+$D$297&gt;=$E$289,HR260+$D$297&lt;=$E$290),10,0),IF(AND(HR260+$D$297+2&gt;=$E$289,HR260+$D$297+2&lt;=$E$290),10,0))</f>
        <v>0</v>
      </c>
      <c r="HS289" s="1908">
        <f ca="1">IF(ENTRADAS!$O$1252="J",IF(AND(HS260+$D$297&gt;=$E$289,HS260+$D$297&lt;=$E$290),10,0),IF(AND(HS260+$D$297+2&gt;=$E$289,HS260+$D$297+2&lt;=$E$290),10,0))</f>
        <v>0</v>
      </c>
      <c r="HT289" s="1908">
        <f ca="1">IF(ENTRADAS!$O$1252="J",IF(AND(HT260+$D$297&gt;=$E$289,HT260+$D$297&lt;=$E$290),10,0),IF(AND(HT260+$D$297+2&gt;=$E$289,HT260+$D$297+2&lt;=$E$290),10,0))</f>
        <v>0</v>
      </c>
      <c r="HU289" s="1908">
        <f ca="1">IF(ENTRADAS!$O$1252="J",IF(AND(HU260+$D$297&gt;=$E$289,HU260+$D$297&lt;=$E$290),10,0),IF(AND(HU260+$D$297+2&gt;=$E$289,HU260+$D$297+2&lt;=$E$290),10,0))</f>
        <v>0</v>
      </c>
      <c r="HV289" s="1908">
        <f ca="1">IF(ENTRADAS!$O$1252="J",IF(AND(HV260+$D$297&gt;=$E$289,HV260+$D$297&lt;=$E$290),10,0),IF(AND(HV260+$D$297+2&gt;=$E$289,HV260+$D$297+2&lt;=$E$290),10,0))</f>
        <v>0</v>
      </c>
      <c r="HW289" s="1908">
        <f ca="1">IF(ENTRADAS!$O$1252="J",IF(AND(HW260+$D$297&gt;=$E$289,HW260+$D$297&lt;=$E$290),10,0),IF(AND(HW260+$D$297+2&gt;=$E$289,HW260+$D$297+2&lt;=$E$290),10,0))</f>
        <v>0</v>
      </c>
      <c r="HX289" s="1907">
        <f ca="1">IF(ENTRADAS!$O$1252="J",IF(AND(HX260+$D$297&gt;=$E$289,HX260+$D$297&lt;=$E$290),10,0),IF(AND(HX260+$D$297+2&gt;=$E$289,HX260+$D$297+2&lt;=$E$290),10,0))</f>
        <v>0</v>
      </c>
      <c r="HY289" s="1908">
        <f ca="1">IF(ENTRADAS!$O$1252="J",IF(AND(HY260+$D$297&gt;=$E$289,HY260+$D$297&lt;=$E$290),10,0),IF(AND(HY260+$D$297+2&gt;=$E$289,HY260+$D$297+2&lt;=$E$290),10,0))</f>
        <v>0</v>
      </c>
      <c r="HZ289" s="1908">
        <f ca="1">IF(ENTRADAS!$O$1252="J",IF(AND(HZ260+$D$297&gt;=$E$289,HZ260+$D$297&lt;=$E$290),10,0),IF(AND(HZ260+$D$297+2&gt;=$E$289,HZ260+$D$297+2&lt;=$E$290),10,0))</f>
        <v>0</v>
      </c>
      <c r="IA289" s="1908">
        <f ca="1">IF(ENTRADAS!$O$1252="J",IF(AND(IA260+$D$297&gt;=$E$289,IA260+$D$297&lt;=$E$290),10,0),IF(AND(IA260+$D$297+2&gt;=$E$289,IA260+$D$297+2&lt;=$E$290),10,0))</f>
        <v>0</v>
      </c>
      <c r="IB289" s="1908">
        <f ca="1">IF(ENTRADAS!$O$1252="J",IF(AND(IB260+$D$297&gt;=$E$289,IB260+$D$297&lt;=$E$290),10,0),IF(AND(IB260+$D$297+2&gt;=$E$289,IB260+$D$297+2&lt;=$E$290),10,0))</f>
        <v>0</v>
      </c>
      <c r="IC289" s="1908">
        <f ca="1">IF(ENTRADAS!$O$1252="J",IF(AND(IC260+$D$297&gt;=$E$289,IC260+$D$297&lt;=$E$290),10,0),IF(AND(IC260+$D$297+2&gt;=$E$289,IC260+$D$297+2&lt;=$E$290),10,0))</f>
        <v>0</v>
      </c>
      <c r="ID289" s="1908">
        <f ca="1">IF(ENTRADAS!$O$1252="J",IF(AND(ID260+$D$297&gt;=$E$289,ID260+$D$297&lt;=$E$290),10,0),IF(AND(ID260+$D$297+2&gt;=$E$289,ID260+$D$297+2&lt;=$E$290),10,0))</f>
        <v>0</v>
      </c>
      <c r="IE289" s="1907">
        <f ca="1">IF(ENTRADAS!$O$1252="J",IF(AND(IE260+$D$297&gt;=$E$289,IE260+$D$297&lt;=$E$290),10,0),IF(AND(IE260+$D$297+2&gt;=$E$289,IE260+$D$297+2&lt;=$E$290),10,0))</f>
        <v>0</v>
      </c>
      <c r="IF289" s="1908">
        <f ca="1">IF(ENTRADAS!$O$1252="J",IF(AND(IF260+$D$297&gt;=$E$289,IF260+$D$297&lt;=$E$290),10,0),IF(AND(IF260+$D$297+2&gt;=$E$289,IF260+$D$297+2&lt;=$E$290),10,0))</f>
        <v>0</v>
      </c>
      <c r="IG289" s="1908">
        <f ca="1">IF(ENTRADAS!$O$1252="J",IF(AND(IG260+$D$297&gt;=$E$289,IG260+$D$297&lt;=$E$290),10,0),IF(AND(IG260+$D$297+2&gt;=$E$289,IG260+$D$297+2&lt;=$E$290),10,0))</f>
        <v>0</v>
      </c>
      <c r="IH289" s="1908">
        <f ca="1">IF(ENTRADAS!$O$1252="J",IF(AND(IH260+$D$297&gt;=$E$289,IH260+$D$297&lt;=$E$290),10,0),IF(AND(IH260+$D$297+2&gt;=$E$289,IH260+$D$297+2&lt;=$E$290),10,0))</f>
        <v>0</v>
      </c>
      <c r="II289" s="1908">
        <f ca="1">IF(ENTRADAS!$O$1252="J",IF(AND(II260+$D$297&gt;=$E$289,II260+$D$297&lt;=$E$290),10,0),IF(AND(II260+$D$297+2&gt;=$E$289,II260+$D$297+2&lt;=$E$290),10,0))</f>
        <v>0</v>
      </c>
      <c r="IJ289" s="1908">
        <f ca="1">IF(ENTRADAS!$O$1252="J",IF(AND(IJ260+$D$297&gt;=$E$289,IJ260+$D$297&lt;=$E$290),10,0),IF(AND(IJ260+$D$297+2&gt;=$E$289,IJ260+$D$297+2&lt;=$E$290),10,0))</f>
        <v>0</v>
      </c>
      <c r="IK289" s="1909">
        <f ca="1">IF(ENTRADAS!$O$1252="J",IF(AND(IK260+$D$297&gt;=$E$289,IK260+$D$297&lt;=$E$290),10,0),IF(AND(IK260+$D$297+2&gt;=$E$289,IK260+$D$297+2&lt;=$E$290),10,0))</f>
        <v>0</v>
      </c>
    </row>
    <row r="290" spans="1:245" ht="7.5" hidden="1" customHeight="1" x14ac:dyDescent="0.35">
      <c r="A290" s="195">
        <f>IF(B289=0,0,"XXX")</f>
        <v>0</v>
      </c>
      <c r="B290" s="1910"/>
      <c r="C290" s="1912"/>
      <c r="D290" s="360" t="str">
        <f>IF(ENTRADAS!$F$22=0,0,"término:")</f>
        <v>término:</v>
      </c>
      <c r="E290" s="361">
        <f>IF(C289=0,0,E289+F289)</f>
        <v>0</v>
      </c>
      <c r="F290" s="1913"/>
      <c r="G290" s="1914"/>
      <c r="H290" s="1907"/>
      <c r="I290" s="1908"/>
      <c r="J290" s="1908"/>
      <c r="K290" s="1908"/>
      <c r="L290" s="1908"/>
      <c r="M290" s="1908"/>
      <c r="N290" s="1908"/>
      <c r="O290" s="1907"/>
      <c r="P290" s="1908"/>
      <c r="Q290" s="1908"/>
      <c r="R290" s="1908"/>
      <c r="S290" s="1908"/>
      <c r="T290" s="1908"/>
      <c r="U290" s="1908"/>
      <c r="V290" s="1907"/>
      <c r="W290" s="1908"/>
      <c r="X290" s="1908"/>
      <c r="Y290" s="1908"/>
      <c r="Z290" s="1908"/>
      <c r="AA290" s="1908"/>
      <c r="AB290" s="1908"/>
      <c r="AC290" s="1907"/>
      <c r="AD290" s="1908"/>
      <c r="AE290" s="1908"/>
      <c r="AF290" s="1908"/>
      <c r="AG290" s="1908"/>
      <c r="AH290" s="1908"/>
      <c r="AI290" s="1908"/>
      <c r="AJ290" s="1907"/>
      <c r="AK290" s="1908"/>
      <c r="AL290" s="1908"/>
      <c r="AM290" s="1908"/>
      <c r="AN290" s="1908"/>
      <c r="AO290" s="1908"/>
      <c r="AP290" s="1908"/>
      <c r="AQ290" s="1907"/>
      <c r="AR290" s="1908"/>
      <c r="AS290" s="1908"/>
      <c r="AT290" s="1908"/>
      <c r="AU290" s="1908"/>
      <c r="AV290" s="1908"/>
      <c r="AW290" s="1908"/>
      <c r="AX290" s="1907"/>
      <c r="AY290" s="1908"/>
      <c r="AZ290" s="1908"/>
      <c r="BA290" s="1908"/>
      <c r="BB290" s="1908"/>
      <c r="BC290" s="1908"/>
      <c r="BD290" s="1908"/>
      <c r="BE290" s="1907"/>
      <c r="BF290" s="1908"/>
      <c r="BG290" s="1908"/>
      <c r="BH290" s="1908"/>
      <c r="BI290" s="1908"/>
      <c r="BJ290" s="1908"/>
      <c r="BK290" s="1908"/>
      <c r="BL290" s="1907"/>
      <c r="BM290" s="1908"/>
      <c r="BN290" s="1908"/>
      <c r="BO290" s="1908"/>
      <c r="BP290" s="1908"/>
      <c r="BQ290" s="1908"/>
      <c r="BR290" s="1908"/>
      <c r="BS290" s="1907"/>
      <c r="BT290" s="1908"/>
      <c r="BU290" s="1908"/>
      <c r="BV290" s="1908"/>
      <c r="BW290" s="1908"/>
      <c r="BX290" s="1908"/>
      <c r="BY290" s="1908"/>
      <c r="BZ290" s="1907"/>
      <c r="CA290" s="1908"/>
      <c r="CB290" s="1908"/>
      <c r="CC290" s="1908"/>
      <c r="CD290" s="1908"/>
      <c r="CE290" s="1908"/>
      <c r="CF290" s="1908"/>
      <c r="CG290" s="1907"/>
      <c r="CH290" s="1908"/>
      <c r="CI290" s="1908"/>
      <c r="CJ290" s="1908"/>
      <c r="CK290" s="1908"/>
      <c r="CL290" s="1908"/>
      <c r="CM290" s="1908"/>
      <c r="CN290" s="1907"/>
      <c r="CO290" s="1908"/>
      <c r="CP290" s="1908"/>
      <c r="CQ290" s="1908"/>
      <c r="CR290" s="1908"/>
      <c r="CS290" s="1908"/>
      <c r="CT290" s="1908"/>
      <c r="CU290" s="1907"/>
      <c r="CV290" s="1908"/>
      <c r="CW290" s="1908"/>
      <c r="CX290" s="1908"/>
      <c r="CY290" s="1908"/>
      <c r="CZ290" s="1908"/>
      <c r="DA290" s="1908"/>
      <c r="DB290" s="1907"/>
      <c r="DC290" s="1908"/>
      <c r="DD290" s="1908"/>
      <c r="DE290" s="1908"/>
      <c r="DF290" s="1908"/>
      <c r="DG290" s="1908"/>
      <c r="DH290" s="1908"/>
      <c r="DI290" s="1907"/>
      <c r="DJ290" s="1908"/>
      <c r="DK290" s="1908"/>
      <c r="DL290" s="1908"/>
      <c r="DM290" s="1908"/>
      <c r="DN290" s="1908"/>
      <c r="DO290" s="1908"/>
      <c r="DP290" s="1907"/>
      <c r="DQ290" s="1908"/>
      <c r="DR290" s="1908"/>
      <c r="DS290" s="1908"/>
      <c r="DT290" s="1908"/>
      <c r="DU290" s="1908"/>
      <c r="DV290" s="1908"/>
      <c r="DW290" s="1907"/>
      <c r="DX290" s="1908"/>
      <c r="DY290" s="1908"/>
      <c r="DZ290" s="1908"/>
      <c r="EA290" s="1908"/>
      <c r="EB290" s="1908"/>
      <c r="EC290" s="1908"/>
      <c r="ED290" s="1907"/>
      <c r="EE290" s="1908"/>
      <c r="EF290" s="1908"/>
      <c r="EG290" s="1908"/>
      <c r="EH290" s="1908"/>
      <c r="EI290" s="1908"/>
      <c r="EJ290" s="1908"/>
      <c r="EK290" s="1907"/>
      <c r="EL290" s="1908"/>
      <c r="EM290" s="1908"/>
      <c r="EN290" s="1908"/>
      <c r="EO290" s="1908"/>
      <c r="EP290" s="1908"/>
      <c r="EQ290" s="1908"/>
      <c r="ER290" s="1907"/>
      <c r="ES290" s="1908"/>
      <c r="ET290" s="1908"/>
      <c r="EU290" s="1908"/>
      <c r="EV290" s="1908"/>
      <c r="EW290" s="1908"/>
      <c r="EX290" s="1908"/>
      <c r="EY290" s="1907"/>
      <c r="EZ290" s="1908"/>
      <c r="FA290" s="1908"/>
      <c r="FB290" s="1908"/>
      <c r="FC290" s="1908"/>
      <c r="FD290" s="1908"/>
      <c r="FE290" s="1908"/>
      <c r="FF290" s="1907"/>
      <c r="FG290" s="1908"/>
      <c r="FH290" s="1908"/>
      <c r="FI290" s="1908"/>
      <c r="FJ290" s="1908"/>
      <c r="FK290" s="1908"/>
      <c r="FL290" s="1908"/>
      <c r="FM290" s="1907"/>
      <c r="FN290" s="1908"/>
      <c r="FO290" s="1908"/>
      <c r="FP290" s="1908"/>
      <c r="FQ290" s="1908"/>
      <c r="FR290" s="1908"/>
      <c r="FS290" s="1908"/>
      <c r="FT290" s="1907"/>
      <c r="FU290" s="1908"/>
      <c r="FV290" s="1908"/>
      <c r="FW290" s="1908"/>
      <c r="FX290" s="1908"/>
      <c r="FY290" s="1908"/>
      <c r="FZ290" s="1908"/>
      <c r="GA290" s="1907"/>
      <c r="GB290" s="1908"/>
      <c r="GC290" s="1908"/>
      <c r="GD290" s="1908"/>
      <c r="GE290" s="1908"/>
      <c r="GF290" s="1908"/>
      <c r="GG290" s="1908"/>
      <c r="GH290" s="1907"/>
      <c r="GI290" s="1908"/>
      <c r="GJ290" s="1908"/>
      <c r="GK290" s="1908"/>
      <c r="GL290" s="1908"/>
      <c r="GM290" s="1908"/>
      <c r="GN290" s="1908"/>
      <c r="GO290" s="1907"/>
      <c r="GP290" s="1908"/>
      <c r="GQ290" s="1908"/>
      <c r="GR290" s="1908"/>
      <c r="GS290" s="1908"/>
      <c r="GT290" s="1908"/>
      <c r="GU290" s="1908"/>
      <c r="GV290" s="1907"/>
      <c r="GW290" s="1908"/>
      <c r="GX290" s="1908"/>
      <c r="GY290" s="1908"/>
      <c r="GZ290" s="1908"/>
      <c r="HA290" s="1908"/>
      <c r="HB290" s="1908"/>
      <c r="HC290" s="1907"/>
      <c r="HD290" s="1908"/>
      <c r="HE290" s="1908"/>
      <c r="HF290" s="1908"/>
      <c r="HG290" s="1908"/>
      <c r="HH290" s="1908"/>
      <c r="HI290" s="1908"/>
      <c r="HJ290" s="1907"/>
      <c r="HK290" s="1908"/>
      <c r="HL290" s="1908"/>
      <c r="HM290" s="1908"/>
      <c r="HN290" s="1908"/>
      <c r="HO290" s="1908"/>
      <c r="HP290" s="1908"/>
      <c r="HQ290" s="1907"/>
      <c r="HR290" s="1908"/>
      <c r="HS290" s="1908"/>
      <c r="HT290" s="1908"/>
      <c r="HU290" s="1908"/>
      <c r="HV290" s="1908"/>
      <c r="HW290" s="1908"/>
      <c r="HX290" s="1907"/>
      <c r="HY290" s="1908"/>
      <c r="HZ290" s="1908"/>
      <c r="IA290" s="1908"/>
      <c r="IB290" s="1908"/>
      <c r="IC290" s="1908"/>
      <c r="ID290" s="1908"/>
      <c r="IE290" s="1907"/>
      <c r="IF290" s="1908"/>
      <c r="IG290" s="1908"/>
      <c r="IH290" s="1908"/>
      <c r="II290" s="1908"/>
      <c r="IJ290" s="1908"/>
      <c r="IK290" s="1909"/>
    </row>
    <row r="291" spans="1:245" ht="11.1" customHeight="1" x14ac:dyDescent="0.4">
      <c r="A291" s="195" t="str">
        <f>IF(B291=0,0,"XXX")</f>
        <v>XXX</v>
      </c>
      <c r="B291" s="195" t="s">
        <v>10</v>
      </c>
      <c r="C291" s="349">
        <f ca="1">IF(IK262&lt;LARGE(E275:E284,1),"A CAPACIDADE DO CRONOGRAMA FOI ULTRAPASSADA !",0)</f>
        <v>0</v>
      </c>
    </row>
    <row r="292" spans="1:245" ht="5.0999999999999996" hidden="1" customHeight="1" x14ac:dyDescent="0.4">
      <c r="A292" s="195">
        <f>IF(B292=0,0,"XXX")</f>
        <v>0</v>
      </c>
      <c r="B292" s="451"/>
      <c r="F292" s="486">
        <f>IF(AND(ENTRADAS!$C$397="X",F282=0),IF((E198-D297+ENTRADAS!BS403)=0,0,IF((F281+(E198-D297+ENTRADAS!BS403))&lt;=F275," CRONOGRAMA INCONSISTENTE ! REVISE !",0)),IF(F282=0,0,IF((F281+F282)&lt;=F275," CRONOGRAMA INCONSISTENTE ! REVISE !",0)))</f>
        <v>0</v>
      </c>
    </row>
    <row r="293" spans="1:245" ht="13.15" hidden="1" x14ac:dyDescent="0.4">
      <c r="A293" s="195">
        <f>IF(B293=0,0,"XXX")</f>
        <v>0</v>
      </c>
      <c r="B293" s="5"/>
      <c r="F293" s="464">
        <f>IF(AND(ENTRADAS!$C$397="X",F282=0),IF((E198-D297+ENTRADAS!BS403)=0,IF(F284=0,0,IF(F283+F284&lt;F281+F275," CRONOGRAMA INCONSISTENTE ! REVISE !",0)),IF(F284=0,0,IF(F283+F284&lt;F281+(E198-D297+ENTRADAS!BS403)," CRONOGRAMA INCONSISTENTE ! REVISE !",0))),IF(F282=0,IF(F284=0,0,IF(F283+F284&lt;F281+F275," CRONOGRAMA INCONSISTENTE ! REVISE !",0)),IF(F284=0,0,IF(F283+F284&lt;F281+F282," CRONOGRAMA INCONSISTENTE ! REVISE !",0))))</f>
        <v>0</v>
      </c>
      <c r="V293" s="3"/>
      <c r="W293" s="17"/>
      <c r="X293" s="630">
        <f ca="1">IF(AND(ENTRADAS!$C$397="X",F282=0),IF(F284=0,IF(F283+(E198-D297+ENTRADAS!BS403)+F281+(E198-D297+ENTRADAS!BS403)&lt;F279+F275,10,0)),IF(F284=0,IF(F283+F282+F281&lt;F279+F275,10,0)))</f>
        <v>0</v>
      </c>
      <c r="Y293" s="32">
        <f>IF(AND(ENTRADAS!$C$397="X",F282=0),IF(F284&gt;0,IF(F283+F284&lt;(E198-D297+ENTRADAS!BS403)+F281,10,0),0),IF(F284&gt;0,IF(F283+F284&lt;F282+F281,10,0),0))</f>
        <v>0</v>
      </c>
    </row>
    <row r="294" spans="1:245" ht="13.15" hidden="1" x14ac:dyDescent="0.4">
      <c r="A294" s="195">
        <f>IF(B294=0,0,"XXX")</f>
        <v>0</v>
      </c>
      <c r="B294" s="5"/>
      <c r="C294" s="775" t="s">
        <v>1603</v>
      </c>
      <c r="D294" s="484">
        <f>$GH$3</f>
        <v>5</v>
      </c>
      <c r="E294" s="12"/>
      <c r="F294" s="12"/>
      <c r="V294" s="630">
        <f ca="1">IF(AND(ENTRADAS!$C$397="X",F282=0),IF((E198-D297+ENTRADAS!BS403)=0,IF(F284=0,IF(F283+F275+F279&lt;F275+F279,10,0),IF(F283+F284&lt;F275+F281+1,10,0)),0),IF(F282=0,IF(F284=0,IF(F283+F275+F279&lt;F275+F279,10,0),IF(F283+F284&lt;F275+F281+1,10,0)),0))</f>
        <v>0</v>
      </c>
      <c r="W294" s="630">
        <f ca="1">IF(AND(ENTRADAS!$C$397="X",F282=0),IF((E198-D297+ENTRADAS!BS403)&gt;0,W293,X293),IF(F282&gt;0,W293,X293))</f>
        <v>0</v>
      </c>
      <c r="X294" s="13"/>
      <c r="Y294" s="14"/>
      <c r="EI294" s="32" t="e">
        <f>IF(#REF!=0,0,"X")</f>
        <v>#REF!</v>
      </c>
    </row>
    <row r="295" spans="1:245" ht="13.15" hidden="1" x14ac:dyDescent="0.4">
      <c r="A295" s="195">
        <f>IF(B295=0,0,"XXX")</f>
        <v>0</v>
      </c>
      <c r="B295" s="5"/>
      <c r="C295" s="81" t="s">
        <v>1570</v>
      </c>
      <c r="D295" s="81">
        <f>D211+1</f>
        <v>4</v>
      </c>
      <c r="F295" s="464">
        <f>IF(AND(ENTRADAS!$C$397="X",F282=0),IF(F284+(E198-D297+ENTRADAS!BS403)=0,0,IF(V294=10," CRONOGRAMA INCONSISTENTE ! REVISE !",IF(W294=10," CRONOGRAMA INCONSISTENTE ! REVISE !",0))),IF(F284+F282=0,0,IF(V294=10," CRONOGRAMA INCONSISTENTE ! REVISE !",IF(W294=10," CRONOGRAMA INCONSISTENTE ! REVISE !",0))))</f>
        <v>0</v>
      </c>
    </row>
    <row r="296" spans="1:245" ht="13.15" hidden="1" x14ac:dyDescent="0.4">
      <c r="A296" s="195"/>
      <c r="B296" s="5"/>
      <c r="C296" s="81" t="s">
        <v>1571</v>
      </c>
      <c r="D296" s="470">
        <f>ENTRADAS!$F$22</f>
        <v>4</v>
      </c>
      <c r="F296" s="464">
        <f ca="1">IF(E280-E284&gt;0," CRONOGRAMA INCONSISTENTE ! REVISE !",0)</f>
        <v>0</v>
      </c>
    </row>
    <row r="297" spans="1:245" hidden="1" x14ac:dyDescent="0.35">
      <c r="A297" s="195"/>
      <c r="B297" s="5"/>
      <c r="C297" s="472" t="s">
        <v>1572</v>
      </c>
      <c r="D297" s="473">
        <f ca="1">$J$3</f>
        <v>45919</v>
      </c>
    </row>
    <row r="298" spans="1:245" hidden="1" x14ac:dyDescent="0.35">
      <c r="A298" s="195"/>
      <c r="B298" s="5"/>
      <c r="C298" s="472" t="str">
        <f>"térnimo confec parede tq "&amp;D295-1</f>
        <v>térnimo confec parede tq 3</v>
      </c>
      <c r="D298" s="475">
        <f ca="1">IF(D295&lt;=D296,D218,0)</f>
        <v>45993.75</v>
      </c>
    </row>
    <row r="299" spans="1:245" hidden="1" x14ac:dyDescent="0.35">
      <c r="A299" s="195"/>
      <c r="B299" s="5"/>
      <c r="C299" s="472" t="str">
        <f>"término confec cobert tq "&amp;D295-1</f>
        <v>término confec cobert tq 3</v>
      </c>
      <c r="D299" s="475">
        <f ca="1">LARGE(G251:G253,1)</f>
        <v>0</v>
      </c>
      <c r="E299" s="478">
        <f ca="1">(LARGE(G251:G253,1)-D297)-1</f>
        <v>-45920</v>
      </c>
    </row>
    <row r="300" spans="1:245" hidden="1" x14ac:dyDescent="0.35">
      <c r="A300" s="195"/>
      <c r="B300" s="5"/>
      <c r="C300" s="639" t="s">
        <v>1573</v>
      </c>
      <c r="D300" s="469">
        <f ca="1">IF(ENTRADAS!$F$22=0,0,IF($J$3=0,0,CÁLCULOS!$M$679/ENTRADAS!$F$22))</f>
        <v>25.25</v>
      </c>
      <c r="E300" s="32"/>
      <c r="H300" s="348">
        <f ca="1">IF(AND(H260&gt;=$E$301,H260&lt;$E$302),10,0)</f>
        <v>0</v>
      </c>
      <c r="I300" s="348">
        <f t="shared" ref="I300:BT300" ca="1" si="328">IF(AND(I260&gt;=$E$301,I260&lt;$E$302),10,0)</f>
        <v>0</v>
      </c>
      <c r="J300" s="348">
        <f t="shared" ca="1" si="328"/>
        <v>0</v>
      </c>
      <c r="K300" s="348">
        <f t="shared" ca="1" si="328"/>
        <v>0</v>
      </c>
      <c r="L300" s="348">
        <f t="shared" ca="1" si="328"/>
        <v>0</v>
      </c>
      <c r="M300" s="348">
        <f t="shared" ca="1" si="328"/>
        <v>0</v>
      </c>
      <c r="N300" s="348">
        <f t="shared" ca="1" si="328"/>
        <v>0</v>
      </c>
      <c r="O300" s="348">
        <f t="shared" ca="1" si="328"/>
        <v>0</v>
      </c>
      <c r="P300" s="348">
        <f t="shared" ca="1" si="328"/>
        <v>0</v>
      </c>
      <c r="Q300" s="348">
        <f t="shared" ca="1" si="328"/>
        <v>0</v>
      </c>
      <c r="R300" s="348">
        <f t="shared" ca="1" si="328"/>
        <v>0</v>
      </c>
      <c r="S300" s="348">
        <f t="shared" ca="1" si="328"/>
        <v>0</v>
      </c>
      <c r="T300" s="348">
        <f t="shared" ca="1" si="328"/>
        <v>0</v>
      </c>
      <c r="U300" s="348">
        <f t="shared" ca="1" si="328"/>
        <v>0</v>
      </c>
      <c r="V300" s="348">
        <f t="shared" ca="1" si="328"/>
        <v>0</v>
      </c>
      <c r="W300" s="348">
        <f t="shared" ca="1" si="328"/>
        <v>0</v>
      </c>
      <c r="X300" s="348">
        <f t="shared" ca="1" si="328"/>
        <v>0</v>
      </c>
      <c r="Y300" s="348">
        <f t="shared" ca="1" si="328"/>
        <v>0</v>
      </c>
      <c r="Z300" s="348">
        <f t="shared" ca="1" si="328"/>
        <v>0</v>
      </c>
      <c r="AA300" s="348">
        <f t="shared" ca="1" si="328"/>
        <v>0</v>
      </c>
      <c r="AB300" s="348">
        <f t="shared" ca="1" si="328"/>
        <v>0</v>
      </c>
      <c r="AC300" s="348">
        <f t="shared" ca="1" si="328"/>
        <v>0</v>
      </c>
      <c r="AD300" s="348">
        <f t="shared" ca="1" si="328"/>
        <v>0</v>
      </c>
      <c r="AE300" s="348">
        <f t="shared" ca="1" si="328"/>
        <v>0</v>
      </c>
      <c r="AF300" s="348">
        <f t="shared" ca="1" si="328"/>
        <v>0</v>
      </c>
      <c r="AG300" s="348">
        <f t="shared" ca="1" si="328"/>
        <v>0</v>
      </c>
      <c r="AH300" s="348">
        <f t="shared" ca="1" si="328"/>
        <v>0</v>
      </c>
      <c r="AI300" s="348">
        <f t="shared" ca="1" si="328"/>
        <v>0</v>
      </c>
      <c r="AJ300" s="348">
        <f t="shared" ca="1" si="328"/>
        <v>0</v>
      </c>
      <c r="AK300" s="348">
        <f t="shared" ca="1" si="328"/>
        <v>0</v>
      </c>
      <c r="AL300" s="348">
        <f t="shared" ca="1" si="328"/>
        <v>0</v>
      </c>
      <c r="AM300" s="348">
        <f t="shared" ca="1" si="328"/>
        <v>0</v>
      </c>
      <c r="AN300" s="348">
        <f t="shared" ca="1" si="328"/>
        <v>0</v>
      </c>
      <c r="AO300" s="348">
        <f t="shared" ca="1" si="328"/>
        <v>0</v>
      </c>
      <c r="AP300" s="348">
        <f t="shared" ca="1" si="328"/>
        <v>0</v>
      </c>
      <c r="AQ300" s="348">
        <f t="shared" ca="1" si="328"/>
        <v>0</v>
      </c>
      <c r="AR300" s="348">
        <f t="shared" ca="1" si="328"/>
        <v>0</v>
      </c>
      <c r="AS300" s="348">
        <f t="shared" ca="1" si="328"/>
        <v>0</v>
      </c>
      <c r="AT300" s="348">
        <f t="shared" ca="1" si="328"/>
        <v>0</v>
      </c>
      <c r="AU300" s="348">
        <f t="shared" ca="1" si="328"/>
        <v>0</v>
      </c>
      <c r="AV300" s="348">
        <f t="shared" ca="1" si="328"/>
        <v>0</v>
      </c>
      <c r="AW300" s="348">
        <f t="shared" ca="1" si="328"/>
        <v>0</v>
      </c>
      <c r="AX300" s="348">
        <f t="shared" ca="1" si="328"/>
        <v>0</v>
      </c>
      <c r="AY300" s="348">
        <f t="shared" ca="1" si="328"/>
        <v>0</v>
      </c>
      <c r="AZ300" s="348">
        <f t="shared" ca="1" si="328"/>
        <v>0</v>
      </c>
      <c r="BA300" s="348">
        <f t="shared" ca="1" si="328"/>
        <v>0</v>
      </c>
      <c r="BB300" s="348">
        <f t="shared" ca="1" si="328"/>
        <v>0</v>
      </c>
      <c r="BC300" s="348">
        <f t="shared" ca="1" si="328"/>
        <v>0</v>
      </c>
      <c r="BD300" s="348">
        <f t="shared" ca="1" si="328"/>
        <v>0</v>
      </c>
      <c r="BE300" s="348">
        <f t="shared" ca="1" si="328"/>
        <v>0</v>
      </c>
      <c r="BF300" s="348">
        <f t="shared" ca="1" si="328"/>
        <v>0</v>
      </c>
      <c r="BG300" s="348">
        <f t="shared" ca="1" si="328"/>
        <v>0</v>
      </c>
      <c r="BH300" s="348">
        <f t="shared" ca="1" si="328"/>
        <v>0</v>
      </c>
      <c r="BI300" s="348">
        <f t="shared" ca="1" si="328"/>
        <v>0</v>
      </c>
      <c r="BJ300" s="348">
        <f t="shared" ca="1" si="328"/>
        <v>0</v>
      </c>
      <c r="BK300" s="348">
        <f t="shared" ca="1" si="328"/>
        <v>0</v>
      </c>
      <c r="BL300" s="348">
        <f t="shared" ca="1" si="328"/>
        <v>0</v>
      </c>
      <c r="BM300" s="348">
        <f t="shared" ca="1" si="328"/>
        <v>0</v>
      </c>
      <c r="BN300" s="348">
        <f t="shared" ca="1" si="328"/>
        <v>0</v>
      </c>
      <c r="BO300" s="348">
        <f t="shared" ca="1" si="328"/>
        <v>0</v>
      </c>
      <c r="BP300" s="348">
        <f t="shared" ca="1" si="328"/>
        <v>0</v>
      </c>
      <c r="BQ300" s="348">
        <f t="shared" ca="1" si="328"/>
        <v>0</v>
      </c>
      <c r="BR300" s="348">
        <f t="shared" ca="1" si="328"/>
        <v>0</v>
      </c>
      <c r="BS300" s="348">
        <f t="shared" ca="1" si="328"/>
        <v>0</v>
      </c>
      <c r="BT300" s="348">
        <f t="shared" ca="1" si="328"/>
        <v>0</v>
      </c>
      <c r="BU300" s="348">
        <f t="shared" ref="BU300:EF300" ca="1" si="329">IF(AND(BU260&gt;=$E$301,BU260&lt;$E$302),10,0)</f>
        <v>0</v>
      </c>
      <c r="BV300" s="348">
        <f t="shared" ca="1" si="329"/>
        <v>0</v>
      </c>
      <c r="BW300" s="348">
        <f t="shared" ca="1" si="329"/>
        <v>0</v>
      </c>
      <c r="BX300" s="348">
        <f t="shared" ca="1" si="329"/>
        <v>0</v>
      </c>
      <c r="BY300" s="348">
        <f t="shared" ca="1" si="329"/>
        <v>0</v>
      </c>
      <c r="BZ300" s="348">
        <f t="shared" ca="1" si="329"/>
        <v>0</v>
      </c>
      <c r="CA300" s="348">
        <f t="shared" ca="1" si="329"/>
        <v>0</v>
      </c>
      <c r="CB300" s="348">
        <f t="shared" ca="1" si="329"/>
        <v>0</v>
      </c>
      <c r="CC300" s="348">
        <f t="shared" ca="1" si="329"/>
        <v>0</v>
      </c>
      <c r="CD300" s="348">
        <f t="shared" ca="1" si="329"/>
        <v>0</v>
      </c>
      <c r="CE300" s="348">
        <f t="shared" ca="1" si="329"/>
        <v>0</v>
      </c>
      <c r="CF300" s="348">
        <f t="shared" ca="1" si="329"/>
        <v>0</v>
      </c>
      <c r="CG300" s="348">
        <f t="shared" ca="1" si="329"/>
        <v>0</v>
      </c>
      <c r="CH300" s="348">
        <f t="shared" ca="1" si="329"/>
        <v>0</v>
      </c>
      <c r="CI300" s="348">
        <f t="shared" ca="1" si="329"/>
        <v>0</v>
      </c>
      <c r="CJ300" s="348">
        <f t="shared" ca="1" si="329"/>
        <v>0</v>
      </c>
      <c r="CK300" s="348">
        <f t="shared" ca="1" si="329"/>
        <v>10</v>
      </c>
      <c r="CL300" s="348">
        <f t="shared" ca="1" si="329"/>
        <v>10</v>
      </c>
      <c r="CM300" s="348">
        <f t="shared" ca="1" si="329"/>
        <v>10</v>
      </c>
      <c r="CN300" s="348">
        <f t="shared" ca="1" si="329"/>
        <v>10</v>
      </c>
      <c r="CO300" s="348">
        <f t="shared" ca="1" si="329"/>
        <v>10</v>
      </c>
      <c r="CP300" s="348">
        <f t="shared" ca="1" si="329"/>
        <v>10</v>
      </c>
      <c r="CQ300" s="348">
        <f t="shared" ca="1" si="329"/>
        <v>10</v>
      </c>
      <c r="CR300" s="348">
        <f t="shared" ca="1" si="329"/>
        <v>10</v>
      </c>
      <c r="CS300" s="348">
        <f t="shared" ca="1" si="329"/>
        <v>10</v>
      </c>
      <c r="CT300" s="348">
        <f t="shared" ca="1" si="329"/>
        <v>10</v>
      </c>
      <c r="CU300" s="348">
        <f t="shared" ca="1" si="329"/>
        <v>10</v>
      </c>
      <c r="CV300" s="348">
        <f t="shared" ca="1" si="329"/>
        <v>10</v>
      </c>
      <c r="CW300" s="348">
        <f t="shared" ca="1" si="329"/>
        <v>10</v>
      </c>
      <c r="CX300" s="348">
        <f t="shared" ca="1" si="329"/>
        <v>10</v>
      </c>
      <c r="CY300" s="348">
        <f t="shared" ca="1" si="329"/>
        <v>10</v>
      </c>
      <c r="CZ300" s="348">
        <f t="shared" ca="1" si="329"/>
        <v>10</v>
      </c>
      <c r="DA300" s="348">
        <f t="shared" ca="1" si="329"/>
        <v>10</v>
      </c>
      <c r="DB300" s="348">
        <f t="shared" ca="1" si="329"/>
        <v>10</v>
      </c>
      <c r="DC300" s="348">
        <f t="shared" ca="1" si="329"/>
        <v>10</v>
      </c>
      <c r="DD300" s="348">
        <f t="shared" ca="1" si="329"/>
        <v>10</v>
      </c>
      <c r="DE300" s="348">
        <f t="shared" ca="1" si="329"/>
        <v>10</v>
      </c>
      <c r="DF300" s="348">
        <f t="shared" ca="1" si="329"/>
        <v>10</v>
      </c>
      <c r="DG300" s="348">
        <f t="shared" ca="1" si="329"/>
        <v>10</v>
      </c>
      <c r="DH300" s="348">
        <f t="shared" ca="1" si="329"/>
        <v>10</v>
      </c>
      <c r="DI300" s="348">
        <f t="shared" ca="1" si="329"/>
        <v>10</v>
      </c>
      <c r="DJ300" s="348">
        <f t="shared" ca="1" si="329"/>
        <v>0</v>
      </c>
      <c r="DK300" s="348">
        <f t="shared" ca="1" si="329"/>
        <v>0</v>
      </c>
      <c r="DL300" s="348">
        <f t="shared" ca="1" si="329"/>
        <v>0</v>
      </c>
      <c r="DM300" s="348">
        <f t="shared" ca="1" si="329"/>
        <v>0</v>
      </c>
      <c r="DN300" s="348">
        <f t="shared" ca="1" si="329"/>
        <v>0</v>
      </c>
      <c r="DO300" s="348">
        <f t="shared" ca="1" si="329"/>
        <v>0</v>
      </c>
      <c r="DP300" s="348">
        <f t="shared" ca="1" si="329"/>
        <v>0</v>
      </c>
      <c r="DQ300" s="348">
        <f t="shared" ca="1" si="329"/>
        <v>0</v>
      </c>
      <c r="DR300" s="348">
        <f t="shared" ca="1" si="329"/>
        <v>0</v>
      </c>
      <c r="DS300" s="348">
        <f t="shared" ca="1" si="329"/>
        <v>0</v>
      </c>
      <c r="DT300" s="348">
        <f t="shared" ca="1" si="329"/>
        <v>0</v>
      </c>
      <c r="DU300" s="348">
        <f t="shared" ca="1" si="329"/>
        <v>0</v>
      </c>
      <c r="DV300" s="348">
        <f t="shared" ca="1" si="329"/>
        <v>0</v>
      </c>
      <c r="DW300" s="348">
        <f t="shared" ca="1" si="329"/>
        <v>0</v>
      </c>
      <c r="DX300" s="348">
        <f t="shared" ca="1" si="329"/>
        <v>0</v>
      </c>
      <c r="DY300" s="348">
        <f t="shared" ca="1" si="329"/>
        <v>0</v>
      </c>
      <c r="DZ300" s="348">
        <f t="shared" ca="1" si="329"/>
        <v>0</v>
      </c>
      <c r="EA300" s="348">
        <f t="shared" ca="1" si="329"/>
        <v>0</v>
      </c>
      <c r="EB300" s="348">
        <f t="shared" ca="1" si="329"/>
        <v>0</v>
      </c>
      <c r="EC300" s="348">
        <f t="shared" ca="1" si="329"/>
        <v>0</v>
      </c>
      <c r="ED300" s="348">
        <f t="shared" ca="1" si="329"/>
        <v>0</v>
      </c>
      <c r="EE300" s="348">
        <f t="shared" ca="1" si="329"/>
        <v>0</v>
      </c>
      <c r="EF300" s="348">
        <f t="shared" ca="1" si="329"/>
        <v>0</v>
      </c>
      <c r="EG300" s="348">
        <f t="shared" ref="EG300:GR300" ca="1" si="330">IF(AND(EG260&gt;=$E$301,EG260&lt;$E$302),10,0)</f>
        <v>0</v>
      </c>
      <c r="EH300" s="348">
        <f t="shared" ca="1" si="330"/>
        <v>0</v>
      </c>
      <c r="EI300" s="348">
        <f t="shared" ca="1" si="330"/>
        <v>0</v>
      </c>
      <c r="EJ300" s="348">
        <f t="shared" ca="1" si="330"/>
        <v>0</v>
      </c>
      <c r="EK300" s="348">
        <f t="shared" ca="1" si="330"/>
        <v>0</v>
      </c>
      <c r="EL300" s="348">
        <f t="shared" ca="1" si="330"/>
        <v>0</v>
      </c>
      <c r="EM300" s="348">
        <f t="shared" ca="1" si="330"/>
        <v>0</v>
      </c>
      <c r="EN300" s="348">
        <f t="shared" ca="1" si="330"/>
        <v>0</v>
      </c>
      <c r="EO300" s="348">
        <f t="shared" ca="1" si="330"/>
        <v>0</v>
      </c>
      <c r="EP300" s="348">
        <f t="shared" ca="1" si="330"/>
        <v>0</v>
      </c>
      <c r="EQ300" s="348">
        <f t="shared" ca="1" si="330"/>
        <v>0</v>
      </c>
      <c r="ER300" s="348">
        <f t="shared" ca="1" si="330"/>
        <v>0</v>
      </c>
      <c r="ES300" s="348">
        <f t="shared" ca="1" si="330"/>
        <v>0</v>
      </c>
      <c r="ET300" s="348">
        <f t="shared" ca="1" si="330"/>
        <v>0</v>
      </c>
      <c r="EU300" s="348">
        <f t="shared" ca="1" si="330"/>
        <v>0</v>
      </c>
      <c r="EV300" s="348">
        <f t="shared" ca="1" si="330"/>
        <v>0</v>
      </c>
      <c r="EW300" s="348">
        <f t="shared" ca="1" si="330"/>
        <v>0</v>
      </c>
      <c r="EX300" s="348">
        <f t="shared" ca="1" si="330"/>
        <v>0</v>
      </c>
      <c r="EY300" s="348">
        <f t="shared" ca="1" si="330"/>
        <v>0</v>
      </c>
      <c r="EZ300" s="348">
        <f t="shared" ca="1" si="330"/>
        <v>0</v>
      </c>
      <c r="FA300" s="348">
        <f t="shared" ca="1" si="330"/>
        <v>0</v>
      </c>
      <c r="FB300" s="348">
        <f t="shared" ca="1" si="330"/>
        <v>0</v>
      </c>
      <c r="FC300" s="348">
        <f t="shared" ca="1" si="330"/>
        <v>0</v>
      </c>
      <c r="FD300" s="348">
        <f t="shared" ca="1" si="330"/>
        <v>0</v>
      </c>
      <c r="FE300" s="348">
        <f t="shared" ca="1" si="330"/>
        <v>0</v>
      </c>
      <c r="FF300" s="348">
        <f t="shared" ca="1" si="330"/>
        <v>0</v>
      </c>
      <c r="FG300" s="348">
        <f t="shared" ca="1" si="330"/>
        <v>0</v>
      </c>
      <c r="FH300" s="348">
        <f t="shared" ca="1" si="330"/>
        <v>0</v>
      </c>
      <c r="FI300" s="348">
        <f t="shared" ca="1" si="330"/>
        <v>0</v>
      </c>
      <c r="FJ300" s="348">
        <f t="shared" ca="1" si="330"/>
        <v>0</v>
      </c>
      <c r="FK300" s="348">
        <f t="shared" ca="1" si="330"/>
        <v>0</v>
      </c>
      <c r="FL300" s="348">
        <f t="shared" ca="1" si="330"/>
        <v>0</v>
      </c>
      <c r="FM300" s="348">
        <f t="shared" ca="1" si="330"/>
        <v>0</v>
      </c>
      <c r="FN300" s="348">
        <f t="shared" ca="1" si="330"/>
        <v>0</v>
      </c>
      <c r="FO300" s="348">
        <f t="shared" ca="1" si="330"/>
        <v>0</v>
      </c>
      <c r="FP300" s="348">
        <f t="shared" ca="1" si="330"/>
        <v>0</v>
      </c>
      <c r="FQ300" s="348">
        <f t="shared" ca="1" si="330"/>
        <v>0</v>
      </c>
      <c r="FR300" s="348">
        <f t="shared" ca="1" si="330"/>
        <v>0</v>
      </c>
      <c r="FS300" s="348">
        <f t="shared" ca="1" si="330"/>
        <v>0</v>
      </c>
      <c r="FT300" s="348">
        <f t="shared" ca="1" si="330"/>
        <v>0</v>
      </c>
      <c r="FU300" s="348">
        <f t="shared" ca="1" si="330"/>
        <v>0</v>
      </c>
      <c r="FV300" s="348">
        <f t="shared" ca="1" si="330"/>
        <v>0</v>
      </c>
      <c r="FW300" s="348">
        <f t="shared" ca="1" si="330"/>
        <v>0</v>
      </c>
      <c r="FX300" s="348">
        <f t="shared" ca="1" si="330"/>
        <v>0</v>
      </c>
      <c r="FY300" s="348">
        <f t="shared" ca="1" si="330"/>
        <v>0</v>
      </c>
      <c r="FZ300" s="348">
        <f t="shared" ca="1" si="330"/>
        <v>0</v>
      </c>
      <c r="GA300" s="348">
        <f t="shared" ca="1" si="330"/>
        <v>0</v>
      </c>
      <c r="GB300" s="348">
        <f t="shared" ca="1" si="330"/>
        <v>0</v>
      </c>
      <c r="GC300" s="348">
        <f t="shared" ca="1" si="330"/>
        <v>0</v>
      </c>
      <c r="GD300" s="348">
        <f t="shared" ca="1" si="330"/>
        <v>0</v>
      </c>
      <c r="GE300" s="348">
        <f t="shared" ca="1" si="330"/>
        <v>0</v>
      </c>
      <c r="GF300" s="348">
        <f t="shared" ca="1" si="330"/>
        <v>0</v>
      </c>
      <c r="GG300" s="348">
        <f t="shared" ca="1" si="330"/>
        <v>0</v>
      </c>
      <c r="GH300" s="348">
        <f t="shared" ca="1" si="330"/>
        <v>0</v>
      </c>
      <c r="GI300" s="348">
        <f t="shared" ca="1" si="330"/>
        <v>0</v>
      </c>
      <c r="GJ300" s="348">
        <f t="shared" ca="1" si="330"/>
        <v>0</v>
      </c>
      <c r="GK300" s="348">
        <f t="shared" ca="1" si="330"/>
        <v>0</v>
      </c>
      <c r="GL300" s="348">
        <f t="shared" ca="1" si="330"/>
        <v>0</v>
      </c>
      <c r="GM300" s="348">
        <f t="shared" ca="1" si="330"/>
        <v>0</v>
      </c>
      <c r="GN300" s="348">
        <f t="shared" ca="1" si="330"/>
        <v>0</v>
      </c>
      <c r="GO300" s="348">
        <f t="shared" ca="1" si="330"/>
        <v>0</v>
      </c>
      <c r="GP300" s="348">
        <f t="shared" ca="1" si="330"/>
        <v>0</v>
      </c>
      <c r="GQ300" s="348">
        <f t="shared" ca="1" si="330"/>
        <v>0</v>
      </c>
      <c r="GR300" s="348">
        <f t="shared" ca="1" si="330"/>
        <v>0</v>
      </c>
      <c r="GS300" s="348">
        <f t="shared" ref="GS300:IK300" ca="1" si="331">IF(AND(GS260&gt;=$E$301,GS260&lt;$E$302),10,0)</f>
        <v>0</v>
      </c>
      <c r="GT300" s="348">
        <f t="shared" ca="1" si="331"/>
        <v>0</v>
      </c>
      <c r="GU300" s="348">
        <f t="shared" ca="1" si="331"/>
        <v>0</v>
      </c>
      <c r="GV300" s="348">
        <f t="shared" ca="1" si="331"/>
        <v>0</v>
      </c>
      <c r="GW300" s="348">
        <f t="shared" ca="1" si="331"/>
        <v>0</v>
      </c>
      <c r="GX300" s="348">
        <f t="shared" ca="1" si="331"/>
        <v>0</v>
      </c>
      <c r="GY300" s="348">
        <f t="shared" ca="1" si="331"/>
        <v>0</v>
      </c>
      <c r="GZ300" s="348">
        <f t="shared" ca="1" si="331"/>
        <v>0</v>
      </c>
      <c r="HA300" s="348">
        <f t="shared" ca="1" si="331"/>
        <v>0</v>
      </c>
      <c r="HB300" s="348">
        <f t="shared" ca="1" si="331"/>
        <v>0</v>
      </c>
      <c r="HC300" s="348">
        <f t="shared" ca="1" si="331"/>
        <v>0</v>
      </c>
      <c r="HD300" s="348">
        <f t="shared" ca="1" si="331"/>
        <v>0</v>
      </c>
      <c r="HE300" s="348">
        <f t="shared" ca="1" si="331"/>
        <v>0</v>
      </c>
      <c r="HF300" s="348">
        <f t="shared" ca="1" si="331"/>
        <v>0</v>
      </c>
      <c r="HG300" s="348">
        <f t="shared" ca="1" si="331"/>
        <v>0</v>
      </c>
      <c r="HH300" s="348">
        <f t="shared" ca="1" si="331"/>
        <v>0</v>
      </c>
      <c r="HI300" s="348">
        <f t="shared" ca="1" si="331"/>
        <v>0</v>
      </c>
      <c r="HJ300" s="348">
        <f t="shared" ca="1" si="331"/>
        <v>0</v>
      </c>
      <c r="HK300" s="348">
        <f t="shared" ca="1" si="331"/>
        <v>0</v>
      </c>
      <c r="HL300" s="348">
        <f t="shared" ca="1" si="331"/>
        <v>0</v>
      </c>
      <c r="HM300" s="348">
        <f t="shared" ca="1" si="331"/>
        <v>0</v>
      </c>
      <c r="HN300" s="348">
        <f t="shared" ca="1" si="331"/>
        <v>0</v>
      </c>
      <c r="HO300" s="348">
        <f t="shared" ca="1" si="331"/>
        <v>0</v>
      </c>
      <c r="HP300" s="348">
        <f t="shared" ca="1" si="331"/>
        <v>0</v>
      </c>
      <c r="HQ300" s="348">
        <f t="shared" ca="1" si="331"/>
        <v>0</v>
      </c>
      <c r="HR300" s="348">
        <f t="shared" ca="1" si="331"/>
        <v>0</v>
      </c>
      <c r="HS300" s="348">
        <f t="shared" ca="1" si="331"/>
        <v>0</v>
      </c>
      <c r="HT300" s="348">
        <f t="shared" ca="1" si="331"/>
        <v>0</v>
      </c>
      <c r="HU300" s="348">
        <f t="shared" ca="1" si="331"/>
        <v>0</v>
      </c>
      <c r="HV300" s="348">
        <f t="shared" ca="1" si="331"/>
        <v>0</v>
      </c>
      <c r="HW300" s="348">
        <f t="shared" ca="1" si="331"/>
        <v>0</v>
      </c>
      <c r="HX300" s="348">
        <f t="shared" ca="1" si="331"/>
        <v>0</v>
      </c>
      <c r="HY300" s="348">
        <f t="shared" ca="1" si="331"/>
        <v>0</v>
      </c>
      <c r="HZ300" s="348">
        <f t="shared" ca="1" si="331"/>
        <v>0</v>
      </c>
      <c r="IA300" s="348">
        <f t="shared" ca="1" si="331"/>
        <v>0</v>
      </c>
      <c r="IB300" s="348">
        <f t="shared" ca="1" si="331"/>
        <v>0</v>
      </c>
      <c r="IC300" s="348">
        <f t="shared" ca="1" si="331"/>
        <v>0</v>
      </c>
      <c r="ID300" s="348">
        <f t="shared" ca="1" si="331"/>
        <v>0</v>
      </c>
      <c r="IE300" s="348">
        <f t="shared" ca="1" si="331"/>
        <v>0</v>
      </c>
      <c r="IF300" s="348">
        <f t="shared" ca="1" si="331"/>
        <v>0</v>
      </c>
      <c r="IG300" s="348">
        <f t="shared" ca="1" si="331"/>
        <v>0</v>
      </c>
      <c r="IH300" s="348">
        <f t="shared" ca="1" si="331"/>
        <v>0</v>
      </c>
      <c r="II300" s="348">
        <f t="shared" ca="1" si="331"/>
        <v>0</v>
      </c>
      <c r="IJ300" s="348">
        <f t="shared" ca="1" si="331"/>
        <v>0</v>
      </c>
      <c r="IK300" s="348">
        <f t="shared" ca="1" si="331"/>
        <v>0</v>
      </c>
    </row>
    <row r="301" spans="1:245" hidden="1" x14ac:dyDescent="0.35">
      <c r="A301" s="195"/>
      <c r="B301" s="5"/>
      <c r="C301" s="630" t="s">
        <v>1574</v>
      </c>
      <c r="D301" s="467">
        <f ca="1">IF(ENTRADAS!$F$22=0,0,D298+1)</f>
        <v>45994.75</v>
      </c>
      <c r="E301" s="32">
        <f ca="1">1+(D295-1)*D300+0</f>
        <v>76.75</v>
      </c>
    </row>
    <row r="302" spans="1:245" hidden="1" x14ac:dyDescent="0.35">
      <c r="A302" s="195"/>
      <c r="B302" s="5"/>
      <c r="C302" s="630" t="s">
        <v>1575</v>
      </c>
      <c r="D302" s="467">
        <f ca="1">IF(ENTRADAS!$F$22=0,0,IF($J$3=0,0,E275+F275-1))</f>
        <v>46019</v>
      </c>
      <c r="E302" s="32">
        <f ca="1">E301+D300</f>
        <v>102</v>
      </c>
    </row>
    <row r="303" spans="1:245" hidden="1" x14ac:dyDescent="0.35">
      <c r="A303" s="195"/>
      <c r="B303" s="5"/>
      <c r="C303" s="750" t="s">
        <v>1576</v>
      </c>
      <c r="D303" s="32"/>
      <c r="E303" s="32">
        <f ca="1">IF(D295&lt;=D296,LAJES!$H$486/D296,0)</f>
        <v>0</v>
      </c>
      <c r="G303" s="32">
        <f ca="1">IF(E235&gt;E224,E235,IF(E224&gt;E235,E224,0))</f>
        <v>0</v>
      </c>
    </row>
    <row r="304" spans="1:245" hidden="1" x14ac:dyDescent="0.35">
      <c r="A304" s="195"/>
      <c r="B304" s="5"/>
      <c r="C304" s="630" t="s">
        <v>1577</v>
      </c>
      <c r="D304" s="483">
        <f>IF(ENTRADAS!$E$1038=0,0,IF(D296=0,0,IF(D295=D296,IF(G303&gt;D295*D300,0,E303),IF(E299+(D295*E303)&gt;(D295+1)*D300,(D295+1)*D300-E299,((D295-1)*E303)))))</f>
        <v>0</v>
      </c>
      <c r="E304" s="32"/>
      <c r="H304" s="348">
        <f>IF($D$306&gt;0,IF(AND(H260&gt;=$E$306,H260&lt;$E$308),10,0),IF($D$307&gt;0,IF(AND(H260&gt;=$E$307,H260&lt;$E$308),10),0))</f>
        <v>0</v>
      </c>
      <c r="I304" s="348">
        <f t="shared" ref="I304:BT304" si="332">IF($D$306&gt;0,IF(AND(I260&gt;=$E$306,I260&lt;$E$308),10,0),IF($D$307&gt;0,IF(AND(I260&gt;=$E$307,I260&lt;$E$308),10),0))</f>
        <v>0</v>
      </c>
      <c r="J304" s="348">
        <f t="shared" si="332"/>
        <v>0</v>
      </c>
      <c r="K304" s="348">
        <f t="shared" si="332"/>
        <v>0</v>
      </c>
      <c r="L304" s="348">
        <f t="shared" si="332"/>
        <v>0</v>
      </c>
      <c r="M304" s="348">
        <f t="shared" si="332"/>
        <v>0</v>
      </c>
      <c r="N304" s="348">
        <f t="shared" si="332"/>
        <v>0</v>
      </c>
      <c r="O304" s="348">
        <f t="shared" si="332"/>
        <v>0</v>
      </c>
      <c r="P304" s="348">
        <f t="shared" si="332"/>
        <v>0</v>
      </c>
      <c r="Q304" s="348">
        <f t="shared" si="332"/>
        <v>0</v>
      </c>
      <c r="R304" s="348">
        <f t="shared" si="332"/>
        <v>0</v>
      </c>
      <c r="S304" s="348">
        <f t="shared" si="332"/>
        <v>0</v>
      </c>
      <c r="T304" s="348">
        <f t="shared" si="332"/>
        <v>0</v>
      </c>
      <c r="U304" s="348">
        <f t="shared" si="332"/>
        <v>0</v>
      </c>
      <c r="V304" s="348">
        <f t="shared" si="332"/>
        <v>0</v>
      </c>
      <c r="W304" s="348">
        <f t="shared" si="332"/>
        <v>0</v>
      </c>
      <c r="X304" s="348">
        <f t="shared" si="332"/>
        <v>0</v>
      </c>
      <c r="Y304" s="348">
        <f t="shared" si="332"/>
        <v>0</v>
      </c>
      <c r="Z304" s="348">
        <f t="shared" si="332"/>
        <v>0</v>
      </c>
      <c r="AA304" s="348">
        <f t="shared" si="332"/>
        <v>0</v>
      </c>
      <c r="AB304" s="348">
        <f t="shared" si="332"/>
        <v>0</v>
      </c>
      <c r="AC304" s="348">
        <f t="shared" si="332"/>
        <v>0</v>
      </c>
      <c r="AD304" s="348">
        <f t="shared" si="332"/>
        <v>0</v>
      </c>
      <c r="AE304" s="348">
        <f t="shared" si="332"/>
        <v>0</v>
      </c>
      <c r="AF304" s="348">
        <f t="shared" si="332"/>
        <v>0</v>
      </c>
      <c r="AG304" s="348">
        <f t="shared" si="332"/>
        <v>0</v>
      </c>
      <c r="AH304" s="348">
        <f t="shared" si="332"/>
        <v>0</v>
      </c>
      <c r="AI304" s="348">
        <f t="shared" si="332"/>
        <v>0</v>
      </c>
      <c r="AJ304" s="348">
        <f t="shared" si="332"/>
        <v>0</v>
      </c>
      <c r="AK304" s="348">
        <f t="shared" si="332"/>
        <v>0</v>
      </c>
      <c r="AL304" s="348">
        <f t="shared" si="332"/>
        <v>0</v>
      </c>
      <c r="AM304" s="348">
        <f t="shared" si="332"/>
        <v>0</v>
      </c>
      <c r="AN304" s="348">
        <f t="shared" si="332"/>
        <v>0</v>
      </c>
      <c r="AO304" s="348">
        <f t="shared" si="332"/>
        <v>0</v>
      </c>
      <c r="AP304" s="348">
        <f t="shared" si="332"/>
        <v>0</v>
      </c>
      <c r="AQ304" s="348">
        <f t="shared" si="332"/>
        <v>0</v>
      </c>
      <c r="AR304" s="348">
        <f t="shared" si="332"/>
        <v>0</v>
      </c>
      <c r="AS304" s="348">
        <f t="shared" si="332"/>
        <v>0</v>
      </c>
      <c r="AT304" s="348">
        <f t="shared" si="332"/>
        <v>0</v>
      </c>
      <c r="AU304" s="348">
        <f t="shared" si="332"/>
        <v>0</v>
      </c>
      <c r="AV304" s="348">
        <f t="shared" si="332"/>
        <v>0</v>
      </c>
      <c r="AW304" s="348">
        <f t="shared" si="332"/>
        <v>0</v>
      </c>
      <c r="AX304" s="348">
        <f t="shared" si="332"/>
        <v>0</v>
      </c>
      <c r="AY304" s="348">
        <f t="shared" si="332"/>
        <v>0</v>
      </c>
      <c r="AZ304" s="348">
        <f t="shared" si="332"/>
        <v>0</v>
      </c>
      <c r="BA304" s="348">
        <f t="shared" si="332"/>
        <v>0</v>
      </c>
      <c r="BB304" s="348">
        <f t="shared" si="332"/>
        <v>0</v>
      </c>
      <c r="BC304" s="348">
        <f t="shared" si="332"/>
        <v>0</v>
      </c>
      <c r="BD304" s="348">
        <f t="shared" si="332"/>
        <v>0</v>
      </c>
      <c r="BE304" s="348">
        <f t="shared" si="332"/>
        <v>0</v>
      </c>
      <c r="BF304" s="348">
        <f t="shared" si="332"/>
        <v>0</v>
      </c>
      <c r="BG304" s="348">
        <f t="shared" si="332"/>
        <v>0</v>
      </c>
      <c r="BH304" s="348">
        <f t="shared" si="332"/>
        <v>0</v>
      </c>
      <c r="BI304" s="348">
        <f t="shared" si="332"/>
        <v>0</v>
      </c>
      <c r="BJ304" s="348">
        <f t="shared" si="332"/>
        <v>0</v>
      </c>
      <c r="BK304" s="348">
        <f t="shared" si="332"/>
        <v>0</v>
      </c>
      <c r="BL304" s="348">
        <f t="shared" si="332"/>
        <v>0</v>
      </c>
      <c r="BM304" s="348">
        <f t="shared" si="332"/>
        <v>0</v>
      </c>
      <c r="BN304" s="348">
        <f t="shared" si="332"/>
        <v>0</v>
      </c>
      <c r="BO304" s="348">
        <f t="shared" si="332"/>
        <v>0</v>
      </c>
      <c r="BP304" s="348">
        <f t="shared" si="332"/>
        <v>0</v>
      </c>
      <c r="BQ304" s="348">
        <f t="shared" si="332"/>
        <v>0</v>
      </c>
      <c r="BR304" s="348">
        <f t="shared" si="332"/>
        <v>0</v>
      </c>
      <c r="BS304" s="348">
        <f t="shared" si="332"/>
        <v>0</v>
      </c>
      <c r="BT304" s="348">
        <f t="shared" si="332"/>
        <v>0</v>
      </c>
      <c r="BU304" s="348">
        <f t="shared" ref="BU304:EF304" si="333">IF($D$306&gt;0,IF(AND(BU260&gt;=$E$306,BU260&lt;$E$308),10,0),IF($D$307&gt;0,IF(AND(BU260&gt;=$E$307,BU260&lt;$E$308),10),0))</f>
        <v>0</v>
      </c>
      <c r="BV304" s="348">
        <f t="shared" si="333"/>
        <v>0</v>
      </c>
      <c r="BW304" s="348">
        <f t="shared" si="333"/>
        <v>0</v>
      </c>
      <c r="BX304" s="348">
        <f t="shared" si="333"/>
        <v>0</v>
      </c>
      <c r="BY304" s="348">
        <f t="shared" si="333"/>
        <v>0</v>
      </c>
      <c r="BZ304" s="348">
        <f t="shared" si="333"/>
        <v>0</v>
      </c>
      <c r="CA304" s="348">
        <f t="shared" si="333"/>
        <v>0</v>
      </c>
      <c r="CB304" s="348">
        <f t="shared" si="333"/>
        <v>0</v>
      </c>
      <c r="CC304" s="348">
        <f t="shared" si="333"/>
        <v>0</v>
      </c>
      <c r="CD304" s="348">
        <f t="shared" si="333"/>
        <v>0</v>
      </c>
      <c r="CE304" s="348">
        <f t="shared" si="333"/>
        <v>0</v>
      </c>
      <c r="CF304" s="348">
        <f t="shared" si="333"/>
        <v>0</v>
      </c>
      <c r="CG304" s="348">
        <f t="shared" si="333"/>
        <v>0</v>
      </c>
      <c r="CH304" s="348">
        <f t="shared" si="333"/>
        <v>0</v>
      </c>
      <c r="CI304" s="348">
        <f t="shared" si="333"/>
        <v>0</v>
      </c>
      <c r="CJ304" s="348">
        <f t="shared" si="333"/>
        <v>0</v>
      </c>
      <c r="CK304" s="348">
        <f t="shared" si="333"/>
        <v>0</v>
      </c>
      <c r="CL304" s="348">
        <f t="shared" si="333"/>
        <v>0</v>
      </c>
      <c r="CM304" s="348">
        <f t="shared" si="333"/>
        <v>0</v>
      </c>
      <c r="CN304" s="348">
        <f t="shared" si="333"/>
        <v>0</v>
      </c>
      <c r="CO304" s="348">
        <f t="shared" si="333"/>
        <v>0</v>
      </c>
      <c r="CP304" s="348">
        <f t="shared" si="333"/>
        <v>0</v>
      </c>
      <c r="CQ304" s="348">
        <f t="shared" si="333"/>
        <v>0</v>
      </c>
      <c r="CR304" s="348">
        <f t="shared" si="333"/>
        <v>0</v>
      </c>
      <c r="CS304" s="348">
        <f t="shared" si="333"/>
        <v>0</v>
      </c>
      <c r="CT304" s="348">
        <f t="shared" si="333"/>
        <v>0</v>
      </c>
      <c r="CU304" s="348">
        <f t="shared" si="333"/>
        <v>0</v>
      </c>
      <c r="CV304" s="348">
        <f t="shared" si="333"/>
        <v>0</v>
      </c>
      <c r="CW304" s="348">
        <f t="shared" si="333"/>
        <v>0</v>
      </c>
      <c r="CX304" s="348">
        <f t="shared" si="333"/>
        <v>0</v>
      </c>
      <c r="CY304" s="348">
        <f t="shared" si="333"/>
        <v>0</v>
      </c>
      <c r="CZ304" s="348">
        <f t="shared" si="333"/>
        <v>0</v>
      </c>
      <c r="DA304" s="348">
        <f t="shared" si="333"/>
        <v>0</v>
      </c>
      <c r="DB304" s="348">
        <f t="shared" si="333"/>
        <v>0</v>
      </c>
      <c r="DC304" s="348">
        <f t="shared" si="333"/>
        <v>0</v>
      </c>
      <c r="DD304" s="348">
        <f t="shared" si="333"/>
        <v>0</v>
      </c>
      <c r="DE304" s="348">
        <f t="shared" si="333"/>
        <v>0</v>
      </c>
      <c r="DF304" s="348">
        <f t="shared" si="333"/>
        <v>0</v>
      </c>
      <c r="DG304" s="348">
        <f t="shared" si="333"/>
        <v>0</v>
      </c>
      <c r="DH304" s="348">
        <f t="shared" si="333"/>
        <v>0</v>
      </c>
      <c r="DI304" s="348">
        <f t="shared" si="333"/>
        <v>0</v>
      </c>
      <c r="DJ304" s="348">
        <f t="shared" si="333"/>
        <v>0</v>
      </c>
      <c r="DK304" s="348">
        <f t="shared" si="333"/>
        <v>0</v>
      </c>
      <c r="DL304" s="348">
        <f t="shared" si="333"/>
        <v>0</v>
      </c>
      <c r="DM304" s="348">
        <f t="shared" si="333"/>
        <v>0</v>
      </c>
      <c r="DN304" s="348">
        <f t="shared" si="333"/>
        <v>0</v>
      </c>
      <c r="DO304" s="348">
        <f t="shared" si="333"/>
        <v>0</v>
      </c>
      <c r="DP304" s="348">
        <f t="shared" si="333"/>
        <v>0</v>
      </c>
      <c r="DQ304" s="348">
        <f t="shared" si="333"/>
        <v>0</v>
      </c>
      <c r="DR304" s="348">
        <f t="shared" si="333"/>
        <v>0</v>
      </c>
      <c r="DS304" s="348">
        <f t="shared" si="333"/>
        <v>0</v>
      </c>
      <c r="DT304" s="348">
        <f t="shared" si="333"/>
        <v>0</v>
      </c>
      <c r="DU304" s="348">
        <f t="shared" si="333"/>
        <v>0</v>
      </c>
      <c r="DV304" s="348">
        <f t="shared" si="333"/>
        <v>0</v>
      </c>
      <c r="DW304" s="348">
        <f t="shared" si="333"/>
        <v>0</v>
      </c>
      <c r="DX304" s="348">
        <f t="shared" si="333"/>
        <v>0</v>
      </c>
      <c r="DY304" s="348">
        <f t="shared" si="333"/>
        <v>0</v>
      </c>
      <c r="DZ304" s="348">
        <f t="shared" si="333"/>
        <v>0</v>
      </c>
      <c r="EA304" s="348">
        <f t="shared" si="333"/>
        <v>0</v>
      </c>
      <c r="EB304" s="348">
        <f t="shared" si="333"/>
        <v>0</v>
      </c>
      <c r="EC304" s="348">
        <f t="shared" si="333"/>
        <v>0</v>
      </c>
      <c r="ED304" s="348">
        <f t="shared" si="333"/>
        <v>0</v>
      </c>
      <c r="EE304" s="348">
        <f t="shared" si="333"/>
        <v>0</v>
      </c>
      <c r="EF304" s="348">
        <f t="shared" si="333"/>
        <v>0</v>
      </c>
      <c r="EG304" s="348">
        <f t="shared" ref="EG304:GR304" si="334">IF($D$306&gt;0,IF(AND(EG260&gt;=$E$306,EG260&lt;$E$308),10,0),IF($D$307&gt;0,IF(AND(EG260&gt;=$E$307,EG260&lt;$E$308),10),0))</f>
        <v>0</v>
      </c>
      <c r="EH304" s="348">
        <f t="shared" si="334"/>
        <v>0</v>
      </c>
      <c r="EI304" s="348">
        <f t="shared" si="334"/>
        <v>0</v>
      </c>
      <c r="EJ304" s="348">
        <f t="shared" si="334"/>
        <v>0</v>
      </c>
      <c r="EK304" s="348">
        <f t="shared" si="334"/>
        <v>0</v>
      </c>
      <c r="EL304" s="348">
        <f t="shared" si="334"/>
        <v>0</v>
      </c>
      <c r="EM304" s="348">
        <f t="shared" si="334"/>
        <v>0</v>
      </c>
      <c r="EN304" s="348">
        <f t="shared" si="334"/>
        <v>0</v>
      </c>
      <c r="EO304" s="348">
        <f t="shared" si="334"/>
        <v>0</v>
      </c>
      <c r="EP304" s="348">
        <f t="shared" si="334"/>
        <v>0</v>
      </c>
      <c r="EQ304" s="348">
        <f t="shared" si="334"/>
        <v>0</v>
      </c>
      <c r="ER304" s="348">
        <f t="shared" si="334"/>
        <v>0</v>
      </c>
      <c r="ES304" s="348">
        <f t="shared" si="334"/>
        <v>0</v>
      </c>
      <c r="ET304" s="348">
        <f t="shared" si="334"/>
        <v>0</v>
      </c>
      <c r="EU304" s="348">
        <f t="shared" si="334"/>
        <v>0</v>
      </c>
      <c r="EV304" s="348">
        <f t="shared" si="334"/>
        <v>0</v>
      </c>
      <c r="EW304" s="348">
        <f t="shared" si="334"/>
        <v>0</v>
      </c>
      <c r="EX304" s="348">
        <f t="shared" si="334"/>
        <v>0</v>
      </c>
      <c r="EY304" s="348">
        <f t="shared" si="334"/>
        <v>0</v>
      </c>
      <c r="EZ304" s="348">
        <f t="shared" si="334"/>
        <v>0</v>
      </c>
      <c r="FA304" s="348">
        <f t="shared" si="334"/>
        <v>0</v>
      </c>
      <c r="FB304" s="348">
        <f t="shared" si="334"/>
        <v>0</v>
      </c>
      <c r="FC304" s="348">
        <f t="shared" si="334"/>
        <v>0</v>
      </c>
      <c r="FD304" s="348">
        <f t="shared" si="334"/>
        <v>0</v>
      </c>
      <c r="FE304" s="348">
        <f t="shared" si="334"/>
        <v>0</v>
      </c>
      <c r="FF304" s="348">
        <f t="shared" si="334"/>
        <v>0</v>
      </c>
      <c r="FG304" s="348">
        <f t="shared" si="334"/>
        <v>0</v>
      </c>
      <c r="FH304" s="348">
        <f t="shared" si="334"/>
        <v>0</v>
      </c>
      <c r="FI304" s="348">
        <f t="shared" si="334"/>
        <v>0</v>
      </c>
      <c r="FJ304" s="348">
        <f t="shared" si="334"/>
        <v>0</v>
      </c>
      <c r="FK304" s="348">
        <f t="shared" si="334"/>
        <v>0</v>
      </c>
      <c r="FL304" s="348">
        <f t="shared" si="334"/>
        <v>0</v>
      </c>
      <c r="FM304" s="348">
        <f t="shared" si="334"/>
        <v>0</v>
      </c>
      <c r="FN304" s="348">
        <f t="shared" si="334"/>
        <v>0</v>
      </c>
      <c r="FO304" s="348">
        <f t="shared" si="334"/>
        <v>0</v>
      </c>
      <c r="FP304" s="348">
        <f t="shared" si="334"/>
        <v>0</v>
      </c>
      <c r="FQ304" s="348">
        <f t="shared" si="334"/>
        <v>0</v>
      </c>
      <c r="FR304" s="348">
        <f t="shared" si="334"/>
        <v>0</v>
      </c>
      <c r="FS304" s="348">
        <f t="shared" si="334"/>
        <v>0</v>
      </c>
      <c r="FT304" s="348">
        <f t="shared" si="334"/>
        <v>0</v>
      </c>
      <c r="FU304" s="348">
        <f t="shared" si="334"/>
        <v>0</v>
      </c>
      <c r="FV304" s="348">
        <f t="shared" si="334"/>
        <v>0</v>
      </c>
      <c r="FW304" s="348">
        <f t="shared" si="334"/>
        <v>0</v>
      </c>
      <c r="FX304" s="348">
        <f t="shared" si="334"/>
        <v>0</v>
      </c>
      <c r="FY304" s="348">
        <f t="shared" si="334"/>
        <v>0</v>
      </c>
      <c r="FZ304" s="348">
        <f t="shared" si="334"/>
        <v>0</v>
      </c>
      <c r="GA304" s="348">
        <f t="shared" si="334"/>
        <v>0</v>
      </c>
      <c r="GB304" s="348">
        <f t="shared" si="334"/>
        <v>0</v>
      </c>
      <c r="GC304" s="348">
        <f t="shared" si="334"/>
        <v>0</v>
      </c>
      <c r="GD304" s="348">
        <f t="shared" si="334"/>
        <v>0</v>
      </c>
      <c r="GE304" s="348">
        <f t="shared" si="334"/>
        <v>0</v>
      </c>
      <c r="GF304" s="348">
        <f t="shared" si="334"/>
        <v>0</v>
      </c>
      <c r="GG304" s="348">
        <f t="shared" si="334"/>
        <v>0</v>
      </c>
      <c r="GH304" s="348">
        <f t="shared" si="334"/>
        <v>0</v>
      </c>
      <c r="GI304" s="348">
        <f t="shared" si="334"/>
        <v>0</v>
      </c>
      <c r="GJ304" s="348">
        <f t="shared" si="334"/>
        <v>0</v>
      </c>
      <c r="GK304" s="348">
        <f t="shared" si="334"/>
        <v>0</v>
      </c>
      <c r="GL304" s="348">
        <f t="shared" si="334"/>
        <v>0</v>
      </c>
      <c r="GM304" s="348">
        <f t="shared" si="334"/>
        <v>0</v>
      </c>
      <c r="GN304" s="348">
        <f t="shared" si="334"/>
        <v>0</v>
      </c>
      <c r="GO304" s="348">
        <f t="shared" si="334"/>
        <v>0</v>
      </c>
      <c r="GP304" s="348">
        <f t="shared" si="334"/>
        <v>0</v>
      </c>
      <c r="GQ304" s="348">
        <f t="shared" si="334"/>
        <v>0</v>
      </c>
      <c r="GR304" s="348">
        <f t="shared" si="334"/>
        <v>0</v>
      </c>
      <c r="GS304" s="348">
        <f t="shared" ref="GS304:IK304" si="335">IF($D$306&gt;0,IF(AND(GS260&gt;=$E$306,GS260&lt;$E$308),10,0),IF($D$307&gt;0,IF(AND(GS260&gt;=$E$307,GS260&lt;$E$308),10),0))</f>
        <v>0</v>
      </c>
      <c r="GT304" s="348">
        <f t="shared" si="335"/>
        <v>0</v>
      </c>
      <c r="GU304" s="348">
        <f t="shared" si="335"/>
        <v>0</v>
      </c>
      <c r="GV304" s="348">
        <f t="shared" si="335"/>
        <v>0</v>
      </c>
      <c r="GW304" s="348">
        <f t="shared" si="335"/>
        <v>0</v>
      </c>
      <c r="GX304" s="348">
        <f t="shared" si="335"/>
        <v>0</v>
      </c>
      <c r="GY304" s="348">
        <f t="shared" si="335"/>
        <v>0</v>
      </c>
      <c r="GZ304" s="348">
        <f t="shared" si="335"/>
        <v>0</v>
      </c>
      <c r="HA304" s="348">
        <f t="shared" si="335"/>
        <v>0</v>
      </c>
      <c r="HB304" s="348">
        <f t="shared" si="335"/>
        <v>0</v>
      </c>
      <c r="HC304" s="348">
        <f t="shared" si="335"/>
        <v>0</v>
      </c>
      <c r="HD304" s="348">
        <f t="shared" si="335"/>
        <v>0</v>
      </c>
      <c r="HE304" s="348">
        <f t="shared" si="335"/>
        <v>0</v>
      </c>
      <c r="HF304" s="348">
        <f t="shared" si="335"/>
        <v>0</v>
      </c>
      <c r="HG304" s="348">
        <f t="shared" si="335"/>
        <v>0</v>
      </c>
      <c r="HH304" s="348">
        <f t="shared" si="335"/>
        <v>0</v>
      </c>
      <c r="HI304" s="348">
        <f t="shared" si="335"/>
        <v>0</v>
      </c>
      <c r="HJ304" s="348">
        <f t="shared" si="335"/>
        <v>0</v>
      </c>
      <c r="HK304" s="348">
        <f t="shared" si="335"/>
        <v>0</v>
      </c>
      <c r="HL304" s="348">
        <f t="shared" si="335"/>
        <v>0</v>
      </c>
      <c r="HM304" s="348">
        <f t="shared" si="335"/>
        <v>0</v>
      </c>
      <c r="HN304" s="348">
        <f t="shared" si="335"/>
        <v>0</v>
      </c>
      <c r="HO304" s="348">
        <f t="shared" si="335"/>
        <v>0</v>
      </c>
      <c r="HP304" s="348">
        <f t="shared" si="335"/>
        <v>0</v>
      </c>
      <c r="HQ304" s="348">
        <f t="shared" si="335"/>
        <v>0</v>
      </c>
      <c r="HR304" s="348">
        <f t="shared" si="335"/>
        <v>0</v>
      </c>
      <c r="HS304" s="348">
        <f t="shared" si="335"/>
        <v>0</v>
      </c>
      <c r="HT304" s="348">
        <f t="shared" si="335"/>
        <v>0</v>
      </c>
      <c r="HU304" s="348">
        <f t="shared" si="335"/>
        <v>0</v>
      </c>
      <c r="HV304" s="348">
        <f t="shared" si="335"/>
        <v>0</v>
      </c>
      <c r="HW304" s="348">
        <f t="shared" si="335"/>
        <v>0</v>
      </c>
      <c r="HX304" s="348">
        <f t="shared" si="335"/>
        <v>0</v>
      </c>
      <c r="HY304" s="348">
        <f t="shared" si="335"/>
        <v>0</v>
      </c>
      <c r="HZ304" s="348">
        <f t="shared" si="335"/>
        <v>0</v>
      </c>
      <c r="IA304" s="348">
        <f t="shared" si="335"/>
        <v>0</v>
      </c>
      <c r="IB304" s="348">
        <f t="shared" si="335"/>
        <v>0</v>
      </c>
      <c r="IC304" s="348">
        <f t="shared" si="335"/>
        <v>0</v>
      </c>
      <c r="ID304" s="348">
        <f t="shared" si="335"/>
        <v>0</v>
      </c>
      <c r="IE304" s="348">
        <f t="shared" si="335"/>
        <v>0</v>
      </c>
      <c r="IF304" s="348">
        <f t="shared" si="335"/>
        <v>0</v>
      </c>
      <c r="IG304" s="348">
        <f t="shared" si="335"/>
        <v>0</v>
      </c>
      <c r="IH304" s="348">
        <f t="shared" si="335"/>
        <v>0</v>
      </c>
      <c r="II304" s="348">
        <f t="shared" si="335"/>
        <v>0</v>
      </c>
      <c r="IJ304" s="348">
        <f t="shared" si="335"/>
        <v>0</v>
      </c>
      <c r="IK304" s="348">
        <f t="shared" si="335"/>
        <v>0</v>
      </c>
    </row>
    <row r="305" spans="1:245" hidden="1" x14ac:dyDescent="0.35">
      <c r="A305" s="195"/>
      <c r="B305" s="5"/>
      <c r="C305" s="630"/>
      <c r="D305" s="468"/>
      <c r="E305" s="32"/>
      <c r="G305" s="476">
        <f ca="1">LARGE(G251:G253,1)</f>
        <v>0</v>
      </c>
    </row>
    <row r="306" spans="1:245" hidden="1" x14ac:dyDescent="0.35">
      <c r="A306" s="195"/>
      <c r="B306" s="5"/>
      <c r="C306" s="630" t="s">
        <v>1578</v>
      </c>
      <c r="D306" s="467">
        <f>IF(D296&lt;D295,0,IF(ENTRADAS!$E$1038=0,0,IF(D304=0,0,IF(D296=D295,IF(D302-G305&gt;0,D302-(E302-G306)+3,0),IF(D296&gt;D295,G305+1,0)))))</f>
        <v>0</v>
      </c>
      <c r="E306" s="32">
        <f>IF(D306&gt;0,D306-D301+E301,IF(D307&gt;0,D307-D301+E301,0))</f>
        <v>0</v>
      </c>
      <c r="G306" s="477">
        <f ca="1">G305-$J$3</f>
        <v>-45919</v>
      </c>
    </row>
    <row r="307" spans="1:245" hidden="1" x14ac:dyDescent="0.35">
      <c r="A307" s="195"/>
      <c r="B307" s="5"/>
      <c r="C307" s="630" t="s">
        <v>1579</v>
      </c>
      <c r="D307" s="467">
        <f>IF(ENTRADAS!$F$22=0,0,IF(ENTRADAS!$E$1038=0,0,IF(D300-D304&lt;0,$J$3+D300,0)))</f>
        <v>0</v>
      </c>
      <c r="E307" s="32"/>
    </row>
    <row r="308" spans="1:245" hidden="1" x14ac:dyDescent="0.35">
      <c r="A308" s="195"/>
      <c r="B308" s="5"/>
      <c r="C308" s="630" t="s">
        <v>1580</v>
      </c>
      <c r="D308" s="467">
        <f ca="1">IF(E308=0,0,E308+D297-2)</f>
        <v>0</v>
      </c>
      <c r="E308" s="81">
        <f ca="1">IF(E303*D295+$G$77&lt;D301,E303*D295+$G$77-D297+1,IF(G311=FALSE,D309,G311))</f>
        <v>0</v>
      </c>
      <c r="G308" s="471">
        <f>IF(D296&lt;D295,0,IF(ENTRADAS!$E$1038=0,0,IF(D296=D295+1,IF((D295+1)*D300&gt;E306+LAJES!$H$486/D296,D306+LAJES!$H$486/D296+1,0),0)))</f>
        <v>0</v>
      </c>
    </row>
    <row r="309" spans="1:245" hidden="1" x14ac:dyDescent="0.35">
      <c r="A309" s="195"/>
      <c r="B309" s="5"/>
      <c r="D309" s="32">
        <f>LARGE(D310:E310,1)</f>
        <v>0</v>
      </c>
      <c r="E309" s="32">
        <f ca="1">IF(G310=FALSE,0,G310)</f>
        <v>0</v>
      </c>
      <c r="G309" s="471">
        <f>IF(D296=0,0,IF(ENTRADAS!$E$1038=0,0,IF(ENTRADAS!$F$22&gt;D295+1,D306+LAJES!$H$486/D296+1,0)))</f>
        <v>0</v>
      </c>
    </row>
    <row r="310" spans="1:245" ht="12.75" hidden="1" customHeight="1" x14ac:dyDescent="0.35">
      <c r="A310" s="195"/>
      <c r="B310" s="5"/>
      <c r="D310" s="32">
        <f>IF(D295=D296,IF(E306=0,0,IF(D295*E303+$G$77-D297&gt;=D295*D300,D295*D300+1,(E303*(D295-1))+E306)),0)</f>
        <v>0</v>
      </c>
      <c r="E310" s="32">
        <f>IF(D295+1=D296,IF(E306=0,0,IF(D296*D300+D297&gt;=(E299+(D295-1)*E303)+D297,E306+E303,D295*D300+1)),0)</f>
        <v>0</v>
      </c>
      <c r="G310" s="509" t="b">
        <f ca="1">IF(G308&gt;0,G308-D297,IF(G309&gt;0,G309-D297,IF(E222+(D296*E303)&gt;D296*D300,IF(D295*D300&lt;(LAJES!$H$486/D296)*D295+E306+E307,D295*D300+1,D296*D300+1))))</f>
        <v>0</v>
      </c>
    </row>
    <row r="311" spans="1:245" ht="12" hidden="1" customHeight="1" x14ac:dyDescent="0.35">
      <c r="A311" s="195"/>
      <c r="B311" s="5"/>
      <c r="C311" s="34" t="s">
        <v>841</v>
      </c>
      <c r="D311">
        <f>IF(D295=D296,IF(E306=0,0,IF(D295*E303+$G$77-D297&gt;D295*D300,D295*D300+1,(E303*(D295-1))+E306)),0)</f>
        <v>0</v>
      </c>
      <c r="E311" s="32">
        <f>IF(D295+1=D296,IF(E306=0,0,IF(D296*D300+D297&gt;=(E299+(D295-1)*E303)+D297,E306+E303,D296*D300+1)),0)</f>
        <v>0</v>
      </c>
      <c r="G311" s="509" t="b">
        <f ca="1">IF(D295=D296,IF(D296*D300+D297&lt;=(E299+(D295-1)*E303)+D297,LARGE(D309:E309,1)),IF(D309=E309,E311,LARGE(D309:E309,1)))</f>
        <v>0</v>
      </c>
    </row>
    <row r="312" spans="1:245" ht="3.75" hidden="1" customHeight="1" x14ac:dyDescent="0.35">
      <c r="A312" s="195"/>
      <c r="B312" s="5"/>
    </row>
    <row r="313" spans="1:245" hidden="1" x14ac:dyDescent="0.35">
      <c r="A313" s="195"/>
      <c r="B313" s="5"/>
      <c r="C313" s="32" t="s">
        <v>1581</v>
      </c>
      <c r="D313" s="342">
        <f>IF(ENTRADAS!$D$912=0,0,IF(ENTRADAS!$E$1038=0,LAJES!$H$486/D296,0))</f>
        <v>0</v>
      </c>
      <c r="E313" s="32"/>
      <c r="H313" s="348">
        <f>IF(AND(H260&gt;=$E$314,H260&lt;$E$315),10,0)</f>
        <v>0</v>
      </c>
      <c r="I313" s="348">
        <f t="shared" ref="I313:BT313" si="336">IF(AND(I260&gt;=$E$314,I260&lt;$E$315),10,0)</f>
        <v>0</v>
      </c>
      <c r="J313" s="348">
        <f t="shared" si="336"/>
        <v>0</v>
      </c>
      <c r="K313" s="348">
        <f t="shared" si="336"/>
        <v>0</v>
      </c>
      <c r="L313" s="348">
        <f t="shared" si="336"/>
        <v>0</v>
      </c>
      <c r="M313" s="348">
        <f t="shared" si="336"/>
        <v>0</v>
      </c>
      <c r="N313" s="348">
        <f t="shared" si="336"/>
        <v>0</v>
      </c>
      <c r="O313" s="348">
        <f t="shared" si="336"/>
        <v>0</v>
      </c>
      <c r="P313" s="348">
        <f t="shared" si="336"/>
        <v>0</v>
      </c>
      <c r="Q313" s="348">
        <f t="shared" si="336"/>
        <v>0</v>
      </c>
      <c r="R313" s="348">
        <f t="shared" si="336"/>
        <v>0</v>
      </c>
      <c r="S313" s="348">
        <f t="shared" si="336"/>
        <v>0</v>
      </c>
      <c r="T313" s="348">
        <f t="shared" si="336"/>
        <v>0</v>
      </c>
      <c r="U313" s="348">
        <f t="shared" si="336"/>
        <v>0</v>
      </c>
      <c r="V313" s="348">
        <f t="shared" si="336"/>
        <v>0</v>
      </c>
      <c r="W313" s="348">
        <f t="shared" si="336"/>
        <v>0</v>
      </c>
      <c r="X313" s="348">
        <f t="shared" si="336"/>
        <v>0</v>
      </c>
      <c r="Y313" s="348">
        <f t="shared" si="336"/>
        <v>0</v>
      </c>
      <c r="Z313" s="348">
        <f t="shared" si="336"/>
        <v>0</v>
      </c>
      <c r="AA313" s="348">
        <f t="shared" si="336"/>
        <v>0</v>
      </c>
      <c r="AB313" s="348">
        <f t="shared" si="336"/>
        <v>0</v>
      </c>
      <c r="AC313" s="348">
        <f t="shared" si="336"/>
        <v>0</v>
      </c>
      <c r="AD313" s="348">
        <f t="shared" si="336"/>
        <v>0</v>
      </c>
      <c r="AE313" s="348">
        <f t="shared" si="336"/>
        <v>0</v>
      </c>
      <c r="AF313" s="348">
        <f t="shared" si="336"/>
        <v>0</v>
      </c>
      <c r="AG313" s="348">
        <f t="shared" si="336"/>
        <v>0</v>
      </c>
      <c r="AH313" s="348">
        <f t="shared" si="336"/>
        <v>0</v>
      </c>
      <c r="AI313" s="348">
        <f t="shared" si="336"/>
        <v>0</v>
      </c>
      <c r="AJ313" s="348">
        <f t="shared" si="336"/>
        <v>0</v>
      </c>
      <c r="AK313" s="348">
        <f t="shared" si="336"/>
        <v>0</v>
      </c>
      <c r="AL313" s="348">
        <f t="shared" si="336"/>
        <v>0</v>
      </c>
      <c r="AM313" s="348">
        <f t="shared" si="336"/>
        <v>0</v>
      </c>
      <c r="AN313" s="348">
        <f t="shared" si="336"/>
        <v>0</v>
      </c>
      <c r="AO313" s="348">
        <f t="shared" si="336"/>
        <v>0</v>
      </c>
      <c r="AP313" s="348">
        <f t="shared" si="336"/>
        <v>0</v>
      </c>
      <c r="AQ313" s="348">
        <f t="shared" si="336"/>
        <v>0</v>
      </c>
      <c r="AR313" s="348">
        <f t="shared" si="336"/>
        <v>0</v>
      </c>
      <c r="AS313" s="348">
        <f t="shared" si="336"/>
        <v>0</v>
      </c>
      <c r="AT313" s="348">
        <f t="shared" si="336"/>
        <v>0</v>
      </c>
      <c r="AU313" s="348">
        <f t="shared" si="336"/>
        <v>0</v>
      </c>
      <c r="AV313" s="348">
        <f t="shared" si="336"/>
        <v>0</v>
      </c>
      <c r="AW313" s="348">
        <f t="shared" si="336"/>
        <v>0</v>
      </c>
      <c r="AX313" s="348">
        <f t="shared" si="336"/>
        <v>0</v>
      </c>
      <c r="AY313" s="348">
        <f t="shared" si="336"/>
        <v>0</v>
      </c>
      <c r="AZ313" s="348">
        <f t="shared" si="336"/>
        <v>0</v>
      </c>
      <c r="BA313" s="348">
        <f t="shared" si="336"/>
        <v>0</v>
      </c>
      <c r="BB313" s="348">
        <f t="shared" si="336"/>
        <v>0</v>
      </c>
      <c r="BC313" s="348">
        <f t="shared" si="336"/>
        <v>0</v>
      </c>
      <c r="BD313" s="348">
        <f t="shared" si="336"/>
        <v>0</v>
      </c>
      <c r="BE313" s="348">
        <f t="shared" si="336"/>
        <v>0</v>
      </c>
      <c r="BF313" s="348">
        <f t="shared" si="336"/>
        <v>0</v>
      </c>
      <c r="BG313" s="348">
        <f t="shared" si="336"/>
        <v>0</v>
      </c>
      <c r="BH313" s="348">
        <f t="shared" si="336"/>
        <v>0</v>
      </c>
      <c r="BI313" s="348">
        <f t="shared" si="336"/>
        <v>0</v>
      </c>
      <c r="BJ313" s="348">
        <f t="shared" si="336"/>
        <v>0</v>
      </c>
      <c r="BK313" s="348">
        <f t="shared" si="336"/>
        <v>0</v>
      </c>
      <c r="BL313" s="348">
        <f t="shared" si="336"/>
        <v>0</v>
      </c>
      <c r="BM313" s="348">
        <f t="shared" si="336"/>
        <v>0</v>
      </c>
      <c r="BN313" s="348">
        <f t="shared" si="336"/>
        <v>0</v>
      </c>
      <c r="BO313" s="348">
        <f t="shared" si="336"/>
        <v>0</v>
      </c>
      <c r="BP313" s="348">
        <f t="shared" si="336"/>
        <v>0</v>
      </c>
      <c r="BQ313" s="348">
        <f t="shared" si="336"/>
        <v>0</v>
      </c>
      <c r="BR313" s="348">
        <f t="shared" si="336"/>
        <v>0</v>
      </c>
      <c r="BS313" s="348">
        <f t="shared" si="336"/>
        <v>0</v>
      </c>
      <c r="BT313" s="348">
        <f t="shared" si="336"/>
        <v>0</v>
      </c>
      <c r="BU313" s="348">
        <f t="shared" ref="BU313:EF313" si="337">IF(AND(BU260&gt;=$E$314,BU260&lt;$E$315),10,0)</f>
        <v>0</v>
      </c>
      <c r="BV313" s="348">
        <f t="shared" si="337"/>
        <v>0</v>
      </c>
      <c r="BW313" s="348">
        <f t="shared" si="337"/>
        <v>0</v>
      </c>
      <c r="BX313" s="348">
        <f t="shared" si="337"/>
        <v>0</v>
      </c>
      <c r="BY313" s="348">
        <f t="shared" si="337"/>
        <v>0</v>
      </c>
      <c r="BZ313" s="348">
        <f t="shared" si="337"/>
        <v>0</v>
      </c>
      <c r="CA313" s="348">
        <f t="shared" si="337"/>
        <v>0</v>
      </c>
      <c r="CB313" s="348">
        <f t="shared" si="337"/>
        <v>0</v>
      </c>
      <c r="CC313" s="348">
        <f t="shared" si="337"/>
        <v>0</v>
      </c>
      <c r="CD313" s="348">
        <f t="shared" si="337"/>
        <v>0</v>
      </c>
      <c r="CE313" s="348">
        <f t="shared" si="337"/>
        <v>0</v>
      </c>
      <c r="CF313" s="348">
        <f t="shared" si="337"/>
        <v>0</v>
      </c>
      <c r="CG313" s="348">
        <f t="shared" si="337"/>
        <v>0</v>
      </c>
      <c r="CH313" s="348">
        <f t="shared" si="337"/>
        <v>0</v>
      </c>
      <c r="CI313" s="348">
        <f t="shared" si="337"/>
        <v>0</v>
      </c>
      <c r="CJ313" s="348">
        <f t="shared" si="337"/>
        <v>0</v>
      </c>
      <c r="CK313" s="348">
        <f t="shared" si="337"/>
        <v>0</v>
      </c>
      <c r="CL313" s="348">
        <f t="shared" si="337"/>
        <v>0</v>
      </c>
      <c r="CM313" s="348">
        <f t="shared" si="337"/>
        <v>0</v>
      </c>
      <c r="CN313" s="348">
        <f t="shared" si="337"/>
        <v>0</v>
      </c>
      <c r="CO313" s="348">
        <f t="shared" si="337"/>
        <v>0</v>
      </c>
      <c r="CP313" s="348">
        <f t="shared" si="337"/>
        <v>0</v>
      </c>
      <c r="CQ313" s="348">
        <f t="shared" si="337"/>
        <v>0</v>
      </c>
      <c r="CR313" s="348">
        <f t="shared" si="337"/>
        <v>0</v>
      </c>
      <c r="CS313" s="348">
        <f t="shared" si="337"/>
        <v>0</v>
      </c>
      <c r="CT313" s="348">
        <f t="shared" si="337"/>
        <v>0</v>
      </c>
      <c r="CU313" s="348">
        <f t="shared" si="337"/>
        <v>0</v>
      </c>
      <c r="CV313" s="348">
        <f t="shared" si="337"/>
        <v>0</v>
      </c>
      <c r="CW313" s="348">
        <f t="shared" si="337"/>
        <v>0</v>
      </c>
      <c r="CX313" s="348">
        <f t="shared" si="337"/>
        <v>0</v>
      </c>
      <c r="CY313" s="348">
        <f t="shared" si="337"/>
        <v>0</v>
      </c>
      <c r="CZ313" s="348">
        <f t="shared" si="337"/>
        <v>0</v>
      </c>
      <c r="DA313" s="348">
        <f t="shared" si="337"/>
        <v>0</v>
      </c>
      <c r="DB313" s="348">
        <f t="shared" si="337"/>
        <v>0</v>
      </c>
      <c r="DC313" s="348">
        <f t="shared" si="337"/>
        <v>0</v>
      </c>
      <c r="DD313" s="348">
        <f t="shared" si="337"/>
        <v>0</v>
      </c>
      <c r="DE313" s="348">
        <f t="shared" si="337"/>
        <v>0</v>
      </c>
      <c r="DF313" s="348">
        <f t="shared" si="337"/>
        <v>0</v>
      </c>
      <c r="DG313" s="348">
        <f t="shared" si="337"/>
        <v>0</v>
      </c>
      <c r="DH313" s="348">
        <f t="shared" si="337"/>
        <v>0</v>
      </c>
      <c r="DI313" s="348">
        <f t="shared" si="337"/>
        <v>0</v>
      </c>
      <c r="DJ313" s="348">
        <f t="shared" si="337"/>
        <v>0</v>
      </c>
      <c r="DK313" s="348">
        <f t="shared" si="337"/>
        <v>0</v>
      </c>
      <c r="DL313" s="348">
        <f t="shared" si="337"/>
        <v>0</v>
      </c>
      <c r="DM313" s="348">
        <f t="shared" si="337"/>
        <v>0</v>
      </c>
      <c r="DN313" s="348">
        <f t="shared" si="337"/>
        <v>0</v>
      </c>
      <c r="DO313" s="348">
        <f t="shared" si="337"/>
        <v>0</v>
      </c>
      <c r="DP313" s="348">
        <f t="shared" si="337"/>
        <v>0</v>
      </c>
      <c r="DQ313" s="348">
        <f t="shared" si="337"/>
        <v>0</v>
      </c>
      <c r="DR313" s="348">
        <f t="shared" si="337"/>
        <v>0</v>
      </c>
      <c r="DS313" s="348">
        <f t="shared" si="337"/>
        <v>0</v>
      </c>
      <c r="DT313" s="348">
        <f t="shared" si="337"/>
        <v>0</v>
      </c>
      <c r="DU313" s="348">
        <f t="shared" si="337"/>
        <v>0</v>
      </c>
      <c r="DV313" s="348">
        <f t="shared" si="337"/>
        <v>0</v>
      </c>
      <c r="DW313" s="348">
        <f t="shared" si="337"/>
        <v>0</v>
      </c>
      <c r="DX313" s="348">
        <f t="shared" si="337"/>
        <v>0</v>
      </c>
      <c r="DY313" s="348">
        <f t="shared" si="337"/>
        <v>0</v>
      </c>
      <c r="DZ313" s="348">
        <f t="shared" si="337"/>
        <v>0</v>
      </c>
      <c r="EA313" s="348">
        <f t="shared" si="337"/>
        <v>0</v>
      </c>
      <c r="EB313" s="348">
        <f t="shared" si="337"/>
        <v>0</v>
      </c>
      <c r="EC313" s="348">
        <f t="shared" si="337"/>
        <v>0</v>
      </c>
      <c r="ED313" s="348">
        <f t="shared" si="337"/>
        <v>0</v>
      </c>
      <c r="EE313" s="348">
        <f t="shared" si="337"/>
        <v>0</v>
      </c>
      <c r="EF313" s="348">
        <f t="shared" si="337"/>
        <v>0</v>
      </c>
      <c r="EG313" s="348">
        <f t="shared" ref="EG313:GR313" si="338">IF(AND(EG260&gt;=$E$314,EG260&lt;$E$315),10,0)</f>
        <v>0</v>
      </c>
      <c r="EH313" s="348">
        <f t="shared" si="338"/>
        <v>0</v>
      </c>
      <c r="EI313" s="348">
        <f t="shared" si="338"/>
        <v>0</v>
      </c>
      <c r="EJ313" s="348">
        <f t="shared" si="338"/>
        <v>0</v>
      </c>
      <c r="EK313" s="348">
        <f t="shared" si="338"/>
        <v>0</v>
      </c>
      <c r="EL313" s="348">
        <f t="shared" si="338"/>
        <v>0</v>
      </c>
      <c r="EM313" s="348">
        <f t="shared" si="338"/>
        <v>0</v>
      </c>
      <c r="EN313" s="348">
        <f t="shared" si="338"/>
        <v>0</v>
      </c>
      <c r="EO313" s="348">
        <f t="shared" si="338"/>
        <v>0</v>
      </c>
      <c r="EP313" s="348">
        <f t="shared" si="338"/>
        <v>0</v>
      </c>
      <c r="EQ313" s="348">
        <f t="shared" si="338"/>
        <v>0</v>
      </c>
      <c r="ER313" s="348">
        <f t="shared" si="338"/>
        <v>0</v>
      </c>
      <c r="ES313" s="348">
        <f t="shared" si="338"/>
        <v>0</v>
      </c>
      <c r="ET313" s="348">
        <f t="shared" si="338"/>
        <v>0</v>
      </c>
      <c r="EU313" s="348">
        <f t="shared" si="338"/>
        <v>0</v>
      </c>
      <c r="EV313" s="348">
        <f t="shared" si="338"/>
        <v>0</v>
      </c>
      <c r="EW313" s="348">
        <f t="shared" si="338"/>
        <v>0</v>
      </c>
      <c r="EX313" s="348">
        <f t="shared" si="338"/>
        <v>0</v>
      </c>
      <c r="EY313" s="348">
        <f t="shared" si="338"/>
        <v>0</v>
      </c>
      <c r="EZ313" s="348">
        <f t="shared" si="338"/>
        <v>0</v>
      </c>
      <c r="FA313" s="348">
        <f t="shared" si="338"/>
        <v>0</v>
      </c>
      <c r="FB313" s="348">
        <f t="shared" si="338"/>
        <v>0</v>
      </c>
      <c r="FC313" s="348">
        <f t="shared" si="338"/>
        <v>0</v>
      </c>
      <c r="FD313" s="348">
        <f t="shared" si="338"/>
        <v>0</v>
      </c>
      <c r="FE313" s="348">
        <f t="shared" si="338"/>
        <v>0</v>
      </c>
      <c r="FF313" s="348">
        <f t="shared" si="338"/>
        <v>0</v>
      </c>
      <c r="FG313" s="348">
        <f t="shared" si="338"/>
        <v>0</v>
      </c>
      <c r="FH313" s="348">
        <f t="shared" si="338"/>
        <v>0</v>
      </c>
      <c r="FI313" s="348">
        <f t="shared" si="338"/>
        <v>0</v>
      </c>
      <c r="FJ313" s="348">
        <f t="shared" si="338"/>
        <v>0</v>
      </c>
      <c r="FK313" s="348">
        <f t="shared" si="338"/>
        <v>0</v>
      </c>
      <c r="FL313" s="348">
        <f t="shared" si="338"/>
        <v>0</v>
      </c>
      <c r="FM313" s="348">
        <f t="shared" si="338"/>
        <v>0</v>
      </c>
      <c r="FN313" s="348">
        <f t="shared" si="338"/>
        <v>0</v>
      </c>
      <c r="FO313" s="348">
        <f t="shared" si="338"/>
        <v>0</v>
      </c>
      <c r="FP313" s="348">
        <f t="shared" si="338"/>
        <v>0</v>
      </c>
      <c r="FQ313" s="348">
        <f t="shared" si="338"/>
        <v>0</v>
      </c>
      <c r="FR313" s="348">
        <f t="shared" si="338"/>
        <v>0</v>
      </c>
      <c r="FS313" s="348">
        <f t="shared" si="338"/>
        <v>0</v>
      </c>
      <c r="FT313" s="348">
        <f t="shared" si="338"/>
        <v>0</v>
      </c>
      <c r="FU313" s="348">
        <f t="shared" si="338"/>
        <v>0</v>
      </c>
      <c r="FV313" s="348">
        <f t="shared" si="338"/>
        <v>0</v>
      </c>
      <c r="FW313" s="348">
        <f t="shared" si="338"/>
        <v>0</v>
      </c>
      <c r="FX313" s="348">
        <f t="shared" si="338"/>
        <v>0</v>
      </c>
      <c r="FY313" s="348">
        <f t="shared" si="338"/>
        <v>0</v>
      </c>
      <c r="FZ313" s="348">
        <f t="shared" si="338"/>
        <v>0</v>
      </c>
      <c r="GA313" s="348">
        <f t="shared" si="338"/>
        <v>0</v>
      </c>
      <c r="GB313" s="348">
        <f t="shared" si="338"/>
        <v>0</v>
      </c>
      <c r="GC313" s="348">
        <f t="shared" si="338"/>
        <v>0</v>
      </c>
      <c r="GD313" s="348">
        <f t="shared" si="338"/>
        <v>0</v>
      </c>
      <c r="GE313" s="348">
        <f t="shared" si="338"/>
        <v>0</v>
      </c>
      <c r="GF313" s="348">
        <f t="shared" si="338"/>
        <v>0</v>
      </c>
      <c r="GG313" s="348">
        <f t="shared" si="338"/>
        <v>0</v>
      </c>
      <c r="GH313" s="348">
        <f t="shared" si="338"/>
        <v>0</v>
      </c>
      <c r="GI313" s="348">
        <f t="shared" si="338"/>
        <v>0</v>
      </c>
      <c r="GJ313" s="348">
        <f t="shared" si="338"/>
        <v>0</v>
      </c>
      <c r="GK313" s="348">
        <f t="shared" si="338"/>
        <v>0</v>
      </c>
      <c r="GL313" s="348">
        <f t="shared" si="338"/>
        <v>0</v>
      </c>
      <c r="GM313" s="348">
        <f t="shared" si="338"/>
        <v>0</v>
      </c>
      <c r="GN313" s="348">
        <f t="shared" si="338"/>
        <v>0</v>
      </c>
      <c r="GO313" s="348">
        <f t="shared" si="338"/>
        <v>0</v>
      </c>
      <c r="GP313" s="348">
        <f t="shared" si="338"/>
        <v>0</v>
      </c>
      <c r="GQ313" s="348">
        <f t="shared" si="338"/>
        <v>0</v>
      </c>
      <c r="GR313" s="348">
        <f t="shared" si="338"/>
        <v>0</v>
      </c>
      <c r="GS313" s="348">
        <f t="shared" ref="GS313:IK313" si="339">IF(AND(GS260&gt;=$E$314,GS260&lt;$E$315),10,0)</f>
        <v>0</v>
      </c>
      <c r="GT313" s="348">
        <f t="shared" si="339"/>
        <v>0</v>
      </c>
      <c r="GU313" s="348">
        <f t="shared" si="339"/>
        <v>0</v>
      </c>
      <c r="GV313" s="348">
        <f t="shared" si="339"/>
        <v>0</v>
      </c>
      <c r="GW313" s="348">
        <f t="shared" si="339"/>
        <v>0</v>
      </c>
      <c r="GX313" s="348">
        <f t="shared" si="339"/>
        <v>0</v>
      </c>
      <c r="GY313" s="348">
        <f t="shared" si="339"/>
        <v>0</v>
      </c>
      <c r="GZ313" s="348">
        <f t="shared" si="339"/>
        <v>0</v>
      </c>
      <c r="HA313" s="348">
        <f t="shared" si="339"/>
        <v>0</v>
      </c>
      <c r="HB313" s="348">
        <f t="shared" si="339"/>
        <v>0</v>
      </c>
      <c r="HC313" s="348">
        <f t="shared" si="339"/>
        <v>0</v>
      </c>
      <c r="HD313" s="348">
        <f t="shared" si="339"/>
        <v>0</v>
      </c>
      <c r="HE313" s="348">
        <f t="shared" si="339"/>
        <v>0</v>
      </c>
      <c r="HF313" s="348">
        <f t="shared" si="339"/>
        <v>0</v>
      </c>
      <c r="HG313" s="348">
        <f t="shared" si="339"/>
        <v>0</v>
      </c>
      <c r="HH313" s="348">
        <f t="shared" si="339"/>
        <v>0</v>
      </c>
      <c r="HI313" s="348">
        <f t="shared" si="339"/>
        <v>0</v>
      </c>
      <c r="HJ313" s="348">
        <f t="shared" si="339"/>
        <v>0</v>
      </c>
      <c r="HK313" s="348">
        <f t="shared" si="339"/>
        <v>0</v>
      </c>
      <c r="HL313" s="348">
        <f t="shared" si="339"/>
        <v>0</v>
      </c>
      <c r="HM313" s="348">
        <f t="shared" si="339"/>
        <v>0</v>
      </c>
      <c r="HN313" s="348">
        <f t="shared" si="339"/>
        <v>0</v>
      </c>
      <c r="HO313" s="348">
        <f t="shared" si="339"/>
        <v>0</v>
      </c>
      <c r="HP313" s="348">
        <f t="shared" si="339"/>
        <v>0</v>
      </c>
      <c r="HQ313" s="348">
        <f t="shared" si="339"/>
        <v>0</v>
      </c>
      <c r="HR313" s="348">
        <f t="shared" si="339"/>
        <v>0</v>
      </c>
      <c r="HS313" s="348">
        <f t="shared" si="339"/>
        <v>0</v>
      </c>
      <c r="HT313" s="348">
        <f t="shared" si="339"/>
        <v>0</v>
      </c>
      <c r="HU313" s="348">
        <f t="shared" si="339"/>
        <v>0</v>
      </c>
      <c r="HV313" s="348">
        <f t="shared" si="339"/>
        <v>0</v>
      </c>
      <c r="HW313" s="348">
        <f t="shared" si="339"/>
        <v>0</v>
      </c>
      <c r="HX313" s="348">
        <f t="shared" si="339"/>
        <v>0</v>
      </c>
      <c r="HY313" s="348">
        <f t="shared" si="339"/>
        <v>0</v>
      </c>
      <c r="HZ313" s="348">
        <f t="shared" si="339"/>
        <v>0</v>
      </c>
      <c r="IA313" s="348">
        <f t="shared" si="339"/>
        <v>0</v>
      </c>
      <c r="IB313" s="348">
        <f t="shared" si="339"/>
        <v>0</v>
      </c>
      <c r="IC313" s="348">
        <f t="shared" si="339"/>
        <v>0</v>
      </c>
      <c r="ID313" s="348">
        <f t="shared" si="339"/>
        <v>0</v>
      </c>
      <c r="IE313" s="348">
        <f t="shared" si="339"/>
        <v>0</v>
      </c>
      <c r="IF313" s="348">
        <f t="shared" si="339"/>
        <v>0</v>
      </c>
      <c r="IG313" s="348">
        <f t="shared" si="339"/>
        <v>0</v>
      </c>
      <c r="IH313" s="348">
        <f t="shared" si="339"/>
        <v>0</v>
      </c>
      <c r="II313" s="348">
        <f t="shared" si="339"/>
        <v>0</v>
      </c>
      <c r="IJ313" s="348">
        <f t="shared" si="339"/>
        <v>0</v>
      </c>
      <c r="IK313" s="348">
        <f t="shared" si="339"/>
        <v>0</v>
      </c>
    </row>
    <row r="314" spans="1:245" hidden="1" x14ac:dyDescent="0.35">
      <c r="A314" s="195"/>
      <c r="B314" s="5"/>
      <c r="C314" s="630" t="s">
        <v>1582</v>
      </c>
      <c r="D314" s="467">
        <f>IF(ENTRADAS!$D$912=0,0,IF(ENTRADAS!$E$1038=0,D299+1,0))</f>
        <v>0</v>
      </c>
      <c r="E314" s="32">
        <f>IF(D314=0,0,D314-D297)</f>
        <v>0</v>
      </c>
      <c r="G314" s="32" t="b">
        <f ca="1">IF(G315&lt;0,G315*-1)</f>
        <v>0</v>
      </c>
    </row>
    <row r="315" spans="1:245" hidden="1" x14ac:dyDescent="0.35">
      <c r="A315" s="195"/>
      <c r="B315" s="5"/>
      <c r="C315" s="630" t="s">
        <v>1583</v>
      </c>
      <c r="D315" s="467">
        <f>IF(ENTRADAS!$D$912=0,0,IF(ENTRADAS!$E$1038=0,D314+D313-1,0))</f>
        <v>0</v>
      </c>
      <c r="E315" s="32">
        <f>IF(D313=0,0,D313+E314)</f>
        <v>0</v>
      </c>
      <c r="G315">
        <f ca="1">IF(ENTRADAS!$F$22=0,0,IF(D318=0,0,LAJES!$H$486/D296-D304))</f>
        <v>0</v>
      </c>
    </row>
    <row r="316" spans="1:245" hidden="1" x14ac:dyDescent="0.35">
      <c r="A316" s="195"/>
      <c r="B316" s="5"/>
      <c r="C316" s="630" t="s">
        <v>1584</v>
      </c>
      <c r="D316" s="468">
        <f ca="1">IF(D296=0,0,IF(D318=0,0,IF(G316&gt;0,G316,IF(G315&lt;0,G314,G315))))</f>
        <v>0</v>
      </c>
      <c r="E316" s="32"/>
      <c r="G316" s="32">
        <f ca="1">IF(D295=D296,IF(D295*E303+$G$77&gt;D295*D300+D297,(D295*E303+$G$77)-(D295*D300+D297),0),0)</f>
        <v>899</v>
      </c>
      <c r="H316" s="481">
        <f ca="1">IF($D$316&gt;0,IF(AND(H260&gt;=$E$318,H260&lt;$E$319),10,0),0)</f>
        <v>0</v>
      </c>
      <c r="I316" s="481">
        <f t="shared" ref="I316:BT316" ca="1" si="340">IF($D$316&gt;0,IF(AND(I260&gt;=$E$318,I260&lt;$E$319),10,0),0)</f>
        <v>0</v>
      </c>
      <c r="J316" s="481">
        <f t="shared" ca="1" si="340"/>
        <v>0</v>
      </c>
      <c r="K316" s="481">
        <f t="shared" ca="1" si="340"/>
        <v>0</v>
      </c>
      <c r="L316" s="481">
        <f t="shared" ca="1" si="340"/>
        <v>0</v>
      </c>
      <c r="M316" s="481">
        <f t="shared" ca="1" si="340"/>
        <v>0</v>
      </c>
      <c r="N316" s="481">
        <f t="shared" ca="1" si="340"/>
        <v>0</v>
      </c>
      <c r="O316" s="481">
        <f t="shared" ca="1" si="340"/>
        <v>0</v>
      </c>
      <c r="P316" s="481">
        <f t="shared" ca="1" si="340"/>
        <v>0</v>
      </c>
      <c r="Q316" s="481">
        <f t="shared" ca="1" si="340"/>
        <v>0</v>
      </c>
      <c r="R316" s="481">
        <f t="shared" ca="1" si="340"/>
        <v>0</v>
      </c>
      <c r="S316" s="481">
        <f t="shared" ca="1" si="340"/>
        <v>0</v>
      </c>
      <c r="T316" s="481">
        <f t="shared" ca="1" si="340"/>
        <v>0</v>
      </c>
      <c r="U316" s="481">
        <f t="shared" ca="1" si="340"/>
        <v>0</v>
      </c>
      <c r="V316" s="481">
        <f t="shared" ca="1" si="340"/>
        <v>0</v>
      </c>
      <c r="W316" s="481">
        <f t="shared" ca="1" si="340"/>
        <v>0</v>
      </c>
      <c r="X316" s="481">
        <f t="shared" ca="1" si="340"/>
        <v>0</v>
      </c>
      <c r="Y316" s="481">
        <f t="shared" ca="1" si="340"/>
        <v>0</v>
      </c>
      <c r="Z316" s="481">
        <f t="shared" ca="1" si="340"/>
        <v>0</v>
      </c>
      <c r="AA316" s="481">
        <f t="shared" ca="1" si="340"/>
        <v>0</v>
      </c>
      <c r="AB316" s="481">
        <f t="shared" ca="1" si="340"/>
        <v>0</v>
      </c>
      <c r="AC316" s="481">
        <f t="shared" ca="1" si="340"/>
        <v>0</v>
      </c>
      <c r="AD316" s="481">
        <f t="shared" ca="1" si="340"/>
        <v>0</v>
      </c>
      <c r="AE316" s="481">
        <f t="shared" ca="1" si="340"/>
        <v>0</v>
      </c>
      <c r="AF316" s="481">
        <f t="shared" ca="1" si="340"/>
        <v>0</v>
      </c>
      <c r="AG316" s="481">
        <f t="shared" ca="1" si="340"/>
        <v>0</v>
      </c>
      <c r="AH316" s="481">
        <f t="shared" ca="1" si="340"/>
        <v>0</v>
      </c>
      <c r="AI316" s="481">
        <f t="shared" ca="1" si="340"/>
        <v>0</v>
      </c>
      <c r="AJ316" s="481">
        <f t="shared" ca="1" si="340"/>
        <v>0</v>
      </c>
      <c r="AK316" s="481">
        <f t="shared" ca="1" si="340"/>
        <v>0</v>
      </c>
      <c r="AL316" s="481">
        <f t="shared" ca="1" si="340"/>
        <v>0</v>
      </c>
      <c r="AM316" s="481">
        <f t="shared" ca="1" si="340"/>
        <v>0</v>
      </c>
      <c r="AN316" s="481">
        <f t="shared" ca="1" si="340"/>
        <v>0</v>
      </c>
      <c r="AO316" s="481">
        <f t="shared" ca="1" si="340"/>
        <v>0</v>
      </c>
      <c r="AP316" s="481">
        <f t="shared" ca="1" si="340"/>
        <v>0</v>
      </c>
      <c r="AQ316" s="481">
        <f t="shared" ca="1" si="340"/>
        <v>0</v>
      </c>
      <c r="AR316" s="481">
        <f t="shared" ca="1" si="340"/>
        <v>0</v>
      </c>
      <c r="AS316" s="481">
        <f t="shared" ca="1" si="340"/>
        <v>0</v>
      </c>
      <c r="AT316" s="481">
        <f t="shared" ca="1" si="340"/>
        <v>0</v>
      </c>
      <c r="AU316" s="481">
        <f t="shared" ca="1" si="340"/>
        <v>0</v>
      </c>
      <c r="AV316" s="481">
        <f t="shared" ca="1" si="340"/>
        <v>0</v>
      </c>
      <c r="AW316" s="481">
        <f t="shared" ca="1" si="340"/>
        <v>0</v>
      </c>
      <c r="AX316" s="481">
        <f t="shared" ca="1" si="340"/>
        <v>0</v>
      </c>
      <c r="AY316" s="481">
        <f t="shared" ca="1" si="340"/>
        <v>0</v>
      </c>
      <c r="AZ316" s="481">
        <f t="shared" ca="1" si="340"/>
        <v>0</v>
      </c>
      <c r="BA316" s="481">
        <f t="shared" ca="1" si="340"/>
        <v>0</v>
      </c>
      <c r="BB316" s="481">
        <f t="shared" ca="1" si="340"/>
        <v>0</v>
      </c>
      <c r="BC316" s="481">
        <f t="shared" ca="1" si="340"/>
        <v>0</v>
      </c>
      <c r="BD316" s="481">
        <f t="shared" ca="1" si="340"/>
        <v>0</v>
      </c>
      <c r="BE316" s="481">
        <f t="shared" ca="1" si="340"/>
        <v>0</v>
      </c>
      <c r="BF316" s="481">
        <f t="shared" ca="1" si="340"/>
        <v>0</v>
      </c>
      <c r="BG316" s="481">
        <f t="shared" ca="1" si="340"/>
        <v>0</v>
      </c>
      <c r="BH316" s="481">
        <f t="shared" ca="1" si="340"/>
        <v>0</v>
      </c>
      <c r="BI316" s="481">
        <f t="shared" ca="1" si="340"/>
        <v>0</v>
      </c>
      <c r="BJ316" s="481">
        <f t="shared" ca="1" si="340"/>
        <v>0</v>
      </c>
      <c r="BK316" s="481">
        <f t="shared" ca="1" si="340"/>
        <v>0</v>
      </c>
      <c r="BL316" s="481">
        <f t="shared" ca="1" si="340"/>
        <v>0</v>
      </c>
      <c r="BM316" s="481">
        <f t="shared" ca="1" si="340"/>
        <v>0</v>
      </c>
      <c r="BN316" s="481">
        <f t="shared" ca="1" si="340"/>
        <v>0</v>
      </c>
      <c r="BO316" s="481">
        <f t="shared" ca="1" si="340"/>
        <v>0</v>
      </c>
      <c r="BP316" s="481">
        <f t="shared" ca="1" si="340"/>
        <v>0</v>
      </c>
      <c r="BQ316" s="481">
        <f t="shared" ca="1" si="340"/>
        <v>0</v>
      </c>
      <c r="BR316" s="481">
        <f t="shared" ca="1" si="340"/>
        <v>0</v>
      </c>
      <c r="BS316" s="481">
        <f t="shared" ca="1" si="340"/>
        <v>0</v>
      </c>
      <c r="BT316" s="481">
        <f t="shared" ca="1" si="340"/>
        <v>0</v>
      </c>
      <c r="BU316" s="481">
        <f t="shared" ref="BU316:EF316" ca="1" si="341">IF($D$316&gt;0,IF(AND(BU260&gt;=$E$318,BU260&lt;$E$319),10,0),0)</f>
        <v>0</v>
      </c>
      <c r="BV316" s="481">
        <f t="shared" ca="1" si="341"/>
        <v>0</v>
      </c>
      <c r="BW316" s="481">
        <f t="shared" ca="1" si="341"/>
        <v>0</v>
      </c>
      <c r="BX316" s="481">
        <f t="shared" ca="1" si="341"/>
        <v>0</v>
      </c>
      <c r="BY316" s="481">
        <f t="shared" ca="1" si="341"/>
        <v>0</v>
      </c>
      <c r="BZ316" s="481">
        <f t="shared" ca="1" si="341"/>
        <v>0</v>
      </c>
      <c r="CA316" s="481">
        <f t="shared" ca="1" si="341"/>
        <v>0</v>
      </c>
      <c r="CB316" s="481">
        <f t="shared" ca="1" si="341"/>
        <v>0</v>
      </c>
      <c r="CC316" s="481">
        <f t="shared" ca="1" si="341"/>
        <v>0</v>
      </c>
      <c r="CD316" s="481">
        <f t="shared" ca="1" si="341"/>
        <v>0</v>
      </c>
      <c r="CE316" s="481">
        <f t="shared" ca="1" si="341"/>
        <v>0</v>
      </c>
      <c r="CF316" s="481">
        <f t="shared" ca="1" si="341"/>
        <v>0</v>
      </c>
      <c r="CG316" s="481">
        <f t="shared" ca="1" si="341"/>
        <v>0</v>
      </c>
      <c r="CH316" s="481">
        <f t="shared" ca="1" si="341"/>
        <v>0</v>
      </c>
      <c r="CI316" s="481">
        <f t="shared" ca="1" si="341"/>
        <v>0</v>
      </c>
      <c r="CJ316" s="481">
        <f t="shared" ca="1" si="341"/>
        <v>0</v>
      </c>
      <c r="CK316" s="481">
        <f t="shared" ca="1" si="341"/>
        <v>0</v>
      </c>
      <c r="CL316" s="481">
        <f t="shared" ca="1" si="341"/>
        <v>0</v>
      </c>
      <c r="CM316" s="481">
        <f t="shared" ca="1" si="341"/>
        <v>0</v>
      </c>
      <c r="CN316" s="481">
        <f t="shared" ca="1" si="341"/>
        <v>0</v>
      </c>
      <c r="CO316" s="481">
        <f t="shared" ca="1" si="341"/>
        <v>0</v>
      </c>
      <c r="CP316" s="481">
        <f t="shared" ca="1" si="341"/>
        <v>0</v>
      </c>
      <c r="CQ316" s="481">
        <f t="shared" ca="1" si="341"/>
        <v>0</v>
      </c>
      <c r="CR316" s="481">
        <f t="shared" ca="1" si="341"/>
        <v>0</v>
      </c>
      <c r="CS316" s="481">
        <f t="shared" ca="1" si="341"/>
        <v>0</v>
      </c>
      <c r="CT316" s="481">
        <f t="shared" ca="1" si="341"/>
        <v>0</v>
      </c>
      <c r="CU316" s="481">
        <f t="shared" ca="1" si="341"/>
        <v>0</v>
      </c>
      <c r="CV316" s="481">
        <f t="shared" ca="1" si="341"/>
        <v>0</v>
      </c>
      <c r="CW316" s="481">
        <f t="shared" ca="1" si="341"/>
        <v>0</v>
      </c>
      <c r="CX316" s="481">
        <f t="shared" ca="1" si="341"/>
        <v>0</v>
      </c>
      <c r="CY316" s="481">
        <f t="shared" ca="1" si="341"/>
        <v>0</v>
      </c>
      <c r="CZ316" s="481">
        <f t="shared" ca="1" si="341"/>
        <v>0</v>
      </c>
      <c r="DA316" s="481">
        <f t="shared" ca="1" si="341"/>
        <v>0</v>
      </c>
      <c r="DB316" s="481">
        <f t="shared" ca="1" si="341"/>
        <v>0</v>
      </c>
      <c r="DC316" s="481">
        <f t="shared" ca="1" si="341"/>
        <v>0</v>
      </c>
      <c r="DD316" s="481">
        <f t="shared" ca="1" si="341"/>
        <v>0</v>
      </c>
      <c r="DE316" s="481">
        <f t="shared" ca="1" si="341"/>
        <v>0</v>
      </c>
      <c r="DF316" s="481">
        <f t="shared" ca="1" si="341"/>
        <v>0</v>
      </c>
      <c r="DG316" s="481">
        <f t="shared" ca="1" si="341"/>
        <v>0</v>
      </c>
      <c r="DH316" s="481">
        <f t="shared" ca="1" si="341"/>
        <v>0</v>
      </c>
      <c r="DI316" s="481">
        <f t="shared" ca="1" si="341"/>
        <v>0</v>
      </c>
      <c r="DJ316" s="481">
        <f t="shared" ca="1" si="341"/>
        <v>0</v>
      </c>
      <c r="DK316" s="481">
        <f t="shared" ca="1" si="341"/>
        <v>0</v>
      </c>
      <c r="DL316" s="481">
        <f t="shared" ca="1" si="341"/>
        <v>0</v>
      </c>
      <c r="DM316" s="481">
        <f t="shared" ca="1" si="341"/>
        <v>0</v>
      </c>
      <c r="DN316" s="481">
        <f t="shared" ca="1" si="341"/>
        <v>0</v>
      </c>
      <c r="DO316" s="481">
        <f t="shared" ca="1" si="341"/>
        <v>0</v>
      </c>
      <c r="DP316" s="481">
        <f t="shared" ca="1" si="341"/>
        <v>0</v>
      </c>
      <c r="DQ316" s="481">
        <f t="shared" ca="1" si="341"/>
        <v>0</v>
      </c>
      <c r="DR316" s="481">
        <f t="shared" ca="1" si="341"/>
        <v>0</v>
      </c>
      <c r="DS316" s="481">
        <f t="shared" ca="1" si="341"/>
        <v>0</v>
      </c>
      <c r="DT316" s="481">
        <f t="shared" ca="1" si="341"/>
        <v>0</v>
      </c>
      <c r="DU316" s="481">
        <f t="shared" ca="1" si="341"/>
        <v>0</v>
      </c>
      <c r="DV316" s="481">
        <f t="shared" ca="1" si="341"/>
        <v>0</v>
      </c>
      <c r="DW316" s="481">
        <f t="shared" ca="1" si="341"/>
        <v>0</v>
      </c>
      <c r="DX316" s="481">
        <f t="shared" ca="1" si="341"/>
        <v>0</v>
      </c>
      <c r="DY316" s="481">
        <f t="shared" ca="1" si="341"/>
        <v>0</v>
      </c>
      <c r="DZ316" s="481">
        <f t="shared" ca="1" si="341"/>
        <v>0</v>
      </c>
      <c r="EA316" s="481">
        <f t="shared" ca="1" si="341"/>
        <v>0</v>
      </c>
      <c r="EB316" s="481">
        <f t="shared" ca="1" si="341"/>
        <v>0</v>
      </c>
      <c r="EC316" s="481">
        <f t="shared" ca="1" si="341"/>
        <v>0</v>
      </c>
      <c r="ED316" s="481">
        <f t="shared" ca="1" si="341"/>
        <v>0</v>
      </c>
      <c r="EE316" s="481">
        <f t="shared" ca="1" si="341"/>
        <v>0</v>
      </c>
      <c r="EF316" s="481">
        <f t="shared" ca="1" si="341"/>
        <v>0</v>
      </c>
      <c r="EG316" s="481">
        <f t="shared" ref="EG316:GR316" ca="1" si="342">IF($D$316&gt;0,IF(AND(EG260&gt;=$E$318,EG260&lt;$E$319),10,0),0)</f>
        <v>0</v>
      </c>
      <c r="EH316" s="481">
        <f t="shared" ca="1" si="342"/>
        <v>0</v>
      </c>
      <c r="EI316" s="481">
        <f t="shared" ca="1" si="342"/>
        <v>0</v>
      </c>
      <c r="EJ316" s="481">
        <f t="shared" ca="1" si="342"/>
        <v>0</v>
      </c>
      <c r="EK316" s="481">
        <f t="shared" ca="1" si="342"/>
        <v>0</v>
      </c>
      <c r="EL316" s="481">
        <f t="shared" ca="1" si="342"/>
        <v>0</v>
      </c>
      <c r="EM316" s="481">
        <f t="shared" ca="1" si="342"/>
        <v>0</v>
      </c>
      <c r="EN316" s="481">
        <f t="shared" ca="1" si="342"/>
        <v>0</v>
      </c>
      <c r="EO316" s="481">
        <f t="shared" ca="1" si="342"/>
        <v>0</v>
      </c>
      <c r="EP316" s="481">
        <f t="shared" ca="1" si="342"/>
        <v>0</v>
      </c>
      <c r="EQ316" s="481">
        <f t="shared" ca="1" si="342"/>
        <v>0</v>
      </c>
      <c r="ER316" s="481">
        <f t="shared" ca="1" si="342"/>
        <v>0</v>
      </c>
      <c r="ES316" s="481">
        <f t="shared" ca="1" si="342"/>
        <v>0</v>
      </c>
      <c r="ET316" s="481">
        <f t="shared" ca="1" si="342"/>
        <v>0</v>
      </c>
      <c r="EU316" s="481">
        <f t="shared" ca="1" si="342"/>
        <v>0</v>
      </c>
      <c r="EV316" s="481">
        <f t="shared" ca="1" si="342"/>
        <v>0</v>
      </c>
      <c r="EW316" s="481">
        <f t="shared" ca="1" si="342"/>
        <v>0</v>
      </c>
      <c r="EX316" s="481">
        <f t="shared" ca="1" si="342"/>
        <v>0</v>
      </c>
      <c r="EY316" s="481">
        <f t="shared" ca="1" si="342"/>
        <v>0</v>
      </c>
      <c r="EZ316" s="481">
        <f t="shared" ca="1" si="342"/>
        <v>0</v>
      </c>
      <c r="FA316" s="481">
        <f t="shared" ca="1" si="342"/>
        <v>0</v>
      </c>
      <c r="FB316" s="481">
        <f t="shared" ca="1" si="342"/>
        <v>0</v>
      </c>
      <c r="FC316" s="481">
        <f t="shared" ca="1" si="342"/>
        <v>0</v>
      </c>
      <c r="FD316" s="481">
        <f t="shared" ca="1" si="342"/>
        <v>0</v>
      </c>
      <c r="FE316" s="481">
        <f t="shared" ca="1" si="342"/>
        <v>0</v>
      </c>
      <c r="FF316" s="481">
        <f t="shared" ca="1" si="342"/>
        <v>0</v>
      </c>
      <c r="FG316" s="481">
        <f t="shared" ca="1" si="342"/>
        <v>0</v>
      </c>
      <c r="FH316" s="481">
        <f t="shared" ca="1" si="342"/>
        <v>0</v>
      </c>
      <c r="FI316" s="481">
        <f t="shared" ca="1" si="342"/>
        <v>0</v>
      </c>
      <c r="FJ316" s="481">
        <f t="shared" ca="1" si="342"/>
        <v>0</v>
      </c>
      <c r="FK316" s="481">
        <f t="shared" ca="1" si="342"/>
        <v>0</v>
      </c>
      <c r="FL316" s="481">
        <f t="shared" ca="1" si="342"/>
        <v>0</v>
      </c>
      <c r="FM316" s="481">
        <f t="shared" ca="1" si="342"/>
        <v>0</v>
      </c>
      <c r="FN316" s="481">
        <f t="shared" ca="1" si="342"/>
        <v>0</v>
      </c>
      <c r="FO316" s="481">
        <f t="shared" ca="1" si="342"/>
        <v>0</v>
      </c>
      <c r="FP316" s="481">
        <f t="shared" ca="1" si="342"/>
        <v>0</v>
      </c>
      <c r="FQ316" s="481">
        <f t="shared" ca="1" si="342"/>
        <v>0</v>
      </c>
      <c r="FR316" s="481">
        <f t="shared" ca="1" si="342"/>
        <v>0</v>
      </c>
      <c r="FS316" s="481">
        <f t="shared" ca="1" si="342"/>
        <v>0</v>
      </c>
      <c r="FT316" s="481">
        <f t="shared" ca="1" si="342"/>
        <v>0</v>
      </c>
      <c r="FU316" s="481">
        <f t="shared" ca="1" si="342"/>
        <v>0</v>
      </c>
      <c r="FV316" s="481">
        <f t="shared" ca="1" si="342"/>
        <v>0</v>
      </c>
      <c r="FW316" s="481">
        <f t="shared" ca="1" si="342"/>
        <v>0</v>
      </c>
      <c r="FX316" s="481">
        <f t="shared" ca="1" si="342"/>
        <v>0</v>
      </c>
      <c r="FY316" s="481">
        <f t="shared" ca="1" si="342"/>
        <v>0</v>
      </c>
      <c r="FZ316" s="481">
        <f t="shared" ca="1" si="342"/>
        <v>0</v>
      </c>
      <c r="GA316" s="481">
        <f t="shared" ca="1" si="342"/>
        <v>0</v>
      </c>
      <c r="GB316" s="481">
        <f t="shared" ca="1" si="342"/>
        <v>0</v>
      </c>
      <c r="GC316" s="481">
        <f t="shared" ca="1" si="342"/>
        <v>0</v>
      </c>
      <c r="GD316" s="481">
        <f t="shared" ca="1" si="342"/>
        <v>0</v>
      </c>
      <c r="GE316" s="481">
        <f t="shared" ca="1" si="342"/>
        <v>0</v>
      </c>
      <c r="GF316" s="481">
        <f t="shared" ca="1" si="342"/>
        <v>0</v>
      </c>
      <c r="GG316" s="481">
        <f t="shared" ca="1" si="342"/>
        <v>0</v>
      </c>
      <c r="GH316" s="481">
        <f t="shared" ca="1" si="342"/>
        <v>0</v>
      </c>
      <c r="GI316" s="481">
        <f t="shared" ca="1" si="342"/>
        <v>0</v>
      </c>
      <c r="GJ316" s="481">
        <f t="shared" ca="1" si="342"/>
        <v>0</v>
      </c>
      <c r="GK316" s="481">
        <f t="shared" ca="1" si="342"/>
        <v>0</v>
      </c>
      <c r="GL316" s="481">
        <f t="shared" ca="1" si="342"/>
        <v>0</v>
      </c>
      <c r="GM316" s="481">
        <f t="shared" ca="1" si="342"/>
        <v>0</v>
      </c>
      <c r="GN316" s="481">
        <f t="shared" ca="1" si="342"/>
        <v>0</v>
      </c>
      <c r="GO316" s="481">
        <f t="shared" ca="1" si="342"/>
        <v>0</v>
      </c>
      <c r="GP316" s="481">
        <f t="shared" ca="1" si="342"/>
        <v>0</v>
      </c>
      <c r="GQ316" s="481">
        <f t="shared" ca="1" si="342"/>
        <v>0</v>
      </c>
      <c r="GR316" s="481">
        <f t="shared" ca="1" si="342"/>
        <v>0</v>
      </c>
      <c r="GS316" s="481">
        <f t="shared" ref="GS316:IK316" ca="1" si="343">IF($D$316&gt;0,IF(AND(GS260&gt;=$E$318,GS260&lt;$E$319),10,0),0)</f>
        <v>0</v>
      </c>
      <c r="GT316" s="481">
        <f t="shared" ca="1" si="343"/>
        <v>0</v>
      </c>
      <c r="GU316" s="481">
        <f t="shared" ca="1" si="343"/>
        <v>0</v>
      </c>
      <c r="GV316" s="481">
        <f t="shared" ca="1" si="343"/>
        <v>0</v>
      </c>
      <c r="GW316" s="481">
        <f t="shared" ca="1" si="343"/>
        <v>0</v>
      </c>
      <c r="GX316" s="481">
        <f t="shared" ca="1" si="343"/>
        <v>0</v>
      </c>
      <c r="GY316" s="481">
        <f t="shared" ca="1" si="343"/>
        <v>0</v>
      </c>
      <c r="GZ316" s="481">
        <f t="shared" ca="1" si="343"/>
        <v>0</v>
      </c>
      <c r="HA316" s="481">
        <f t="shared" ca="1" si="343"/>
        <v>0</v>
      </c>
      <c r="HB316" s="481">
        <f t="shared" ca="1" si="343"/>
        <v>0</v>
      </c>
      <c r="HC316" s="481">
        <f t="shared" ca="1" si="343"/>
        <v>0</v>
      </c>
      <c r="HD316" s="481">
        <f t="shared" ca="1" si="343"/>
        <v>0</v>
      </c>
      <c r="HE316" s="481">
        <f t="shared" ca="1" si="343"/>
        <v>0</v>
      </c>
      <c r="HF316" s="481">
        <f t="shared" ca="1" si="343"/>
        <v>0</v>
      </c>
      <c r="HG316" s="481">
        <f t="shared" ca="1" si="343"/>
        <v>0</v>
      </c>
      <c r="HH316" s="481">
        <f t="shared" ca="1" si="343"/>
        <v>0</v>
      </c>
      <c r="HI316" s="481">
        <f t="shared" ca="1" si="343"/>
        <v>0</v>
      </c>
      <c r="HJ316" s="481">
        <f t="shared" ca="1" si="343"/>
        <v>0</v>
      </c>
      <c r="HK316" s="481">
        <f t="shared" ca="1" si="343"/>
        <v>0</v>
      </c>
      <c r="HL316" s="481">
        <f t="shared" ca="1" si="343"/>
        <v>0</v>
      </c>
      <c r="HM316" s="481">
        <f t="shared" ca="1" si="343"/>
        <v>0</v>
      </c>
      <c r="HN316" s="481">
        <f t="shared" ca="1" si="343"/>
        <v>0</v>
      </c>
      <c r="HO316" s="481">
        <f t="shared" ca="1" si="343"/>
        <v>0</v>
      </c>
      <c r="HP316" s="481">
        <f t="shared" ca="1" si="343"/>
        <v>0</v>
      </c>
      <c r="HQ316" s="481">
        <f t="shared" ca="1" si="343"/>
        <v>0</v>
      </c>
      <c r="HR316" s="481">
        <f t="shared" ca="1" si="343"/>
        <v>0</v>
      </c>
      <c r="HS316" s="481">
        <f t="shared" ca="1" si="343"/>
        <v>0</v>
      </c>
      <c r="HT316" s="481">
        <f t="shared" ca="1" si="343"/>
        <v>0</v>
      </c>
      <c r="HU316" s="481">
        <f t="shared" ca="1" si="343"/>
        <v>0</v>
      </c>
      <c r="HV316" s="481">
        <f t="shared" ca="1" si="343"/>
        <v>0</v>
      </c>
      <c r="HW316" s="481">
        <f t="shared" ca="1" si="343"/>
        <v>0</v>
      </c>
      <c r="HX316" s="481">
        <f t="shared" ca="1" si="343"/>
        <v>0</v>
      </c>
      <c r="HY316" s="481">
        <f t="shared" ca="1" si="343"/>
        <v>0</v>
      </c>
      <c r="HZ316" s="481">
        <f t="shared" ca="1" si="343"/>
        <v>0</v>
      </c>
      <c r="IA316" s="481">
        <f t="shared" ca="1" si="343"/>
        <v>0</v>
      </c>
      <c r="IB316" s="481">
        <f t="shared" ca="1" si="343"/>
        <v>0</v>
      </c>
      <c r="IC316" s="481">
        <f t="shared" ca="1" si="343"/>
        <v>0</v>
      </c>
      <c r="ID316" s="481">
        <f t="shared" ca="1" si="343"/>
        <v>0</v>
      </c>
      <c r="IE316" s="481">
        <f t="shared" ca="1" si="343"/>
        <v>0</v>
      </c>
      <c r="IF316" s="481">
        <f t="shared" ca="1" si="343"/>
        <v>0</v>
      </c>
      <c r="IG316" s="481">
        <f t="shared" ca="1" si="343"/>
        <v>0</v>
      </c>
      <c r="IH316" s="481">
        <f t="shared" ca="1" si="343"/>
        <v>0</v>
      </c>
      <c r="II316" s="481">
        <f t="shared" ca="1" si="343"/>
        <v>0</v>
      </c>
      <c r="IJ316" s="481">
        <f t="shared" ca="1" si="343"/>
        <v>0</v>
      </c>
      <c r="IK316" s="481">
        <f t="shared" ca="1" si="343"/>
        <v>0</v>
      </c>
    </row>
    <row r="317" spans="1:245" hidden="1" x14ac:dyDescent="0.35">
      <c r="A317" s="195"/>
      <c r="B317" s="5"/>
      <c r="C317" s="630"/>
      <c r="D317" s="468"/>
      <c r="E317" s="32"/>
    </row>
    <row r="318" spans="1:245" hidden="1" x14ac:dyDescent="0.35">
      <c r="A318" s="195"/>
      <c r="B318" s="5"/>
      <c r="C318" s="630" t="s">
        <v>1585</v>
      </c>
      <c r="D318" s="471">
        <f ca="1">IF(D296&gt;D295+1,0,IF(D295=D296,IF(D296*D300&lt;D235,G319,G318),IF(D304&gt;E303,0,IF(D295+1=D296,0,D308+1))))</f>
        <v>0</v>
      </c>
      <c r="E318" s="32">
        <f ca="1">IF(D318=0,0,D318-D297+1)</f>
        <v>0</v>
      </c>
      <c r="G318" s="471">
        <f>IF(ENTRADAS!$E$1038=0,0,IF(ENTRADAS!$F$22=D295,IF(D295*D300&lt;E308,IF(E306+D295*(LAJES!$H$486/D296)&lt;(D295*D300)+D297,(D295*D300)+D297,E235+D297-1),0)))</f>
        <v>0</v>
      </c>
    </row>
    <row r="319" spans="1:245" hidden="1" x14ac:dyDescent="0.35">
      <c r="A319" s="195"/>
      <c r="B319" s="5"/>
      <c r="C319" s="630" t="s">
        <v>1586</v>
      </c>
      <c r="D319" s="467">
        <f ca="1">IF(D318=0,0,D318+D316-1)</f>
        <v>0</v>
      </c>
      <c r="E319" s="32">
        <f ca="1">D316+E318</f>
        <v>0</v>
      </c>
      <c r="G319" s="471">
        <f>IF(ENTRADAS!$E$1038=0,0,IF(D296=D295,IF(D295*D300&lt;E311,IF(E306+D295*(LAJES!$H$486/D296)&lt;(D295*D300)+D297,(D295*D300)+D297,E235+D297-1),IF(E311=0,D299+1))))</f>
        <v>0</v>
      </c>
    </row>
    <row r="320" spans="1:245" ht="12.75" hidden="1" customHeight="1" x14ac:dyDescent="0.35">
      <c r="A320" s="195"/>
      <c r="B320" s="5"/>
      <c r="G320" s="473">
        <f ca="1">IF(D319&gt;D308,D319,IF(D308&gt;D319,D308,0))</f>
        <v>0</v>
      </c>
    </row>
    <row r="321" spans="1:245" ht="4.5" hidden="1" customHeight="1" x14ac:dyDescent="0.35">
      <c r="A321" s="195"/>
      <c r="B321" s="5"/>
    </row>
    <row r="322" spans="1:245" ht="15.75" hidden="1" customHeight="1" x14ac:dyDescent="0.35">
      <c r="A322" s="195"/>
      <c r="B322" s="5"/>
      <c r="D322" s="1203"/>
    </row>
    <row r="323" spans="1:245" ht="4.5" hidden="1" customHeight="1" x14ac:dyDescent="0.35">
      <c r="A323" s="195"/>
      <c r="B323" s="5"/>
    </row>
    <row r="324" spans="1:245" hidden="1" x14ac:dyDescent="0.35">
      <c r="A324" s="195"/>
      <c r="B324" s="5"/>
      <c r="C324" s="630" t="s">
        <v>1587</v>
      </c>
      <c r="D324" s="468">
        <f ca="1">IF(ENTRADAS!$F$22=0,0,IF($J$3=0,0,ROUNDUP(CÁLCULOS!$L$536/ENTRADAS!$F$22,0)))</f>
        <v>29</v>
      </c>
      <c r="E324" s="32"/>
      <c r="H324" s="348">
        <f ca="1">IF($E$326&gt;0,IF(AND(H260&gt;=$E$329,H260&lt;$E$330+1),10,0),IF(AND(H260&gt;=$E$329-1,H260&lt;$E$330-1),10,0))</f>
        <v>0</v>
      </c>
      <c r="I324" s="348">
        <f t="shared" ref="I324:BT324" ca="1" si="344">IF($E$326&gt;0,IF(AND(I260&gt;=$E$329,I260&lt;$E$330+1),10,0),IF(AND(I260&gt;=$E$329-1,I260&lt;$E$330-1),10,0))</f>
        <v>0</v>
      </c>
      <c r="J324" s="348">
        <f t="shared" ca="1" si="344"/>
        <v>0</v>
      </c>
      <c r="K324" s="348">
        <f t="shared" ca="1" si="344"/>
        <v>0</v>
      </c>
      <c r="L324" s="348">
        <f t="shared" ca="1" si="344"/>
        <v>0</v>
      </c>
      <c r="M324" s="348">
        <f t="shared" ca="1" si="344"/>
        <v>0</v>
      </c>
      <c r="N324" s="348">
        <f t="shared" ca="1" si="344"/>
        <v>0</v>
      </c>
      <c r="O324" s="348">
        <f t="shared" ca="1" si="344"/>
        <v>0</v>
      </c>
      <c r="P324" s="348">
        <f t="shared" ca="1" si="344"/>
        <v>0</v>
      </c>
      <c r="Q324" s="348">
        <f t="shared" ca="1" si="344"/>
        <v>0</v>
      </c>
      <c r="R324" s="348">
        <f t="shared" ca="1" si="344"/>
        <v>0</v>
      </c>
      <c r="S324" s="348">
        <f t="shared" ca="1" si="344"/>
        <v>0</v>
      </c>
      <c r="T324" s="348">
        <f t="shared" ca="1" si="344"/>
        <v>0</v>
      </c>
      <c r="U324" s="348">
        <f t="shared" ca="1" si="344"/>
        <v>0</v>
      </c>
      <c r="V324" s="348">
        <f t="shared" ca="1" si="344"/>
        <v>0</v>
      </c>
      <c r="W324" s="348">
        <f t="shared" ca="1" si="344"/>
        <v>0</v>
      </c>
      <c r="X324" s="348">
        <f t="shared" ca="1" si="344"/>
        <v>0</v>
      </c>
      <c r="Y324" s="348">
        <f t="shared" ca="1" si="344"/>
        <v>0</v>
      </c>
      <c r="Z324" s="348">
        <f t="shared" ca="1" si="344"/>
        <v>0</v>
      </c>
      <c r="AA324" s="348">
        <f t="shared" ca="1" si="344"/>
        <v>0</v>
      </c>
      <c r="AB324" s="348">
        <f t="shared" ca="1" si="344"/>
        <v>0</v>
      </c>
      <c r="AC324" s="348">
        <f t="shared" ca="1" si="344"/>
        <v>0</v>
      </c>
      <c r="AD324" s="348">
        <f t="shared" ca="1" si="344"/>
        <v>0</v>
      </c>
      <c r="AE324" s="348">
        <f t="shared" ca="1" si="344"/>
        <v>0</v>
      </c>
      <c r="AF324" s="348">
        <f t="shared" ca="1" si="344"/>
        <v>0</v>
      </c>
      <c r="AG324" s="348">
        <f t="shared" ca="1" si="344"/>
        <v>0</v>
      </c>
      <c r="AH324" s="348">
        <f t="shared" ca="1" si="344"/>
        <v>0</v>
      </c>
      <c r="AI324" s="348">
        <f t="shared" ca="1" si="344"/>
        <v>0</v>
      </c>
      <c r="AJ324" s="348">
        <f t="shared" ca="1" si="344"/>
        <v>0</v>
      </c>
      <c r="AK324" s="348">
        <f t="shared" ca="1" si="344"/>
        <v>0</v>
      </c>
      <c r="AL324" s="348">
        <f t="shared" ca="1" si="344"/>
        <v>0</v>
      </c>
      <c r="AM324" s="348">
        <f t="shared" ca="1" si="344"/>
        <v>0</v>
      </c>
      <c r="AN324" s="348">
        <f t="shared" ca="1" si="344"/>
        <v>0</v>
      </c>
      <c r="AO324" s="348">
        <f t="shared" ca="1" si="344"/>
        <v>0</v>
      </c>
      <c r="AP324" s="348">
        <f t="shared" ca="1" si="344"/>
        <v>0</v>
      </c>
      <c r="AQ324" s="348">
        <f t="shared" ca="1" si="344"/>
        <v>0</v>
      </c>
      <c r="AR324" s="348">
        <f t="shared" ca="1" si="344"/>
        <v>0</v>
      </c>
      <c r="AS324" s="348">
        <f t="shared" ca="1" si="344"/>
        <v>0</v>
      </c>
      <c r="AT324" s="348">
        <f t="shared" ca="1" si="344"/>
        <v>0</v>
      </c>
      <c r="AU324" s="348">
        <f t="shared" ca="1" si="344"/>
        <v>0</v>
      </c>
      <c r="AV324" s="348">
        <f t="shared" ca="1" si="344"/>
        <v>0</v>
      </c>
      <c r="AW324" s="348">
        <f t="shared" ca="1" si="344"/>
        <v>0</v>
      </c>
      <c r="AX324" s="348">
        <f t="shared" ca="1" si="344"/>
        <v>0</v>
      </c>
      <c r="AY324" s="348">
        <f t="shared" ca="1" si="344"/>
        <v>0</v>
      </c>
      <c r="AZ324" s="348">
        <f t="shared" ca="1" si="344"/>
        <v>0</v>
      </c>
      <c r="BA324" s="348">
        <f t="shared" ca="1" si="344"/>
        <v>0</v>
      </c>
      <c r="BB324" s="348">
        <f t="shared" ca="1" si="344"/>
        <v>0</v>
      </c>
      <c r="BC324" s="348">
        <f t="shared" ca="1" si="344"/>
        <v>0</v>
      </c>
      <c r="BD324" s="348">
        <f t="shared" ca="1" si="344"/>
        <v>0</v>
      </c>
      <c r="BE324" s="348">
        <f t="shared" ca="1" si="344"/>
        <v>0</v>
      </c>
      <c r="BF324" s="348">
        <f t="shared" ca="1" si="344"/>
        <v>0</v>
      </c>
      <c r="BG324" s="348">
        <f t="shared" ca="1" si="344"/>
        <v>0</v>
      </c>
      <c r="BH324" s="348">
        <f t="shared" ca="1" si="344"/>
        <v>0</v>
      </c>
      <c r="BI324" s="348">
        <f t="shared" ca="1" si="344"/>
        <v>0</v>
      </c>
      <c r="BJ324" s="348">
        <f t="shared" ca="1" si="344"/>
        <v>0</v>
      </c>
      <c r="BK324" s="348">
        <f t="shared" ca="1" si="344"/>
        <v>0</v>
      </c>
      <c r="BL324" s="348">
        <f t="shared" ca="1" si="344"/>
        <v>0</v>
      </c>
      <c r="BM324" s="348">
        <f t="shared" ca="1" si="344"/>
        <v>0</v>
      </c>
      <c r="BN324" s="348">
        <f t="shared" ca="1" si="344"/>
        <v>0</v>
      </c>
      <c r="BO324" s="348">
        <f t="shared" ca="1" si="344"/>
        <v>0</v>
      </c>
      <c r="BP324" s="348">
        <f t="shared" ca="1" si="344"/>
        <v>0</v>
      </c>
      <c r="BQ324" s="348">
        <f t="shared" ca="1" si="344"/>
        <v>0</v>
      </c>
      <c r="BR324" s="348">
        <f t="shared" ca="1" si="344"/>
        <v>0</v>
      </c>
      <c r="BS324" s="348">
        <f t="shared" ca="1" si="344"/>
        <v>0</v>
      </c>
      <c r="BT324" s="348">
        <f t="shared" ca="1" si="344"/>
        <v>0</v>
      </c>
      <c r="BU324" s="348">
        <f t="shared" ref="BU324:EF324" ca="1" si="345">IF($E$326&gt;0,IF(AND(BU260&gt;=$E$329,BU260&lt;$E$330+1),10,0),IF(AND(BU260&gt;=$E$329-1,BU260&lt;$E$330-1),10,0))</f>
        <v>0</v>
      </c>
      <c r="BV324" s="348">
        <f t="shared" ca="1" si="345"/>
        <v>0</v>
      </c>
      <c r="BW324" s="348">
        <f t="shared" ca="1" si="345"/>
        <v>0</v>
      </c>
      <c r="BX324" s="348">
        <f t="shared" ca="1" si="345"/>
        <v>0</v>
      </c>
      <c r="BY324" s="348">
        <f t="shared" ca="1" si="345"/>
        <v>0</v>
      </c>
      <c r="BZ324" s="348">
        <f t="shared" ca="1" si="345"/>
        <v>0</v>
      </c>
      <c r="CA324" s="348">
        <f t="shared" ca="1" si="345"/>
        <v>0</v>
      </c>
      <c r="CB324" s="348">
        <f t="shared" ca="1" si="345"/>
        <v>0</v>
      </c>
      <c r="CC324" s="348">
        <f t="shared" ca="1" si="345"/>
        <v>0</v>
      </c>
      <c r="CD324" s="348">
        <f t="shared" ca="1" si="345"/>
        <v>0</v>
      </c>
      <c r="CE324" s="348">
        <f t="shared" ca="1" si="345"/>
        <v>0</v>
      </c>
      <c r="CF324" s="348">
        <f t="shared" ca="1" si="345"/>
        <v>0</v>
      </c>
      <c r="CG324" s="348">
        <f t="shared" ca="1" si="345"/>
        <v>0</v>
      </c>
      <c r="CH324" s="348">
        <f t="shared" ca="1" si="345"/>
        <v>0</v>
      </c>
      <c r="CI324" s="348">
        <f t="shared" ca="1" si="345"/>
        <v>0</v>
      </c>
      <c r="CJ324" s="348">
        <f t="shared" ca="1" si="345"/>
        <v>0</v>
      </c>
      <c r="CK324" s="348">
        <f t="shared" ca="1" si="345"/>
        <v>0</v>
      </c>
      <c r="CL324" s="348">
        <f t="shared" ca="1" si="345"/>
        <v>0</v>
      </c>
      <c r="CM324" s="348">
        <f t="shared" ca="1" si="345"/>
        <v>0</v>
      </c>
      <c r="CN324" s="348">
        <f t="shared" ca="1" si="345"/>
        <v>0</v>
      </c>
      <c r="CO324" s="348">
        <f t="shared" ca="1" si="345"/>
        <v>0</v>
      </c>
      <c r="CP324" s="348">
        <f t="shared" ca="1" si="345"/>
        <v>0</v>
      </c>
      <c r="CQ324" s="348">
        <f t="shared" ca="1" si="345"/>
        <v>0</v>
      </c>
      <c r="CR324" s="348">
        <f t="shared" ca="1" si="345"/>
        <v>0</v>
      </c>
      <c r="CS324" s="348">
        <f t="shared" ca="1" si="345"/>
        <v>0</v>
      </c>
      <c r="CT324" s="348">
        <f t="shared" ca="1" si="345"/>
        <v>0</v>
      </c>
      <c r="CU324" s="348">
        <f t="shared" ca="1" si="345"/>
        <v>0</v>
      </c>
      <c r="CV324" s="348">
        <f t="shared" ca="1" si="345"/>
        <v>0</v>
      </c>
      <c r="CW324" s="348">
        <f t="shared" ca="1" si="345"/>
        <v>0</v>
      </c>
      <c r="CX324" s="348">
        <f t="shared" ca="1" si="345"/>
        <v>0</v>
      </c>
      <c r="CY324" s="348">
        <f t="shared" ca="1" si="345"/>
        <v>0</v>
      </c>
      <c r="CZ324" s="348">
        <f t="shared" ca="1" si="345"/>
        <v>0</v>
      </c>
      <c r="DA324" s="348">
        <f t="shared" ca="1" si="345"/>
        <v>0</v>
      </c>
      <c r="DB324" s="348">
        <f t="shared" ca="1" si="345"/>
        <v>0</v>
      </c>
      <c r="DC324" s="348">
        <f t="shared" ca="1" si="345"/>
        <v>0</v>
      </c>
      <c r="DD324" s="348">
        <f t="shared" ca="1" si="345"/>
        <v>0</v>
      </c>
      <c r="DE324" s="348">
        <f t="shared" ca="1" si="345"/>
        <v>0</v>
      </c>
      <c r="DF324" s="348">
        <f t="shared" ca="1" si="345"/>
        <v>0</v>
      </c>
      <c r="DG324" s="348">
        <f t="shared" ca="1" si="345"/>
        <v>0</v>
      </c>
      <c r="DH324" s="348">
        <f t="shared" ca="1" si="345"/>
        <v>10</v>
      </c>
      <c r="DI324" s="348">
        <f t="shared" ca="1" si="345"/>
        <v>10</v>
      </c>
      <c r="DJ324" s="348">
        <f t="shared" ca="1" si="345"/>
        <v>10</v>
      </c>
      <c r="DK324" s="348">
        <f t="shared" ca="1" si="345"/>
        <v>10</v>
      </c>
      <c r="DL324" s="348">
        <f t="shared" ca="1" si="345"/>
        <v>10</v>
      </c>
      <c r="DM324" s="348">
        <f t="shared" ca="1" si="345"/>
        <v>10</v>
      </c>
      <c r="DN324" s="348">
        <f t="shared" ca="1" si="345"/>
        <v>10</v>
      </c>
      <c r="DO324" s="348">
        <f t="shared" ca="1" si="345"/>
        <v>10</v>
      </c>
      <c r="DP324" s="348">
        <f t="shared" ca="1" si="345"/>
        <v>10</v>
      </c>
      <c r="DQ324" s="348">
        <f t="shared" ca="1" si="345"/>
        <v>10</v>
      </c>
      <c r="DR324" s="348">
        <f t="shared" ca="1" si="345"/>
        <v>10</v>
      </c>
      <c r="DS324" s="348">
        <f t="shared" ca="1" si="345"/>
        <v>10</v>
      </c>
      <c r="DT324" s="348">
        <f t="shared" ca="1" si="345"/>
        <v>10</v>
      </c>
      <c r="DU324" s="348">
        <f t="shared" ca="1" si="345"/>
        <v>10</v>
      </c>
      <c r="DV324" s="348">
        <f t="shared" ca="1" si="345"/>
        <v>10</v>
      </c>
      <c r="DW324" s="348">
        <f t="shared" ca="1" si="345"/>
        <v>10</v>
      </c>
      <c r="DX324" s="348">
        <f t="shared" ca="1" si="345"/>
        <v>10</v>
      </c>
      <c r="DY324" s="348">
        <f t="shared" ca="1" si="345"/>
        <v>10</v>
      </c>
      <c r="DZ324" s="348">
        <f t="shared" ca="1" si="345"/>
        <v>10</v>
      </c>
      <c r="EA324" s="348">
        <f t="shared" ca="1" si="345"/>
        <v>10</v>
      </c>
      <c r="EB324" s="348">
        <f t="shared" ca="1" si="345"/>
        <v>10</v>
      </c>
      <c r="EC324" s="348">
        <f t="shared" ca="1" si="345"/>
        <v>10</v>
      </c>
      <c r="ED324" s="348">
        <f t="shared" ca="1" si="345"/>
        <v>10</v>
      </c>
      <c r="EE324" s="348">
        <f t="shared" ca="1" si="345"/>
        <v>10</v>
      </c>
      <c r="EF324" s="348">
        <f t="shared" ca="1" si="345"/>
        <v>10</v>
      </c>
      <c r="EG324" s="348">
        <f t="shared" ref="EG324:GR324" ca="1" si="346">IF($E$326&gt;0,IF(AND(EG260&gt;=$E$329,EG260&lt;$E$330+1),10,0),IF(AND(EG260&gt;=$E$329-1,EG260&lt;$E$330-1),10,0))</f>
        <v>10</v>
      </c>
      <c r="EH324" s="348">
        <f t="shared" ca="1" si="346"/>
        <v>10</v>
      </c>
      <c r="EI324" s="348">
        <f t="shared" ca="1" si="346"/>
        <v>10</v>
      </c>
      <c r="EJ324" s="348">
        <f t="shared" ca="1" si="346"/>
        <v>10</v>
      </c>
      <c r="EK324" s="348">
        <f t="shared" ca="1" si="346"/>
        <v>0</v>
      </c>
      <c r="EL324" s="348">
        <f t="shared" ca="1" si="346"/>
        <v>0</v>
      </c>
      <c r="EM324" s="348">
        <f t="shared" ca="1" si="346"/>
        <v>0</v>
      </c>
      <c r="EN324" s="348">
        <f t="shared" ca="1" si="346"/>
        <v>0</v>
      </c>
      <c r="EO324" s="348">
        <f t="shared" ca="1" si="346"/>
        <v>0</v>
      </c>
      <c r="EP324" s="348">
        <f t="shared" ca="1" si="346"/>
        <v>0</v>
      </c>
      <c r="EQ324" s="348">
        <f t="shared" ca="1" si="346"/>
        <v>0</v>
      </c>
      <c r="ER324" s="348">
        <f t="shared" ca="1" si="346"/>
        <v>0</v>
      </c>
      <c r="ES324" s="348">
        <f t="shared" ca="1" si="346"/>
        <v>0</v>
      </c>
      <c r="ET324" s="348">
        <f t="shared" ca="1" si="346"/>
        <v>0</v>
      </c>
      <c r="EU324" s="348">
        <f t="shared" ca="1" si="346"/>
        <v>0</v>
      </c>
      <c r="EV324" s="348">
        <f t="shared" ca="1" si="346"/>
        <v>0</v>
      </c>
      <c r="EW324" s="348">
        <f t="shared" ca="1" si="346"/>
        <v>0</v>
      </c>
      <c r="EX324" s="348">
        <f t="shared" ca="1" si="346"/>
        <v>0</v>
      </c>
      <c r="EY324" s="348">
        <f t="shared" ca="1" si="346"/>
        <v>0</v>
      </c>
      <c r="EZ324" s="348">
        <f t="shared" ca="1" si="346"/>
        <v>0</v>
      </c>
      <c r="FA324" s="348">
        <f t="shared" ca="1" si="346"/>
        <v>0</v>
      </c>
      <c r="FB324" s="348">
        <f t="shared" ca="1" si="346"/>
        <v>0</v>
      </c>
      <c r="FC324" s="348">
        <f t="shared" ca="1" si="346"/>
        <v>0</v>
      </c>
      <c r="FD324" s="348">
        <f t="shared" ca="1" si="346"/>
        <v>0</v>
      </c>
      <c r="FE324" s="348">
        <f t="shared" ca="1" si="346"/>
        <v>0</v>
      </c>
      <c r="FF324" s="348">
        <f t="shared" ca="1" si="346"/>
        <v>0</v>
      </c>
      <c r="FG324" s="348">
        <f t="shared" ca="1" si="346"/>
        <v>0</v>
      </c>
      <c r="FH324" s="348">
        <f t="shared" ca="1" si="346"/>
        <v>0</v>
      </c>
      <c r="FI324" s="348">
        <f t="shared" ca="1" si="346"/>
        <v>0</v>
      </c>
      <c r="FJ324" s="348">
        <f t="shared" ca="1" si="346"/>
        <v>0</v>
      </c>
      <c r="FK324" s="348">
        <f t="shared" ca="1" si="346"/>
        <v>0</v>
      </c>
      <c r="FL324" s="348">
        <f t="shared" ca="1" si="346"/>
        <v>0</v>
      </c>
      <c r="FM324" s="348">
        <f t="shared" ca="1" si="346"/>
        <v>0</v>
      </c>
      <c r="FN324" s="348">
        <f t="shared" ca="1" si="346"/>
        <v>0</v>
      </c>
      <c r="FO324" s="348">
        <f t="shared" ca="1" si="346"/>
        <v>0</v>
      </c>
      <c r="FP324" s="348">
        <f t="shared" ca="1" si="346"/>
        <v>0</v>
      </c>
      <c r="FQ324" s="348">
        <f t="shared" ca="1" si="346"/>
        <v>0</v>
      </c>
      <c r="FR324" s="348">
        <f t="shared" ca="1" si="346"/>
        <v>0</v>
      </c>
      <c r="FS324" s="348">
        <f t="shared" ca="1" si="346"/>
        <v>0</v>
      </c>
      <c r="FT324" s="348">
        <f t="shared" ca="1" si="346"/>
        <v>0</v>
      </c>
      <c r="FU324" s="348">
        <f t="shared" ca="1" si="346"/>
        <v>0</v>
      </c>
      <c r="FV324" s="348">
        <f t="shared" ca="1" si="346"/>
        <v>0</v>
      </c>
      <c r="FW324" s="348">
        <f t="shared" ca="1" si="346"/>
        <v>0</v>
      </c>
      <c r="FX324" s="348">
        <f t="shared" ca="1" si="346"/>
        <v>0</v>
      </c>
      <c r="FY324" s="348">
        <f t="shared" ca="1" si="346"/>
        <v>0</v>
      </c>
      <c r="FZ324" s="348">
        <f t="shared" ca="1" si="346"/>
        <v>0</v>
      </c>
      <c r="GA324" s="348">
        <f t="shared" ca="1" si="346"/>
        <v>0</v>
      </c>
      <c r="GB324" s="348">
        <f t="shared" ca="1" si="346"/>
        <v>0</v>
      </c>
      <c r="GC324" s="348">
        <f t="shared" ca="1" si="346"/>
        <v>0</v>
      </c>
      <c r="GD324" s="348">
        <f t="shared" ca="1" si="346"/>
        <v>0</v>
      </c>
      <c r="GE324" s="348">
        <f t="shared" ca="1" si="346"/>
        <v>0</v>
      </c>
      <c r="GF324" s="348">
        <f t="shared" ca="1" si="346"/>
        <v>0</v>
      </c>
      <c r="GG324" s="348">
        <f t="shared" ca="1" si="346"/>
        <v>0</v>
      </c>
      <c r="GH324" s="348">
        <f t="shared" ca="1" si="346"/>
        <v>0</v>
      </c>
      <c r="GI324" s="348">
        <f t="shared" ca="1" si="346"/>
        <v>0</v>
      </c>
      <c r="GJ324" s="348">
        <f t="shared" ca="1" si="346"/>
        <v>0</v>
      </c>
      <c r="GK324" s="348">
        <f t="shared" ca="1" si="346"/>
        <v>0</v>
      </c>
      <c r="GL324" s="348">
        <f t="shared" ca="1" si="346"/>
        <v>0</v>
      </c>
      <c r="GM324" s="348">
        <f t="shared" ca="1" si="346"/>
        <v>0</v>
      </c>
      <c r="GN324" s="348">
        <f t="shared" ca="1" si="346"/>
        <v>0</v>
      </c>
      <c r="GO324" s="348">
        <f t="shared" ca="1" si="346"/>
        <v>0</v>
      </c>
      <c r="GP324" s="348">
        <f t="shared" ca="1" si="346"/>
        <v>0</v>
      </c>
      <c r="GQ324" s="348">
        <f t="shared" ca="1" si="346"/>
        <v>0</v>
      </c>
      <c r="GR324" s="348">
        <f t="shared" ca="1" si="346"/>
        <v>0</v>
      </c>
      <c r="GS324" s="348">
        <f t="shared" ref="GS324:IK324" ca="1" si="347">IF($E$326&gt;0,IF(AND(GS260&gt;=$E$329,GS260&lt;$E$330+1),10,0),IF(AND(GS260&gt;=$E$329-1,GS260&lt;$E$330-1),10,0))</f>
        <v>0</v>
      </c>
      <c r="GT324" s="348">
        <f t="shared" ca="1" si="347"/>
        <v>0</v>
      </c>
      <c r="GU324" s="348">
        <f t="shared" ca="1" si="347"/>
        <v>0</v>
      </c>
      <c r="GV324" s="348">
        <f t="shared" ca="1" si="347"/>
        <v>0</v>
      </c>
      <c r="GW324" s="348">
        <f t="shared" ca="1" si="347"/>
        <v>0</v>
      </c>
      <c r="GX324" s="348">
        <f t="shared" ca="1" si="347"/>
        <v>0</v>
      </c>
      <c r="GY324" s="348">
        <f t="shared" ca="1" si="347"/>
        <v>0</v>
      </c>
      <c r="GZ324" s="348">
        <f t="shared" ca="1" si="347"/>
        <v>0</v>
      </c>
      <c r="HA324" s="348">
        <f t="shared" ca="1" si="347"/>
        <v>0</v>
      </c>
      <c r="HB324" s="348">
        <f t="shared" ca="1" si="347"/>
        <v>0</v>
      </c>
      <c r="HC324" s="348">
        <f t="shared" ca="1" si="347"/>
        <v>0</v>
      </c>
      <c r="HD324" s="348">
        <f t="shared" ca="1" si="347"/>
        <v>0</v>
      </c>
      <c r="HE324" s="348">
        <f t="shared" ca="1" si="347"/>
        <v>0</v>
      </c>
      <c r="HF324" s="348">
        <f t="shared" ca="1" si="347"/>
        <v>0</v>
      </c>
      <c r="HG324" s="348">
        <f t="shared" ca="1" si="347"/>
        <v>0</v>
      </c>
      <c r="HH324" s="348">
        <f t="shared" ca="1" si="347"/>
        <v>0</v>
      </c>
      <c r="HI324" s="348">
        <f t="shared" ca="1" si="347"/>
        <v>0</v>
      </c>
      <c r="HJ324" s="348">
        <f t="shared" ca="1" si="347"/>
        <v>0</v>
      </c>
      <c r="HK324" s="348">
        <f t="shared" ca="1" si="347"/>
        <v>0</v>
      </c>
      <c r="HL324" s="348">
        <f t="shared" ca="1" si="347"/>
        <v>0</v>
      </c>
      <c r="HM324" s="348">
        <f t="shared" ca="1" si="347"/>
        <v>0</v>
      </c>
      <c r="HN324" s="348">
        <f t="shared" ca="1" si="347"/>
        <v>0</v>
      </c>
      <c r="HO324" s="348">
        <f t="shared" ca="1" si="347"/>
        <v>0</v>
      </c>
      <c r="HP324" s="348">
        <f t="shared" ca="1" si="347"/>
        <v>0</v>
      </c>
      <c r="HQ324" s="348">
        <f t="shared" ca="1" si="347"/>
        <v>0</v>
      </c>
      <c r="HR324" s="348">
        <f t="shared" ca="1" si="347"/>
        <v>0</v>
      </c>
      <c r="HS324" s="348">
        <f t="shared" ca="1" si="347"/>
        <v>0</v>
      </c>
      <c r="HT324" s="348">
        <f t="shared" ca="1" si="347"/>
        <v>0</v>
      </c>
      <c r="HU324" s="348">
        <f t="shared" ca="1" si="347"/>
        <v>0</v>
      </c>
      <c r="HV324" s="348">
        <f t="shared" ca="1" si="347"/>
        <v>0</v>
      </c>
      <c r="HW324" s="348">
        <f t="shared" ca="1" si="347"/>
        <v>0</v>
      </c>
      <c r="HX324" s="348">
        <f t="shared" ca="1" si="347"/>
        <v>0</v>
      </c>
      <c r="HY324" s="348">
        <f t="shared" ca="1" si="347"/>
        <v>0</v>
      </c>
      <c r="HZ324" s="348">
        <f t="shared" ca="1" si="347"/>
        <v>0</v>
      </c>
      <c r="IA324" s="348">
        <f t="shared" ca="1" si="347"/>
        <v>0</v>
      </c>
      <c r="IB324" s="348">
        <f t="shared" ca="1" si="347"/>
        <v>0</v>
      </c>
      <c r="IC324" s="348">
        <f t="shared" ca="1" si="347"/>
        <v>0</v>
      </c>
      <c r="ID324" s="348">
        <f t="shared" ca="1" si="347"/>
        <v>0</v>
      </c>
      <c r="IE324" s="348">
        <f t="shared" ca="1" si="347"/>
        <v>0</v>
      </c>
      <c r="IF324" s="348">
        <f t="shared" ca="1" si="347"/>
        <v>0</v>
      </c>
      <c r="IG324" s="348">
        <f t="shared" ca="1" si="347"/>
        <v>0</v>
      </c>
      <c r="IH324" s="348">
        <f t="shared" ca="1" si="347"/>
        <v>0</v>
      </c>
      <c r="II324" s="348">
        <f t="shared" ca="1" si="347"/>
        <v>0</v>
      </c>
      <c r="IJ324" s="348">
        <f t="shared" ca="1" si="347"/>
        <v>0</v>
      </c>
      <c r="IK324" s="348">
        <f t="shared" ca="1" si="347"/>
        <v>0</v>
      </c>
    </row>
    <row r="325" spans="1:245" hidden="1" x14ac:dyDescent="0.35">
      <c r="A325" s="195"/>
      <c r="B325" s="5"/>
      <c r="C325" s="630" t="s">
        <v>1588</v>
      </c>
      <c r="D325" s="467">
        <f ca="1">IF(AND(ENTRADAS!$C$397="X",F282=0),IF($CV$5=1,IF((E198-D297+ENTRADAS!BS403)&gt;0,0,IF(D296&lt;D295,0,IF($J$3=0,0,D302+1))),IF($CV$5=2,IF((E198-D297+ENTRADAS!BS403)&gt;0,0,IF(D296&lt;D295,0,IF($J$3=0,0,IF(D243-D258&lt;D302-(D294/100*D300),D302-(D294/100*D300),D243-D258)))),IF($CV$5=3,IF((E198-D297+ENTRADAS!BS403)&gt;0,0,IF(D296&lt;D295,0,IF($J$3=0,0,D243-D258))),IF($CV$5=4,IF(D295=D296,D302+1-D342,IF(D296&gt;D295,D433-D324+D342,0)))))),IF($CV$5=1,IF(F282&gt;0,0,IF(D296&lt;D295,0,IF($J$3=0,0,D302+1))),IF($CV$5=2,IF(F282&gt;0,0,IF(D296&lt;D295,0,IF($J$3=0,0,IF(D243-D258&lt;D302-(D294/100*D300),D302-(D294/100*D300),D243-D258)))),IF($CV$5=3,IF(F282&gt;0,0,IF(D296&lt;D295,0,IF($J$3=0,0,D243-D258))),IF($CV$5=4,IF(D295=D296,D302+1-D342,IF(D296&gt;D295,D433-D324+D342,0)))))))</f>
        <v>46017.737500000003</v>
      </c>
      <c r="E325" s="32">
        <f ca="1">IF($CV$5=1,IF(D325=0,0,E302+1),IF($CV$5=2,IF(D325=0,0,IF(E243-D258&lt;E302-(D294/100*D300),E302-(D294/100*D300),E243-D258)),IF($CV$5=3,IF(D325=0,0,E243-D258),IF($CV$5=4,IF(D295=D296,E302+1,IF(D296&gt;D295,E433-D324+D342,0))))))</f>
        <v>100.7375</v>
      </c>
    </row>
    <row r="326" spans="1:245" hidden="1" x14ac:dyDescent="0.35">
      <c r="A326" s="195"/>
      <c r="B326" s="5"/>
      <c r="C326" s="630" t="s">
        <v>1589</v>
      </c>
      <c r="D326" s="467">
        <f>IF(AND(ENTRADAS!$C$397="X",F282=0),IF((E198-D297+ENTRADAS!BS403)=0,0,IF(ENTRADAS!$F$22=0,0,IF($J$3=0,0,$J$3+(E198-D297+ENTRADAS!BS403)-1))),IF(F282=0,0,IF(ENTRADAS!$F$22=0,0,IF($J$3=0,0,$J$3+F282-1))))</f>
        <v>0</v>
      </c>
      <c r="E326" s="631">
        <f>IF(AND(ENTRADAS!$C$397="X",F282=0),(E198-D297+ENTRADAS!BS403),F282)</f>
        <v>0</v>
      </c>
      <c r="G326" s="482">
        <f ca="1">IF(D314=0,1000+D297,D314)</f>
        <v>46919</v>
      </c>
    </row>
    <row r="327" spans="1:245" hidden="1" x14ac:dyDescent="0.35">
      <c r="A327" s="195"/>
      <c r="B327" s="5"/>
      <c r="C327" s="630" t="s">
        <v>1590</v>
      </c>
      <c r="D327" s="467">
        <f ca="1">IF(D325=0,0,D325+D324-1)</f>
        <v>46045.737500000003</v>
      </c>
      <c r="E327" s="630">
        <f ca="1">IF(AND(ENTRADAS!$C$397="X",F282=0),IF((E198-D297+ENTRADAS!BS403)&gt;0,0,D324+E325),IF(F282&gt;0,0,D324+E325))</f>
        <v>129.73750000000001</v>
      </c>
      <c r="G327" s="471">
        <f ca="1">IF(D306+D307=0,1000+D297,LARGE(D306:D307,1))</f>
        <v>46919</v>
      </c>
    </row>
    <row r="328" spans="1:245" hidden="1" x14ac:dyDescent="0.35">
      <c r="A328" s="195"/>
      <c r="B328" s="5"/>
      <c r="C328" s="630" t="s">
        <v>1591</v>
      </c>
      <c r="D328" s="467">
        <f>IF(AND(ENTRADAS!$C$397="X",F282=0),IF((E198-D297+ENTRADAS!BS403)=0,0,IF(ENTRADAS!$F$22=0,0,IF($J$3=0,0,$J$3+(E198-D297+ENTRADAS!BS403)+D324-2))),IF(F282=0,0,IF(ENTRADAS!$F$22=0,0,IF($J$3=0,0,$J$3+F282+D324-2))))</f>
        <v>0</v>
      </c>
      <c r="E328" s="631">
        <f>IF(AND(ENTRADAS!$C$397="X",F282=0),IF((E198-D297+ENTRADAS!BS403)=0,0,(E198-D297+ENTRADAS!BS403)+D324-1),IF(F282=0,0,F282+D324-1))</f>
        <v>0</v>
      </c>
      <c r="G328" s="471">
        <f ca="1">IF(D318=0,1000+D297,D318)</f>
        <v>46919</v>
      </c>
    </row>
    <row r="329" spans="1:245" hidden="1" x14ac:dyDescent="0.35">
      <c r="A329" s="195"/>
      <c r="B329" s="5"/>
      <c r="C329" s="630" t="s">
        <v>1592</v>
      </c>
      <c r="D329" s="467">
        <f ca="1">D325+D326</f>
        <v>46017.737500000003</v>
      </c>
      <c r="E329" s="385">
        <f ca="1">E325+E326</f>
        <v>100.7375</v>
      </c>
      <c r="G329" s="471">
        <f ca="1">SMALL(G326:G328,1)</f>
        <v>46919</v>
      </c>
    </row>
    <row r="330" spans="1:245" hidden="1" x14ac:dyDescent="0.35">
      <c r="A330" s="195"/>
      <c r="B330" s="5"/>
      <c r="C330" s="630" t="s">
        <v>1594</v>
      </c>
      <c r="D330" s="467">
        <f ca="1">D327+D328</f>
        <v>46045.737500000003</v>
      </c>
      <c r="E330" s="385">
        <f ca="1">E327+E328</f>
        <v>129.73750000000001</v>
      </c>
    </row>
    <row r="331" spans="1:245" ht="4.5" hidden="1" customHeight="1" x14ac:dyDescent="0.35">
      <c r="A331" s="195"/>
      <c r="B331" s="5"/>
      <c r="C331" s="627"/>
      <c r="D331" s="474"/>
      <c r="E331" s="450"/>
    </row>
    <row r="332" spans="1:245" ht="4.5" hidden="1" customHeight="1" x14ac:dyDescent="0.35">
      <c r="A332" s="195"/>
      <c r="B332" s="5"/>
      <c r="C332" s="627"/>
      <c r="D332" s="474"/>
      <c r="E332" s="450"/>
    </row>
    <row r="333" spans="1:245" ht="4.5" hidden="1" customHeight="1" x14ac:dyDescent="0.35">
      <c r="A333" s="195"/>
      <c r="B333" s="5"/>
    </row>
    <row r="334" spans="1:245" ht="4.5" hidden="1" customHeight="1" x14ac:dyDescent="0.35">
      <c r="A334" s="195"/>
      <c r="B334" s="5"/>
    </row>
    <row r="335" spans="1:245" hidden="1" x14ac:dyDescent="0.35">
      <c r="A335" s="195"/>
      <c r="B335" s="5"/>
      <c r="C335" s="630" t="s">
        <v>1595</v>
      </c>
      <c r="D335" s="468">
        <f ca="1">IF(ENTRADAS!$F$22=0,0,LAJES!$H$116/D296)</f>
        <v>0</v>
      </c>
      <c r="E335" s="32"/>
      <c r="G335" s="471">
        <f>D315</f>
        <v>0</v>
      </c>
      <c r="H335" s="348">
        <f ca="1">IF(AND(H260&gt;=$E$340,H260&lt;$E$341+1),10,0)</f>
        <v>0</v>
      </c>
      <c r="I335" s="348">
        <f t="shared" ref="I335:BT335" ca="1" si="348">IF(AND(I260&gt;=$E$340,I260&lt;$E$341+1),10,0)</f>
        <v>0</v>
      </c>
      <c r="J335" s="348">
        <f t="shared" ca="1" si="348"/>
        <v>0</v>
      </c>
      <c r="K335" s="348">
        <f t="shared" ca="1" si="348"/>
        <v>0</v>
      </c>
      <c r="L335" s="348">
        <f t="shared" ca="1" si="348"/>
        <v>0</v>
      </c>
      <c r="M335" s="348">
        <f t="shared" ca="1" si="348"/>
        <v>0</v>
      </c>
      <c r="N335" s="348">
        <f t="shared" ca="1" si="348"/>
        <v>0</v>
      </c>
      <c r="O335" s="348">
        <f t="shared" ca="1" si="348"/>
        <v>0</v>
      </c>
      <c r="P335" s="348">
        <f t="shared" ca="1" si="348"/>
        <v>0</v>
      </c>
      <c r="Q335" s="348">
        <f t="shared" ca="1" si="348"/>
        <v>0</v>
      </c>
      <c r="R335" s="348">
        <f t="shared" ca="1" si="348"/>
        <v>0</v>
      </c>
      <c r="S335" s="348">
        <f t="shared" ca="1" si="348"/>
        <v>0</v>
      </c>
      <c r="T335" s="348">
        <f t="shared" ca="1" si="348"/>
        <v>0</v>
      </c>
      <c r="U335" s="348">
        <f t="shared" ca="1" si="348"/>
        <v>0</v>
      </c>
      <c r="V335" s="348">
        <f t="shared" ca="1" si="348"/>
        <v>0</v>
      </c>
      <c r="W335" s="348">
        <f t="shared" ca="1" si="348"/>
        <v>0</v>
      </c>
      <c r="X335" s="348">
        <f t="shared" ca="1" si="348"/>
        <v>0</v>
      </c>
      <c r="Y335" s="348">
        <f t="shared" ca="1" si="348"/>
        <v>0</v>
      </c>
      <c r="Z335" s="348">
        <f t="shared" ca="1" si="348"/>
        <v>0</v>
      </c>
      <c r="AA335" s="348">
        <f t="shared" ca="1" si="348"/>
        <v>0</v>
      </c>
      <c r="AB335" s="348">
        <f t="shared" ca="1" si="348"/>
        <v>0</v>
      </c>
      <c r="AC335" s="348">
        <f t="shared" ca="1" si="348"/>
        <v>0</v>
      </c>
      <c r="AD335" s="348">
        <f t="shared" ca="1" si="348"/>
        <v>0</v>
      </c>
      <c r="AE335" s="348">
        <f t="shared" ca="1" si="348"/>
        <v>0</v>
      </c>
      <c r="AF335" s="348">
        <f t="shared" ca="1" si="348"/>
        <v>0</v>
      </c>
      <c r="AG335" s="348">
        <f t="shared" ca="1" si="348"/>
        <v>0</v>
      </c>
      <c r="AH335" s="348">
        <f t="shared" ca="1" si="348"/>
        <v>0</v>
      </c>
      <c r="AI335" s="348">
        <f t="shared" ca="1" si="348"/>
        <v>0</v>
      </c>
      <c r="AJ335" s="348">
        <f t="shared" ca="1" si="348"/>
        <v>0</v>
      </c>
      <c r="AK335" s="348">
        <f t="shared" ca="1" si="348"/>
        <v>0</v>
      </c>
      <c r="AL335" s="348">
        <f t="shared" ca="1" si="348"/>
        <v>0</v>
      </c>
      <c r="AM335" s="348">
        <f t="shared" ca="1" si="348"/>
        <v>0</v>
      </c>
      <c r="AN335" s="348">
        <f t="shared" ca="1" si="348"/>
        <v>0</v>
      </c>
      <c r="AO335" s="348">
        <f t="shared" ca="1" si="348"/>
        <v>0</v>
      </c>
      <c r="AP335" s="348">
        <f t="shared" ca="1" si="348"/>
        <v>0</v>
      </c>
      <c r="AQ335" s="348">
        <f t="shared" ca="1" si="348"/>
        <v>0</v>
      </c>
      <c r="AR335" s="348">
        <f t="shared" ca="1" si="348"/>
        <v>0</v>
      </c>
      <c r="AS335" s="348">
        <f t="shared" ca="1" si="348"/>
        <v>0</v>
      </c>
      <c r="AT335" s="348">
        <f t="shared" ca="1" si="348"/>
        <v>0</v>
      </c>
      <c r="AU335" s="348">
        <f t="shared" ca="1" si="348"/>
        <v>0</v>
      </c>
      <c r="AV335" s="348">
        <f t="shared" ca="1" si="348"/>
        <v>0</v>
      </c>
      <c r="AW335" s="348">
        <f t="shared" ca="1" si="348"/>
        <v>0</v>
      </c>
      <c r="AX335" s="348">
        <f t="shared" ca="1" si="348"/>
        <v>0</v>
      </c>
      <c r="AY335" s="348">
        <f t="shared" ca="1" si="348"/>
        <v>0</v>
      </c>
      <c r="AZ335" s="348">
        <f t="shared" ca="1" si="348"/>
        <v>0</v>
      </c>
      <c r="BA335" s="348">
        <f t="shared" ca="1" si="348"/>
        <v>0</v>
      </c>
      <c r="BB335" s="348">
        <f t="shared" ca="1" si="348"/>
        <v>0</v>
      </c>
      <c r="BC335" s="348">
        <f t="shared" ca="1" si="348"/>
        <v>0</v>
      </c>
      <c r="BD335" s="348">
        <f t="shared" ca="1" si="348"/>
        <v>0</v>
      </c>
      <c r="BE335" s="348">
        <f t="shared" ca="1" si="348"/>
        <v>0</v>
      </c>
      <c r="BF335" s="348">
        <f t="shared" ca="1" si="348"/>
        <v>0</v>
      </c>
      <c r="BG335" s="348">
        <f t="shared" ca="1" si="348"/>
        <v>0</v>
      </c>
      <c r="BH335" s="348">
        <f t="shared" ca="1" si="348"/>
        <v>0</v>
      </c>
      <c r="BI335" s="348">
        <f t="shared" ca="1" si="348"/>
        <v>0</v>
      </c>
      <c r="BJ335" s="348">
        <f t="shared" ca="1" si="348"/>
        <v>0</v>
      </c>
      <c r="BK335" s="348">
        <f t="shared" ca="1" si="348"/>
        <v>0</v>
      </c>
      <c r="BL335" s="348">
        <f t="shared" ca="1" si="348"/>
        <v>0</v>
      </c>
      <c r="BM335" s="348">
        <f t="shared" ca="1" si="348"/>
        <v>0</v>
      </c>
      <c r="BN335" s="348">
        <f t="shared" ca="1" si="348"/>
        <v>0</v>
      </c>
      <c r="BO335" s="348">
        <f t="shared" ca="1" si="348"/>
        <v>0</v>
      </c>
      <c r="BP335" s="348">
        <f t="shared" ca="1" si="348"/>
        <v>0</v>
      </c>
      <c r="BQ335" s="348">
        <f t="shared" ca="1" si="348"/>
        <v>0</v>
      </c>
      <c r="BR335" s="348">
        <f t="shared" ca="1" si="348"/>
        <v>0</v>
      </c>
      <c r="BS335" s="348">
        <f t="shared" ca="1" si="348"/>
        <v>0</v>
      </c>
      <c r="BT335" s="348">
        <f t="shared" ca="1" si="348"/>
        <v>0</v>
      </c>
      <c r="BU335" s="348">
        <f t="shared" ref="BU335:EF335" ca="1" si="349">IF(AND(BU260&gt;=$E$340,BU260&lt;$E$341+1),10,0)</f>
        <v>0</v>
      </c>
      <c r="BV335" s="348">
        <f t="shared" ca="1" si="349"/>
        <v>0</v>
      </c>
      <c r="BW335" s="348">
        <f t="shared" ca="1" si="349"/>
        <v>0</v>
      </c>
      <c r="BX335" s="348">
        <f t="shared" ca="1" si="349"/>
        <v>0</v>
      </c>
      <c r="BY335" s="348">
        <f t="shared" ca="1" si="349"/>
        <v>0</v>
      </c>
      <c r="BZ335" s="348">
        <f t="shared" ca="1" si="349"/>
        <v>0</v>
      </c>
      <c r="CA335" s="348">
        <f t="shared" ca="1" si="349"/>
        <v>0</v>
      </c>
      <c r="CB335" s="348">
        <f t="shared" ca="1" si="349"/>
        <v>0</v>
      </c>
      <c r="CC335" s="348">
        <f t="shared" ca="1" si="349"/>
        <v>0</v>
      </c>
      <c r="CD335" s="348">
        <f t="shared" ca="1" si="349"/>
        <v>0</v>
      </c>
      <c r="CE335" s="348">
        <f t="shared" ca="1" si="349"/>
        <v>0</v>
      </c>
      <c r="CF335" s="348">
        <f t="shared" ca="1" si="349"/>
        <v>0</v>
      </c>
      <c r="CG335" s="348">
        <f t="shared" ca="1" si="349"/>
        <v>0</v>
      </c>
      <c r="CH335" s="348">
        <f t="shared" ca="1" si="349"/>
        <v>0</v>
      </c>
      <c r="CI335" s="348">
        <f t="shared" ca="1" si="349"/>
        <v>0</v>
      </c>
      <c r="CJ335" s="348">
        <f t="shared" ca="1" si="349"/>
        <v>0</v>
      </c>
      <c r="CK335" s="348">
        <f t="shared" ca="1" si="349"/>
        <v>0</v>
      </c>
      <c r="CL335" s="348">
        <f t="shared" ca="1" si="349"/>
        <v>0</v>
      </c>
      <c r="CM335" s="348">
        <f t="shared" ca="1" si="349"/>
        <v>0</v>
      </c>
      <c r="CN335" s="348">
        <f t="shared" ca="1" si="349"/>
        <v>0</v>
      </c>
      <c r="CO335" s="348">
        <f t="shared" ca="1" si="349"/>
        <v>0</v>
      </c>
      <c r="CP335" s="348">
        <f t="shared" ca="1" si="349"/>
        <v>0</v>
      </c>
      <c r="CQ335" s="348">
        <f t="shared" ca="1" si="349"/>
        <v>0</v>
      </c>
      <c r="CR335" s="348">
        <f t="shared" ca="1" si="349"/>
        <v>0</v>
      </c>
      <c r="CS335" s="348">
        <f t="shared" ca="1" si="349"/>
        <v>0</v>
      </c>
      <c r="CT335" s="348">
        <f t="shared" ca="1" si="349"/>
        <v>0</v>
      </c>
      <c r="CU335" s="348">
        <f t="shared" ca="1" si="349"/>
        <v>0</v>
      </c>
      <c r="CV335" s="348">
        <f t="shared" ca="1" si="349"/>
        <v>0</v>
      </c>
      <c r="CW335" s="348">
        <f t="shared" ca="1" si="349"/>
        <v>0</v>
      </c>
      <c r="CX335" s="348">
        <f t="shared" ca="1" si="349"/>
        <v>0</v>
      </c>
      <c r="CY335" s="348">
        <f t="shared" ca="1" si="349"/>
        <v>0</v>
      </c>
      <c r="CZ335" s="348">
        <f t="shared" ca="1" si="349"/>
        <v>0</v>
      </c>
      <c r="DA335" s="348">
        <f t="shared" ca="1" si="349"/>
        <v>0</v>
      </c>
      <c r="DB335" s="348">
        <f t="shared" ca="1" si="349"/>
        <v>0</v>
      </c>
      <c r="DC335" s="348">
        <f t="shared" ca="1" si="349"/>
        <v>0</v>
      </c>
      <c r="DD335" s="348">
        <f t="shared" ca="1" si="349"/>
        <v>0</v>
      </c>
      <c r="DE335" s="348">
        <f t="shared" ca="1" si="349"/>
        <v>0</v>
      </c>
      <c r="DF335" s="348">
        <f t="shared" ca="1" si="349"/>
        <v>0</v>
      </c>
      <c r="DG335" s="348">
        <f t="shared" ca="1" si="349"/>
        <v>0</v>
      </c>
      <c r="DH335" s="348">
        <f t="shared" ca="1" si="349"/>
        <v>0</v>
      </c>
      <c r="DI335" s="348">
        <f t="shared" ca="1" si="349"/>
        <v>0</v>
      </c>
      <c r="DJ335" s="348">
        <f t="shared" ca="1" si="349"/>
        <v>0</v>
      </c>
      <c r="DK335" s="348">
        <f t="shared" ca="1" si="349"/>
        <v>0</v>
      </c>
      <c r="DL335" s="348">
        <f t="shared" ca="1" si="349"/>
        <v>0</v>
      </c>
      <c r="DM335" s="348">
        <f t="shared" ca="1" si="349"/>
        <v>0</v>
      </c>
      <c r="DN335" s="348">
        <f t="shared" ca="1" si="349"/>
        <v>0</v>
      </c>
      <c r="DO335" s="348">
        <f t="shared" ca="1" si="349"/>
        <v>0</v>
      </c>
      <c r="DP335" s="348">
        <f t="shared" ca="1" si="349"/>
        <v>0</v>
      </c>
      <c r="DQ335" s="348">
        <f t="shared" ca="1" si="349"/>
        <v>0</v>
      </c>
      <c r="DR335" s="348">
        <f t="shared" ca="1" si="349"/>
        <v>0</v>
      </c>
      <c r="DS335" s="348">
        <f t="shared" ca="1" si="349"/>
        <v>0</v>
      </c>
      <c r="DT335" s="348">
        <f t="shared" ca="1" si="349"/>
        <v>0</v>
      </c>
      <c r="DU335" s="348">
        <f t="shared" ca="1" si="349"/>
        <v>0</v>
      </c>
      <c r="DV335" s="348">
        <f t="shared" ca="1" si="349"/>
        <v>0</v>
      </c>
      <c r="DW335" s="348">
        <f t="shared" ca="1" si="349"/>
        <v>0</v>
      </c>
      <c r="DX335" s="348">
        <f t="shared" ca="1" si="349"/>
        <v>0</v>
      </c>
      <c r="DY335" s="348">
        <f t="shared" ca="1" si="349"/>
        <v>0</v>
      </c>
      <c r="DZ335" s="348">
        <f t="shared" ca="1" si="349"/>
        <v>0</v>
      </c>
      <c r="EA335" s="348">
        <f t="shared" ca="1" si="349"/>
        <v>0</v>
      </c>
      <c r="EB335" s="348">
        <f t="shared" ca="1" si="349"/>
        <v>0</v>
      </c>
      <c r="EC335" s="348">
        <f t="shared" ca="1" si="349"/>
        <v>0</v>
      </c>
      <c r="ED335" s="348">
        <f t="shared" ca="1" si="349"/>
        <v>0</v>
      </c>
      <c r="EE335" s="348">
        <f t="shared" ca="1" si="349"/>
        <v>0</v>
      </c>
      <c r="EF335" s="348">
        <f t="shared" ca="1" si="349"/>
        <v>0</v>
      </c>
      <c r="EG335" s="348">
        <f t="shared" ref="EG335:GR335" ca="1" si="350">IF(AND(EG260&gt;=$E$340,EG260&lt;$E$341+1),10,0)</f>
        <v>0</v>
      </c>
      <c r="EH335" s="348">
        <f t="shared" ca="1" si="350"/>
        <v>0</v>
      </c>
      <c r="EI335" s="348">
        <f t="shared" ca="1" si="350"/>
        <v>0</v>
      </c>
      <c r="EJ335" s="348">
        <f t="shared" ca="1" si="350"/>
        <v>0</v>
      </c>
      <c r="EK335" s="348">
        <f t="shared" ca="1" si="350"/>
        <v>0</v>
      </c>
      <c r="EL335" s="348">
        <f t="shared" ca="1" si="350"/>
        <v>0</v>
      </c>
      <c r="EM335" s="348">
        <f t="shared" ca="1" si="350"/>
        <v>0</v>
      </c>
      <c r="EN335" s="348">
        <f t="shared" ca="1" si="350"/>
        <v>0</v>
      </c>
      <c r="EO335" s="348">
        <f t="shared" ca="1" si="350"/>
        <v>0</v>
      </c>
      <c r="EP335" s="348">
        <f t="shared" ca="1" si="350"/>
        <v>0</v>
      </c>
      <c r="EQ335" s="348">
        <f t="shared" ca="1" si="350"/>
        <v>0</v>
      </c>
      <c r="ER335" s="348">
        <f t="shared" ca="1" si="350"/>
        <v>0</v>
      </c>
      <c r="ES335" s="348">
        <f t="shared" ca="1" si="350"/>
        <v>0</v>
      </c>
      <c r="ET335" s="348">
        <f t="shared" ca="1" si="350"/>
        <v>0</v>
      </c>
      <c r="EU335" s="348">
        <f t="shared" ca="1" si="350"/>
        <v>0</v>
      </c>
      <c r="EV335" s="348">
        <f t="shared" ca="1" si="350"/>
        <v>0</v>
      </c>
      <c r="EW335" s="348">
        <f t="shared" ca="1" si="350"/>
        <v>0</v>
      </c>
      <c r="EX335" s="348">
        <f t="shared" ca="1" si="350"/>
        <v>0</v>
      </c>
      <c r="EY335" s="348">
        <f t="shared" ca="1" si="350"/>
        <v>0</v>
      </c>
      <c r="EZ335" s="348">
        <f t="shared" ca="1" si="350"/>
        <v>0</v>
      </c>
      <c r="FA335" s="348">
        <f t="shared" ca="1" si="350"/>
        <v>0</v>
      </c>
      <c r="FB335" s="348">
        <f t="shared" ca="1" si="350"/>
        <v>0</v>
      </c>
      <c r="FC335" s="348">
        <f t="shared" ca="1" si="350"/>
        <v>0</v>
      </c>
      <c r="FD335" s="348">
        <f t="shared" ca="1" si="350"/>
        <v>0</v>
      </c>
      <c r="FE335" s="348">
        <f t="shared" ca="1" si="350"/>
        <v>0</v>
      </c>
      <c r="FF335" s="348">
        <f t="shared" ca="1" si="350"/>
        <v>0</v>
      </c>
      <c r="FG335" s="348">
        <f t="shared" ca="1" si="350"/>
        <v>0</v>
      </c>
      <c r="FH335" s="348">
        <f t="shared" ca="1" si="350"/>
        <v>0</v>
      </c>
      <c r="FI335" s="348">
        <f t="shared" ca="1" si="350"/>
        <v>0</v>
      </c>
      <c r="FJ335" s="348">
        <f t="shared" ca="1" si="350"/>
        <v>0</v>
      </c>
      <c r="FK335" s="348">
        <f t="shared" ca="1" si="350"/>
        <v>0</v>
      </c>
      <c r="FL335" s="348">
        <f t="shared" ca="1" si="350"/>
        <v>0</v>
      </c>
      <c r="FM335" s="348">
        <f t="shared" ca="1" si="350"/>
        <v>0</v>
      </c>
      <c r="FN335" s="348">
        <f t="shared" ca="1" si="350"/>
        <v>0</v>
      </c>
      <c r="FO335" s="348">
        <f t="shared" ca="1" si="350"/>
        <v>0</v>
      </c>
      <c r="FP335" s="348">
        <f t="shared" ca="1" si="350"/>
        <v>0</v>
      </c>
      <c r="FQ335" s="348">
        <f t="shared" ca="1" si="350"/>
        <v>0</v>
      </c>
      <c r="FR335" s="348">
        <f t="shared" ca="1" si="350"/>
        <v>0</v>
      </c>
      <c r="FS335" s="348">
        <f t="shared" ca="1" si="350"/>
        <v>0</v>
      </c>
      <c r="FT335" s="348">
        <f t="shared" ca="1" si="350"/>
        <v>0</v>
      </c>
      <c r="FU335" s="348">
        <f t="shared" ca="1" si="350"/>
        <v>0</v>
      </c>
      <c r="FV335" s="348">
        <f t="shared" ca="1" si="350"/>
        <v>0</v>
      </c>
      <c r="FW335" s="348">
        <f t="shared" ca="1" si="350"/>
        <v>0</v>
      </c>
      <c r="FX335" s="348">
        <f t="shared" ca="1" si="350"/>
        <v>0</v>
      </c>
      <c r="FY335" s="348">
        <f t="shared" ca="1" si="350"/>
        <v>0</v>
      </c>
      <c r="FZ335" s="348">
        <f t="shared" ca="1" si="350"/>
        <v>0</v>
      </c>
      <c r="GA335" s="348">
        <f t="shared" ca="1" si="350"/>
        <v>0</v>
      </c>
      <c r="GB335" s="348">
        <f t="shared" ca="1" si="350"/>
        <v>0</v>
      </c>
      <c r="GC335" s="348">
        <f t="shared" ca="1" si="350"/>
        <v>0</v>
      </c>
      <c r="GD335" s="348">
        <f t="shared" ca="1" si="350"/>
        <v>0</v>
      </c>
      <c r="GE335" s="348">
        <f t="shared" ca="1" si="350"/>
        <v>0</v>
      </c>
      <c r="GF335" s="348">
        <f t="shared" ca="1" si="350"/>
        <v>0</v>
      </c>
      <c r="GG335" s="348">
        <f t="shared" ca="1" si="350"/>
        <v>0</v>
      </c>
      <c r="GH335" s="348">
        <f t="shared" ca="1" si="350"/>
        <v>0</v>
      </c>
      <c r="GI335" s="348">
        <f t="shared" ca="1" si="350"/>
        <v>0</v>
      </c>
      <c r="GJ335" s="348">
        <f t="shared" ca="1" si="350"/>
        <v>0</v>
      </c>
      <c r="GK335" s="348">
        <f t="shared" ca="1" si="350"/>
        <v>0</v>
      </c>
      <c r="GL335" s="348">
        <f t="shared" ca="1" si="350"/>
        <v>0</v>
      </c>
      <c r="GM335" s="348">
        <f t="shared" ca="1" si="350"/>
        <v>0</v>
      </c>
      <c r="GN335" s="348">
        <f t="shared" ca="1" si="350"/>
        <v>0</v>
      </c>
      <c r="GO335" s="348">
        <f t="shared" ca="1" si="350"/>
        <v>0</v>
      </c>
      <c r="GP335" s="348">
        <f t="shared" ca="1" si="350"/>
        <v>0</v>
      </c>
      <c r="GQ335" s="348">
        <f t="shared" ca="1" si="350"/>
        <v>0</v>
      </c>
      <c r="GR335" s="348">
        <f t="shared" ca="1" si="350"/>
        <v>0</v>
      </c>
      <c r="GS335" s="348">
        <f t="shared" ref="GS335:IK335" ca="1" si="351">IF(AND(GS260&gt;=$E$340,GS260&lt;$E$341+1),10,0)</f>
        <v>0</v>
      </c>
      <c r="GT335" s="348">
        <f t="shared" ca="1" si="351"/>
        <v>0</v>
      </c>
      <c r="GU335" s="348">
        <f t="shared" ca="1" si="351"/>
        <v>0</v>
      </c>
      <c r="GV335" s="348">
        <f t="shared" ca="1" si="351"/>
        <v>0</v>
      </c>
      <c r="GW335" s="348">
        <f t="shared" ca="1" si="351"/>
        <v>0</v>
      </c>
      <c r="GX335" s="348">
        <f t="shared" ca="1" si="351"/>
        <v>0</v>
      </c>
      <c r="GY335" s="348">
        <f t="shared" ca="1" si="351"/>
        <v>0</v>
      </c>
      <c r="GZ335" s="348">
        <f t="shared" ca="1" si="351"/>
        <v>0</v>
      </c>
      <c r="HA335" s="348">
        <f t="shared" ca="1" si="351"/>
        <v>0</v>
      </c>
      <c r="HB335" s="348">
        <f t="shared" ca="1" si="351"/>
        <v>0</v>
      </c>
      <c r="HC335" s="348">
        <f t="shared" ca="1" si="351"/>
        <v>0</v>
      </c>
      <c r="HD335" s="348">
        <f t="shared" ca="1" si="351"/>
        <v>0</v>
      </c>
      <c r="HE335" s="348">
        <f t="shared" ca="1" si="351"/>
        <v>0</v>
      </c>
      <c r="HF335" s="348">
        <f t="shared" ca="1" si="351"/>
        <v>0</v>
      </c>
      <c r="HG335" s="348">
        <f t="shared" ca="1" si="351"/>
        <v>0</v>
      </c>
      <c r="HH335" s="348">
        <f t="shared" ca="1" si="351"/>
        <v>0</v>
      </c>
      <c r="HI335" s="348">
        <f t="shared" ca="1" si="351"/>
        <v>0</v>
      </c>
      <c r="HJ335" s="348">
        <f t="shared" ca="1" si="351"/>
        <v>0</v>
      </c>
      <c r="HK335" s="348">
        <f t="shared" ca="1" si="351"/>
        <v>0</v>
      </c>
      <c r="HL335" s="348">
        <f t="shared" ca="1" si="351"/>
        <v>0</v>
      </c>
      <c r="HM335" s="348">
        <f t="shared" ca="1" si="351"/>
        <v>0</v>
      </c>
      <c r="HN335" s="348">
        <f t="shared" ca="1" si="351"/>
        <v>0</v>
      </c>
      <c r="HO335" s="348">
        <f t="shared" ca="1" si="351"/>
        <v>0</v>
      </c>
      <c r="HP335" s="348">
        <f t="shared" ca="1" si="351"/>
        <v>0</v>
      </c>
      <c r="HQ335" s="348">
        <f t="shared" ca="1" si="351"/>
        <v>0</v>
      </c>
      <c r="HR335" s="348">
        <f t="shared" ca="1" si="351"/>
        <v>0</v>
      </c>
      <c r="HS335" s="348">
        <f t="shared" ca="1" si="351"/>
        <v>0</v>
      </c>
      <c r="HT335" s="348">
        <f t="shared" ca="1" si="351"/>
        <v>0</v>
      </c>
      <c r="HU335" s="348">
        <f t="shared" ca="1" si="351"/>
        <v>0</v>
      </c>
      <c r="HV335" s="348">
        <f t="shared" ca="1" si="351"/>
        <v>0</v>
      </c>
      <c r="HW335" s="348">
        <f t="shared" ca="1" si="351"/>
        <v>0</v>
      </c>
      <c r="HX335" s="348">
        <f t="shared" ca="1" si="351"/>
        <v>0</v>
      </c>
      <c r="HY335" s="348">
        <f t="shared" ca="1" si="351"/>
        <v>0</v>
      </c>
      <c r="HZ335" s="348">
        <f t="shared" ca="1" si="351"/>
        <v>0</v>
      </c>
      <c r="IA335" s="348">
        <f t="shared" ca="1" si="351"/>
        <v>0</v>
      </c>
      <c r="IB335" s="348">
        <f t="shared" ca="1" si="351"/>
        <v>0</v>
      </c>
      <c r="IC335" s="348">
        <f t="shared" ca="1" si="351"/>
        <v>0</v>
      </c>
      <c r="ID335" s="348">
        <f t="shared" ca="1" si="351"/>
        <v>0</v>
      </c>
      <c r="IE335" s="348">
        <f t="shared" ca="1" si="351"/>
        <v>0</v>
      </c>
      <c r="IF335" s="348">
        <f t="shared" ca="1" si="351"/>
        <v>0</v>
      </c>
      <c r="IG335" s="348">
        <f t="shared" ca="1" si="351"/>
        <v>0</v>
      </c>
      <c r="IH335" s="348">
        <f t="shared" ca="1" si="351"/>
        <v>0</v>
      </c>
      <c r="II335" s="348">
        <f t="shared" ca="1" si="351"/>
        <v>0</v>
      </c>
      <c r="IJ335" s="348">
        <f t="shared" ca="1" si="351"/>
        <v>0</v>
      </c>
      <c r="IK335" s="348">
        <f t="shared" ca="1" si="351"/>
        <v>0</v>
      </c>
    </row>
    <row r="336" spans="1:245" hidden="1" x14ac:dyDescent="0.35">
      <c r="A336" s="195"/>
      <c r="B336" s="5"/>
      <c r="C336" s="630" t="s">
        <v>1596</v>
      </c>
      <c r="D336" s="467">
        <f ca="1">IF($CV$5=1,IF(F284&gt;0,0,G339),IF($CV$5=2,IF(F284&gt;0,0,IF(G339+D335&lt;LARGE(G335:G337,1),LARGE(G335:G337,1)-30/100*D300,G339)),IF($CV$5=3,LARGE(G335:G337,1)-20/100*E303,IF($CV$5=4,IF(D295=D296,G320-50/100*D335,IF(D295&lt;D296,D444-D335,0)),0))))</f>
        <v>46042.837500000001</v>
      </c>
      <c r="E336" s="630">
        <f ca="1">IF(AND(ENTRADAS!$C$397="X",F282=0),IF($CV$5=1,IF(D336=0,0,IF((E198-D297+ENTRADAS!BS403)&gt;0,IF(D308&gt;D330,E319,E330+1),G339-D297)),IF($CV$5=2,IF(F284&gt;0,0,IF(G339-D297+D335&lt;LARGE(G335:G337,1)-D297,LARGE(G335:G337,1)-D297-30/100*D300,G339-D297)),IF($CV$5=3,LARGE(G335:G337,1)-20/100*E303-D297,IF($CV$5=4,IF(D295=D296,G320-50/100*D335-D297,IF(D295&lt;D296,E444-D335,0)),0)))),IF($CV$5=1,IF(D336=0,0,IF(F282&gt;0,IF(D308&gt;D330,E319,E330+1),G339-D297)),IF($CV$5=2,IF(F284&gt;0,0,IF(G339-D297+D335&lt;LARGE(G335:G337,1)-D297,LARGE(G335:G337,1)-D297-30/100*D300,G339-D297)),IF($CV$5=3,LARGE(G335:G337,1)-20/100*E303-D297,IF($CV$5=4,IF(D295=D296,G320-50/100*D335-D297,IF(D295&lt;D296,E444-D335,0)),0)))))</f>
        <v>123.83750000000146</v>
      </c>
      <c r="G336" s="471">
        <f ca="1">D308</f>
        <v>0</v>
      </c>
    </row>
    <row r="337" spans="1:245" hidden="1" x14ac:dyDescent="0.35">
      <c r="A337" s="195"/>
      <c r="B337" s="5"/>
      <c r="C337" s="630" t="s">
        <v>1597</v>
      </c>
      <c r="D337" s="467">
        <f>IF(F284&gt;0,$J$3+F284,0)</f>
        <v>0</v>
      </c>
      <c r="E337" s="385">
        <f>IF(F284&gt;0,F284+1,0)</f>
        <v>0</v>
      </c>
      <c r="G337" s="471">
        <f ca="1">D319</f>
        <v>0</v>
      </c>
    </row>
    <row r="338" spans="1:245" hidden="1" x14ac:dyDescent="0.35">
      <c r="A338" s="195"/>
      <c r="B338" s="5"/>
      <c r="C338" s="630" t="s">
        <v>1598</v>
      </c>
      <c r="D338" s="467">
        <f ca="1">IF(D336=0,0,D336+D335-1)</f>
        <v>46041.837500000001</v>
      </c>
      <c r="E338" s="32">
        <f ca="1">IF(D338=0,0,E336+D335-1)</f>
        <v>122.83750000000146</v>
      </c>
      <c r="G338" s="471">
        <f ca="1">D330</f>
        <v>46045.737500000003</v>
      </c>
    </row>
    <row r="339" spans="1:245" hidden="1" x14ac:dyDescent="0.35">
      <c r="A339" s="195"/>
      <c r="B339" s="5"/>
      <c r="C339" s="630" t="s">
        <v>1599</v>
      </c>
      <c r="D339" s="467">
        <f>IF(D337=0,0,D337+D335-1)</f>
        <v>0</v>
      </c>
      <c r="E339" s="385">
        <f>IF(D339=0,0,E337+D335-1)</f>
        <v>0</v>
      </c>
      <c r="G339" s="471">
        <f ca="1">IF(OR(G338&lt;G335,G338&lt;G336,G338&lt;G337),G338-10/100*D324,LARGE(G335:G338,1)-10/100*D324)</f>
        <v>46042.837500000001</v>
      </c>
    </row>
    <row r="340" spans="1:245" hidden="1" x14ac:dyDescent="0.35">
      <c r="A340" s="195"/>
      <c r="B340" s="5"/>
      <c r="C340" s="630" t="s">
        <v>1600</v>
      </c>
      <c r="D340" s="467">
        <f ca="1">D336+D337</f>
        <v>46042.837500000001</v>
      </c>
      <c r="E340" s="385">
        <f ca="1">E336+E337</f>
        <v>123.83750000000146</v>
      </c>
      <c r="G340" s="480">
        <f ca="1">IF(D296&lt;D295,0,IF(AND(H260&gt;=E301,H260&lt;=LARGE(H341:IK341,1)),1000,0))</f>
        <v>0</v>
      </c>
      <c r="H340" s="32">
        <f ca="1">IF($D$296&lt;$D$295,0,IF(AND(H260&gt;=$E$301,H260&lt;=LARGE($H$341:$IK$341,1)),1000,0))</f>
        <v>0</v>
      </c>
      <c r="I340" s="32">
        <f t="shared" ref="I340:BT340" ca="1" si="352">IF($D$296&lt;$D$295,0,IF(AND(I260&gt;=$E$301,I260&lt;=LARGE($H$341:$IK$341,1)),1000,0))</f>
        <v>0</v>
      </c>
      <c r="J340" s="32">
        <f t="shared" ca="1" si="352"/>
        <v>0</v>
      </c>
      <c r="K340" s="32">
        <f t="shared" ca="1" si="352"/>
        <v>0</v>
      </c>
      <c r="L340" s="32">
        <f t="shared" ca="1" si="352"/>
        <v>0</v>
      </c>
      <c r="M340" s="32">
        <f t="shared" ca="1" si="352"/>
        <v>0</v>
      </c>
      <c r="N340" s="32">
        <f t="shared" ca="1" si="352"/>
        <v>0</v>
      </c>
      <c r="O340" s="32">
        <f t="shared" ca="1" si="352"/>
        <v>0</v>
      </c>
      <c r="P340" s="32">
        <f t="shared" ca="1" si="352"/>
        <v>0</v>
      </c>
      <c r="Q340" s="32">
        <f t="shared" ca="1" si="352"/>
        <v>0</v>
      </c>
      <c r="R340" s="32">
        <f t="shared" ca="1" si="352"/>
        <v>0</v>
      </c>
      <c r="S340" s="32">
        <f t="shared" ca="1" si="352"/>
        <v>0</v>
      </c>
      <c r="T340" s="32">
        <f t="shared" ca="1" si="352"/>
        <v>0</v>
      </c>
      <c r="U340" s="32">
        <f t="shared" ca="1" si="352"/>
        <v>0</v>
      </c>
      <c r="V340" s="32">
        <f t="shared" ca="1" si="352"/>
        <v>0</v>
      </c>
      <c r="W340" s="32">
        <f t="shared" ca="1" si="352"/>
        <v>0</v>
      </c>
      <c r="X340" s="32">
        <f t="shared" ca="1" si="352"/>
        <v>0</v>
      </c>
      <c r="Y340" s="32">
        <f t="shared" ca="1" si="352"/>
        <v>0</v>
      </c>
      <c r="Z340" s="32">
        <f t="shared" ca="1" si="352"/>
        <v>0</v>
      </c>
      <c r="AA340" s="32">
        <f t="shared" ca="1" si="352"/>
        <v>0</v>
      </c>
      <c r="AB340" s="32">
        <f t="shared" ca="1" si="352"/>
        <v>0</v>
      </c>
      <c r="AC340" s="32">
        <f t="shared" ca="1" si="352"/>
        <v>0</v>
      </c>
      <c r="AD340" s="32">
        <f t="shared" ca="1" si="352"/>
        <v>0</v>
      </c>
      <c r="AE340" s="32">
        <f t="shared" ca="1" si="352"/>
        <v>0</v>
      </c>
      <c r="AF340" s="32">
        <f t="shared" ca="1" si="352"/>
        <v>0</v>
      </c>
      <c r="AG340" s="32">
        <f t="shared" ca="1" si="352"/>
        <v>0</v>
      </c>
      <c r="AH340" s="32">
        <f t="shared" ca="1" si="352"/>
        <v>0</v>
      </c>
      <c r="AI340" s="32">
        <f t="shared" ca="1" si="352"/>
        <v>0</v>
      </c>
      <c r="AJ340" s="32">
        <f t="shared" ca="1" si="352"/>
        <v>0</v>
      </c>
      <c r="AK340" s="32">
        <f t="shared" ca="1" si="352"/>
        <v>0</v>
      </c>
      <c r="AL340" s="32">
        <f t="shared" ca="1" si="352"/>
        <v>0</v>
      </c>
      <c r="AM340" s="32">
        <f t="shared" ca="1" si="352"/>
        <v>0</v>
      </c>
      <c r="AN340" s="32">
        <f t="shared" ca="1" si="352"/>
        <v>0</v>
      </c>
      <c r="AO340" s="32">
        <f t="shared" ca="1" si="352"/>
        <v>0</v>
      </c>
      <c r="AP340" s="32">
        <f t="shared" ca="1" si="352"/>
        <v>0</v>
      </c>
      <c r="AQ340" s="32">
        <f t="shared" ca="1" si="352"/>
        <v>0</v>
      </c>
      <c r="AR340" s="32">
        <f t="shared" ca="1" si="352"/>
        <v>0</v>
      </c>
      <c r="AS340" s="32">
        <f t="shared" ca="1" si="352"/>
        <v>0</v>
      </c>
      <c r="AT340" s="32">
        <f t="shared" ca="1" si="352"/>
        <v>0</v>
      </c>
      <c r="AU340" s="32">
        <f t="shared" ca="1" si="352"/>
        <v>0</v>
      </c>
      <c r="AV340" s="32">
        <f t="shared" ca="1" si="352"/>
        <v>0</v>
      </c>
      <c r="AW340" s="32">
        <f t="shared" ca="1" si="352"/>
        <v>0</v>
      </c>
      <c r="AX340" s="32">
        <f t="shared" ca="1" si="352"/>
        <v>0</v>
      </c>
      <c r="AY340" s="32">
        <f t="shared" ca="1" si="352"/>
        <v>0</v>
      </c>
      <c r="AZ340" s="32">
        <f t="shared" ca="1" si="352"/>
        <v>0</v>
      </c>
      <c r="BA340" s="32">
        <f t="shared" ca="1" si="352"/>
        <v>0</v>
      </c>
      <c r="BB340" s="32">
        <f t="shared" ca="1" si="352"/>
        <v>0</v>
      </c>
      <c r="BC340" s="32">
        <f t="shared" ca="1" si="352"/>
        <v>0</v>
      </c>
      <c r="BD340" s="32">
        <f t="shared" ca="1" si="352"/>
        <v>0</v>
      </c>
      <c r="BE340" s="32">
        <f t="shared" ca="1" si="352"/>
        <v>0</v>
      </c>
      <c r="BF340" s="32">
        <f t="shared" ca="1" si="352"/>
        <v>0</v>
      </c>
      <c r="BG340" s="32">
        <f t="shared" ca="1" si="352"/>
        <v>0</v>
      </c>
      <c r="BH340" s="32">
        <f t="shared" ca="1" si="352"/>
        <v>0</v>
      </c>
      <c r="BI340" s="32">
        <f t="shared" ca="1" si="352"/>
        <v>0</v>
      </c>
      <c r="BJ340" s="32">
        <f t="shared" ca="1" si="352"/>
        <v>0</v>
      </c>
      <c r="BK340" s="32">
        <f t="shared" ca="1" si="352"/>
        <v>0</v>
      </c>
      <c r="BL340" s="32">
        <f t="shared" ca="1" si="352"/>
        <v>0</v>
      </c>
      <c r="BM340" s="32">
        <f t="shared" ca="1" si="352"/>
        <v>0</v>
      </c>
      <c r="BN340" s="32">
        <f t="shared" ca="1" si="352"/>
        <v>0</v>
      </c>
      <c r="BO340" s="32">
        <f t="shared" ca="1" si="352"/>
        <v>0</v>
      </c>
      <c r="BP340" s="32">
        <f t="shared" ca="1" si="352"/>
        <v>0</v>
      </c>
      <c r="BQ340" s="32">
        <f t="shared" ca="1" si="352"/>
        <v>0</v>
      </c>
      <c r="BR340" s="32">
        <f t="shared" ca="1" si="352"/>
        <v>0</v>
      </c>
      <c r="BS340" s="32">
        <f t="shared" ca="1" si="352"/>
        <v>0</v>
      </c>
      <c r="BT340" s="32">
        <f t="shared" ca="1" si="352"/>
        <v>0</v>
      </c>
      <c r="BU340" s="32">
        <f t="shared" ref="BU340:EF340" ca="1" si="353">IF($D$296&lt;$D$295,0,IF(AND(BU260&gt;=$E$301,BU260&lt;=LARGE($H$341:$IK$341,1)),1000,0))</f>
        <v>0</v>
      </c>
      <c r="BV340" s="32">
        <f t="shared" ca="1" si="353"/>
        <v>0</v>
      </c>
      <c r="BW340" s="32">
        <f t="shared" ca="1" si="353"/>
        <v>0</v>
      </c>
      <c r="BX340" s="32">
        <f t="shared" ca="1" si="353"/>
        <v>0</v>
      </c>
      <c r="BY340" s="32">
        <f t="shared" ca="1" si="353"/>
        <v>0</v>
      </c>
      <c r="BZ340" s="32">
        <f t="shared" ca="1" si="353"/>
        <v>0</v>
      </c>
      <c r="CA340" s="32">
        <f t="shared" ca="1" si="353"/>
        <v>0</v>
      </c>
      <c r="CB340" s="32">
        <f t="shared" ca="1" si="353"/>
        <v>0</v>
      </c>
      <c r="CC340" s="32">
        <f t="shared" ca="1" si="353"/>
        <v>0</v>
      </c>
      <c r="CD340" s="32">
        <f t="shared" ca="1" si="353"/>
        <v>0</v>
      </c>
      <c r="CE340" s="32">
        <f t="shared" ca="1" si="353"/>
        <v>0</v>
      </c>
      <c r="CF340" s="32">
        <f t="shared" ca="1" si="353"/>
        <v>0</v>
      </c>
      <c r="CG340" s="32">
        <f t="shared" ca="1" si="353"/>
        <v>0</v>
      </c>
      <c r="CH340" s="32">
        <f t="shared" ca="1" si="353"/>
        <v>0</v>
      </c>
      <c r="CI340" s="32">
        <f t="shared" ca="1" si="353"/>
        <v>0</v>
      </c>
      <c r="CJ340" s="32">
        <f t="shared" ca="1" si="353"/>
        <v>0</v>
      </c>
      <c r="CK340" s="32">
        <f t="shared" ca="1" si="353"/>
        <v>1000</v>
      </c>
      <c r="CL340" s="32">
        <f t="shared" ca="1" si="353"/>
        <v>1000</v>
      </c>
      <c r="CM340" s="32">
        <f t="shared" ca="1" si="353"/>
        <v>1000</v>
      </c>
      <c r="CN340" s="32">
        <f t="shared" ca="1" si="353"/>
        <v>1000</v>
      </c>
      <c r="CO340" s="32">
        <f t="shared" ca="1" si="353"/>
        <v>1000</v>
      </c>
      <c r="CP340" s="32">
        <f t="shared" ca="1" si="353"/>
        <v>1000</v>
      </c>
      <c r="CQ340" s="32">
        <f t="shared" ca="1" si="353"/>
        <v>1000</v>
      </c>
      <c r="CR340" s="32">
        <f t="shared" ca="1" si="353"/>
        <v>1000</v>
      </c>
      <c r="CS340" s="32">
        <f t="shared" ca="1" si="353"/>
        <v>1000</v>
      </c>
      <c r="CT340" s="32">
        <f t="shared" ca="1" si="353"/>
        <v>1000</v>
      </c>
      <c r="CU340" s="32">
        <f t="shared" ca="1" si="353"/>
        <v>1000</v>
      </c>
      <c r="CV340" s="32">
        <f t="shared" ca="1" si="353"/>
        <v>1000</v>
      </c>
      <c r="CW340" s="32">
        <f t="shared" ca="1" si="353"/>
        <v>1000</v>
      </c>
      <c r="CX340" s="32">
        <f t="shared" ca="1" si="353"/>
        <v>1000</v>
      </c>
      <c r="CY340" s="32">
        <f t="shared" ca="1" si="353"/>
        <v>1000</v>
      </c>
      <c r="CZ340" s="32">
        <f t="shared" ca="1" si="353"/>
        <v>1000</v>
      </c>
      <c r="DA340" s="32">
        <f t="shared" ca="1" si="353"/>
        <v>1000</v>
      </c>
      <c r="DB340" s="32">
        <f t="shared" ca="1" si="353"/>
        <v>1000</v>
      </c>
      <c r="DC340" s="32">
        <f t="shared" ca="1" si="353"/>
        <v>1000</v>
      </c>
      <c r="DD340" s="32">
        <f t="shared" ca="1" si="353"/>
        <v>1000</v>
      </c>
      <c r="DE340" s="32">
        <f t="shared" ca="1" si="353"/>
        <v>1000</v>
      </c>
      <c r="DF340" s="32">
        <f t="shared" ca="1" si="353"/>
        <v>1000</v>
      </c>
      <c r="DG340" s="32">
        <f t="shared" ca="1" si="353"/>
        <v>1000</v>
      </c>
      <c r="DH340" s="32">
        <f t="shared" ca="1" si="353"/>
        <v>1000</v>
      </c>
      <c r="DI340" s="32">
        <f t="shared" ca="1" si="353"/>
        <v>1000</v>
      </c>
      <c r="DJ340" s="32">
        <f t="shared" ca="1" si="353"/>
        <v>1000</v>
      </c>
      <c r="DK340" s="32">
        <f t="shared" ca="1" si="353"/>
        <v>1000</v>
      </c>
      <c r="DL340" s="32">
        <f t="shared" ca="1" si="353"/>
        <v>1000</v>
      </c>
      <c r="DM340" s="32">
        <f t="shared" ca="1" si="353"/>
        <v>1000</v>
      </c>
      <c r="DN340" s="32">
        <f t="shared" ca="1" si="353"/>
        <v>1000</v>
      </c>
      <c r="DO340" s="32">
        <f t="shared" ca="1" si="353"/>
        <v>1000</v>
      </c>
      <c r="DP340" s="32">
        <f t="shared" ca="1" si="353"/>
        <v>1000</v>
      </c>
      <c r="DQ340" s="32">
        <f t="shared" ca="1" si="353"/>
        <v>1000</v>
      </c>
      <c r="DR340" s="32">
        <f t="shared" ca="1" si="353"/>
        <v>1000</v>
      </c>
      <c r="DS340" s="32">
        <f t="shared" ca="1" si="353"/>
        <v>1000</v>
      </c>
      <c r="DT340" s="32">
        <f t="shared" ca="1" si="353"/>
        <v>1000</v>
      </c>
      <c r="DU340" s="32">
        <f t="shared" ca="1" si="353"/>
        <v>1000</v>
      </c>
      <c r="DV340" s="32">
        <f t="shared" ca="1" si="353"/>
        <v>1000</v>
      </c>
      <c r="DW340" s="32">
        <f t="shared" ca="1" si="353"/>
        <v>1000</v>
      </c>
      <c r="DX340" s="32">
        <f t="shared" ca="1" si="353"/>
        <v>1000</v>
      </c>
      <c r="DY340" s="32">
        <f t="shared" ca="1" si="353"/>
        <v>1000</v>
      </c>
      <c r="DZ340" s="32">
        <f t="shared" ca="1" si="353"/>
        <v>1000</v>
      </c>
      <c r="EA340" s="32">
        <f t="shared" ca="1" si="353"/>
        <v>1000</v>
      </c>
      <c r="EB340" s="32">
        <f t="shared" ca="1" si="353"/>
        <v>1000</v>
      </c>
      <c r="EC340" s="32">
        <f t="shared" ca="1" si="353"/>
        <v>1000</v>
      </c>
      <c r="ED340" s="32">
        <f t="shared" ca="1" si="353"/>
        <v>1000</v>
      </c>
      <c r="EE340" s="32">
        <f t="shared" ca="1" si="353"/>
        <v>1000</v>
      </c>
      <c r="EF340" s="32">
        <f t="shared" ca="1" si="353"/>
        <v>1000</v>
      </c>
      <c r="EG340" s="32">
        <f t="shared" ref="EG340:GR340" ca="1" si="354">IF($D$296&lt;$D$295,0,IF(AND(EG260&gt;=$E$301,EG260&lt;=LARGE($H$341:$IK$341,1)),1000,0))</f>
        <v>1000</v>
      </c>
      <c r="EH340" s="32">
        <f t="shared" ca="1" si="354"/>
        <v>1000</v>
      </c>
      <c r="EI340" s="32">
        <f t="shared" ca="1" si="354"/>
        <v>1000</v>
      </c>
      <c r="EJ340" s="32">
        <f t="shared" ca="1" si="354"/>
        <v>1000</v>
      </c>
      <c r="EK340" s="32">
        <f t="shared" ca="1" si="354"/>
        <v>0</v>
      </c>
      <c r="EL340" s="32">
        <f t="shared" ca="1" si="354"/>
        <v>0</v>
      </c>
      <c r="EM340" s="32">
        <f t="shared" ca="1" si="354"/>
        <v>0</v>
      </c>
      <c r="EN340" s="32">
        <f t="shared" ca="1" si="354"/>
        <v>0</v>
      </c>
      <c r="EO340" s="32">
        <f t="shared" ca="1" si="354"/>
        <v>0</v>
      </c>
      <c r="EP340" s="32">
        <f t="shared" ca="1" si="354"/>
        <v>0</v>
      </c>
      <c r="EQ340" s="32">
        <f t="shared" ca="1" si="354"/>
        <v>0</v>
      </c>
      <c r="ER340" s="32">
        <f t="shared" ca="1" si="354"/>
        <v>0</v>
      </c>
      <c r="ES340" s="32">
        <f t="shared" ca="1" si="354"/>
        <v>0</v>
      </c>
      <c r="ET340" s="32">
        <f t="shared" ca="1" si="354"/>
        <v>0</v>
      </c>
      <c r="EU340" s="32">
        <f t="shared" ca="1" si="354"/>
        <v>0</v>
      </c>
      <c r="EV340" s="32">
        <f t="shared" ca="1" si="354"/>
        <v>0</v>
      </c>
      <c r="EW340" s="32">
        <f t="shared" ca="1" si="354"/>
        <v>0</v>
      </c>
      <c r="EX340" s="32">
        <f t="shared" ca="1" si="354"/>
        <v>0</v>
      </c>
      <c r="EY340" s="32">
        <f t="shared" ca="1" si="354"/>
        <v>0</v>
      </c>
      <c r="EZ340" s="32">
        <f t="shared" ca="1" si="354"/>
        <v>0</v>
      </c>
      <c r="FA340" s="32">
        <f t="shared" ca="1" si="354"/>
        <v>0</v>
      </c>
      <c r="FB340" s="32">
        <f t="shared" ca="1" si="354"/>
        <v>0</v>
      </c>
      <c r="FC340" s="32">
        <f t="shared" ca="1" si="354"/>
        <v>0</v>
      </c>
      <c r="FD340" s="32">
        <f t="shared" ca="1" si="354"/>
        <v>0</v>
      </c>
      <c r="FE340" s="32">
        <f t="shared" ca="1" si="354"/>
        <v>0</v>
      </c>
      <c r="FF340" s="32">
        <f t="shared" ca="1" si="354"/>
        <v>0</v>
      </c>
      <c r="FG340" s="32">
        <f t="shared" ca="1" si="354"/>
        <v>0</v>
      </c>
      <c r="FH340" s="32">
        <f t="shared" ca="1" si="354"/>
        <v>0</v>
      </c>
      <c r="FI340" s="32">
        <f t="shared" ca="1" si="354"/>
        <v>0</v>
      </c>
      <c r="FJ340" s="32">
        <f t="shared" ca="1" si="354"/>
        <v>0</v>
      </c>
      <c r="FK340" s="32">
        <f t="shared" ca="1" si="354"/>
        <v>0</v>
      </c>
      <c r="FL340" s="32">
        <f t="shared" ca="1" si="354"/>
        <v>0</v>
      </c>
      <c r="FM340" s="32">
        <f t="shared" ca="1" si="354"/>
        <v>0</v>
      </c>
      <c r="FN340" s="32">
        <f t="shared" ca="1" si="354"/>
        <v>0</v>
      </c>
      <c r="FO340" s="32">
        <f t="shared" ca="1" si="354"/>
        <v>0</v>
      </c>
      <c r="FP340" s="32">
        <f t="shared" ca="1" si="354"/>
        <v>0</v>
      </c>
      <c r="FQ340" s="32">
        <f t="shared" ca="1" si="354"/>
        <v>0</v>
      </c>
      <c r="FR340" s="32">
        <f t="shared" ca="1" si="354"/>
        <v>0</v>
      </c>
      <c r="FS340" s="32">
        <f t="shared" ca="1" si="354"/>
        <v>0</v>
      </c>
      <c r="FT340" s="32">
        <f t="shared" ca="1" si="354"/>
        <v>0</v>
      </c>
      <c r="FU340" s="32">
        <f t="shared" ca="1" si="354"/>
        <v>0</v>
      </c>
      <c r="FV340" s="32">
        <f t="shared" ca="1" si="354"/>
        <v>0</v>
      </c>
      <c r="FW340" s="32">
        <f t="shared" ca="1" si="354"/>
        <v>0</v>
      </c>
      <c r="FX340" s="32">
        <f t="shared" ca="1" si="354"/>
        <v>0</v>
      </c>
      <c r="FY340" s="32">
        <f t="shared" ca="1" si="354"/>
        <v>0</v>
      </c>
      <c r="FZ340" s="32">
        <f t="shared" ca="1" si="354"/>
        <v>0</v>
      </c>
      <c r="GA340" s="32">
        <f t="shared" ca="1" si="354"/>
        <v>0</v>
      </c>
      <c r="GB340" s="32">
        <f t="shared" ca="1" si="354"/>
        <v>0</v>
      </c>
      <c r="GC340" s="32">
        <f t="shared" ca="1" si="354"/>
        <v>0</v>
      </c>
      <c r="GD340" s="32">
        <f t="shared" ca="1" si="354"/>
        <v>0</v>
      </c>
      <c r="GE340" s="32">
        <f t="shared" ca="1" si="354"/>
        <v>0</v>
      </c>
      <c r="GF340" s="32">
        <f t="shared" ca="1" si="354"/>
        <v>0</v>
      </c>
      <c r="GG340" s="32">
        <f t="shared" ca="1" si="354"/>
        <v>0</v>
      </c>
      <c r="GH340" s="32">
        <f t="shared" ca="1" si="354"/>
        <v>0</v>
      </c>
      <c r="GI340" s="32">
        <f t="shared" ca="1" si="354"/>
        <v>0</v>
      </c>
      <c r="GJ340" s="32">
        <f t="shared" ca="1" si="354"/>
        <v>0</v>
      </c>
      <c r="GK340" s="32">
        <f t="shared" ca="1" si="354"/>
        <v>0</v>
      </c>
      <c r="GL340" s="32">
        <f t="shared" ca="1" si="354"/>
        <v>0</v>
      </c>
      <c r="GM340" s="32">
        <f t="shared" ca="1" si="354"/>
        <v>0</v>
      </c>
      <c r="GN340" s="32">
        <f t="shared" ca="1" si="354"/>
        <v>0</v>
      </c>
      <c r="GO340" s="32">
        <f t="shared" ca="1" si="354"/>
        <v>0</v>
      </c>
      <c r="GP340" s="32">
        <f t="shared" ca="1" si="354"/>
        <v>0</v>
      </c>
      <c r="GQ340" s="32">
        <f t="shared" ca="1" si="354"/>
        <v>0</v>
      </c>
      <c r="GR340" s="32">
        <f t="shared" ca="1" si="354"/>
        <v>0</v>
      </c>
      <c r="GS340" s="32">
        <f t="shared" ref="GS340:IK340" ca="1" si="355">IF($D$296&lt;$D$295,0,IF(AND(GS260&gt;=$E$301,GS260&lt;=LARGE($H$341:$IK$341,1)),1000,0))</f>
        <v>0</v>
      </c>
      <c r="GT340" s="32">
        <f t="shared" ca="1" si="355"/>
        <v>0</v>
      </c>
      <c r="GU340" s="32">
        <f t="shared" ca="1" si="355"/>
        <v>0</v>
      </c>
      <c r="GV340" s="32">
        <f t="shared" ca="1" si="355"/>
        <v>0</v>
      </c>
      <c r="GW340" s="32">
        <f t="shared" ca="1" si="355"/>
        <v>0</v>
      </c>
      <c r="GX340" s="32">
        <f t="shared" ca="1" si="355"/>
        <v>0</v>
      </c>
      <c r="GY340" s="32">
        <f t="shared" ca="1" si="355"/>
        <v>0</v>
      </c>
      <c r="GZ340" s="32">
        <f t="shared" ca="1" si="355"/>
        <v>0</v>
      </c>
      <c r="HA340" s="32">
        <f t="shared" ca="1" si="355"/>
        <v>0</v>
      </c>
      <c r="HB340" s="32">
        <f t="shared" ca="1" si="355"/>
        <v>0</v>
      </c>
      <c r="HC340" s="32">
        <f t="shared" ca="1" si="355"/>
        <v>0</v>
      </c>
      <c r="HD340" s="32">
        <f t="shared" ca="1" si="355"/>
        <v>0</v>
      </c>
      <c r="HE340" s="32">
        <f t="shared" ca="1" si="355"/>
        <v>0</v>
      </c>
      <c r="HF340" s="32">
        <f t="shared" ca="1" si="355"/>
        <v>0</v>
      </c>
      <c r="HG340" s="32">
        <f t="shared" ca="1" si="355"/>
        <v>0</v>
      </c>
      <c r="HH340" s="32">
        <f t="shared" ca="1" si="355"/>
        <v>0</v>
      </c>
      <c r="HI340" s="32">
        <f t="shared" ca="1" si="355"/>
        <v>0</v>
      </c>
      <c r="HJ340" s="32">
        <f t="shared" ca="1" si="355"/>
        <v>0</v>
      </c>
      <c r="HK340" s="32">
        <f t="shared" ca="1" si="355"/>
        <v>0</v>
      </c>
      <c r="HL340" s="32">
        <f t="shared" ca="1" si="355"/>
        <v>0</v>
      </c>
      <c r="HM340" s="32">
        <f t="shared" ca="1" si="355"/>
        <v>0</v>
      </c>
      <c r="HN340" s="32">
        <f t="shared" ca="1" si="355"/>
        <v>0</v>
      </c>
      <c r="HO340" s="32">
        <f t="shared" ca="1" si="355"/>
        <v>0</v>
      </c>
      <c r="HP340" s="32">
        <f t="shared" ca="1" si="355"/>
        <v>0</v>
      </c>
      <c r="HQ340" s="32">
        <f t="shared" ca="1" si="355"/>
        <v>0</v>
      </c>
      <c r="HR340" s="32">
        <f t="shared" ca="1" si="355"/>
        <v>0</v>
      </c>
      <c r="HS340" s="32">
        <f t="shared" ca="1" si="355"/>
        <v>0</v>
      </c>
      <c r="HT340" s="32">
        <f t="shared" ca="1" si="355"/>
        <v>0</v>
      </c>
      <c r="HU340" s="32">
        <f t="shared" ca="1" si="355"/>
        <v>0</v>
      </c>
      <c r="HV340" s="32">
        <f t="shared" ca="1" si="355"/>
        <v>0</v>
      </c>
      <c r="HW340" s="32">
        <f t="shared" ca="1" si="355"/>
        <v>0</v>
      </c>
      <c r="HX340" s="32">
        <f t="shared" ca="1" si="355"/>
        <v>0</v>
      </c>
      <c r="HY340" s="32">
        <f t="shared" ca="1" si="355"/>
        <v>0</v>
      </c>
      <c r="HZ340" s="32">
        <f t="shared" ca="1" si="355"/>
        <v>0</v>
      </c>
      <c r="IA340" s="32">
        <f t="shared" ca="1" si="355"/>
        <v>0</v>
      </c>
      <c r="IB340" s="32">
        <f t="shared" ca="1" si="355"/>
        <v>0</v>
      </c>
      <c r="IC340" s="32">
        <f t="shared" ca="1" si="355"/>
        <v>0</v>
      </c>
      <c r="ID340" s="32">
        <f t="shared" ca="1" si="355"/>
        <v>0</v>
      </c>
      <c r="IE340" s="32">
        <f t="shared" ca="1" si="355"/>
        <v>0</v>
      </c>
      <c r="IF340" s="32">
        <f t="shared" ca="1" si="355"/>
        <v>0</v>
      </c>
      <c r="IG340" s="32">
        <f t="shared" ca="1" si="355"/>
        <v>0</v>
      </c>
      <c r="IH340" s="32">
        <f t="shared" ca="1" si="355"/>
        <v>0</v>
      </c>
      <c r="II340" s="32">
        <f t="shared" ca="1" si="355"/>
        <v>0</v>
      </c>
      <c r="IJ340" s="32">
        <f t="shared" ca="1" si="355"/>
        <v>0</v>
      </c>
      <c r="IK340" s="32">
        <f t="shared" ca="1" si="355"/>
        <v>0</v>
      </c>
    </row>
    <row r="341" spans="1:245" hidden="1" x14ac:dyDescent="0.35">
      <c r="A341" s="195"/>
      <c r="B341" s="5"/>
      <c r="C341" s="630" t="s">
        <v>1601</v>
      </c>
      <c r="D341" s="467">
        <f ca="1">D338+D339</f>
        <v>46041.837500000001</v>
      </c>
      <c r="E341" s="385">
        <f ca="1">E338+E339</f>
        <v>122.83750000000146</v>
      </c>
      <c r="H341" s="32">
        <f ca="1">IF(H342&gt;0,H260,0)</f>
        <v>0</v>
      </c>
      <c r="I341" s="32">
        <f t="shared" ref="I341:BT341" ca="1" si="356">IF(I342&gt;0,I260,0)</f>
        <v>0</v>
      </c>
      <c r="J341" s="32">
        <f t="shared" ca="1" si="356"/>
        <v>0</v>
      </c>
      <c r="K341" s="32">
        <f t="shared" ca="1" si="356"/>
        <v>0</v>
      </c>
      <c r="L341" s="32">
        <f t="shared" ca="1" si="356"/>
        <v>0</v>
      </c>
      <c r="M341" s="32">
        <f t="shared" ca="1" si="356"/>
        <v>0</v>
      </c>
      <c r="N341" s="32">
        <f t="shared" ca="1" si="356"/>
        <v>0</v>
      </c>
      <c r="O341" s="32">
        <f t="shared" ca="1" si="356"/>
        <v>0</v>
      </c>
      <c r="P341" s="32">
        <f t="shared" ca="1" si="356"/>
        <v>0</v>
      </c>
      <c r="Q341" s="32">
        <f t="shared" ca="1" si="356"/>
        <v>0</v>
      </c>
      <c r="R341" s="32">
        <f t="shared" ca="1" si="356"/>
        <v>0</v>
      </c>
      <c r="S341" s="32">
        <f t="shared" ca="1" si="356"/>
        <v>0</v>
      </c>
      <c r="T341" s="32">
        <f t="shared" ca="1" si="356"/>
        <v>0</v>
      </c>
      <c r="U341" s="32">
        <f t="shared" ca="1" si="356"/>
        <v>0</v>
      </c>
      <c r="V341" s="32">
        <f t="shared" ca="1" si="356"/>
        <v>0</v>
      </c>
      <c r="W341" s="32">
        <f t="shared" ca="1" si="356"/>
        <v>0</v>
      </c>
      <c r="X341" s="32">
        <f t="shared" ca="1" si="356"/>
        <v>0</v>
      </c>
      <c r="Y341" s="32">
        <f t="shared" ca="1" si="356"/>
        <v>0</v>
      </c>
      <c r="Z341" s="32">
        <f t="shared" ca="1" si="356"/>
        <v>0</v>
      </c>
      <c r="AA341" s="32">
        <f t="shared" ca="1" si="356"/>
        <v>0</v>
      </c>
      <c r="AB341" s="32">
        <f t="shared" ca="1" si="356"/>
        <v>0</v>
      </c>
      <c r="AC341" s="32">
        <f t="shared" ca="1" si="356"/>
        <v>0</v>
      </c>
      <c r="AD341" s="32">
        <f t="shared" ca="1" si="356"/>
        <v>0</v>
      </c>
      <c r="AE341" s="32">
        <f t="shared" ca="1" si="356"/>
        <v>0</v>
      </c>
      <c r="AF341" s="32">
        <f t="shared" ca="1" si="356"/>
        <v>0</v>
      </c>
      <c r="AG341" s="32">
        <f t="shared" ca="1" si="356"/>
        <v>0</v>
      </c>
      <c r="AH341" s="32">
        <f t="shared" ca="1" si="356"/>
        <v>0</v>
      </c>
      <c r="AI341" s="32">
        <f t="shared" ca="1" si="356"/>
        <v>0</v>
      </c>
      <c r="AJ341" s="32">
        <f t="shared" ca="1" si="356"/>
        <v>0</v>
      </c>
      <c r="AK341" s="32">
        <f t="shared" ca="1" si="356"/>
        <v>0</v>
      </c>
      <c r="AL341" s="32">
        <f t="shared" ca="1" si="356"/>
        <v>0</v>
      </c>
      <c r="AM341" s="32">
        <f t="shared" ca="1" si="356"/>
        <v>0</v>
      </c>
      <c r="AN341" s="32">
        <f t="shared" ca="1" si="356"/>
        <v>0</v>
      </c>
      <c r="AO341" s="32">
        <f t="shared" ca="1" si="356"/>
        <v>0</v>
      </c>
      <c r="AP341" s="32">
        <f t="shared" ca="1" si="356"/>
        <v>0</v>
      </c>
      <c r="AQ341" s="32">
        <f t="shared" ca="1" si="356"/>
        <v>0</v>
      </c>
      <c r="AR341" s="32">
        <f t="shared" ca="1" si="356"/>
        <v>0</v>
      </c>
      <c r="AS341" s="32">
        <f t="shared" ca="1" si="356"/>
        <v>0</v>
      </c>
      <c r="AT341" s="32">
        <f t="shared" ca="1" si="356"/>
        <v>0</v>
      </c>
      <c r="AU341" s="32">
        <f t="shared" ca="1" si="356"/>
        <v>0</v>
      </c>
      <c r="AV341" s="32">
        <f t="shared" ca="1" si="356"/>
        <v>0</v>
      </c>
      <c r="AW341" s="32">
        <f t="shared" ca="1" si="356"/>
        <v>0</v>
      </c>
      <c r="AX341" s="32">
        <f t="shared" ca="1" si="356"/>
        <v>0</v>
      </c>
      <c r="AY341" s="32">
        <f t="shared" ca="1" si="356"/>
        <v>0</v>
      </c>
      <c r="AZ341" s="32">
        <f t="shared" ca="1" si="356"/>
        <v>0</v>
      </c>
      <c r="BA341" s="32">
        <f t="shared" ca="1" si="356"/>
        <v>0</v>
      </c>
      <c r="BB341" s="32">
        <f t="shared" ca="1" si="356"/>
        <v>0</v>
      </c>
      <c r="BC341" s="32">
        <f t="shared" ca="1" si="356"/>
        <v>0</v>
      </c>
      <c r="BD341" s="32">
        <f t="shared" ca="1" si="356"/>
        <v>0</v>
      </c>
      <c r="BE341" s="32">
        <f t="shared" ca="1" si="356"/>
        <v>0</v>
      </c>
      <c r="BF341" s="32">
        <f t="shared" ca="1" si="356"/>
        <v>0</v>
      </c>
      <c r="BG341" s="32">
        <f t="shared" ca="1" si="356"/>
        <v>0</v>
      </c>
      <c r="BH341" s="32">
        <f t="shared" ca="1" si="356"/>
        <v>0</v>
      </c>
      <c r="BI341" s="32">
        <f t="shared" ca="1" si="356"/>
        <v>0</v>
      </c>
      <c r="BJ341" s="32">
        <f t="shared" ca="1" si="356"/>
        <v>0</v>
      </c>
      <c r="BK341" s="32">
        <f t="shared" ca="1" si="356"/>
        <v>0</v>
      </c>
      <c r="BL341" s="32">
        <f t="shared" ca="1" si="356"/>
        <v>0</v>
      </c>
      <c r="BM341" s="32">
        <f t="shared" ca="1" si="356"/>
        <v>0</v>
      </c>
      <c r="BN341" s="32">
        <f t="shared" ca="1" si="356"/>
        <v>0</v>
      </c>
      <c r="BO341" s="32">
        <f t="shared" ca="1" si="356"/>
        <v>0</v>
      </c>
      <c r="BP341" s="32">
        <f t="shared" ca="1" si="356"/>
        <v>0</v>
      </c>
      <c r="BQ341" s="32">
        <f t="shared" ca="1" si="356"/>
        <v>0</v>
      </c>
      <c r="BR341" s="32">
        <f t="shared" ca="1" si="356"/>
        <v>0</v>
      </c>
      <c r="BS341" s="32">
        <f t="shared" ca="1" si="356"/>
        <v>0</v>
      </c>
      <c r="BT341" s="32">
        <f t="shared" ca="1" si="356"/>
        <v>0</v>
      </c>
      <c r="BU341" s="32">
        <f t="shared" ref="BU341:EF341" ca="1" si="357">IF(BU342&gt;0,BU260,0)</f>
        <v>0</v>
      </c>
      <c r="BV341" s="32">
        <f t="shared" ca="1" si="357"/>
        <v>0</v>
      </c>
      <c r="BW341" s="32">
        <f t="shared" ca="1" si="357"/>
        <v>0</v>
      </c>
      <c r="BX341" s="32">
        <f t="shared" ca="1" si="357"/>
        <v>0</v>
      </c>
      <c r="BY341" s="32">
        <f t="shared" ca="1" si="357"/>
        <v>0</v>
      </c>
      <c r="BZ341" s="32">
        <f t="shared" ca="1" si="357"/>
        <v>0</v>
      </c>
      <c r="CA341" s="32">
        <f t="shared" ca="1" si="357"/>
        <v>0</v>
      </c>
      <c r="CB341" s="32">
        <f t="shared" ca="1" si="357"/>
        <v>0</v>
      </c>
      <c r="CC341" s="32">
        <f t="shared" ca="1" si="357"/>
        <v>0</v>
      </c>
      <c r="CD341" s="32">
        <f t="shared" ca="1" si="357"/>
        <v>0</v>
      </c>
      <c r="CE341" s="32">
        <f t="shared" ca="1" si="357"/>
        <v>0</v>
      </c>
      <c r="CF341" s="32">
        <f t="shared" ca="1" si="357"/>
        <v>0</v>
      </c>
      <c r="CG341" s="32">
        <f t="shared" ca="1" si="357"/>
        <v>0</v>
      </c>
      <c r="CH341" s="32">
        <f t="shared" ca="1" si="357"/>
        <v>0</v>
      </c>
      <c r="CI341" s="32">
        <f t="shared" ca="1" si="357"/>
        <v>0</v>
      </c>
      <c r="CJ341" s="32">
        <f t="shared" ca="1" si="357"/>
        <v>0</v>
      </c>
      <c r="CK341" s="32">
        <f t="shared" ca="1" si="357"/>
        <v>77</v>
      </c>
      <c r="CL341" s="32">
        <f t="shared" ca="1" si="357"/>
        <v>78</v>
      </c>
      <c r="CM341" s="32">
        <f t="shared" ca="1" si="357"/>
        <v>79</v>
      </c>
      <c r="CN341" s="32">
        <f t="shared" ca="1" si="357"/>
        <v>80</v>
      </c>
      <c r="CO341" s="32">
        <f t="shared" ca="1" si="357"/>
        <v>81</v>
      </c>
      <c r="CP341" s="32">
        <f t="shared" ca="1" si="357"/>
        <v>82</v>
      </c>
      <c r="CQ341" s="32">
        <f t="shared" ca="1" si="357"/>
        <v>83</v>
      </c>
      <c r="CR341" s="32">
        <f t="shared" ca="1" si="357"/>
        <v>84</v>
      </c>
      <c r="CS341" s="32">
        <f t="shared" ca="1" si="357"/>
        <v>85</v>
      </c>
      <c r="CT341" s="32">
        <f t="shared" ca="1" si="357"/>
        <v>86</v>
      </c>
      <c r="CU341" s="32">
        <f t="shared" ca="1" si="357"/>
        <v>87</v>
      </c>
      <c r="CV341" s="32">
        <f t="shared" ca="1" si="357"/>
        <v>88</v>
      </c>
      <c r="CW341" s="32">
        <f t="shared" ca="1" si="357"/>
        <v>89</v>
      </c>
      <c r="CX341" s="32">
        <f t="shared" ca="1" si="357"/>
        <v>90</v>
      </c>
      <c r="CY341" s="32">
        <f t="shared" ca="1" si="357"/>
        <v>91</v>
      </c>
      <c r="CZ341" s="32">
        <f t="shared" ca="1" si="357"/>
        <v>92</v>
      </c>
      <c r="DA341" s="32">
        <f t="shared" ca="1" si="357"/>
        <v>93</v>
      </c>
      <c r="DB341" s="32">
        <f t="shared" ca="1" si="357"/>
        <v>94</v>
      </c>
      <c r="DC341" s="32">
        <f t="shared" ca="1" si="357"/>
        <v>95</v>
      </c>
      <c r="DD341" s="32">
        <f t="shared" ca="1" si="357"/>
        <v>96</v>
      </c>
      <c r="DE341" s="32">
        <f t="shared" ca="1" si="357"/>
        <v>97</v>
      </c>
      <c r="DF341" s="32">
        <f t="shared" ca="1" si="357"/>
        <v>98</v>
      </c>
      <c r="DG341" s="32">
        <f t="shared" ca="1" si="357"/>
        <v>99</v>
      </c>
      <c r="DH341" s="32">
        <f t="shared" ca="1" si="357"/>
        <v>100</v>
      </c>
      <c r="DI341" s="32">
        <f t="shared" ca="1" si="357"/>
        <v>101</v>
      </c>
      <c r="DJ341" s="32">
        <f t="shared" ca="1" si="357"/>
        <v>102</v>
      </c>
      <c r="DK341" s="32">
        <f t="shared" ca="1" si="357"/>
        <v>103</v>
      </c>
      <c r="DL341" s="32">
        <f t="shared" ca="1" si="357"/>
        <v>104</v>
      </c>
      <c r="DM341" s="32">
        <f t="shared" ca="1" si="357"/>
        <v>105</v>
      </c>
      <c r="DN341" s="32">
        <f t="shared" ca="1" si="357"/>
        <v>106</v>
      </c>
      <c r="DO341" s="32">
        <f t="shared" ca="1" si="357"/>
        <v>107</v>
      </c>
      <c r="DP341" s="32">
        <f t="shared" ca="1" si="357"/>
        <v>108</v>
      </c>
      <c r="DQ341" s="32">
        <f t="shared" ca="1" si="357"/>
        <v>109</v>
      </c>
      <c r="DR341" s="32">
        <f t="shared" ca="1" si="357"/>
        <v>110</v>
      </c>
      <c r="DS341" s="32">
        <f t="shared" ca="1" si="357"/>
        <v>111</v>
      </c>
      <c r="DT341" s="32">
        <f t="shared" ca="1" si="357"/>
        <v>112</v>
      </c>
      <c r="DU341" s="32">
        <f t="shared" ca="1" si="357"/>
        <v>113</v>
      </c>
      <c r="DV341" s="32">
        <f t="shared" ca="1" si="357"/>
        <v>114</v>
      </c>
      <c r="DW341" s="32">
        <f t="shared" ca="1" si="357"/>
        <v>115</v>
      </c>
      <c r="DX341" s="32">
        <f t="shared" ca="1" si="357"/>
        <v>116</v>
      </c>
      <c r="DY341" s="32">
        <f t="shared" ca="1" si="357"/>
        <v>117</v>
      </c>
      <c r="DZ341" s="32">
        <f t="shared" ca="1" si="357"/>
        <v>118</v>
      </c>
      <c r="EA341" s="32">
        <f t="shared" ca="1" si="357"/>
        <v>119</v>
      </c>
      <c r="EB341" s="32">
        <f t="shared" ca="1" si="357"/>
        <v>120</v>
      </c>
      <c r="EC341" s="32">
        <f t="shared" ca="1" si="357"/>
        <v>121</v>
      </c>
      <c r="ED341" s="32">
        <f t="shared" ca="1" si="357"/>
        <v>122</v>
      </c>
      <c r="EE341" s="32">
        <f t="shared" ca="1" si="357"/>
        <v>123</v>
      </c>
      <c r="EF341" s="32">
        <f t="shared" ca="1" si="357"/>
        <v>124</v>
      </c>
      <c r="EG341" s="32">
        <f t="shared" ref="EG341:GR341" ca="1" si="358">IF(EG342&gt;0,EG260,0)</f>
        <v>125</v>
      </c>
      <c r="EH341" s="32">
        <f t="shared" ca="1" si="358"/>
        <v>126</v>
      </c>
      <c r="EI341" s="32">
        <f t="shared" ca="1" si="358"/>
        <v>127</v>
      </c>
      <c r="EJ341" s="32">
        <f t="shared" ca="1" si="358"/>
        <v>128</v>
      </c>
      <c r="EK341" s="32">
        <f t="shared" ca="1" si="358"/>
        <v>0</v>
      </c>
      <c r="EL341" s="32">
        <f t="shared" ca="1" si="358"/>
        <v>0</v>
      </c>
      <c r="EM341" s="32">
        <f t="shared" ca="1" si="358"/>
        <v>0</v>
      </c>
      <c r="EN341" s="32">
        <f t="shared" ca="1" si="358"/>
        <v>0</v>
      </c>
      <c r="EO341" s="32">
        <f t="shared" ca="1" si="358"/>
        <v>0</v>
      </c>
      <c r="EP341" s="32">
        <f t="shared" ca="1" si="358"/>
        <v>0</v>
      </c>
      <c r="EQ341" s="32">
        <f t="shared" ca="1" si="358"/>
        <v>0</v>
      </c>
      <c r="ER341" s="32">
        <f t="shared" ca="1" si="358"/>
        <v>0</v>
      </c>
      <c r="ES341" s="32">
        <f t="shared" ca="1" si="358"/>
        <v>0</v>
      </c>
      <c r="ET341" s="32">
        <f t="shared" ca="1" si="358"/>
        <v>0</v>
      </c>
      <c r="EU341" s="32">
        <f t="shared" ca="1" si="358"/>
        <v>0</v>
      </c>
      <c r="EV341" s="32">
        <f t="shared" ca="1" si="358"/>
        <v>0</v>
      </c>
      <c r="EW341" s="32">
        <f t="shared" ca="1" si="358"/>
        <v>0</v>
      </c>
      <c r="EX341" s="32">
        <f t="shared" ca="1" si="358"/>
        <v>0</v>
      </c>
      <c r="EY341" s="32">
        <f t="shared" ca="1" si="358"/>
        <v>0</v>
      </c>
      <c r="EZ341" s="32">
        <f t="shared" ca="1" si="358"/>
        <v>0</v>
      </c>
      <c r="FA341" s="32">
        <f t="shared" ca="1" si="358"/>
        <v>0</v>
      </c>
      <c r="FB341" s="32">
        <f t="shared" ca="1" si="358"/>
        <v>0</v>
      </c>
      <c r="FC341" s="32">
        <f t="shared" ca="1" si="358"/>
        <v>0</v>
      </c>
      <c r="FD341" s="32">
        <f t="shared" ca="1" si="358"/>
        <v>0</v>
      </c>
      <c r="FE341" s="32">
        <f t="shared" ca="1" si="358"/>
        <v>0</v>
      </c>
      <c r="FF341" s="32">
        <f t="shared" ca="1" si="358"/>
        <v>0</v>
      </c>
      <c r="FG341" s="32">
        <f t="shared" ca="1" si="358"/>
        <v>0</v>
      </c>
      <c r="FH341" s="32">
        <f t="shared" ca="1" si="358"/>
        <v>0</v>
      </c>
      <c r="FI341" s="32">
        <f t="shared" ca="1" si="358"/>
        <v>0</v>
      </c>
      <c r="FJ341" s="32">
        <f t="shared" ca="1" si="358"/>
        <v>0</v>
      </c>
      <c r="FK341" s="32">
        <f t="shared" ca="1" si="358"/>
        <v>0</v>
      </c>
      <c r="FL341" s="32">
        <f t="shared" ca="1" si="358"/>
        <v>0</v>
      </c>
      <c r="FM341" s="32">
        <f t="shared" ca="1" si="358"/>
        <v>0</v>
      </c>
      <c r="FN341" s="32">
        <f t="shared" ca="1" si="358"/>
        <v>0</v>
      </c>
      <c r="FO341" s="32">
        <f t="shared" ca="1" si="358"/>
        <v>0</v>
      </c>
      <c r="FP341" s="32">
        <f t="shared" ca="1" si="358"/>
        <v>0</v>
      </c>
      <c r="FQ341" s="32">
        <f t="shared" ca="1" si="358"/>
        <v>0</v>
      </c>
      <c r="FR341" s="32">
        <f t="shared" ca="1" si="358"/>
        <v>0</v>
      </c>
      <c r="FS341" s="32">
        <f t="shared" ca="1" si="358"/>
        <v>0</v>
      </c>
      <c r="FT341" s="32">
        <f t="shared" ca="1" si="358"/>
        <v>0</v>
      </c>
      <c r="FU341" s="32">
        <f t="shared" ca="1" si="358"/>
        <v>0</v>
      </c>
      <c r="FV341" s="32">
        <f t="shared" ca="1" si="358"/>
        <v>0</v>
      </c>
      <c r="FW341" s="32">
        <f t="shared" ca="1" si="358"/>
        <v>0</v>
      </c>
      <c r="FX341" s="32">
        <f t="shared" ca="1" si="358"/>
        <v>0</v>
      </c>
      <c r="FY341" s="32">
        <f t="shared" ca="1" si="358"/>
        <v>0</v>
      </c>
      <c r="FZ341" s="32">
        <f t="shared" ca="1" si="358"/>
        <v>0</v>
      </c>
      <c r="GA341" s="32">
        <f t="shared" ca="1" si="358"/>
        <v>0</v>
      </c>
      <c r="GB341" s="32">
        <f t="shared" ca="1" si="358"/>
        <v>0</v>
      </c>
      <c r="GC341" s="32">
        <f t="shared" ca="1" si="358"/>
        <v>0</v>
      </c>
      <c r="GD341" s="32">
        <f t="shared" ca="1" si="358"/>
        <v>0</v>
      </c>
      <c r="GE341" s="32">
        <f t="shared" ca="1" si="358"/>
        <v>0</v>
      </c>
      <c r="GF341" s="32">
        <f t="shared" ca="1" si="358"/>
        <v>0</v>
      </c>
      <c r="GG341" s="32">
        <f t="shared" ca="1" si="358"/>
        <v>0</v>
      </c>
      <c r="GH341" s="32">
        <f t="shared" ca="1" si="358"/>
        <v>0</v>
      </c>
      <c r="GI341" s="32">
        <f t="shared" ca="1" si="358"/>
        <v>0</v>
      </c>
      <c r="GJ341" s="32">
        <f t="shared" ca="1" si="358"/>
        <v>0</v>
      </c>
      <c r="GK341" s="32">
        <f t="shared" ca="1" si="358"/>
        <v>0</v>
      </c>
      <c r="GL341" s="32">
        <f t="shared" ca="1" si="358"/>
        <v>0</v>
      </c>
      <c r="GM341" s="32">
        <f t="shared" ca="1" si="358"/>
        <v>0</v>
      </c>
      <c r="GN341" s="32">
        <f t="shared" ca="1" si="358"/>
        <v>0</v>
      </c>
      <c r="GO341" s="32">
        <f t="shared" ca="1" si="358"/>
        <v>0</v>
      </c>
      <c r="GP341" s="32">
        <f t="shared" ca="1" si="358"/>
        <v>0</v>
      </c>
      <c r="GQ341" s="32">
        <f t="shared" ca="1" si="358"/>
        <v>0</v>
      </c>
      <c r="GR341" s="32">
        <f t="shared" ca="1" si="358"/>
        <v>0</v>
      </c>
      <c r="GS341" s="32">
        <f t="shared" ref="GS341:IK341" ca="1" si="359">IF(GS342&gt;0,GS260,0)</f>
        <v>0</v>
      </c>
      <c r="GT341" s="32">
        <f t="shared" ca="1" si="359"/>
        <v>0</v>
      </c>
      <c r="GU341" s="32">
        <f t="shared" ca="1" si="359"/>
        <v>0</v>
      </c>
      <c r="GV341" s="32">
        <f t="shared" ca="1" si="359"/>
        <v>0</v>
      </c>
      <c r="GW341" s="32">
        <f t="shared" ca="1" si="359"/>
        <v>0</v>
      </c>
      <c r="GX341" s="32">
        <f t="shared" ca="1" si="359"/>
        <v>0</v>
      </c>
      <c r="GY341" s="32">
        <f t="shared" ca="1" si="359"/>
        <v>0</v>
      </c>
      <c r="GZ341" s="32">
        <f t="shared" ca="1" si="359"/>
        <v>0</v>
      </c>
      <c r="HA341" s="32">
        <f t="shared" ca="1" si="359"/>
        <v>0</v>
      </c>
      <c r="HB341" s="32">
        <f t="shared" ca="1" si="359"/>
        <v>0</v>
      </c>
      <c r="HC341" s="32">
        <f t="shared" ca="1" si="359"/>
        <v>0</v>
      </c>
      <c r="HD341" s="32">
        <f t="shared" ca="1" si="359"/>
        <v>0</v>
      </c>
      <c r="HE341" s="32">
        <f t="shared" ca="1" si="359"/>
        <v>0</v>
      </c>
      <c r="HF341" s="32">
        <f t="shared" ca="1" si="359"/>
        <v>0</v>
      </c>
      <c r="HG341" s="32">
        <f t="shared" ca="1" si="359"/>
        <v>0</v>
      </c>
      <c r="HH341" s="32">
        <f t="shared" ca="1" si="359"/>
        <v>0</v>
      </c>
      <c r="HI341" s="32">
        <f t="shared" ca="1" si="359"/>
        <v>0</v>
      </c>
      <c r="HJ341" s="32">
        <f t="shared" ca="1" si="359"/>
        <v>0</v>
      </c>
      <c r="HK341" s="32">
        <f t="shared" ca="1" si="359"/>
        <v>0</v>
      </c>
      <c r="HL341" s="32">
        <f t="shared" ca="1" si="359"/>
        <v>0</v>
      </c>
      <c r="HM341" s="32">
        <f t="shared" ca="1" si="359"/>
        <v>0</v>
      </c>
      <c r="HN341" s="32">
        <f t="shared" ca="1" si="359"/>
        <v>0</v>
      </c>
      <c r="HO341" s="32">
        <f t="shared" ca="1" si="359"/>
        <v>0</v>
      </c>
      <c r="HP341" s="32">
        <f t="shared" ca="1" si="359"/>
        <v>0</v>
      </c>
      <c r="HQ341" s="32">
        <f t="shared" ca="1" si="359"/>
        <v>0</v>
      </c>
      <c r="HR341" s="32">
        <f t="shared" ca="1" si="359"/>
        <v>0</v>
      </c>
      <c r="HS341" s="32">
        <f t="shared" ca="1" si="359"/>
        <v>0</v>
      </c>
      <c r="HT341" s="32">
        <f t="shared" ca="1" si="359"/>
        <v>0</v>
      </c>
      <c r="HU341" s="32">
        <f t="shared" ca="1" si="359"/>
        <v>0</v>
      </c>
      <c r="HV341" s="32">
        <f t="shared" ca="1" si="359"/>
        <v>0</v>
      </c>
      <c r="HW341" s="32">
        <f t="shared" ca="1" si="359"/>
        <v>0</v>
      </c>
      <c r="HX341" s="32">
        <f t="shared" ca="1" si="359"/>
        <v>0</v>
      </c>
      <c r="HY341" s="32">
        <f t="shared" ca="1" si="359"/>
        <v>0</v>
      </c>
      <c r="HZ341" s="32">
        <f t="shared" ca="1" si="359"/>
        <v>0</v>
      </c>
      <c r="IA341" s="32">
        <f t="shared" ca="1" si="359"/>
        <v>0</v>
      </c>
      <c r="IB341" s="32">
        <f t="shared" ca="1" si="359"/>
        <v>0</v>
      </c>
      <c r="IC341" s="32">
        <f t="shared" ca="1" si="359"/>
        <v>0</v>
      </c>
      <c r="ID341" s="32">
        <f t="shared" ca="1" si="359"/>
        <v>0</v>
      </c>
      <c r="IE341" s="32">
        <f t="shared" ca="1" si="359"/>
        <v>0</v>
      </c>
      <c r="IF341" s="32">
        <f t="shared" ca="1" si="359"/>
        <v>0</v>
      </c>
      <c r="IG341" s="32">
        <f t="shared" ca="1" si="359"/>
        <v>0</v>
      </c>
      <c r="IH341" s="32">
        <f t="shared" ca="1" si="359"/>
        <v>0</v>
      </c>
      <c r="II341" s="32">
        <f t="shared" ca="1" si="359"/>
        <v>0</v>
      </c>
      <c r="IJ341" s="32">
        <f t="shared" ca="1" si="359"/>
        <v>0</v>
      </c>
      <c r="IK341" s="32">
        <f t="shared" ca="1" si="359"/>
        <v>0</v>
      </c>
    </row>
    <row r="342" spans="1:245" hidden="1" x14ac:dyDescent="0.35">
      <c r="A342" s="195">
        <f>IF(B342=0,0,"XXX")</f>
        <v>0</v>
      </c>
      <c r="B342" s="5"/>
      <c r="C342" s="627" t="s">
        <v>1604</v>
      </c>
      <c r="D342">
        <f ca="1">ROUNDDOWN(((CÁLCULOS!$J$362+CÁLCULOS!$J$363+CÁLCULOS!$J$364+CÁLCULOS!$J$412+CÁLCULOS!$J$413+CÁLCULOS!$J$414)/5.5*7)/ENTRADAS!$F$22,0)</f>
        <v>8</v>
      </c>
      <c r="H342" s="32">
        <f ca="1">IF(SUM(H300:H335)&gt;0,100,0)</f>
        <v>0</v>
      </c>
      <c r="I342" s="32">
        <f t="shared" ref="I342:BT342" ca="1" si="360">IF(SUM(I300:I335)&gt;0,100,0)</f>
        <v>0</v>
      </c>
      <c r="J342" s="32">
        <f t="shared" ca="1" si="360"/>
        <v>0</v>
      </c>
      <c r="K342" s="32">
        <f t="shared" ca="1" si="360"/>
        <v>0</v>
      </c>
      <c r="L342" s="32">
        <f t="shared" ca="1" si="360"/>
        <v>0</v>
      </c>
      <c r="M342" s="32">
        <f t="shared" ca="1" si="360"/>
        <v>0</v>
      </c>
      <c r="N342" s="32">
        <f t="shared" ca="1" si="360"/>
        <v>0</v>
      </c>
      <c r="O342" s="32">
        <f t="shared" ca="1" si="360"/>
        <v>0</v>
      </c>
      <c r="P342" s="32">
        <f t="shared" ca="1" si="360"/>
        <v>0</v>
      </c>
      <c r="Q342" s="32">
        <f t="shared" ca="1" si="360"/>
        <v>0</v>
      </c>
      <c r="R342" s="32">
        <f t="shared" ca="1" si="360"/>
        <v>0</v>
      </c>
      <c r="S342" s="32">
        <f t="shared" ca="1" si="360"/>
        <v>0</v>
      </c>
      <c r="T342" s="32">
        <f t="shared" ca="1" si="360"/>
        <v>0</v>
      </c>
      <c r="U342" s="32">
        <f t="shared" ca="1" si="360"/>
        <v>0</v>
      </c>
      <c r="V342" s="32">
        <f t="shared" ca="1" si="360"/>
        <v>0</v>
      </c>
      <c r="W342" s="32">
        <f t="shared" ca="1" si="360"/>
        <v>0</v>
      </c>
      <c r="X342" s="32">
        <f t="shared" ca="1" si="360"/>
        <v>0</v>
      </c>
      <c r="Y342" s="32">
        <f t="shared" ca="1" si="360"/>
        <v>0</v>
      </c>
      <c r="Z342" s="32">
        <f t="shared" ca="1" si="360"/>
        <v>0</v>
      </c>
      <c r="AA342" s="32">
        <f t="shared" ca="1" si="360"/>
        <v>0</v>
      </c>
      <c r="AB342" s="32">
        <f t="shared" ca="1" si="360"/>
        <v>0</v>
      </c>
      <c r="AC342" s="32">
        <f t="shared" ca="1" si="360"/>
        <v>0</v>
      </c>
      <c r="AD342" s="32">
        <f t="shared" ca="1" si="360"/>
        <v>0</v>
      </c>
      <c r="AE342" s="32">
        <f t="shared" ca="1" si="360"/>
        <v>0</v>
      </c>
      <c r="AF342" s="32">
        <f t="shared" ca="1" si="360"/>
        <v>0</v>
      </c>
      <c r="AG342" s="32">
        <f t="shared" ca="1" si="360"/>
        <v>0</v>
      </c>
      <c r="AH342" s="32">
        <f t="shared" ca="1" si="360"/>
        <v>0</v>
      </c>
      <c r="AI342" s="32">
        <f t="shared" ca="1" si="360"/>
        <v>0</v>
      </c>
      <c r="AJ342" s="32">
        <f t="shared" ca="1" si="360"/>
        <v>0</v>
      </c>
      <c r="AK342" s="32">
        <f t="shared" ca="1" si="360"/>
        <v>0</v>
      </c>
      <c r="AL342" s="32">
        <f t="shared" ca="1" si="360"/>
        <v>0</v>
      </c>
      <c r="AM342" s="32">
        <f t="shared" ca="1" si="360"/>
        <v>0</v>
      </c>
      <c r="AN342" s="32">
        <f t="shared" ca="1" si="360"/>
        <v>0</v>
      </c>
      <c r="AO342" s="32">
        <f t="shared" ca="1" si="360"/>
        <v>0</v>
      </c>
      <c r="AP342" s="32">
        <f t="shared" ca="1" si="360"/>
        <v>0</v>
      </c>
      <c r="AQ342" s="32">
        <f t="shared" ca="1" si="360"/>
        <v>0</v>
      </c>
      <c r="AR342" s="32">
        <f t="shared" ca="1" si="360"/>
        <v>0</v>
      </c>
      <c r="AS342" s="32">
        <f t="shared" ca="1" si="360"/>
        <v>0</v>
      </c>
      <c r="AT342" s="32">
        <f t="shared" ca="1" si="360"/>
        <v>0</v>
      </c>
      <c r="AU342" s="32">
        <f t="shared" ca="1" si="360"/>
        <v>0</v>
      </c>
      <c r="AV342" s="32">
        <f t="shared" ca="1" si="360"/>
        <v>0</v>
      </c>
      <c r="AW342" s="32">
        <f t="shared" ca="1" si="360"/>
        <v>0</v>
      </c>
      <c r="AX342" s="32">
        <f t="shared" ca="1" si="360"/>
        <v>0</v>
      </c>
      <c r="AY342" s="32">
        <f t="shared" ca="1" si="360"/>
        <v>0</v>
      </c>
      <c r="AZ342" s="32">
        <f t="shared" ca="1" si="360"/>
        <v>0</v>
      </c>
      <c r="BA342" s="32">
        <f t="shared" ca="1" si="360"/>
        <v>0</v>
      </c>
      <c r="BB342" s="32">
        <f t="shared" ca="1" si="360"/>
        <v>0</v>
      </c>
      <c r="BC342" s="32">
        <f t="shared" ca="1" si="360"/>
        <v>0</v>
      </c>
      <c r="BD342" s="32">
        <f t="shared" ca="1" si="360"/>
        <v>0</v>
      </c>
      <c r="BE342" s="32">
        <f t="shared" ca="1" si="360"/>
        <v>0</v>
      </c>
      <c r="BF342" s="32">
        <f t="shared" ca="1" si="360"/>
        <v>0</v>
      </c>
      <c r="BG342" s="32">
        <f t="shared" ca="1" si="360"/>
        <v>0</v>
      </c>
      <c r="BH342" s="32">
        <f t="shared" ca="1" si="360"/>
        <v>0</v>
      </c>
      <c r="BI342" s="32">
        <f t="shared" ca="1" si="360"/>
        <v>0</v>
      </c>
      <c r="BJ342" s="32">
        <f t="shared" ca="1" si="360"/>
        <v>0</v>
      </c>
      <c r="BK342" s="32">
        <f t="shared" ca="1" si="360"/>
        <v>0</v>
      </c>
      <c r="BL342" s="32">
        <f t="shared" ca="1" si="360"/>
        <v>0</v>
      </c>
      <c r="BM342" s="32">
        <f t="shared" ca="1" si="360"/>
        <v>0</v>
      </c>
      <c r="BN342" s="32">
        <f t="shared" ca="1" si="360"/>
        <v>0</v>
      </c>
      <c r="BO342" s="32">
        <f t="shared" ca="1" si="360"/>
        <v>0</v>
      </c>
      <c r="BP342" s="32">
        <f t="shared" ca="1" si="360"/>
        <v>0</v>
      </c>
      <c r="BQ342" s="32">
        <f t="shared" ca="1" si="360"/>
        <v>0</v>
      </c>
      <c r="BR342" s="32">
        <f t="shared" ca="1" si="360"/>
        <v>0</v>
      </c>
      <c r="BS342" s="32">
        <f t="shared" ca="1" si="360"/>
        <v>0</v>
      </c>
      <c r="BT342" s="32">
        <f t="shared" ca="1" si="360"/>
        <v>0</v>
      </c>
      <c r="BU342" s="32">
        <f t="shared" ref="BU342:EF342" ca="1" si="361">IF(SUM(BU300:BU335)&gt;0,100,0)</f>
        <v>0</v>
      </c>
      <c r="BV342" s="32">
        <f t="shared" ca="1" si="361"/>
        <v>0</v>
      </c>
      <c r="BW342" s="32">
        <f t="shared" ca="1" si="361"/>
        <v>0</v>
      </c>
      <c r="BX342" s="32">
        <f t="shared" ca="1" si="361"/>
        <v>0</v>
      </c>
      <c r="BY342" s="32">
        <f t="shared" ca="1" si="361"/>
        <v>0</v>
      </c>
      <c r="BZ342" s="32">
        <f t="shared" ca="1" si="361"/>
        <v>0</v>
      </c>
      <c r="CA342" s="32">
        <f t="shared" ca="1" si="361"/>
        <v>0</v>
      </c>
      <c r="CB342" s="32">
        <f t="shared" ca="1" si="361"/>
        <v>0</v>
      </c>
      <c r="CC342" s="32">
        <f t="shared" ca="1" si="361"/>
        <v>0</v>
      </c>
      <c r="CD342" s="32">
        <f t="shared" ca="1" si="361"/>
        <v>0</v>
      </c>
      <c r="CE342" s="32">
        <f t="shared" ca="1" si="361"/>
        <v>0</v>
      </c>
      <c r="CF342" s="32">
        <f t="shared" ca="1" si="361"/>
        <v>0</v>
      </c>
      <c r="CG342" s="32">
        <f t="shared" ca="1" si="361"/>
        <v>0</v>
      </c>
      <c r="CH342" s="32">
        <f t="shared" ca="1" si="361"/>
        <v>0</v>
      </c>
      <c r="CI342" s="32">
        <f t="shared" ca="1" si="361"/>
        <v>0</v>
      </c>
      <c r="CJ342" s="32">
        <f t="shared" ca="1" si="361"/>
        <v>0</v>
      </c>
      <c r="CK342" s="32">
        <f t="shared" ca="1" si="361"/>
        <v>100</v>
      </c>
      <c r="CL342" s="32">
        <f t="shared" ca="1" si="361"/>
        <v>100</v>
      </c>
      <c r="CM342" s="32">
        <f t="shared" ca="1" si="361"/>
        <v>100</v>
      </c>
      <c r="CN342" s="32">
        <f t="shared" ca="1" si="361"/>
        <v>100</v>
      </c>
      <c r="CO342" s="32">
        <f t="shared" ca="1" si="361"/>
        <v>100</v>
      </c>
      <c r="CP342" s="32">
        <f t="shared" ca="1" si="361"/>
        <v>100</v>
      </c>
      <c r="CQ342" s="32">
        <f t="shared" ca="1" si="361"/>
        <v>100</v>
      </c>
      <c r="CR342" s="32">
        <f t="shared" ca="1" si="361"/>
        <v>100</v>
      </c>
      <c r="CS342" s="32">
        <f t="shared" ca="1" si="361"/>
        <v>100</v>
      </c>
      <c r="CT342" s="32">
        <f t="shared" ca="1" si="361"/>
        <v>100</v>
      </c>
      <c r="CU342" s="32">
        <f t="shared" ca="1" si="361"/>
        <v>100</v>
      </c>
      <c r="CV342" s="32">
        <f t="shared" ca="1" si="361"/>
        <v>100</v>
      </c>
      <c r="CW342" s="32">
        <f t="shared" ca="1" si="361"/>
        <v>100</v>
      </c>
      <c r="CX342" s="32">
        <f t="shared" ca="1" si="361"/>
        <v>100</v>
      </c>
      <c r="CY342" s="32">
        <f t="shared" ca="1" si="361"/>
        <v>100</v>
      </c>
      <c r="CZ342" s="32">
        <f t="shared" ca="1" si="361"/>
        <v>100</v>
      </c>
      <c r="DA342" s="32">
        <f t="shared" ca="1" si="361"/>
        <v>100</v>
      </c>
      <c r="DB342" s="32">
        <f t="shared" ca="1" si="361"/>
        <v>100</v>
      </c>
      <c r="DC342" s="32">
        <f t="shared" ca="1" si="361"/>
        <v>100</v>
      </c>
      <c r="DD342" s="32">
        <f t="shared" ca="1" si="361"/>
        <v>100</v>
      </c>
      <c r="DE342" s="32">
        <f t="shared" ca="1" si="361"/>
        <v>100</v>
      </c>
      <c r="DF342" s="32">
        <f t="shared" ca="1" si="361"/>
        <v>100</v>
      </c>
      <c r="DG342" s="32">
        <f t="shared" ca="1" si="361"/>
        <v>100</v>
      </c>
      <c r="DH342" s="32">
        <f t="shared" ca="1" si="361"/>
        <v>100</v>
      </c>
      <c r="DI342" s="32">
        <f t="shared" ca="1" si="361"/>
        <v>100</v>
      </c>
      <c r="DJ342" s="32">
        <f t="shared" ca="1" si="361"/>
        <v>100</v>
      </c>
      <c r="DK342" s="32">
        <f t="shared" ca="1" si="361"/>
        <v>100</v>
      </c>
      <c r="DL342" s="32">
        <f t="shared" ca="1" si="361"/>
        <v>100</v>
      </c>
      <c r="DM342" s="32">
        <f t="shared" ca="1" si="361"/>
        <v>100</v>
      </c>
      <c r="DN342" s="32">
        <f t="shared" ca="1" si="361"/>
        <v>100</v>
      </c>
      <c r="DO342" s="32">
        <f t="shared" ca="1" si="361"/>
        <v>100</v>
      </c>
      <c r="DP342" s="32">
        <f t="shared" ca="1" si="361"/>
        <v>100</v>
      </c>
      <c r="DQ342" s="32">
        <f t="shared" ca="1" si="361"/>
        <v>100</v>
      </c>
      <c r="DR342" s="32">
        <f t="shared" ca="1" si="361"/>
        <v>100</v>
      </c>
      <c r="DS342" s="32">
        <f t="shared" ca="1" si="361"/>
        <v>100</v>
      </c>
      <c r="DT342" s="32">
        <f t="shared" ca="1" si="361"/>
        <v>100</v>
      </c>
      <c r="DU342" s="32">
        <f t="shared" ca="1" si="361"/>
        <v>100</v>
      </c>
      <c r="DV342" s="32">
        <f t="shared" ca="1" si="361"/>
        <v>100</v>
      </c>
      <c r="DW342" s="32">
        <f t="shared" ca="1" si="361"/>
        <v>100</v>
      </c>
      <c r="DX342" s="32">
        <f t="shared" ca="1" si="361"/>
        <v>100</v>
      </c>
      <c r="DY342" s="32">
        <f t="shared" ca="1" si="361"/>
        <v>100</v>
      </c>
      <c r="DZ342" s="32">
        <f t="shared" ca="1" si="361"/>
        <v>100</v>
      </c>
      <c r="EA342" s="32">
        <f t="shared" ca="1" si="361"/>
        <v>100</v>
      </c>
      <c r="EB342" s="32">
        <f t="shared" ca="1" si="361"/>
        <v>100</v>
      </c>
      <c r="EC342" s="32">
        <f t="shared" ca="1" si="361"/>
        <v>100</v>
      </c>
      <c r="ED342" s="32">
        <f t="shared" ca="1" si="361"/>
        <v>100</v>
      </c>
      <c r="EE342" s="32">
        <f t="shared" ca="1" si="361"/>
        <v>100</v>
      </c>
      <c r="EF342" s="32">
        <f t="shared" ca="1" si="361"/>
        <v>100</v>
      </c>
      <c r="EG342" s="32">
        <f t="shared" ref="EG342:GR342" ca="1" si="362">IF(SUM(EG300:EG335)&gt;0,100,0)</f>
        <v>100</v>
      </c>
      <c r="EH342" s="32">
        <f t="shared" ca="1" si="362"/>
        <v>100</v>
      </c>
      <c r="EI342" s="32">
        <f t="shared" ca="1" si="362"/>
        <v>100</v>
      </c>
      <c r="EJ342" s="32">
        <f t="shared" ca="1" si="362"/>
        <v>100</v>
      </c>
      <c r="EK342" s="32">
        <f t="shared" ca="1" si="362"/>
        <v>0</v>
      </c>
      <c r="EL342" s="32">
        <f t="shared" ca="1" si="362"/>
        <v>0</v>
      </c>
      <c r="EM342" s="32">
        <f t="shared" ca="1" si="362"/>
        <v>0</v>
      </c>
      <c r="EN342" s="32">
        <f t="shared" ca="1" si="362"/>
        <v>0</v>
      </c>
      <c r="EO342" s="32">
        <f t="shared" ca="1" si="362"/>
        <v>0</v>
      </c>
      <c r="EP342" s="32">
        <f t="shared" ca="1" si="362"/>
        <v>0</v>
      </c>
      <c r="EQ342" s="32">
        <f t="shared" ca="1" si="362"/>
        <v>0</v>
      </c>
      <c r="ER342" s="32">
        <f t="shared" ca="1" si="362"/>
        <v>0</v>
      </c>
      <c r="ES342" s="32">
        <f t="shared" ca="1" si="362"/>
        <v>0</v>
      </c>
      <c r="ET342" s="32">
        <f t="shared" ca="1" si="362"/>
        <v>0</v>
      </c>
      <c r="EU342" s="32">
        <f t="shared" ca="1" si="362"/>
        <v>0</v>
      </c>
      <c r="EV342" s="32">
        <f t="shared" ca="1" si="362"/>
        <v>0</v>
      </c>
      <c r="EW342" s="32">
        <f t="shared" ca="1" si="362"/>
        <v>0</v>
      </c>
      <c r="EX342" s="32">
        <f t="shared" ca="1" si="362"/>
        <v>0</v>
      </c>
      <c r="EY342" s="32">
        <f t="shared" ca="1" si="362"/>
        <v>0</v>
      </c>
      <c r="EZ342" s="32">
        <f t="shared" ca="1" si="362"/>
        <v>0</v>
      </c>
      <c r="FA342" s="32">
        <f t="shared" ca="1" si="362"/>
        <v>0</v>
      </c>
      <c r="FB342" s="32">
        <f t="shared" ca="1" si="362"/>
        <v>0</v>
      </c>
      <c r="FC342" s="32">
        <f t="shared" ca="1" si="362"/>
        <v>0</v>
      </c>
      <c r="FD342" s="32">
        <f t="shared" ca="1" si="362"/>
        <v>0</v>
      </c>
      <c r="FE342" s="32">
        <f t="shared" ca="1" si="362"/>
        <v>0</v>
      </c>
      <c r="FF342" s="32">
        <f t="shared" ca="1" si="362"/>
        <v>0</v>
      </c>
      <c r="FG342" s="32">
        <f t="shared" ca="1" si="362"/>
        <v>0</v>
      </c>
      <c r="FH342" s="32">
        <f t="shared" ca="1" si="362"/>
        <v>0</v>
      </c>
      <c r="FI342" s="32">
        <f t="shared" ca="1" si="362"/>
        <v>0</v>
      </c>
      <c r="FJ342" s="32">
        <f t="shared" ca="1" si="362"/>
        <v>0</v>
      </c>
      <c r="FK342" s="32">
        <f t="shared" ca="1" si="362"/>
        <v>0</v>
      </c>
      <c r="FL342" s="32">
        <f t="shared" ca="1" si="362"/>
        <v>0</v>
      </c>
      <c r="FM342" s="32">
        <f t="shared" ca="1" si="362"/>
        <v>0</v>
      </c>
      <c r="FN342" s="32">
        <f t="shared" ca="1" si="362"/>
        <v>0</v>
      </c>
      <c r="FO342" s="32">
        <f t="shared" ca="1" si="362"/>
        <v>0</v>
      </c>
      <c r="FP342" s="32">
        <f t="shared" ca="1" si="362"/>
        <v>0</v>
      </c>
      <c r="FQ342" s="32">
        <f t="shared" ca="1" si="362"/>
        <v>0</v>
      </c>
      <c r="FR342" s="32">
        <f t="shared" ca="1" si="362"/>
        <v>0</v>
      </c>
      <c r="FS342" s="32">
        <f t="shared" ca="1" si="362"/>
        <v>0</v>
      </c>
      <c r="FT342" s="32">
        <f t="shared" ca="1" si="362"/>
        <v>0</v>
      </c>
      <c r="FU342" s="32">
        <f t="shared" ca="1" si="362"/>
        <v>0</v>
      </c>
      <c r="FV342" s="32">
        <f t="shared" ca="1" si="362"/>
        <v>0</v>
      </c>
      <c r="FW342" s="32">
        <f t="shared" ca="1" si="362"/>
        <v>0</v>
      </c>
      <c r="FX342" s="32">
        <f t="shared" ca="1" si="362"/>
        <v>0</v>
      </c>
      <c r="FY342" s="32">
        <f t="shared" ca="1" si="362"/>
        <v>0</v>
      </c>
      <c r="FZ342" s="32">
        <f t="shared" ca="1" si="362"/>
        <v>0</v>
      </c>
      <c r="GA342" s="32">
        <f t="shared" ca="1" si="362"/>
        <v>0</v>
      </c>
      <c r="GB342" s="32">
        <f t="shared" ca="1" si="362"/>
        <v>0</v>
      </c>
      <c r="GC342" s="32">
        <f t="shared" ca="1" si="362"/>
        <v>0</v>
      </c>
      <c r="GD342" s="32">
        <f t="shared" ca="1" si="362"/>
        <v>0</v>
      </c>
      <c r="GE342" s="32">
        <f t="shared" ca="1" si="362"/>
        <v>0</v>
      </c>
      <c r="GF342" s="32">
        <f t="shared" ca="1" si="362"/>
        <v>0</v>
      </c>
      <c r="GG342" s="32">
        <f t="shared" ca="1" si="362"/>
        <v>0</v>
      </c>
      <c r="GH342" s="32">
        <f t="shared" ca="1" si="362"/>
        <v>0</v>
      </c>
      <c r="GI342" s="32">
        <f t="shared" ca="1" si="362"/>
        <v>0</v>
      </c>
      <c r="GJ342" s="32">
        <f t="shared" ca="1" si="362"/>
        <v>0</v>
      </c>
      <c r="GK342" s="32">
        <f t="shared" ca="1" si="362"/>
        <v>0</v>
      </c>
      <c r="GL342" s="32">
        <f t="shared" ca="1" si="362"/>
        <v>0</v>
      </c>
      <c r="GM342" s="32">
        <f t="shared" ca="1" si="362"/>
        <v>0</v>
      </c>
      <c r="GN342" s="32">
        <f t="shared" ca="1" si="362"/>
        <v>0</v>
      </c>
      <c r="GO342" s="32">
        <f t="shared" ca="1" si="362"/>
        <v>0</v>
      </c>
      <c r="GP342" s="32">
        <f t="shared" ca="1" si="362"/>
        <v>0</v>
      </c>
      <c r="GQ342" s="32">
        <f t="shared" ca="1" si="362"/>
        <v>0</v>
      </c>
      <c r="GR342" s="32">
        <f t="shared" ca="1" si="362"/>
        <v>0</v>
      </c>
      <c r="GS342" s="32">
        <f t="shared" ref="GS342:IK342" ca="1" si="363">IF(SUM(GS300:GS335)&gt;0,100,0)</f>
        <v>0</v>
      </c>
      <c r="GT342" s="32">
        <f t="shared" ca="1" si="363"/>
        <v>0</v>
      </c>
      <c r="GU342" s="32">
        <f t="shared" ca="1" si="363"/>
        <v>0</v>
      </c>
      <c r="GV342" s="32">
        <f t="shared" ca="1" si="363"/>
        <v>0</v>
      </c>
      <c r="GW342" s="32">
        <f t="shared" ca="1" si="363"/>
        <v>0</v>
      </c>
      <c r="GX342" s="32">
        <f t="shared" ca="1" si="363"/>
        <v>0</v>
      </c>
      <c r="GY342" s="32">
        <f t="shared" ca="1" si="363"/>
        <v>0</v>
      </c>
      <c r="GZ342" s="32">
        <f t="shared" ca="1" si="363"/>
        <v>0</v>
      </c>
      <c r="HA342" s="32">
        <f t="shared" ca="1" si="363"/>
        <v>0</v>
      </c>
      <c r="HB342" s="32">
        <f t="shared" ca="1" si="363"/>
        <v>0</v>
      </c>
      <c r="HC342" s="32">
        <f t="shared" ca="1" si="363"/>
        <v>0</v>
      </c>
      <c r="HD342" s="32">
        <f t="shared" ca="1" si="363"/>
        <v>0</v>
      </c>
      <c r="HE342" s="32">
        <f t="shared" ca="1" si="363"/>
        <v>0</v>
      </c>
      <c r="HF342" s="32">
        <f t="shared" ca="1" si="363"/>
        <v>0</v>
      </c>
      <c r="HG342" s="32">
        <f t="shared" ca="1" si="363"/>
        <v>0</v>
      </c>
      <c r="HH342" s="32">
        <f t="shared" ca="1" si="363"/>
        <v>0</v>
      </c>
      <c r="HI342" s="32">
        <f t="shared" ca="1" si="363"/>
        <v>0</v>
      </c>
      <c r="HJ342" s="32">
        <f t="shared" ca="1" si="363"/>
        <v>0</v>
      </c>
      <c r="HK342" s="32">
        <f t="shared" ca="1" si="363"/>
        <v>0</v>
      </c>
      <c r="HL342" s="32">
        <f t="shared" ca="1" si="363"/>
        <v>0</v>
      </c>
      <c r="HM342" s="32">
        <f t="shared" ca="1" si="363"/>
        <v>0</v>
      </c>
      <c r="HN342" s="32">
        <f t="shared" ca="1" si="363"/>
        <v>0</v>
      </c>
      <c r="HO342" s="32">
        <f t="shared" ca="1" si="363"/>
        <v>0</v>
      </c>
      <c r="HP342" s="32">
        <f t="shared" ca="1" si="363"/>
        <v>0</v>
      </c>
      <c r="HQ342" s="32">
        <f t="shared" ca="1" si="363"/>
        <v>0</v>
      </c>
      <c r="HR342" s="32">
        <f t="shared" ca="1" si="363"/>
        <v>0</v>
      </c>
      <c r="HS342" s="32">
        <f t="shared" ca="1" si="363"/>
        <v>0</v>
      </c>
      <c r="HT342" s="32">
        <f t="shared" ca="1" si="363"/>
        <v>0</v>
      </c>
      <c r="HU342" s="32">
        <f t="shared" ca="1" si="363"/>
        <v>0</v>
      </c>
      <c r="HV342" s="32">
        <f t="shared" ca="1" si="363"/>
        <v>0</v>
      </c>
      <c r="HW342" s="32">
        <f t="shared" ca="1" si="363"/>
        <v>0</v>
      </c>
      <c r="HX342" s="32">
        <f t="shared" ca="1" si="363"/>
        <v>0</v>
      </c>
      <c r="HY342" s="32">
        <f t="shared" ca="1" si="363"/>
        <v>0</v>
      </c>
      <c r="HZ342" s="32">
        <f t="shared" ca="1" si="363"/>
        <v>0</v>
      </c>
      <c r="IA342" s="32">
        <f t="shared" ca="1" si="363"/>
        <v>0</v>
      </c>
      <c r="IB342" s="32">
        <f t="shared" ca="1" si="363"/>
        <v>0</v>
      </c>
      <c r="IC342" s="32">
        <f t="shared" ca="1" si="363"/>
        <v>0</v>
      </c>
      <c r="ID342" s="32">
        <f t="shared" ca="1" si="363"/>
        <v>0</v>
      </c>
      <c r="IE342" s="32">
        <f t="shared" ca="1" si="363"/>
        <v>0</v>
      </c>
      <c r="IF342" s="32">
        <f t="shared" ca="1" si="363"/>
        <v>0</v>
      </c>
      <c r="IG342" s="32">
        <f t="shared" ca="1" si="363"/>
        <v>0</v>
      </c>
      <c r="IH342" s="32">
        <f t="shared" ca="1" si="363"/>
        <v>0</v>
      </c>
      <c r="II342" s="32">
        <f t="shared" ca="1" si="363"/>
        <v>0</v>
      </c>
      <c r="IJ342" s="32">
        <f t="shared" ca="1" si="363"/>
        <v>0</v>
      </c>
      <c r="IK342" s="32">
        <f t="shared" ca="1" si="363"/>
        <v>0</v>
      </c>
    </row>
    <row r="343" spans="1:245" hidden="1" x14ac:dyDescent="0.35"/>
    <row r="344" spans="1:245" hidden="1" x14ac:dyDescent="0.35"/>
    <row r="345" spans="1:245" hidden="1" x14ac:dyDescent="0.35">
      <c r="A345" s="195">
        <f>IF(B345=0,0,"XXX")</f>
        <v>0</v>
      </c>
      <c r="C345" s="638" t="s">
        <v>1605</v>
      </c>
      <c r="D345" s="636" t="s">
        <v>1606</v>
      </c>
      <c r="E345" s="14"/>
      <c r="F345" s="6"/>
      <c r="H345" s="32">
        <f ca="1">IF(ENTRADAS!$F$22&gt;=1,IF(H29=10,1000,1),0)</f>
        <v>1</v>
      </c>
      <c r="I345" s="32">
        <f ca="1">IF(ENTRADAS!$F$22&gt;=1,IF(I29=10,1000,1),0)</f>
        <v>1</v>
      </c>
      <c r="J345" s="32">
        <f ca="1">IF(ENTRADAS!$F$22&gt;=1,IF(J29=10,1000,1),0)</f>
        <v>1</v>
      </c>
      <c r="K345" s="32">
        <f ca="1">IF(ENTRADAS!$F$22&gt;=1,IF(K29=10,1000,1),0)</f>
        <v>1</v>
      </c>
      <c r="L345" s="32">
        <f ca="1">IF(ENTRADAS!$F$22&gt;=1,IF(L29=10,1000,1),0)</f>
        <v>1</v>
      </c>
      <c r="M345" s="32">
        <f ca="1">IF(ENTRADAS!$F$22&gt;=1,IF(M29=10,1000,1),0)</f>
        <v>1</v>
      </c>
      <c r="N345" s="32">
        <f ca="1">IF(ENTRADAS!$F$22&gt;=1,IF(N29=10,1000,1),0)</f>
        <v>1</v>
      </c>
      <c r="O345" s="32">
        <f ca="1">IF(ENTRADAS!$F$22&gt;=1,IF(O29=10,1000,1),0)</f>
        <v>1</v>
      </c>
      <c r="P345" s="32">
        <f ca="1">IF(ENTRADAS!$F$22&gt;=1,IF(P29=10,1000,1),0)</f>
        <v>1</v>
      </c>
      <c r="Q345" s="32">
        <f ca="1">IF(ENTRADAS!$F$22&gt;=1,IF(Q29=10,1000,1),0)</f>
        <v>1</v>
      </c>
      <c r="R345" s="32">
        <f ca="1">IF(ENTRADAS!$F$22&gt;=1,IF(R29=10,1000,1),0)</f>
        <v>1</v>
      </c>
      <c r="S345" s="32">
        <f ca="1">IF(ENTRADAS!$F$22&gt;=1,IF(S29=10,1000,1),0)</f>
        <v>1</v>
      </c>
      <c r="T345" s="32">
        <f ca="1">IF(ENTRADAS!$F$22&gt;=1,IF(T29=10,1000,1),0)</f>
        <v>1</v>
      </c>
      <c r="U345" s="32">
        <f ca="1">IF(ENTRADAS!$F$22&gt;=1,IF(U29=10,1000,1),0)</f>
        <v>1</v>
      </c>
      <c r="V345" s="32">
        <f ca="1">IF(ENTRADAS!$F$22&gt;=1,IF(V29=10,1000,1),0)</f>
        <v>1</v>
      </c>
      <c r="W345" s="32">
        <f ca="1">IF(ENTRADAS!$F$22&gt;=1,IF(W29=10,1000,1),0)</f>
        <v>1</v>
      </c>
      <c r="X345" s="32">
        <f ca="1">IF(ENTRADAS!$F$22&gt;=1,IF(X29=10,1000,1),0)</f>
        <v>1</v>
      </c>
      <c r="Y345" s="32">
        <f ca="1">IF(ENTRADAS!$F$22&gt;=1,IF(Y29=10,1000,1),0)</f>
        <v>1</v>
      </c>
      <c r="Z345" s="32">
        <f ca="1">IF(ENTRADAS!$F$22&gt;=1,IF(Z29=10,1000,1),0)</f>
        <v>1</v>
      </c>
      <c r="AA345" s="32">
        <f ca="1">IF(ENTRADAS!$F$22&gt;=1,IF(AA29=10,1000,1),0)</f>
        <v>1</v>
      </c>
      <c r="AB345" s="32">
        <f ca="1">IF(ENTRADAS!$F$22&gt;=1,IF(AB29=10,1000,1),0)</f>
        <v>1</v>
      </c>
      <c r="AC345" s="32">
        <f ca="1">IF(ENTRADAS!$F$22&gt;=1,IF(AC29=10,1000,1),0)</f>
        <v>1</v>
      </c>
      <c r="AD345" s="32">
        <f ca="1">IF(ENTRADAS!$F$22&gt;=1,IF(AD29=10,1000,1),0)</f>
        <v>1</v>
      </c>
      <c r="AE345" s="32">
        <f ca="1">IF(ENTRADAS!$F$22&gt;=1,IF(AE29=10,1000,1),0)</f>
        <v>1</v>
      </c>
      <c r="AF345" s="32">
        <f ca="1">IF(ENTRADAS!$F$22&gt;=1,IF(AF29=10,1000,1),0)</f>
        <v>1</v>
      </c>
      <c r="AG345" s="32">
        <f ca="1">IF(ENTRADAS!$F$22&gt;=1,IF(AG29=10,1000,1),0)</f>
        <v>1</v>
      </c>
      <c r="AH345" s="32">
        <f ca="1">IF(ENTRADAS!$F$22&gt;=1,IF(AH29=10,1000,1),0)</f>
        <v>1</v>
      </c>
      <c r="AI345" s="32">
        <f ca="1">IF(ENTRADAS!$F$22&gt;=1,IF(AI29=10,1000,1),0)</f>
        <v>1</v>
      </c>
      <c r="AJ345" s="32">
        <f ca="1">IF(ENTRADAS!$F$22&gt;=1,IF(AJ29=10,1000,1),0)</f>
        <v>1</v>
      </c>
      <c r="AK345" s="32">
        <f ca="1">IF(ENTRADAS!$F$22&gt;=1,IF(AK29=10,1000,1),0)</f>
        <v>1</v>
      </c>
      <c r="AL345" s="32">
        <f ca="1">IF(ENTRADAS!$F$22&gt;=1,IF(AL29=10,1000,1),0)</f>
        <v>1</v>
      </c>
      <c r="AM345" s="32">
        <f ca="1">IF(ENTRADAS!$F$22&gt;=1,IF(AM29=10,1000,1),0)</f>
        <v>1000</v>
      </c>
      <c r="AN345" s="32">
        <f ca="1">IF(ENTRADAS!$F$22&gt;=1,IF(AN29=10,1000,1),0)</f>
        <v>1000</v>
      </c>
      <c r="AO345" s="32">
        <f ca="1">IF(ENTRADAS!$F$22&gt;=1,IF(AO29=10,1000,1),0)</f>
        <v>1000</v>
      </c>
      <c r="AP345" s="32">
        <f ca="1">IF(ENTRADAS!$F$22&gt;=1,IF(AP29=10,1000,1),0)</f>
        <v>1000</v>
      </c>
      <c r="AQ345" s="32">
        <f ca="1">IF(ENTRADAS!$F$22&gt;=1,IF(AQ29=10,1000,1),0)</f>
        <v>1000</v>
      </c>
      <c r="AR345" s="32">
        <f ca="1">IF(ENTRADAS!$F$22&gt;=1,IF(AR29=10,1000,1),0)</f>
        <v>1000</v>
      </c>
      <c r="AS345" s="32">
        <f ca="1">IF(ENTRADAS!$F$22&gt;=1,IF(AS29=10,1000,1),0)</f>
        <v>1000</v>
      </c>
      <c r="AT345" s="32">
        <f ca="1">IF(ENTRADAS!$F$22&gt;=1,IF(AT29=10,1000,1),0)</f>
        <v>1000</v>
      </c>
      <c r="AU345" s="32">
        <f ca="1">IF(ENTRADAS!$F$22&gt;=1,IF(AU29=10,1000,1),0)</f>
        <v>1000</v>
      </c>
      <c r="AV345" s="32">
        <f ca="1">IF(ENTRADAS!$F$22&gt;=1,IF(AV29=10,1000,1),0)</f>
        <v>1000</v>
      </c>
      <c r="AW345" s="32">
        <f ca="1">IF(ENTRADAS!$F$22&gt;=1,IF(AW29=10,1000,1),0)</f>
        <v>1000</v>
      </c>
      <c r="AX345" s="32">
        <f ca="1">IF(ENTRADAS!$F$22&gt;=1,IF(AX29=10,1000,1),0)</f>
        <v>1000</v>
      </c>
      <c r="AY345" s="32">
        <f ca="1">IF(ENTRADAS!$F$22&gt;=1,IF(AY29=10,1000,1),0)</f>
        <v>1000</v>
      </c>
      <c r="AZ345" s="32">
        <f ca="1">IF(ENTRADAS!$F$22&gt;=1,IF(AZ29=10,1000,1),0)</f>
        <v>1000</v>
      </c>
      <c r="BA345" s="32">
        <f ca="1">IF(ENTRADAS!$F$22&gt;=1,IF(BA29=10,1000,1),0)</f>
        <v>1000</v>
      </c>
      <c r="BB345" s="32">
        <f ca="1">IF(ENTRADAS!$F$22&gt;=1,IF(BB29=10,1000,1),0)</f>
        <v>1000</v>
      </c>
      <c r="BC345" s="32">
        <f ca="1">IF(ENTRADAS!$F$22&gt;=1,IF(BC29=10,1000,1),0)</f>
        <v>1000</v>
      </c>
      <c r="BD345" s="32">
        <f ca="1">IF(ENTRADAS!$F$22&gt;=1,IF(BD29=10,1000,1),0)</f>
        <v>1000</v>
      </c>
      <c r="BE345" s="32">
        <f ca="1">IF(ENTRADAS!$F$22&gt;=1,IF(BE29=10,1000,1),0)</f>
        <v>1000</v>
      </c>
      <c r="BF345" s="32">
        <f ca="1">IF(ENTRADAS!$F$22&gt;=1,IF(BF29=10,1000,1),0)</f>
        <v>1000</v>
      </c>
      <c r="BG345" s="32">
        <f ca="1">IF(ENTRADAS!$F$22&gt;=1,IF(BG29=10,1000,1),0)</f>
        <v>1000</v>
      </c>
      <c r="BH345" s="32">
        <f ca="1">IF(ENTRADAS!$F$22&gt;=1,IF(BH29=10,1000,1),0)</f>
        <v>1000</v>
      </c>
      <c r="BI345" s="32">
        <f ca="1">IF(ENTRADAS!$F$22&gt;=1,IF(BI29=10,1000,1),0)</f>
        <v>1000</v>
      </c>
      <c r="BJ345" s="32">
        <f ca="1">IF(ENTRADAS!$F$22&gt;=1,IF(BJ29=10,1000,1),0)</f>
        <v>1000</v>
      </c>
      <c r="BK345" s="32">
        <f ca="1">IF(ENTRADAS!$F$22&gt;=1,IF(BK29=10,1000,1),0)</f>
        <v>1000</v>
      </c>
      <c r="BL345" s="32">
        <f ca="1">IF(ENTRADAS!$F$22&gt;=1,IF(BL29=10,1000,1),0)</f>
        <v>1000</v>
      </c>
      <c r="BM345" s="32">
        <f ca="1">IF(ENTRADAS!$F$22&gt;=1,IF(BM29=10,1000,1),0)</f>
        <v>1000</v>
      </c>
      <c r="BN345" s="32">
        <f ca="1">IF(ENTRADAS!$F$22&gt;=1,IF(BN29=10,1000,1),0)</f>
        <v>1000</v>
      </c>
      <c r="BO345" s="32">
        <f ca="1">IF(ENTRADAS!$F$22&gt;=1,IF(BO29=10,1000,1),0)</f>
        <v>1000</v>
      </c>
      <c r="BP345" s="32">
        <f ca="1">IF(ENTRADAS!$F$22&gt;=1,IF(BP29=10,1000,1),0)</f>
        <v>1</v>
      </c>
      <c r="BQ345" s="32">
        <f ca="1">IF(ENTRADAS!$F$22&gt;=1,IF(BQ29=10,1000,1),0)</f>
        <v>1</v>
      </c>
      <c r="BR345" s="32">
        <f ca="1">IF(ENTRADAS!$F$22&gt;=1,IF(BR29=10,1000,1),0)</f>
        <v>1</v>
      </c>
      <c r="BS345" s="32">
        <f ca="1">IF(ENTRADAS!$F$22&gt;=1,IF(BS29=10,1000,1),0)</f>
        <v>1</v>
      </c>
      <c r="BT345" s="32">
        <f ca="1">IF(ENTRADAS!$F$22&gt;=1,IF(BT29=10,1000,1),0)</f>
        <v>1</v>
      </c>
      <c r="BU345" s="32">
        <f ca="1">IF(ENTRADAS!$F$22&gt;=1,IF(BU29=10,1000,1),0)</f>
        <v>1</v>
      </c>
      <c r="BV345" s="32">
        <f ca="1">IF(ENTRADAS!$F$22&gt;=1,IF(BV29=10,1000,1),0)</f>
        <v>1</v>
      </c>
      <c r="BW345" s="32">
        <f ca="1">IF(ENTRADAS!$F$22&gt;=1,IF(BW29=10,1000,1),0)</f>
        <v>1</v>
      </c>
      <c r="BX345" s="32">
        <f ca="1">IF(ENTRADAS!$F$22&gt;=1,IF(BX29=10,1000,1),0)</f>
        <v>1</v>
      </c>
      <c r="BY345" s="32">
        <f ca="1">IF(ENTRADAS!$F$22&gt;=1,IF(BY29=10,1000,1),0)</f>
        <v>1</v>
      </c>
      <c r="BZ345" s="32">
        <f ca="1">IF(ENTRADAS!$F$22&gt;=1,IF(BZ29=10,1000,1),0)</f>
        <v>1</v>
      </c>
      <c r="CA345" s="32">
        <f ca="1">IF(ENTRADAS!$F$22&gt;=1,IF(CA29=10,1000,1),0)</f>
        <v>1</v>
      </c>
      <c r="CB345" s="32">
        <f ca="1">IF(ENTRADAS!$F$22&gt;=1,IF(CB29=10,1000,1),0)</f>
        <v>1</v>
      </c>
      <c r="CC345" s="32">
        <f ca="1">IF(ENTRADAS!$F$22&gt;=1,IF(CC29=10,1000,1),0)</f>
        <v>1</v>
      </c>
      <c r="CD345" s="32">
        <f ca="1">IF(ENTRADAS!$F$22&gt;=1,IF(CD29=10,1000,1),0)</f>
        <v>1</v>
      </c>
      <c r="CE345" s="32">
        <f ca="1">IF(ENTRADAS!$F$22&gt;=1,IF(CE29=10,1000,1),0)</f>
        <v>1</v>
      </c>
      <c r="CF345" s="32">
        <f ca="1">IF(ENTRADAS!$F$22&gt;=1,IF(CF29=10,1000,1),0)</f>
        <v>1</v>
      </c>
      <c r="CG345" s="32">
        <f ca="1">IF(ENTRADAS!$F$22&gt;=1,IF(CG29=10,1000,1),0)</f>
        <v>1</v>
      </c>
      <c r="CH345" s="32">
        <f ca="1">IF(ENTRADAS!$F$22&gt;=1,IF(CH29=10,1000,1),0)</f>
        <v>1</v>
      </c>
      <c r="CI345" s="32">
        <f ca="1">IF(ENTRADAS!$F$22&gt;=1,IF(CI29=10,1000,1),0)</f>
        <v>1</v>
      </c>
      <c r="CJ345" s="32">
        <f ca="1">IF(ENTRADAS!$F$22&gt;=1,IF(CJ29=10,1000,1),0)</f>
        <v>1</v>
      </c>
      <c r="CK345" s="32">
        <f ca="1">IF(ENTRADAS!$F$22&gt;=1,IF(CK29=10,1000,1),0)</f>
        <v>1</v>
      </c>
      <c r="CL345" s="32">
        <f ca="1">IF(ENTRADAS!$F$22&gt;=1,IF(CL29=10,1000,1),0)</f>
        <v>1</v>
      </c>
      <c r="CM345" s="32">
        <f ca="1">IF(ENTRADAS!$F$22&gt;=1,IF(CM29=10,1000,1),0)</f>
        <v>1</v>
      </c>
      <c r="CN345" s="32">
        <f ca="1">IF(ENTRADAS!$F$22&gt;=1,IF(CN29=10,1000,1),0)</f>
        <v>1</v>
      </c>
      <c r="CO345" s="32">
        <f ca="1">IF(ENTRADAS!$F$22&gt;=1,IF(CO29=10,1000,1),0)</f>
        <v>1</v>
      </c>
      <c r="CP345" s="32">
        <f ca="1">IF(ENTRADAS!$F$22&gt;=1,IF(CP29=10,1000,1),0)</f>
        <v>1</v>
      </c>
      <c r="CQ345" s="32">
        <f ca="1">IF(ENTRADAS!$F$22&gt;=1,IF(CQ29=10,1000,1),0)</f>
        <v>1</v>
      </c>
      <c r="CR345" s="32">
        <f ca="1">IF(ENTRADAS!$F$22&gt;=1,IF(CR29=10,1000,1),0)</f>
        <v>1</v>
      </c>
      <c r="CS345" s="32">
        <f ca="1">IF(ENTRADAS!$F$22&gt;=1,IF(CS29=10,1000,1),0)</f>
        <v>1</v>
      </c>
      <c r="CT345" s="32">
        <f ca="1">IF(ENTRADAS!$F$22&gt;=1,IF(CT29=10,1000,1),0)</f>
        <v>1</v>
      </c>
      <c r="CU345" s="32">
        <f ca="1">IF(ENTRADAS!$F$22&gt;=1,IF(CU29=10,1000,1),0)</f>
        <v>1</v>
      </c>
      <c r="CV345" s="32">
        <f ca="1">IF(ENTRADAS!$F$22&gt;=1,IF(CV29=10,1000,1),0)</f>
        <v>1</v>
      </c>
      <c r="CW345" s="32">
        <f ca="1">IF(ENTRADAS!$F$22&gt;=1,IF(CW29=10,1000,1),0)</f>
        <v>1</v>
      </c>
      <c r="CX345" s="32">
        <f ca="1">IF(ENTRADAS!$F$22&gt;=1,IF(CX29=10,1000,1),0)</f>
        <v>1</v>
      </c>
      <c r="CY345" s="32">
        <f ca="1">IF(ENTRADAS!$F$22&gt;=1,IF(CY29=10,1000,1),0)</f>
        <v>1</v>
      </c>
      <c r="CZ345" s="32">
        <f ca="1">IF(ENTRADAS!$F$22&gt;=1,IF(CZ29=10,1000,1),0)</f>
        <v>1</v>
      </c>
      <c r="DA345" s="32">
        <f ca="1">IF(ENTRADAS!$F$22&gt;=1,IF(DA29=10,1000,1),0)</f>
        <v>1</v>
      </c>
      <c r="DB345" s="32">
        <f ca="1">IF(ENTRADAS!$F$22&gt;=1,IF(DB29=10,1000,1),0)</f>
        <v>1</v>
      </c>
      <c r="DC345" s="32">
        <f ca="1">IF(ENTRADAS!$F$22&gt;=1,IF(DC29=10,1000,1),0)</f>
        <v>1</v>
      </c>
      <c r="DD345" s="32">
        <f ca="1">IF(ENTRADAS!$F$22&gt;=1,IF(DD29=10,1000,1),0)</f>
        <v>1</v>
      </c>
      <c r="DE345" s="32">
        <f ca="1">IF(ENTRADAS!$F$22&gt;=1,IF(DE29=10,1000,1),0)</f>
        <v>1</v>
      </c>
      <c r="DF345" s="32">
        <f ca="1">IF(ENTRADAS!$F$22&gt;=1,IF(DF29=10,1000,1),0)</f>
        <v>1</v>
      </c>
      <c r="DG345" s="32">
        <f ca="1">IF(ENTRADAS!$F$22&gt;=1,IF(DG29=10,1000,1),0)</f>
        <v>1</v>
      </c>
      <c r="DH345" s="32">
        <f ca="1">IF(ENTRADAS!$F$22&gt;=1,IF(DH29=10,1000,1),0)</f>
        <v>1</v>
      </c>
      <c r="DI345" s="32">
        <f ca="1">IF(ENTRADAS!$F$22&gt;=1,IF(DI29=10,1000,1),0)</f>
        <v>1</v>
      </c>
      <c r="DJ345" s="32">
        <f ca="1">IF(ENTRADAS!$F$22&gt;=1,IF(DJ29=10,1000,1),0)</f>
        <v>1</v>
      </c>
      <c r="DK345" s="32">
        <f ca="1">IF(ENTRADAS!$F$22&gt;=1,IF(DK29=10,1000,1),0)</f>
        <v>1</v>
      </c>
      <c r="DL345" s="32">
        <f ca="1">IF(ENTRADAS!$F$22&gt;=1,IF(DL29=10,1000,1),0)</f>
        <v>1</v>
      </c>
      <c r="DM345" s="32">
        <f ca="1">IF(ENTRADAS!$F$22&gt;=1,IF(DM29=10,1000,1),0)</f>
        <v>1</v>
      </c>
      <c r="DN345" s="32">
        <f ca="1">IF(ENTRADAS!$F$22&gt;=1,IF(DN29=10,1000,1),0)</f>
        <v>1</v>
      </c>
      <c r="DO345" s="32">
        <f ca="1">IF(ENTRADAS!$F$22&gt;=1,IF(DO29=10,1000,1),0)</f>
        <v>1</v>
      </c>
      <c r="DP345" s="32">
        <f ca="1">IF(ENTRADAS!$F$22&gt;=1,IF(DP29=10,1000,1),0)</f>
        <v>1</v>
      </c>
      <c r="DQ345" s="32">
        <f ca="1">IF(ENTRADAS!$F$22&gt;=1,IF(DQ29=10,1000,1),0)</f>
        <v>1</v>
      </c>
      <c r="DR345" s="32">
        <f ca="1">IF(ENTRADAS!$F$22&gt;=1,IF(DR29=10,1000,1),0)</f>
        <v>1</v>
      </c>
      <c r="DS345" s="32">
        <f ca="1">IF(ENTRADAS!$F$22&gt;=1,IF(DS29=10,1000,1),0)</f>
        <v>1</v>
      </c>
      <c r="DT345" s="32">
        <f ca="1">IF(ENTRADAS!$F$22&gt;=1,IF(DT29=10,1000,1),0)</f>
        <v>1</v>
      </c>
      <c r="DU345" s="32">
        <f ca="1">IF(ENTRADAS!$F$22&gt;=1,IF(DU29=10,1000,1),0)</f>
        <v>1</v>
      </c>
      <c r="DV345" s="32">
        <f ca="1">IF(ENTRADAS!$F$22&gt;=1,IF(DV29=10,1000,1),0)</f>
        <v>1</v>
      </c>
      <c r="DW345" s="32">
        <f ca="1">IF(ENTRADAS!$F$22&gt;=1,IF(DW29=10,1000,1),0)</f>
        <v>1</v>
      </c>
      <c r="DX345" s="32">
        <f ca="1">IF(ENTRADAS!$F$22&gt;=1,IF(DX29=10,1000,1),0)</f>
        <v>1</v>
      </c>
      <c r="DY345" s="32">
        <f ca="1">IF(ENTRADAS!$F$22&gt;=1,IF(DY29=10,1000,1),0)</f>
        <v>1</v>
      </c>
      <c r="DZ345" s="32">
        <f ca="1">IF(ENTRADAS!$F$22&gt;=1,IF(DZ29=10,1000,1),0)</f>
        <v>1</v>
      </c>
      <c r="EA345" s="32">
        <f ca="1">IF(ENTRADAS!$F$22&gt;=1,IF(EA29=10,1000,1),0)</f>
        <v>1</v>
      </c>
      <c r="EB345" s="32">
        <f ca="1">IF(ENTRADAS!$F$22&gt;=1,IF(EB29=10,1000,1),0)</f>
        <v>1</v>
      </c>
      <c r="EC345" s="32">
        <f ca="1">IF(ENTRADAS!$F$22&gt;=1,IF(EC29=10,1000,1),0)</f>
        <v>1</v>
      </c>
      <c r="ED345" s="32">
        <f ca="1">IF(ENTRADAS!$F$22&gt;=1,IF(ED29=10,1000,1),0)</f>
        <v>1</v>
      </c>
      <c r="EE345" s="32">
        <f ca="1">IF(ENTRADAS!$F$22&gt;=1,IF(EE29=10,1000,1),0)</f>
        <v>1</v>
      </c>
      <c r="EF345" s="32">
        <f ca="1">IF(ENTRADAS!$F$22&gt;=1,IF(EF29=10,1000,1),0)</f>
        <v>1</v>
      </c>
      <c r="EG345" s="32">
        <f ca="1">IF(ENTRADAS!$F$22&gt;=1,IF(EG29=10,1000,1),0)</f>
        <v>1</v>
      </c>
      <c r="EH345" s="32">
        <f ca="1">IF(ENTRADAS!$F$22&gt;=1,IF(EH29=10,1000,1),0)</f>
        <v>1</v>
      </c>
      <c r="EI345" s="32">
        <f ca="1">IF(ENTRADAS!$F$22&gt;=1,IF(EI29=10,1000,1),0)</f>
        <v>1</v>
      </c>
      <c r="EJ345" s="32">
        <f ca="1">IF(ENTRADAS!$F$22&gt;=1,IF(EJ29=10,1000,1),0)</f>
        <v>1</v>
      </c>
      <c r="EK345" s="32">
        <f ca="1">IF(ENTRADAS!$F$22&gt;=1,IF(EK29=10,1000,1),0)</f>
        <v>1</v>
      </c>
      <c r="EL345" s="32">
        <f ca="1">IF(ENTRADAS!$F$22&gt;=1,IF(EL29=10,1000,1),0)</f>
        <v>1</v>
      </c>
      <c r="EM345" s="32">
        <f ca="1">IF(ENTRADAS!$F$22&gt;=1,IF(EM29=10,1000,1),0)</f>
        <v>1</v>
      </c>
      <c r="EN345" s="32">
        <f ca="1">IF(ENTRADAS!$F$22&gt;=1,IF(EN29=10,1000,1),0)</f>
        <v>1</v>
      </c>
      <c r="EO345" s="32">
        <f ca="1">IF(ENTRADAS!$F$22&gt;=1,IF(EO29=10,1000,1),0)</f>
        <v>1</v>
      </c>
      <c r="EP345" s="32">
        <f ca="1">IF(ENTRADAS!$F$22&gt;=1,IF(EP29=10,1000,1),0)</f>
        <v>1</v>
      </c>
      <c r="EQ345" s="32">
        <f ca="1">IF(ENTRADAS!$F$22&gt;=1,IF(EQ29=10,1000,1),0)</f>
        <v>1</v>
      </c>
      <c r="ER345" s="32">
        <f ca="1">IF(ENTRADAS!$F$22&gt;=1,IF(ER29=10,1000,1),0)</f>
        <v>1</v>
      </c>
      <c r="ES345" s="32">
        <f ca="1">IF(ENTRADAS!$F$22&gt;=1,IF(ES29=10,1000,1),0)</f>
        <v>1</v>
      </c>
      <c r="ET345" s="32">
        <f ca="1">IF(ENTRADAS!$F$22&gt;=1,IF(ET29=10,1000,1),0)</f>
        <v>1</v>
      </c>
      <c r="EU345" s="32">
        <f ca="1">IF(ENTRADAS!$F$22&gt;=1,IF(EU29=10,1000,1),0)</f>
        <v>1</v>
      </c>
      <c r="EV345" s="32">
        <f ca="1">IF(ENTRADAS!$F$22&gt;=1,IF(EV29=10,1000,1),0)</f>
        <v>1</v>
      </c>
      <c r="EW345" s="32">
        <f ca="1">IF(ENTRADAS!$F$22&gt;=1,IF(EW29=10,1000,1),0)</f>
        <v>1</v>
      </c>
      <c r="EX345" s="32">
        <f ca="1">IF(ENTRADAS!$F$22&gt;=1,IF(EX29=10,1000,1),0)</f>
        <v>1</v>
      </c>
      <c r="EY345" s="32">
        <f ca="1">IF(ENTRADAS!$F$22&gt;=1,IF(EY29=10,1000,1),0)</f>
        <v>1</v>
      </c>
      <c r="EZ345" s="32">
        <f ca="1">IF(ENTRADAS!$F$22&gt;=1,IF(EZ29=10,1000,1),0)</f>
        <v>1</v>
      </c>
      <c r="FA345" s="32">
        <f ca="1">IF(ENTRADAS!$F$22&gt;=1,IF(FA29=10,1000,1),0)</f>
        <v>1</v>
      </c>
      <c r="FB345" s="32">
        <f ca="1">IF(ENTRADAS!$F$22&gt;=1,IF(FB29=10,1000,1),0)</f>
        <v>1</v>
      </c>
      <c r="FC345" s="32">
        <f ca="1">IF(ENTRADAS!$F$22&gt;=1,IF(FC29=10,1000,1),0)</f>
        <v>1</v>
      </c>
      <c r="FD345" s="32">
        <f ca="1">IF(ENTRADAS!$F$22&gt;=1,IF(FD29=10,1000,1),0)</f>
        <v>1</v>
      </c>
      <c r="FE345" s="32">
        <f ca="1">IF(ENTRADAS!$F$22&gt;=1,IF(FE29=10,1000,1),0)</f>
        <v>1</v>
      </c>
      <c r="FF345" s="32">
        <f ca="1">IF(ENTRADAS!$F$22&gt;=1,IF(FF29=10,1000,1),0)</f>
        <v>1</v>
      </c>
      <c r="FG345" s="32">
        <f ca="1">IF(ENTRADAS!$F$22&gt;=1,IF(FG29=10,1000,1),0)</f>
        <v>1</v>
      </c>
      <c r="FH345" s="32">
        <f ca="1">IF(ENTRADAS!$F$22&gt;=1,IF(FH29=10,1000,1),0)</f>
        <v>1</v>
      </c>
      <c r="FI345" s="32">
        <f ca="1">IF(ENTRADAS!$F$22&gt;=1,IF(FI29=10,1000,1),0)</f>
        <v>1</v>
      </c>
      <c r="FJ345" s="32">
        <f ca="1">IF(ENTRADAS!$F$22&gt;=1,IF(FJ29=10,1000,1),0)</f>
        <v>1</v>
      </c>
      <c r="FK345" s="32">
        <f ca="1">IF(ENTRADAS!$F$22&gt;=1,IF(FK29=10,1000,1),0)</f>
        <v>1</v>
      </c>
      <c r="FL345" s="32">
        <f ca="1">IF(ENTRADAS!$F$22&gt;=1,IF(FL29=10,1000,1),0)</f>
        <v>1</v>
      </c>
      <c r="FM345" s="32">
        <f ca="1">IF(ENTRADAS!$F$22&gt;=1,IF(FM29=10,1000,1),0)</f>
        <v>1</v>
      </c>
      <c r="FN345" s="32">
        <f ca="1">IF(ENTRADAS!$F$22&gt;=1,IF(FN29=10,1000,1),0)</f>
        <v>1</v>
      </c>
      <c r="FO345" s="32">
        <f ca="1">IF(ENTRADAS!$F$22&gt;=1,IF(FO29=10,1000,1),0)</f>
        <v>1</v>
      </c>
      <c r="FP345" s="32">
        <f ca="1">IF(ENTRADAS!$F$22&gt;=1,IF(FP29=10,1000,1),0)</f>
        <v>1</v>
      </c>
      <c r="FQ345" s="32">
        <f ca="1">IF(ENTRADAS!$F$22&gt;=1,IF(FQ29=10,1000,1),0)</f>
        <v>1</v>
      </c>
      <c r="FR345" s="32">
        <f ca="1">IF(ENTRADAS!$F$22&gt;=1,IF(FR29=10,1000,1),0)</f>
        <v>1</v>
      </c>
      <c r="FS345" s="32">
        <f ca="1">IF(ENTRADAS!$F$22&gt;=1,IF(FS29=10,1000,1),0)</f>
        <v>1</v>
      </c>
      <c r="FT345" s="32">
        <f ca="1">IF(ENTRADAS!$F$22&gt;=1,IF(FT29=10,1000,1),0)</f>
        <v>1</v>
      </c>
      <c r="FU345" s="32">
        <f ca="1">IF(ENTRADAS!$F$22&gt;=1,IF(FU29=10,1000,1),0)</f>
        <v>1</v>
      </c>
      <c r="FV345" s="32">
        <f ca="1">IF(ENTRADAS!$F$22&gt;=1,IF(FV29=10,1000,1),0)</f>
        <v>1</v>
      </c>
      <c r="FW345" s="32">
        <f ca="1">IF(ENTRADAS!$F$22&gt;=1,IF(FW29=10,1000,1),0)</f>
        <v>1</v>
      </c>
      <c r="FX345" s="32">
        <f ca="1">IF(ENTRADAS!$F$22&gt;=1,IF(FX29=10,1000,1),0)</f>
        <v>1</v>
      </c>
      <c r="FY345" s="32">
        <f ca="1">IF(ENTRADAS!$F$22&gt;=1,IF(FY29=10,1000,1),0)</f>
        <v>1</v>
      </c>
      <c r="FZ345" s="32">
        <f ca="1">IF(ENTRADAS!$F$22&gt;=1,IF(FZ29=10,1000,1),0)</f>
        <v>1</v>
      </c>
      <c r="GA345" s="32">
        <f ca="1">IF(ENTRADAS!$F$22&gt;=1,IF(GA29=10,1000,1),0)</f>
        <v>1</v>
      </c>
      <c r="GB345" s="32">
        <f ca="1">IF(ENTRADAS!$F$22&gt;=1,IF(GB29=10,1000,1),0)</f>
        <v>1</v>
      </c>
      <c r="GC345" s="32">
        <f ca="1">IF(ENTRADAS!$F$22&gt;=1,IF(GC29=10,1000,1),0)</f>
        <v>1</v>
      </c>
      <c r="GD345" s="32">
        <f ca="1">IF(ENTRADAS!$F$22&gt;=1,IF(GD29=10,1000,1),0)</f>
        <v>1</v>
      </c>
      <c r="GE345" s="32">
        <f ca="1">IF(ENTRADAS!$F$22&gt;=1,IF(GE29=10,1000,1),0)</f>
        <v>1</v>
      </c>
      <c r="GF345" s="32">
        <f ca="1">IF(ENTRADAS!$F$22&gt;=1,IF(GF29=10,1000,1),0)</f>
        <v>1</v>
      </c>
      <c r="GG345" s="32">
        <f ca="1">IF(ENTRADAS!$F$22&gt;=1,IF(GG29=10,1000,1),0)</f>
        <v>1</v>
      </c>
      <c r="GH345" s="32">
        <f ca="1">IF(ENTRADAS!$F$22&gt;=1,IF(GH29=10,1000,1),0)</f>
        <v>1</v>
      </c>
      <c r="GI345" s="32">
        <f ca="1">IF(ENTRADAS!$F$22&gt;=1,IF(GI29=10,1000,1),0)</f>
        <v>1</v>
      </c>
      <c r="GJ345" s="32">
        <f ca="1">IF(ENTRADAS!$F$22&gt;=1,IF(GJ29=10,1000,1),0)</f>
        <v>1</v>
      </c>
      <c r="GK345" s="32">
        <f ca="1">IF(ENTRADAS!$F$22&gt;=1,IF(GK29=10,1000,1),0)</f>
        <v>1</v>
      </c>
      <c r="GL345" s="32">
        <f ca="1">IF(ENTRADAS!$F$22&gt;=1,IF(GL29=10,1000,1),0)</f>
        <v>1</v>
      </c>
      <c r="GM345" s="32">
        <f ca="1">IF(ENTRADAS!$F$22&gt;=1,IF(GM29=10,1000,1),0)</f>
        <v>1</v>
      </c>
      <c r="GN345" s="32">
        <f ca="1">IF(ENTRADAS!$F$22&gt;=1,IF(GN29=10,1000,1),0)</f>
        <v>1</v>
      </c>
      <c r="GO345" s="32">
        <f ca="1">IF(ENTRADAS!$F$22&gt;=1,IF(GO29=10,1000,1),0)</f>
        <v>1</v>
      </c>
      <c r="GP345" s="32">
        <f ca="1">IF(ENTRADAS!$F$22&gt;=1,IF(GP29=10,1000,1),0)</f>
        <v>1</v>
      </c>
      <c r="GQ345" s="32">
        <f ca="1">IF(ENTRADAS!$F$22&gt;=1,IF(GQ29=10,1000,1),0)</f>
        <v>1</v>
      </c>
      <c r="GR345" s="32">
        <f ca="1">IF(ENTRADAS!$F$22&gt;=1,IF(GR29=10,1000,1),0)</f>
        <v>1</v>
      </c>
      <c r="GS345" s="32">
        <f ca="1">IF(ENTRADAS!$F$22&gt;=1,IF(GS29=10,1000,1),0)</f>
        <v>1</v>
      </c>
      <c r="GT345" s="32">
        <f ca="1">IF(ENTRADAS!$F$22&gt;=1,IF(GT29=10,1000,1),0)</f>
        <v>1</v>
      </c>
      <c r="GU345" s="32">
        <f ca="1">IF(ENTRADAS!$F$22&gt;=1,IF(GU29=10,1000,1),0)</f>
        <v>1</v>
      </c>
      <c r="GV345" s="32">
        <f ca="1">IF(ENTRADAS!$F$22&gt;=1,IF(GV29=10,1000,1),0)</f>
        <v>1</v>
      </c>
      <c r="GW345" s="32">
        <f ca="1">IF(ENTRADAS!$F$22&gt;=1,IF(GW29=10,1000,1),0)</f>
        <v>1</v>
      </c>
      <c r="GX345" s="32">
        <f ca="1">IF(ENTRADAS!$F$22&gt;=1,IF(GX29=10,1000,1),0)</f>
        <v>1</v>
      </c>
      <c r="GY345" s="32">
        <f ca="1">IF(ENTRADAS!$F$22&gt;=1,IF(GY29=10,1000,1),0)</f>
        <v>1</v>
      </c>
      <c r="GZ345" s="32">
        <f ca="1">IF(ENTRADAS!$F$22&gt;=1,IF(GZ29=10,1000,1),0)</f>
        <v>1</v>
      </c>
      <c r="HA345" s="32">
        <f ca="1">IF(ENTRADAS!$F$22&gt;=1,IF(HA29=10,1000,1),0)</f>
        <v>1</v>
      </c>
      <c r="HB345" s="32">
        <f ca="1">IF(ENTRADAS!$F$22&gt;=1,IF(HB29=10,1000,1),0)</f>
        <v>1</v>
      </c>
      <c r="HC345" s="32">
        <f ca="1">IF(ENTRADAS!$F$22&gt;=1,IF(HC29=10,1000,1),0)</f>
        <v>1</v>
      </c>
      <c r="HD345" s="32">
        <f ca="1">IF(ENTRADAS!$F$22&gt;=1,IF(HD29=10,1000,1),0)</f>
        <v>1</v>
      </c>
      <c r="HE345" s="32">
        <f ca="1">IF(ENTRADAS!$F$22&gt;=1,IF(HE29=10,1000,1),0)</f>
        <v>1</v>
      </c>
      <c r="HF345" s="32">
        <f ca="1">IF(ENTRADAS!$F$22&gt;=1,IF(HF29=10,1000,1),0)</f>
        <v>1</v>
      </c>
      <c r="HG345" s="32">
        <f ca="1">IF(ENTRADAS!$F$22&gt;=1,IF(HG29=10,1000,1),0)</f>
        <v>1</v>
      </c>
      <c r="HH345" s="32">
        <f ca="1">IF(ENTRADAS!$F$22&gt;=1,IF(HH29=10,1000,1),0)</f>
        <v>1</v>
      </c>
      <c r="HI345" s="32">
        <f ca="1">IF(ENTRADAS!$F$22&gt;=1,IF(HI29=10,1000,1),0)</f>
        <v>1</v>
      </c>
      <c r="HJ345" s="32">
        <f ca="1">IF(ENTRADAS!$F$22&gt;=1,IF(HJ29=10,1000,1),0)</f>
        <v>1</v>
      </c>
      <c r="HK345" s="32">
        <f ca="1">IF(ENTRADAS!$F$22&gt;=1,IF(HK29=10,1000,1),0)</f>
        <v>1</v>
      </c>
      <c r="HL345" s="32">
        <f ca="1">IF(ENTRADAS!$F$22&gt;=1,IF(HL29=10,1000,1),0)</f>
        <v>1</v>
      </c>
      <c r="HM345" s="32">
        <f ca="1">IF(ENTRADAS!$F$22&gt;=1,IF(HM29=10,1000,1),0)</f>
        <v>1</v>
      </c>
      <c r="HN345" s="32">
        <f ca="1">IF(ENTRADAS!$F$22&gt;=1,IF(HN29=10,1000,1),0)</f>
        <v>1</v>
      </c>
      <c r="HO345" s="32">
        <f ca="1">IF(ENTRADAS!$F$22&gt;=1,IF(HO29=10,1000,1),0)</f>
        <v>1</v>
      </c>
      <c r="HP345" s="32">
        <f ca="1">IF(ENTRADAS!$F$22&gt;=1,IF(HP29=10,1000,1),0)</f>
        <v>1</v>
      </c>
      <c r="HQ345" s="32">
        <f ca="1">IF(ENTRADAS!$F$22&gt;=1,IF(HQ29=10,1000,1),0)</f>
        <v>1</v>
      </c>
      <c r="HR345" s="32">
        <f ca="1">IF(ENTRADAS!$F$22&gt;=1,IF(HR29=10,1000,1),0)</f>
        <v>1</v>
      </c>
      <c r="HS345" s="32">
        <f ca="1">IF(ENTRADAS!$F$22&gt;=1,IF(HS29=10,1000,1),0)</f>
        <v>1</v>
      </c>
      <c r="HT345" s="32">
        <f ca="1">IF(ENTRADAS!$F$22&gt;=1,IF(HT29=10,1000,1),0)</f>
        <v>1</v>
      </c>
      <c r="HU345" s="32">
        <f ca="1">IF(ENTRADAS!$F$22&gt;=1,IF(HU29=10,1000,1),0)</f>
        <v>1</v>
      </c>
      <c r="HV345" s="32">
        <f ca="1">IF(ENTRADAS!$F$22&gt;=1,IF(HV29=10,1000,1),0)</f>
        <v>1</v>
      </c>
      <c r="HW345" s="32">
        <f ca="1">IF(ENTRADAS!$F$22&gt;=1,IF(HW29=10,1000,1),0)</f>
        <v>1</v>
      </c>
      <c r="HX345" s="32">
        <f ca="1">IF(ENTRADAS!$F$22&gt;=1,IF(HX29=10,1000,1),0)</f>
        <v>1</v>
      </c>
      <c r="HY345" s="32">
        <f ca="1">IF(ENTRADAS!$F$22&gt;=1,IF(HY29=10,1000,1),0)</f>
        <v>1</v>
      </c>
      <c r="HZ345" s="32">
        <f ca="1">IF(ENTRADAS!$F$22&gt;=1,IF(HZ29=10,1000,1),0)</f>
        <v>1</v>
      </c>
      <c r="IA345" s="32">
        <f ca="1">IF(ENTRADAS!$F$22&gt;=1,IF(IA29=10,1000,1),0)</f>
        <v>1</v>
      </c>
      <c r="IB345" s="32">
        <f ca="1">IF(ENTRADAS!$F$22&gt;=1,IF(IB29=10,1000,1),0)</f>
        <v>1</v>
      </c>
      <c r="IC345" s="32">
        <f ca="1">IF(ENTRADAS!$F$22&gt;=1,IF(IC29=10,1000,1),0)</f>
        <v>1</v>
      </c>
      <c r="ID345" s="32">
        <f ca="1">IF(ENTRADAS!$F$22&gt;=1,IF(ID29=10,1000,1),0)</f>
        <v>1</v>
      </c>
      <c r="IE345" s="32">
        <f ca="1">IF(ENTRADAS!$F$22&gt;=1,IF(IE29=10,1000,1),0)</f>
        <v>1</v>
      </c>
      <c r="IF345" s="32">
        <f ca="1">IF(ENTRADAS!$F$22&gt;=1,IF(IF29=10,1000,1),0)</f>
        <v>1</v>
      </c>
      <c r="IG345" s="32">
        <f ca="1">IF(ENTRADAS!$F$22&gt;=1,IF(IG29=10,1000,1),0)</f>
        <v>1</v>
      </c>
      <c r="IH345" s="32">
        <f ca="1">IF(ENTRADAS!$F$22&gt;=1,IF(IH29=10,1000,1),0)</f>
        <v>1</v>
      </c>
      <c r="II345" s="32">
        <f ca="1">IF(ENTRADAS!$F$22&gt;=1,IF(II29=10,1000,1),0)</f>
        <v>1</v>
      </c>
      <c r="IJ345" s="32">
        <f ca="1">IF(ENTRADAS!$F$22&gt;=1,IF(IJ29=10,1000,1),0)</f>
        <v>1</v>
      </c>
      <c r="IK345" s="32">
        <f ca="1">IF(ENTRADAS!$F$22&gt;=1,IF(IK29=10,1000,1),0)</f>
        <v>1</v>
      </c>
    </row>
    <row r="346" spans="1:245" hidden="1" x14ac:dyDescent="0.35">
      <c r="A346" s="195">
        <f t="shared" ref="A346:A386" si="364">IF(B346=0,0,"XXX")</f>
        <v>0</v>
      </c>
      <c r="C346" s="639" t="s">
        <v>1607</v>
      </c>
      <c r="D346" s="637" t="s">
        <v>1608</v>
      </c>
      <c r="E346" s="17"/>
      <c r="F346" s="626"/>
      <c r="H346" s="32">
        <f ca="1">IF($F$346="X",0,IF(ENTRADAS!$F$22&gt;=1,IF(H31=10,1000,1),0))</f>
        <v>1</v>
      </c>
      <c r="I346" s="32">
        <f ca="1">IF($F$346="X",0,IF(ENTRADAS!$F$22&gt;=1,IF(I31=10,1000,1),0))</f>
        <v>1</v>
      </c>
      <c r="J346" s="32">
        <f ca="1">IF($F$346="X",0,IF(ENTRADAS!$F$22&gt;=1,IF(J31=10,1000,1),0))</f>
        <v>1</v>
      </c>
      <c r="K346" s="32">
        <f ca="1">IF($F$346="X",0,IF(ENTRADAS!$F$22&gt;=1,IF(K31=10,1000,1),0))</f>
        <v>1</v>
      </c>
      <c r="L346" s="32">
        <f ca="1">IF($F$346="X",0,IF(ENTRADAS!$F$22&gt;=1,IF(L31=10,1000,1),0))</f>
        <v>1</v>
      </c>
      <c r="M346" s="32">
        <f ca="1">IF($F$346="X",0,IF(ENTRADAS!$F$22&gt;=1,IF(M31=10,1000,1),0))</f>
        <v>1</v>
      </c>
      <c r="N346" s="32">
        <f ca="1">IF($F$346="X",0,IF(ENTRADAS!$F$22&gt;=1,IF(N31=10,1000,1),0))</f>
        <v>1</v>
      </c>
      <c r="O346" s="32">
        <f ca="1">IF($F$346="X",0,IF(ENTRADAS!$F$22&gt;=1,IF(O31=10,1000,1),0))</f>
        <v>1</v>
      </c>
      <c r="P346" s="32">
        <f ca="1">IF($F$346="X",0,IF(ENTRADAS!$F$22&gt;=1,IF(P31=10,1000,1),0))</f>
        <v>1</v>
      </c>
      <c r="Q346" s="32">
        <f ca="1">IF($F$346="X",0,IF(ENTRADAS!$F$22&gt;=1,IF(Q31=10,1000,1),0))</f>
        <v>1</v>
      </c>
      <c r="R346" s="32">
        <f ca="1">IF($F$346="X",0,IF(ENTRADAS!$F$22&gt;=1,IF(R31=10,1000,1),0))</f>
        <v>1</v>
      </c>
      <c r="S346" s="32">
        <f ca="1">IF($F$346="X",0,IF(ENTRADAS!$F$22&gt;=1,IF(S31=10,1000,1),0))</f>
        <v>1</v>
      </c>
      <c r="T346" s="32">
        <f ca="1">IF($F$346="X",0,IF(ENTRADAS!$F$22&gt;=1,IF(T31=10,1000,1),0))</f>
        <v>1</v>
      </c>
      <c r="U346" s="32">
        <f ca="1">IF($F$346="X",0,IF(ENTRADAS!$F$22&gt;=1,IF(U31=10,1000,1),0))</f>
        <v>1</v>
      </c>
      <c r="V346" s="32">
        <f ca="1">IF($F$346="X",0,IF(ENTRADAS!$F$22&gt;=1,IF(V31=10,1000,1),0))</f>
        <v>1</v>
      </c>
      <c r="W346" s="32">
        <f ca="1">IF($F$346="X",0,IF(ENTRADAS!$F$22&gt;=1,IF(W31=10,1000,1),0))</f>
        <v>1</v>
      </c>
      <c r="X346" s="32">
        <f ca="1">IF($F$346="X",0,IF(ENTRADAS!$F$22&gt;=1,IF(X31=10,1000,1),0))</f>
        <v>1</v>
      </c>
      <c r="Y346" s="32">
        <f ca="1">IF($F$346="X",0,IF(ENTRADAS!$F$22&gt;=1,IF(Y31=10,1000,1),0))</f>
        <v>1</v>
      </c>
      <c r="Z346" s="32">
        <f ca="1">IF($F$346="X",0,IF(ENTRADAS!$F$22&gt;=1,IF(Z31=10,1000,1),0))</f>
        <v>1</v>
      </c>
      <c r="AA346" s="32">
        <f ca="1">IF($F$346="X",0,IF(ENTRADAS!$F$22&gt;=1,IF(AA31=10,1000,1),0))</f>
        <v>1</v>
      </c>
      <c r="AB346" s="32">
        <f ca="1">IF($F$346="X",0,IF(ENTRADAS!$F$22&gt;=1,IF(AB31=10,1000,1),0))</f>
        <v>1</v>
      </c>
      <c r="AC346" s="32">
        <f ca="1">IF($F$346="X",0,IF(ENTRADAS!$F$22&gt;=1,IF(AC31=10,1000,1),0))</f>
        <v>1</v>
      </c>
      <c r="AD346" s="32">
        <f ca="1">IF($F$346="X",0,IF(ENTRADAS!$F$22&gt;=1,IF(AD31=10,1000,1),0))</f>
        <v>1</v>
      </c>
      <c r="AE346" s="32">
        <f ca="1">IF($F$346="X",0,IF(ENTRADAS!$F$22&gt;=1,IF(AE31=10,1000,1),0))</f>
        <v>1</v>
      </c>
      <c r="AF346" s="32">
        <f ca="1">IF($F$346="X",0,IF(ENTRADAS!$F$22&gt;=1,IF(AF31=10,1000,1),0))</f>
        <v>1</v>
      </c>
      <c r="AG346" s="32">
        <f ca="1">IF($F$346="X",0,IF(ENTRADAS!$F$22&gt;=1,IF(AG31=10,1000,1),0))</f>
        <v>1</v>
      </c>
      <c r="AH346" s="32">
        <f ca="1">IF($F$346="X",0,IF(ENTRADAS!$F$22&gt;=1,IF(AH31=10,1000,1),0))</f>
        <v>1</v>
      </c>
      <c r="AI346" s="32">
        <f ca="1">IF($F$346="X",0,IF(ENTRADAS!$F$22&gt;=1,IF(AI31=10,1000,1),0))</f>
        <v>1</v>
      </c>
      <c r="AJ346" s="32">
        <f ca="1">IF($F$346="X",0,IF(ENTRADAS!$F$22&gt;=1,IF(AJ31=10,1000,1),0))</f>
        <v>1</v>
      </c>
      <c r="AK346" s="32">
        <f ca="1">IF($F$346="X",0,IF(ENTRADAS!$F$22&gt;=1,IF(AK31=10,1000,1),0))</f>
        <v>1</v>
      </c>
      <c r="AL346" s="32">
        <f ca="1">IF($F$346="X",0,IF(ENTRADAS!$F$22&gt;=1,IF(AL31=10,1000,1),0))</f>
        <v>1</v>
      </c>
      <c r="AM346" s="32">
        <f ca="1">IF($F$346="X",0,IF(ENTRADAS!$F$22&gt;=1,IF(AM31=10,1000,1),0))</f>
        <v>1</v>
      </c>
      <c r="AN346" s="32">
        <f ca="1">IF($F$346="X",0,IF(ENTRADAS!$F$22&gt;=1,IF(AN31=10,1000,1),0))</f>
        <v>1</v>
      </c>
      <c r="AO346" s="32">
        <f ca="1">IF($F$346="X",0,IF(ENTRADAS!$F$22&gt;=1,IF(AO31=10,1000,1),0))</f>
        <v>1</v>
      </c>
      <c r="AP346" s="32">
        <f ca="1">IF($F$346="X",0,IF(ENTRADAS!$F$22&gt;=1,IF(AP31=10,1000,1),0))</f>
        <v>1</v>
      </c>
      <c r="AQ346" s="32">
        <f ca="1">IF($F$346="X",0,IF(ENTRADAS!$F$22&gt;=1,IF(AQ31=10,1000,1),0))</f>
        <v>1</v>
      </c>
      <c r="AR346" s="32">
        <f ca="1">IF($F$346="X",0,IF(ENTRADAS!$F$22&gt;=1,IF(AR31=10,1000,1),0))</f>
        <v>1</v>
      </c>
      <c r="AS346" s="32">
        <f ca="1">IF($F$346="X",0,IF(ENTRADAS!$F$22&gt;=1,IF(AS31=10,1000,1),0))</f>
        <v>1</v>
      </c>
      <c r="AT346" s="32">
        <f ca="1">IF($F$346="X",0,IF(ENTRADAS!$F$22&gt;=1,IF(AT31=10,1000,1),0))</f>
        <v>1</v>
      </c>
      <c r="AU346" s="32">
        <f ca="1">IF($F$346="X",0,IF(ENTRADAS!$F$22&gt;=1,IF(AU31=10,1000,1),0))</f>
        <v>1</v>
      </c>
      <c r="AV346" s="32">
        <f ca="1">IF($F$346="X",0,IF(ENTRADAS!$F$22&gt;=1,IF(AV31=10,1000,1),0))</f>
        <v>1</v>
      </c>
      <c r="AW346" s="32">
        <f ca="1">IF($F$346="X",0,IF(ENTRADAS!$F$22&gt;=1,IF(AW31=10,1000,1),0))</f>
        <v>1</v>
      </c>
      <c r="AX346" s="32">
        <f ca="1">IF($F$346="X",0,IF(ENTRADAS!$F$22&gt;=1,IF(AX31=10,1000,1),0))</f>
        <v>1</v>
      </c>
      <c r="AY346" s="32">
        <f ca="1">IF($F$346="X",0,IF(ENTRADAS!$F$22&gt;=1,IF(AY31=10,1000,1),0))</f>
        <v>1</v>
      </c>
      <c r="AZ346" s="32">
        <f ca="1">IF($F$346="X",0,IF(ENTRADAS!$F$22&gt;=1,IF(AZ31=10,1000,1),0))</f>
        <v>1</v>
      </c>
      <c r="BA346" s="32">
        <f ca="1">IF($F$346="X",0,IF(ENTRADAS!$F$22&gt;=1,IF(BA31=10,1000,1),0))</f>
        <v>1</v>
      </c>
      <c r="BB346" s="32">
        <f ca="1">IF($F$346="X",0,IF(ENTRADAS!$F$22&gt;=1,IF(BB31=10,1000,1),0))</f>
        <v>1</v>
      </c>
      <c r="BC346" s="32">
        <f ca="1">IF($F$346="X",0,IF(ENTRADAS!$F$22&gt;=1,IF(BC31=10,1000,1),0))</f>
        <v>1</v>
      </c>
      <c r="BD346" s="32">
        <f ca="1">IF($F$346="X",0,IF(ENTRADAS!$F$22&gt;=1,IF(BD31=10,1000,1),0))</f>
        <v>1</v>
      </c>
      <c r="BE346" s="32">
        <f ca="1">IF($F$346="X",0,IF(ENTRADAS!$F$22&gt;=1,IF(BE31=10,1000,1),0))</f>
        <v>1</v>
      </c>
      <c r="BF346" s="32">
        <f ca="1">IF($F$346="X",0,IF(ENTRADAS!$F$22&gt;=1,IF(BF31=10,1000,1),0))</f>
        <v>1</v>
      </c>
      <c r="BG346" s="32">
        <f ca="1">IF($F$346="X",0,IF(ENTRADAS!$F$22&gt;=1,IF(BG31=10,1000,1),0))</f>
        <v>1</v>
      </c>
      <c r="BH346" s="32">
        <f ca="1">IF($F$346="X",0,IF(ENTRADAS!$F$22&gt;=1,IF(BH31=10,1000,1),0))</f>
        <v>1</v>
      </c>
      <c r="BI346" s="32">
        <f ca="1">IF($F$346="X",0,IF(ENTRADAS!$F$22&gt;=1,IF(BI31=10,1000,1),0))</f>
        <v>1</v>
      </c>
      <c r="BJ346" s="32">
        <f ca="1">IF($F$346="X",0,IF(ENTRADAS!$F$22&gt;=1,IF(BJ31=10,1000,1),0))</f>
        <v>1</v>
      </c>
      <c r="BK346" s="32">
        <f ca="1">IF($F$346="X",0,IF(ENTRADAS!$F$22&gt;=1,IF(BK31=10,1000,1),0))</f>
        <v>1</v>
      </c>
      <c r="BL346" s="32">
        <f ca="1">IF($F$346="X",0,IF(ENTRADAS!$F$22&gt;=1,IF(BL31=10,1000,1),0))</f>
        <v>1</v>
      </c>
      <c r="BM346" s="32">
        <f ca="1">IF($F$346="X",0,IF(ENTRADAS!$F$22&gt;=1,IF(BM31=10,1000,1),0))</f>
        <v>1</v>
      </c>
      <c r="BN346" s="32">
        <f ca="1">IF($F$346="X",0,IF(ENTRADAS!$F$22&gt;=1,IF(BN31=10,1000,1),0))</f>
        <v>1</v>
      </c>
      <c r="BO346" s="32">
        <f ca="1">IF($F$346="X",0,IF(ENTRADAS!$F$22&gt;=1,IF(BO31=10,1000,1),0))</f>
        <v>1</v>
      </c>
      <c r="BP346" s="32">
        <f ca="1">IF($F$346="X",0,IF(ENTRADAS!$F$22&gt;=1,IF(BP31=10,1000,1),0))</f>
        <v>1</v>
      </c>
      <c r="BQ346" s="32">
        <f ca="1">IF($F$346="X",0,IF(ENTRADAS!$F$22&gt;=1,IF(BQ31=10,1000,1),0))</f>
        <v>1</v>
      </c>
      <c r="BR346" s="32">
        <f ca="1">IF($F$346="X",0,IF(ENTRADAS!$F$22&gt;=1,IF(BR31=10,1000,1),0))</f>
        <v>1</v>
      </c>
      <c r="BS346" s="32">
        <f ca="1">IF($F$346="X",0,IF(ENTRADAS!$F$22&gt;=1,IF(BS31=10,1000,1),0))</f>
        <v>1</v>
      </c>
      <c r="BT346" s="32">
        <f ca="1">IF($F$346="X",0,IF(ENTRADAS!$F$22&gt;=1,IF(BT31=10,1000,1),0))</f>
        <v>1</v>
      </c>
      <c r="BU346" s="32">
        <f ca="1">IF($F$346="X",0,IF(ENTRADAS!$F$22&gt;=1,IF(BU31=10,1000,1),0))</f>
        <v>1</v>
      </c>
      <c r="BV346" s="32">
        <f ca="1">IF($F$346="X",0,IF(ENTRADAS!$F$22&gt;=1,IF(BV31=10,1000,1),0))</f>
        <v>1</v>
      </c>
      <c r="BW346" s="32">
        <f ca="1">IF($F$346="X",0,IF(ENTRADAS!$F$22&gt;=1,IF(BW31=10,1000,1),0))</f>
        <v>1</v>
      </c>
      <c r="BX346" s="32">
        <f ca="1">IF($F$346="X",0,IF(ENTRADAS!$F$22&gt;=1,IF(BX31=10,1000,1),0))</f>
        <v>1</v>
      </c>
      <c r="BY346" s="32">
        <f ca="1">IF($F$346="X",0,IF(ENTRADAS!$F$22&gt;=1,IF(BY31=10,1000,1),0))</f>
        <v>1</v>
      </c>
      <c r="BZ346" s="32">
        <f ca="1">IF($F$346="X",0,IF(ENTRADAS!$F$22&gt;=1,IF(BZ31=10,1000,1),0))</f>
        <v>1</v>
      </c>
      <c r="CA346" s="32">
        <f ca="1">IF($F$346="X",0,IF(ENTRADAS!$F$22&gt;=1,IF(CA31=10,1000,1),0))</f>
        <v>1</v>
      </c>
      <c r="CB346" s="32">
        <f ca="1">IF($F$346="X",0,IF(ENTRADAS!$F$22&gt;=1,IF(CB31=10,1000,1),0))</f>
        <v>1</v>
      </c>
      <c r="CC346" s="32">
        <f ca="1">IF($F$346="X",0,IF(ENTRADAS!$F$22&gt;=1,IF(CC31=10,1000,1),0))</f>
        <v>1</v>
      </c>
      <c r="CD346" s="32">
        <f ca="1">IF($F$346="X",0,IF(ENTRADAS!$F$22&gt;=1,IF(CD31=10,1000,1),0))</f>
        <v>1</v>
      </c>
      <c r="CE346" s="32">
        <f ca="1">IF($F$346="X",0,IF(ENTRADAS!$F$22&gt;=1,IF(CE31=10,1000,1),0))</f>
        <v>1</v>
      </c>
      <c r="CF346" s="32">
        <f ca="1">IF($F$346="X",0,IF(ENTRADAS!$F$22&gt;=1,IF(CF31=10,1000,1),0))</f>
        <v>1</v>
      </c>
      <c r="CG346" s="32">
        <f ca="1">IF($F$346="X",0,IF(ENTRADAS!$F$22&gt;=1,IF(CG31=10,1000,1),0))</f>
        <v>1</v>
      </c>
      <c r="CH346" s="32">
        <f ca="1">IF($F$346="X",0,IF(ENTRADAS!$F$22&gt;=1,IF(CH31=10,1000,1),0))</f>
        <v>1</v>
      </c>
      <c r="CI346" s="32">
        <f ca="1">IF($F$346="X",0,IF(ENTRADAS!$F$22&gt;=1,IF(CI31=10,1000,1),0))</f>
        <v>1</v>
      </c>
      <c r="CJ346" s="32">
        <f ca="1">IF($F$346="X",0,IF(ENTRADAS!$F$22&gt;=1,IF(CJ31=10,1000,1),0))</f>
        <v>1</v>
      </c>
      <c r="CK346" s="32">
        <f ca="1">IF($F$346="X",0,IF(ENTRADAS!$F$22&gt;=1,IF(CK31=10,1000,1),0))</f>
        <v>1</v>
      </c>
      <c r="CL346" s="32">
        <f ca="1">IF($F$346="X",0,IF(ENTRADAS!$F$22&gt;=1,IF(CL31=10,1000,1),0))</f>
        <v>1</v>
      </c>
      <c r="CM346" s="32">
        <f ca="1">IF($F$346="X",0,IF(ENTRADAS!$F$22&gt;=1,IF(CM31=10,1000,1),0))</f>
        <v>1</v>
      </c>
      <c r="CN346" s="32">
        <f ca="1">IF($F$346="X",0,IF(ENTRADAS!$F$22&gt;=1,IF(CN31=10,1000,1),0))</f>
        <v>1</v>
      </c>
      <c r="CO346" s="32">
        <f ca="1">IF($F$346="X",0,IF(ENTRADAS!$F$22&gt;=1,IF(CO31=10,1000,1),0))</f>
        <v>1</v>
      </c>
      <c r="CP346" s="32">
        <f ca="1">IF($F$346="X",0,IF(ENTRADAS!$F$22&gt;=1,IF(CP31=10,1000,1),0))</f>
        <v>1</v>
      </c>
      <c r="CQ346" s="32">
        <f ca="1">IF($F$346="X",0,IF(ENTRADAS!$F$22&gt;=1,IF(CQ31=10,1000,1),0))</f>
        <v>1</v>
      </c>
      <c r="CR346" s="32">
        <f ca="1">IF($F$346="X",0,IF(ENTRADAS!$F$22&gt;=1,IF(CR31=10,1000,1),0))</f>
        <v>1</v>
      </c>
      <c r="CS346" s="32">
        <f ca="1">IF($F$346="X",0,IF(ENTRADAS!$F$22&gt;=1,IF(CS31=10,1000,1),0))</f>
        <v>1</v>
      </c>
      <c r="CT346" s="32">
        <f ca="1">IF($F$346="X",0,IF(ENTRADAS!$F$22&gt;=1,IF(CT31=10,1000,1),0))</f>
        <v>1</v>
      </c>
      <c r="CU346" s="32">
        <f ca="1">IF($F$346="X",0,IF(ENTRADAS!$F$22&gt;=1,IF(CU31=10,1000,1),0))</f>
        <v>1</v>
      </c>
      <c r="CV346" s="32">
        <f ca="1">IF($F$346="X",0,IF(ENTRADAS!$F$22&gt;=1,IF(CV31=10,1000,1),0))</f>
        <v>1</v>
      </c>
      <c r="CW346" s="32">
        <f ca="1">IF($F$346="X",0,IF(ENTRADAS!$F$22&gt;=1,IF(CW31=10,1000,1),0))</f>
        <v>1</v>
      </c>
      <c r="CX346" s="32">
        <f ca="1">IF($F$346="X",0,IF(ENTRADAS!$F$22&gt;=1,IF(CX31=10,1000,1),0))</f>
        <v>1</v>
      </c>
      <c r="CY346" s="32">
        <f ca="1">IF($F$346="X",0,IF(ENTRADAS!$F$22&gt;=1,IF(CY31=10,1000,1),0))</f>
        <v>1</v>
      </c>
      <c r="CZ346" s="32">
        <f ca="1">IF($F$346="X",0,IF(ENTRADAS!$F$22&gt;=1,IF(CZ31=10,1000,1),0))</f>
        <v>1</v>
      </c>
      <c r="DA346" s="32">
        <f ca="1">IF($F$346="X",0,IF(ENTRADAS!$F$22&gt;=1,IF(DA31=10,1000,1),0))</f>
        <v>1</v>
      </c>
      <c r="DB346" s="32">
        <f ca="1">IF($F$346="X",0,IF(ENTRADAS!$F$22&gt;=1,IF(DB31=10,1000,1),0))</f>
        <v>1</v>
      </c>
      <c r="DC346" s="32">
        <f ca="1">IF($F$346="X",0,IF(ENTRADAS!$F$22&gt;=1,IF(DC31=10,1000,1),0))</f>
        <v>1</v>
      </c>
      <c r="DD346" s="32">
        <f ca="1">IF($F$346="X",0,IF(ENTRADAS!$F$22&gt;=1,IF(DD31=10,1000,1),0))</f>
        <v>1</v>
      </c>
      <c r="DE346" s="32">
        <f ca="1">IF($F$346="X",0,IF(ENTRADAS!$F$22&gt;=1,IF(DE31=10,1000,1),0))</f>
        <v>1</v>
      </c>
      <c r="DF346" s="32">
        <f ca="1">IF($F$346="X",0,IF(ENTRADAS!$F$22&gt;=1,IF(DF31=10,1000,1),0))</f>
        <v>1</v>
      </c>
      <c r="DG346" s="32">
        <f ca="1">IF($F$346="X",0,IF(ENTRADAS!$F$22&gt;=1,IF(DG31=10,1000,1),0))</f>
        <v>1</v>
      </c>
      <c r="DH346" s="32">
        <f ca="1">IF($F$346="X",0,IF(ENTRADAS!$F$22&gt;=1,IF(DH31=10,1000,1),0))</f>
        <v>1</v>
      </c>
      <c r="DI346" s="32">
        <f ca="1">IF($F$346="X",0,IF(ENTRADAS!$F$22&gt;=1,IF(DI31=10,1000,1),0))</f>
        <v>1</v>
      </c>
      <c r="DJ346" s="32">
        <f ca="1">IF($F$346="X",0,IF(ENTRADAS!$F$22&gt;=1,IF(DJ31=10,1000,1),0))</f>
        <v>1</v>
      </c>
      <c r="DK346" s="32">
        <f ca="1">IF($F$346="X",0,IF(ENTRADAS!$F$22&gt;=1,IF(DK31=10,1000,1),0))</f>
        <v>1</v>
      </c>
      <c r="DL346" s="32">
        <f ca="1">IF($F$346="X",0,IF(ENTRADAS!$F$22&gt;=1,IF(DL31=10,1000,1),0))</f>
        <v>1</v>
      </c>
      <c r="DM346" s="32">
        <f ca="1">IF($F$346="X",0,IF(ENTRADAS!$F$22&gt;=1,IF(DM31=10,1000,1),0))</f>
        <v>1</v>
      </c>
      <c r="DN346" s="32">
        <f ca="1">IF($F$346="X",0,IF(ENTRADAS!$F$22&gt;=1,IF(DN31=10,1000,1),0))</f>
        <v>1</v>
      </c>
      <c r="DO346" s="32">
        <f ca="1">IF($F$346="X",0,IF(ENTRADAS!$F$22&gt;=1,IF(DO31=10,1000,1),0))</f>
        <v>1</v>
      </c>
      <c r="DP346" s="32">
        <f ca="1">IF($F$346="X",0,IF(ENTRADAS!$F$22&gt;=1,IF(DP31=10,1000,1),0))</f>
        <v>1</v>
      </c>
      <c r="DQ346" s="32">
        <f ca="1">IF($F$346="X",0,IF(ENTRADAS!$F$22&gt;=1,IF(DQ31=10,1000,1),0))</f>
        <v>1</v>
      </c>
      <c r="DR346" s="32">
        <f ca="1">IF($F$346="X",0,IF(ENTRADAS!$F$22&gt;=1,IF(DR31=10,1000,1),0))</f>
        <v>1</v>
      </c>
      <c r="DS346" s="32">
        <f ca="1">IF($F$346="X",0,IF(ENTRADAS!$F$22&gt;=1,IF(DS31=10,1000,1),0))</f>
        <v>1</v>
      </c>
      <c r="DT346" s="32">
        <f ca="1">IF($F$346="X",0,IF(ENTRADAS!$F$22&gt;=1,IF(DT31=10,1000,1),0))</f>
        <v>1</v>
      </c>
      <c r="DU346" s="32">
        <f ca="1">IF($F$346="X",0,IF(ENTRADAS!$F$22&gt;=1,IF(DU31=10,1000,1),0))</f>
        <v>1</v>
      </c>
      <c r="DV346" s="32">
        <f ca="1">IF($F$346="X",0,IF(ENTRADAS!$F$22&gt;=1,IF(DV31=10,1000,1),0))</f>
        <v>1</v>
      </c>
      <c r="DW346" s="32">
        <f ca="1">IF($F$346="X",0,IF(ENTRADAS!$F$22&gt;=1,IF(DW31=10,1000,1),0))</f>
        <v>1</v>
      </c>
      <c r="DX346" s="32">
        <f ca="1">IF($F$346="X",0,IF(ENTRADAS!$F$22&gt;=1,IF(DX31=10,1000,1),0))</f>
        <v>1</v>
      </c>
      <c r="DY346" s="32">
        <f ca="1">IF($F$346="X",0,IF(ENTRADAS!$F$22&gt;=1,IF(DY31=10,1000,1),0))</f>
        <v>1</v>
      </c>
      <c r="DZ346" s="32">
        <f ca="1">IF($F$346="X",0,IF(ENTRADAS!$F$22&gt;=1,IF(DZ31=10,1000,1),0))</f>
        <v>1</v>
      </c>
      <c r="EA346" s="32">
        <f ca="1">IF($F$346="X",0,IF(ENTRADAS!$F$22&gt;=1,IF(EA31=10,1000,1),0))</f>
        <v>1</v>
      </c>
      <c r="EB346" s="32">
        <f ca="1">IF($F$346="X",0,IF(ENTRADAS!$F$22&gt;=1,IF(EB31=10,1000,1),0))</f>
        <v>1</v>
      </c>
      <c r="EC346" s="32">
        <f ca="1">IF($F$346="X",0,IF(ENTRADAS!$F$22&gt;=1,IF(EC31=10,1000,1),0))</f>
        <v>1</v>
      </c>
      <c r="ED346" s="32">
        <f ca="1">IF($F$346="X",0,IF(ENTRADAS!$F$22&gt;=1,IF(ED31=10,1000,1),0))</f>
        <v>1</v>
      </c>
      <c r="EE346" s="32">
        <f ca="1">IF($F$346="X",0,IF(ENTRADAS!$F$22&gt;=1,IF(EE31=10,1000,1),0))</f>
        <v>1</v>
      </c>
      <c r="EF346" s="32">
        <f ca="1">IF($F$346="X",0,IF(ENTRADAS!$F$22&gt;=1,IF(EF31=10,1000,1),0))</f>
        <v>1</v>
      </c>
      <c r="EG346" s="32">
        <f ca="1">IF($F$346="X",0,IF(ENTRADAS!$F$22&gt;=1,IF(EG31=10,1000,1),0))</f>
        <v>1</v>
      </c>
      <c r="EH346" s="32">
        <f ca="1">IF($F$346="X",0,IF(ENTRADAS!$F$22&gt;=1,IF(EH31=10,1000,1),0))</f>
        <v>1</v>
      </c>
      <c r="EI346" s="32">
        <f ca="1">IF($F$346="X",0,IF(ENTRADAS!$F$22&gt;=1,IF(EI31=10,1000,1),0))</f>
        <v>1</v>
      </c>
      <c r="EJ346" s="32">
        <f ca="1">IF($F$346="X",0,IF(ENTRADAS!$F$22&gt;=1,IF(EJ31=10,1000,1),0))</f>
        <v>1</v>
      </c>
      <c r="EK346" s="32">
        <f ca="1">IF($F$346="X",0,IF(ENTRADAS!$F$22&gt;=1,IF(EK31=10,1000,1),0))</f>
        <v>1</v>
      </c>
      <c r="EL346" s="32">
        <f ca="1">IF($F$346="X",0,IF(ENTRADAS!$F$22&gt;=1,IF(EL31=10,1000,1),0))</f>
        <v>1</v>
      </c>
      <c r="EM346" s="32">
        <f ca="1">IF($F$346="X",0,IF(ENTRADAS!$F$22&gt;=1,IF(EM31=10,1000,1),0))</f>
        <v>1</v>
      </c>
      <c r="EN346" s="32">
        <f ca="1">IF($F$346="X",0,IF(ENTRADAS!$F$22&gt;=1,IF(EN31=10,1000,1),0))</f>
        <v>1</v>
      </c>
      <c r="EO346" s="32">
        <f ca="1">IF($F$346="X",0,IF(ENTRADAS!$F$22&gt;=1,IF(EO31=10,1000,1),0))</f>
        <v>1</v>
      </c>
      <c r="EP346" s="32">
        <f ca="1">IF($F$346="X",0,IF(ENTRADAS!$F$22&gt;=1,IF(EP31=10,1000,1),0))</f>
        <v>1</v>
      </c>
      <c r="EQ346" s="32">
        <f ca="1">IF($F$346="X",0,IF(ENTRADAS!$F$22&gt;=1,IF(EQ31=10,1000,1),0))</f>
        <v>1</v>
      </c>
      <c r="ER346" s="32">
        <f ca="1">IF($F$346="X",0,IF(ENTRADAS!$F$22&gt;=1,IF(ER31=10,1000,1),0))</f>
        <v>1</v>
      </c>
      <c r="ES346" s="32">
        <f ca="1">IF($F$346="X",0,IF(ENTRADAS!$F$22&gt;=1,IF(ES31=10,1000,1),0))</f>
        <v>1</v>
      </c>
      <c r="ET346" s="32">
        <f ca="1">IF($F$346="X",0,IF(ENTRADAS!$F$22&gt;=1,IF(ET31=10,1000,1),0))</f>
        <v>1</v>
      </c>
      <c r="EU346" s="32">
        <f ca="1">IF($F$346="X",0,IF(ENTRADAS!$F$22&gt;=1,IF(EU31=10,1000,1),0))</f>
        <v>1</v>
      </c>
      <c r="EV346" s="32">
        <f ca="1">IF($F$346="X",0,IF(ENTRADAS!$F$22&gt;=1,IF(EV31=10,1000,1),0))</f>
        <v>1</v>
      </c>
      <c r="EW346" s="32">
        <f ca="1">IF($F$346="X",0,IF(ENTRADAS!$F$22&gt;=1,IF(EW31=10,1000,1),0))</f>
        <v>1</v>
      </c>
      <c r="EX346" s="32">
        <f ca="1">IF($F$346="X",0,IF(ENTRADAS!$F$22&gt;=1,IF(EX31=10,1000,1),0))</f>
        <v>1</v>
      </c>
      <c r="EY346" s="32">
        <f ca="1">IF($F$346="X",0,IF(ENTRADAS!$F$22&gt;=1,IF(EY31=10,1000,1),0))</f>
        <v>1</v>
      </c>
      <c r="EZ346" s="32">
        <f ca="1">IF($F$346="X",0,IF(ENTRADAS!$F$22&gt;=1,IF(EZ31=10,1000,1),0))</f>
        <v>1</v>
      </c>
      <c r="FA346" s="32">
        <f ca="1">IF($F$346="X",0,IF(ENTRADAS!$F$22&gt;=1,IF(FA31=10,1000,1),0))</f>
        <v>1</v>
      </c>
      <c r="FB346" s="32">
        <f ca="1">IF($F$346="X",0,IF(ENTRADAS!$F$22&gt;=1,IF(FB31=10,1000,1),0))</f>
        <v>1</v>
      </c>
      <c r="FC346" s="32">
        <f ca="1">IF($F$346="X",0,IF(ENTRADAS!$F$22&gt;=1,IF(FC31=10,1000,1),0))</f>
        <v>1</v>
      </c>
      <c r="FD346" s="32">
        <f ca="1">IF($F$346="X",0,IF(ENTRADAS!$F$22&gt;=1,IF(FD31=10,1000,1),0))</f>
        <v>1</v>
      </c>
      <c r="FE346" s="32">
        <f ca="1">IF($F$346="X",0,IF(ENTRADAS!$F$22&gt;=1,IF(FE31=10,1000,1),0))</f>
        <v>1</v>
      </c>
      <c r="FF346" s="32">
        <f ca="1">IF($F$346="X",0,IF(ENTRADAS!$F$22&gt;=1,IF(FF31=10,1000,1),0))</f>
        <v>1</v>
      </c>
      <c r="FG346" s="32">
        <f ca="1">IF($F$346="X",0,IF(ENTRADAS!$F$22&gt;=1,IF(FG31=10,1000,1),0))</f>
        <v>1</v>
      </c>
      <c r="FH346" s="32">
        <f ca="1">IF($F$346="X",0,IF(ENTRADAS!$F$22&gt;=1,IF(FH31=10,1000,1),0))</f>
        <v>1</v>
      </c>
      <c r="FI346" s="32">
        <f ca="1">IF($F$346="X",0,IF(ENTRADAS!$F$22&gt;=1,IF(FI31=10,1000,1),0))</f>
        <v>1</v>
      </c>
      <c r="FJ346" s="32">
        <f ca="1">IF($F$346="X",0,IF(ENTRADAS!$F$22&gt;=1,IF(FJ31=10,1000,1),0))</f>
        <v>1</v>
      </c>
      <c r="FK346" s="32">
        <f ca="1">IF($F$346="X",0,IF(ENTRADAS!$F$22&gt;=1,IF(FK31=10,1000,1),0))</f>
        <v>1</v>
      </c>
      <c r="FL346" s="32">
        <f ca="1">IF($F$346="X",0,IF(ENTRADAS!$F$22&gt;=1,IF(FL31=10,1000,1),0))</f>
        <v>1</v>
      </c>
      <c r="FM346" s="32">
        <f ca="1">IF($F$346="X",0,IF(ENTRADAS!$F$22&gt;=1,IF(FM31=10,1000,1),0))</f>
        <v>1</v>
      </c>
      <c r="FN346" s="32">
        <f ca="1">IF($F$346="X",0,IF(ENTRADAS!$F$22&gt;=1,IF(FN31=10,1000,1),0))</f>
        <v>1</v>
      </c>
      <c r="FO346" s="32">
        <f ca="1">IF($F$346="X",0,IF(ENTRADAS!$F$22&gt;=1,IF(FO31=10,1000,1),0))</f>
        <v>1</v>
      </c>
      <c r="FP346" s="32">
        <f ca="1">IF($F$346="X",0,IF(ENTRADAS!$F$22&gt;=1,IF(FP31=10,1000,1),0))</f>
        <v>1</v>
      </c>
      <c r="FQ346" s="32">
        <f ca="1">IF($F$346="X",0,IF(ENTRADAS!$F$22&gt;=1,IF(FQ31=10,1000,1),0))</f>
        <v>1</v>
      </c>
      <c r="FR346" s="32">
        <f ca="1">IF($F$346="X",0,IF(ENTRADAS!$F$22&gt;=1,IF(FR31=10,1000,1),0))</f>
        <v>1</v>
      </c>
      <c r="FS346" s="32">
        <f ca="1">IF($F$346="X",0,IF(ENTRADAS!$F$22&gt;=1,IF(FS31=10,1000,1),0))</f>
        <v>1</v>
      </c>
      <c r="FT346" s="32">
        <f ca="1">IF($F$346="X",0,IF(ENTRADAS!$F$22&gt;=1,IF(FT31=10,1000,1),0))</f>
        <v>1</v>
      </c>
      <c r="FU346" s="32">
        <f ca="1">IF($F$346="X",0,IF(ENTRADAS!$F$22&gt;=1,IF(FU31=10,1000,1),0))</f>
        <v>1</v>
      </c>
      <c r="FV346" s="32">
        <f ca="1">IF($F$346="X",0,IF(ENTRADAS!$F$22&gt;=1,IF(FV31=10,1000,1),0))</f>
        <v>1</v>
      </c>
      <c r="FW346" s="32">
        <f ca="1">IF($F$346="X",0,IF(ENTRADAS!$F$22&gt;=1,IF(FW31=10,1000,1),0))</f>
        <v>1</v>
      </c>
      <c r="FX346" s="32">
        <f ca="1">IF($F$346="X",0,IF(ENTRADAS!$F$22&gt;=1,IF(FX31=10,1000,1),0))</f>
        <v>1</v>
      </c>
      <c r="FY346" s="32">
        <f ca="1">IF($F$346="X",0,IF(ENTRADAS!$F$22&gt;=1,IF(FY31=10,1000,1),0))</f>
        <v>1</v>
      </c>
      <c r="FZ346" s="32">
        <f ca="1">IF($F$346="X",0,IF(ENTRADAS!$F$22&gt;=1,IF(FZ31=10,1000,1),0))</f>
        <v>1</v>
      </c>
      <c r="GA346" s="32">
        <f ca="1">IF($F$346="X",0,IF(ENTRADAS!$F$22&gt;=1,IF(GA31=10,1000,1),0))</f>
        <v>1</v>
      </c>
      <c r="GB346" s="32">
        <f ca="1">IF($F$346="X",0,IF(ENTRADAS!$F$22&gt;=1,IF(GB31=10,1000,1),0))</f>
        <v>1</v>
      </c>
      <c r="GC346" s="32">
        <f ca="1">IF($F$346="X",0,IF(ENTRADAS!$F$22&gt;=1,IF(GC31=10,1000,1),0))</f>
        <v>1</v>
      </c>
      <c r="GD346" s="32">
        <f ca="1">IF($F$346="X",0,IF(ENTRADAS!$F$22&gt;=1,IF(GD31=10,1000,1),0))</f>
        <v>1</v>
      </c>
      <c r="GE346" s="32">
        <f ca="1">IF($F$346="X",0,IF(ENTRADAS!$F$22&gt;=1,IF(GE31=10,1000,1),0))</f>
        <v>1</v>
      </c>
      <c r="GF346" s="32">
        <f ca="1">IF($F$346="X",0,IF(ENTRADAS!$F$22&gt;=1,IF(GF31=10,1000,1),0))</f>
        <v>1</v>
      </c>
      <c r="GG346" s="32">
        <f ca="1">IF($F$346="X",0,IF(ENTRADAS!$F$22&gt;=1,IF(GG31=10,1000,1),0))</f>
        <v>1</v>
      </c>
      <c r="GH346" s="32">
        <f ca="1">IF($F$346="X",0,IF(ENTRADAS!$F$22&gt;=1,IF(GH31=10,1000,1),0))</f>
        <v>1</v>
      </c>
      <c r="GI346" s="32">
        <f ca="1">IF($F$346="X",0,IF(ENTRADAS!$F$22&gt;=1,IF(GI31=10,1000,1),0))</f>
        <v>1</v>
      </c>
      <c r="GJ346" s="32">
        <f ca="1">IF($F$346="X",0,IF(ENTRADAS!$F$22&gt;=1,IF(GJ31=10,1000,1),0))</f>
        <v>1</v>
      </c>
      <c r="GK346" s="32">
        <f ca="1">IF($F$346="X",0,IF(ENTRADAS!$F$22&gt;=1,IF(GK31=10,1000,1),0))</f>
        <v>1</v>
      </c>
      <c r="GL346" s="32">
        <f ca="1">IF($F$346="X",0,IF(ENTRADAS!$F$22&gt;=1,IF(GL31=10,1000,1),0))</f>
        <v>1</v>
      </c>
      <c r="GM346" s="32">
        <f ca="1">IF($F$346="X",0,IF(ENTRADAS!$F$22&gt;=1,IF(GM31=10,1000,1),0))</f>
        <v>1</v>
      </c>
      <c r="GN346" s="32">
        <f ca="1">IF($F$346="X",0,IF(ENTRADAS!$F$22&gt;=1,IF(GN31=10,1000,1),0))</f>
        <v>1</v>
      </c>
      <c r="GO346" s="32">
        <f ca="1">IF($F$346="X",0,IF(ENTRADAS!$F$22&gt;=1,IF(GO31=10,1000,1),0))</f>
        <v>1</v>
      </c>
      <c r="GP346" s="32">
        <f ca="1">IF($F$346="X",0,IF(ENTRADAS!$F$22&gt;=1,IF(GP31=10,1000,1),0))</f>
        <v>1</v>
      </c>
      <c r="GQ346" s="32">
        <f ca="1">IF($F$346="X",0,IF(ENTRADAS!$F$22&gt;=1,IF(GQ31=10,1000,1),0))</f>
        <v>1</v>
      </c>
      <c r="GR346" s="32">
        <f ca="1">IF($F$346="X",0,IF(ENTRADAS!$F$22&gt;=1,IF(GR31=10,1000,1),0))</f>
        <v>1</v>
      </c>
      <c r="GS346" s="32">
        <f ca="1">IF($F$346="X",0,IF(ENTRADAS!$F$22&gt;=1,IF(GS31=10,1000,1),0))</f>
        <v>1</v>
      </c>
      <c r="GT346" s="32">
        <f ca="1">IF($F$346="X",0,IF(ENTRADAS!$F$22&gt;=1,IF(GT31=10,1000,1),0))</f>
        <v>1</v>
      </c>
      <c r="GU346" s="32">
        <f ca="1">IF($F$346="X",0,IF(ENTRADAS!$F$22&gt;=1,IF(GU31=10,1000,1),0))</f>
        <v>1</v>
      </c>
      <c r="GV346" s="32">
        <f ca="1">IF($F$346="X",0,IF(ENTRADAS!$F$22&gt;=1,IF(GV31=10,1000,1),0))</f>
        <v>1</v>
      </c>
      <c r="GW346" s="32">
        <f ca="1">IF($F$346="X",0,IF(ENTRADAS!$F$22&gt;=1,IF(GW31=10,1000,1),0))</f>
        <v>1</v>
      </c>
      <c r="GX346" s="32">
        <f ca="1">IF($F$346="X",0,IF(ENTRADAS!$F$22&gt;=1,IF(GX31=10,1000,1),0))</f>
        <v>1</v>
      </c>
      <c r="GY346" s="32">
        <f ca="1">IF($F$346="X",0,IF(ENTRADAS!$F$22&gt;=1,IF(GY31=10,1000,1),0))</f>
        <v>1</v>
      </c>
      <c r="GZ346" s="32">
        <f ca="1">IF($F$346="X",0,IF(ENTRADAS!$F$22&gt;=1,IF(GZ31=10,1000,1),0))</f>
        <v>1</v>
      </c>
      <c r="HA346" s="32">
        <f ca="1">IF($F$346="X",0,IF(ENTRADAS!$F$22&gt;=1,IF(HA31=10,1000,1),0))</f>
        <v>1</v>
      </c>
      <c r="HB346" s="32">
        <f ca="1">IF($F$346="X",0,IF(ENTRADAS!$F$22&gt;=1,IF(HB31=10,1000,1),0))</f>
        <v>1</v>
      </c>
      <c r="HC346" s="32">
        <f ca="1">IF($F$346="X",0,IF(ENTRADAS!$F$22&gt;=1,IF(HC31=10,1000,1),0))</f>
        <v>1</v>
      </c>
      <c r="HD346" s="32">
        <f ca="1">IF($F$346="X",0,IF(ENTRADAS!$F$22&gt;=1,IF(HD31=10,1000,1),0))</f>
        <v>1</v>
      </c>
      <c r="HE346" s="32">
        <f ca="1">IF($F$346="X",0,IF(ENTRADAS!$F$22&gt;=1,IF(HE31=10,1000,1),0))</f>
        <v>1</v>
      </c>
      <c r="HF346" s="32">
        <f ca="1">IF($F$346="X",0,IF(ENTRADAS!$F$22&gt;=1,IF(HF31=10,1000,1),0))</f>
        <v>1</v>
      </c>
      <c r="HG346" s="32">
        <f ca="1">IF($F$346="X",0,IF(ENTRADAS!$F$22&gt;=1,IF(HG31=10,1000,1),0))</f>
        <v>1</v>
      </c>
      <c r="HH346" s="32">
        <f ca="1">IF($F$346="X",0,IF(ENTRADAS!$F$22&gt;=1,IF(HH31=10,1000,1),0))</f>
        <v>1</v>
      </c>
      <c r="HI346" s="32">
        <f ca="1">IF($F$346="X",0,IF(ENTRADAS!$F$22&gt;=1,IF(HI31=10,1000,1),0))</f>
        <v>1</v>
      </c>
      <c r="HJ346" s="32">
        <f ca="1">IF($F$346="X",0,IF(ENTRADAS!$F$22&gt;=1,IF(HJ31=10,1000,1),0))</f>
        <v>1</v>
      </c>
      <c r="HK346" s="32">
        <f ca="1">IF($F$346="X",0,IF(ENTRADAS!$F$22&gt;=1,IF(HK31=10,1000,1),0))</f>
        <v>1</v>
      </c>
      <c r="HL346" s="32">
        <f ca="1">IF($F$346="X",0,IF(ENTRADAS!$F$22&gt;=1,IF(HL31=10,1000,1),0))</f>
        <v>1</v>
      </c>
      <c r="HM346" s="32">
        <f ca="1">IF($F$346="X",0,IF(ENTRADAS!$F$22&gt;=1,IF(HM31=10,1000,1),0))</f>
        <v>1</v>
      </c>
      <c r="HN346" s="32">
        <f ca="1">IF($F$346="X",0,IF(ENTRADAS!$F$22&gt;=1,IF(HN31=10,1000,1),0))</f>
        <v>1</v>
      </c>
      <c r="HO346" s="32">
        <f ca="1">IF($F$346="X",0,IF(ENTRADAS!$F$22&gt;=1,IF(HO31=10,1000,1),0))</f>
        <v>1</v>
      </c>
      <c r="HP346" s="32">
        <f ca="1">IF($F$346="X",0,IF(ENTRADAS!$F$22&gt;=1,IF(HP31=10,1000,1),0))</f>
        <v>1</v>
      </c>
      <c r="HQ346" s="32">
        <f ca="1">IF($F$346="X",0,IF(ENTRADAS!$F$22&gt;=1,IF(HQ31=10,1000,1),0))</f>
        <v>1</v>
      </c>
      <c r="HR346" s="32">
        <f ca="1">IF($F$346="X",0,IF(ENTRADAS!$F$22&gt;=1,IF(HR31=10,1000,1),0))</f>
        <v>1</v>
      </c>
      <c r="HS346" s="32">
        <f ca="1">IF($F$346="X",0,IF(ENTRADAS!$F$22&gt;=1,IF(HS31=10,1000,1),0))</f>
        <v>1</v>
      </c>
      <c r="HT346" s="32">
        <f ca="1">IF($F$346="X",0,IF(ENTRADAS!$F$22&gt;=1,IF(HT31=10,1000,1),0))</f>
        <v>1</v>
      </c>
      <c r="HU346" s="32">
        <f ca="1">IF($F$346="X",0,IF(ENTRADAS!$F$22&gt;=1,IF(HU31=10,1000,1),0))</f>
        <v>1</v>
      </c>
      <c r="HV346" s="32">
        <f ca="1">IF($F$346="X",0,IF(ENTRADAS!$F$22&gt;=1,IF(HV31=10,1000,1),0))</f>
        <v>1</v>
      </c>
      <c r="HW346" s="32">
        <f ca="1">IF($F$346="X",0,IF(ENTRADAS!$F$22&gt;=1,IF(HW31=10,1000,1),0))</f>
        <v>1</v>
      </c>
      <c r="HX346" s="32">
        <f ca="1">IF($F$346="X",0,IF(ENTRADAS!$F$22&gt;=1,IF(HX31=10,1000,1),0))</f>
        <v>1</v>
      </c>
      <c r="HY346" s="32">
        <f ca="1">IF($F$346="X",0,IF(ENTRADAS!$F$22&gt;=1,IF(HY31=10,1000,1),0))</f>
        <v>1</v>
      </c>
      <c r="HZ346" s="32">
        <f ca="1">IF($F$346="X",0,IF(ENTRADAS!$F$22&gt;=1,IF(HZ31=10,1000,1),0))</f>
        <v>1</v>
      </c>
      <c r="IA346" s="32">
        <f ca="1">IF($F$346="X",0,IF(ENTRADAS!$F$22&gt;=1,IF(IA31=10,1000,1),0))</f>
        <v>1</v>
      </c>
      <c r="IB346" s="32">
        <f ca="1">IF($F$346="X",0,IF(ENTRADAS!$F$22&gt;=1,IF(IB31=10,1000,1),0))</f>
        <v>1</v>
      </c>
      <c r="IC346" s="32">
        <f ca="1">IF($F$346="X",0,IF(ENTRADAS!$F$22&gt;=1,IF(IC31=10,1000,1),0))</f>
        <v>1</v>
      </c>
      <c r="ID346" s="32">
        <f ca="1">IF($F$346="X",0,IF(ENTRADAS!$F$22&gt;=1,IF(ID31=10,1000,1),0))</f>
        <v>1</v>
      </c>
      <c r="IE346" s="32">
        <f ca="1">IF($F$346="X",0,IF(ENTRADAS!$F$22&gt;=1,IF(IE31=10,1000,1),0))</f>
        <v>1</v>
      </c>
      <c r="IF346" s="32">
        <f ca="1">IF($F$346="X",0,IF(ENTRADAS!$F$22&gt;=1,IF(IF31=10,1000,1),0))</f>
        <v>1</v>
      </c>
      <c r="IG346" s="32">
        <f ca="1">IF($F$346="X",0,IF(ENTRADAS!$F$22&gt;=1,IF(IG31=10,1000,1),0))</f>
        <v>1</v>
      </c>
      <c r="IH346" s="32">
        <f ca="1">IF($F$346="X",0,IF(ENTRADAS!$F$22&gt;=1,IF(IH31=10,1000,1),0))</f>
        <v>1</v>
      </c>
      <c r="II346" s="32">
        <f ca="1">IF($F$346="X",0,IF(ENTRADAS!$F$22&gt;=1,IF(II31=10,1000,1),0))</f>
        <v>1</v>
      </c>
      <c r="IJ346" s="32">
        <f ca="1">IF($F$346="X",0,IF(ENTRADAS!$F$22&gt;=1,IF(IJ31=10,1000,1),0))</f>
        <v>1</v>
      </c>
      <c r="IK346" s="32">
        <f ca="1">IF($F$346="X",0,IF(ENTRADAS!$F$22&gt;=1,IF(IK31=10,1000,1),0))</f>
        <v>1</v>
      </c>
    </row>
    <row r="347" spans="1:245" hidden="1" x14ac:dyDescent="0.35">
      <c r="A347" s="195">
        <f t="shared" si="364"/>
        <v>0</v>
      </c>
    </row>
    <row r="348" spans="1:245" hidden="1" x14ac:dyDescent="0.35">
      <c r="A348" s="195">
        <f t="shared" si="364"/>
        <v>0</v>
      </c>
      <c r="C348" s="2007" t="s">
        <v>1609</v>
      </c>
      <c r="D348" s="2007"/>
      <c r="E348" s="640">
        <f ca="1">COUNTIF(H348:IK348,1000)</f>
        <v>0</v>
      </c>
      <c r="F348" s="2007" t="s">
        <v>101</v>
      </c>
      <c r="G348" s="2007"/>
      <c r="H348" s="481">
        <f ca="1">IF($D$127=2,IF(AND(H6&gt;ROUNDUP($E$30-$J$2+1,0),H6&lt;ROUNDUP($E$113-$J$2+1,0)),1000,0),0)</f>
        <v>0</v>
      </c>
      <c r="I348" s="348">
        <f t="shared" ref="I348:BT348" ca="1" si="365">IF($D$127=2,IF(AND(I6&gt;ROUNDUP($E$30-$J$2+1,0),I6&lt;ROUNDUP($E$113-$J$2+1,0)),1000,0),0)</f>
        <v>0</v>
      </c>
      <c r="J348" s="348">
        <f t="shared" ca="1" si="365"/>
        <v>0</v>
      </c>
      <c r="K348" s="348">
        <f t="shared" ca="1" si="365"/>
        <v>0</v>
      </c>
      <c r="L348" s="348">
        <f t="shared" ca="1" si="365"/>
        <v>0</v>
      </c>
      <c r="M348" s="348">
        <f t="shared" ca="1" si="365"/>
        <v>0</v>
      </c>
      <c r="N348" s="348">
        <f t="shared" ca="1" si="365"/>
        <v>0</v>
      </c>
      <c r="O348" s="348">
        <f t="shared" ca="1" si="365"/>
        <v>0</v>
      </c>
      <c r="P348" s="348">
        <f t="shared" ca="1" si="365"/>
        <v>0</v>
      </c>
      <c r="Q348" s="348">
        <f t="shared" ca="1" si="365"/>
        <v>0</v>
      </c>
      <c r="R348" s="348">
        <f t="shared" ca="1" si="365"/>
        <v>0</v>
      </c>
      <c r="S348" s="348">
        <f t="shared" ca="1" si="365"/>
        <v>0</v>
      </c>
      <c r="T348" s="348">
        <f t="shared" ca="1" si="365"/>
        <v>0</v>
      </c>
      <c r="U348" s="348">
        <f t="shared" ca="1" si="365"/>
        <v>0</v>
      </c>
      <c r="V348" s="348">
        <f t="shared" ca="1" si="365"/>
        <v>0</v>
      </c>
      <c r="W348" s="348">
        <f t="shared" ca="1" si="365"/>
        <v>0</v>
      </c>
      <c r="X348" s="348">
        <f t="shared" ca="1" si="365"/>
        <v>0</v>
      </c>
      <c r="Y348" s="348">
        <f t="shared" ca="1" si="365"/>
        <v>0</v>
      </c>
      <c r="Z348" s="348">
        <f t="shared" ca="1" si="365"/>
        <v>0</v>
      </c>
      <c r="AA348" s="348">
        <f t="shared" ca="1" si="365"/>
        <v>0</v>
      </c>
      <c r="AB348" s="348">
        <f t="shared" ca="1" si="365"/>
        <v>0</v>
      </c>
      <c r="AC348" s="348">
        <f t="shared" ca="1" si="365"/>
        <v>0</v>
      </c>
      <c r="AD348" s="348">
        <f t="shared" ca="1" si="365"/>
        <v>0</v>
      </c>
      <c r="AE348" s="348">
        <f t="shared" ca="1" si="365"/>
        <v>0</v>
      </c>
      <c r="AF348" s="348">
        <f t="shared" ca="1" si="365"/>
        <v>0</v>
      </c>
      <c r="AG348" s="348">
        <f t="shared" ca="1" si="365"/>
        <v>0</v>
      </c>
      <c r="AH348" s="348">
        <f t="shared" ca="1" si="365"/>
        <v>0</v>
      </c>
      <c r="AI348" s="348">
        <f t="shared" ca="1" si="365"/>
        <v>0</v>
      </c>
      <c r="AJ348" s="348">
        <f t="shared" ca="1" si="365"/>
        <v>0</v>
      </c>
      <c r="AK348" s="348">
        <f t="shared" ca="1" si="365"/>
        <v>0</v>
      </c>
      <c r="AL348" s="348">
        <f t="shared" ca="1" si="365"/>
        <v>0</v>
      </c>
      <c r="AM348" s="348">
        <f t="shared" ca="1" si="365"/>
        <v>0</v>
      </c>
      <c r="AN348" s="348">
        <f t="shared" ca="1" si="365"/>
        <v>0</v>
      </c>
      <c r="AO348" s="348">
        <f t="shared" ca="1" si="365"/>
        <v>0</v>
      </c>
      <c r="AP348" s="348">
        <f t="shared" ca="1" si="365"/>
        <v>0</v>
      </c>
      <c r="AQ348" s="348">
        <f t="shared" ca="1" si="365"/>
        <v>0</v>
      </c>
      <c r="AR348" s="348">
        <f t="shared" ca="1" si="365"/>
        <v>0</v>
      </c>
      <c r="AS348" s="348">
        <f t="shared" ca="1" si="365"/>
        <v>0</v>
      </c>
      <c r="AT348" s="348">
        <f t="shared" ca="1" si="365"/>
        <v>0</v>
      </c>
      <c r="AU348" s="348">
        <f t="shared" ca="1" si="365"/>
        <v>0</v>
      </c>
      <c r="AV348" s="348">
        <f t="shared" ca="1" si="365"/>
        <v>0</v>
      </c>
      <c r="AW348" s="348">
        <f t="shared" ca="1" si="365"/>
        <v>0</v>
      </c>
      <c r="AX348" s="348">
        <f t="shared" ca="1" si="365"/>
        <v>0</v>
      </c>
      <c r="AY348" s="348">
        <f t="shared" ca="1" si="365"/>
        <v>0</v>
      </c>
      <c r="AZ348" s="348">
        <f t="shared" ca="1" si="365"/>
        <v>0</v>
      </c>
      <c r="BA348" s="348">
        <f t="shared" ca="1" si="365"/>
        <v>0</v>
      </c>
      <c r="BB348" s="348">
        <f t="shared" ca="1" si="365"/>
        <v>0</v>
      </c>
      <c r="BC348" s="348">
        <f t="shared" ca="1" si="365"/>
        <v>0</v>
      </c>
      <c r="BD348" s="348">
        <f t="shared" ca="1" si="365"/>
        <v>0</v>
      </c>
      <c r="BE348" s="348">
        <f t="shared" ca="1" si="365"/>
        <v>0</v>
      </c>
      <c r="BF348" s="348">
        <f t="shared" ca="1" si="365"/>
        <v>0</v>
      </c>
      <c r="BG348" s="348">
        <f t="shared" ca="1" si="365"/>
        <v>0</v>
      </c>
      <c r="BH348" s="348">
        <f t="shared" ca="1" si="365"/>
        <v>0</v>
      </c>
      <c r="BI348" s="348">
        <f t="shared" ca="1" si="365"/>
        <v>0</v>
      </c>
      <c r="BJ348" s="348">
        <f t="shared" ca="1" si="365"/>
        <v>0</v>
      </c>
      <c r="BK348" s="348">
        <f t="shared" ca="1" si="365"/>
        <v>0</v>
      </c>
      <c r="BL348" s="348">
        <f t="shared" ca="1" si="365"/>
        <v>0</v>
      </c>
      <c r="BM348" s="348">
        <f t="shared" ca="1" si="365"/>
        <v>0</v>
      </c>
      <c r="BN348" s="348">
        <f t="shared" ca="1" si="365"/>
        <v>0</v>
      </c>
      <c r="BO348" s="348">
        <f t="shared" ca="1" si="365"/>
        <v>0</v>
      </c>
      <c r="BP348" s="348">
        <f t="shared" ca="1" si="365"/>
        <v>0</v>
      </c>
      <c r="BQ348" s="348">
        <f t="shared" ca="1" si="365"/>
        <v>0</v>
      </c>
      <c r="BR348" s="348">
        <f t="shared" ca="1" si="365"/>
        <v>0</v>
      </c>
      <c r="BS348" s="348">
        <f t="shared" ca="1" si="365"/>
        <v>0</v>
      </c>
      <c r="BT348" s="348">
        <f t="shared" ca="1" si="365"/>
        <v>0</v>
      </c>
      <c r="BU348" s="348">
        <f t="shared" ref="BU348:EF348" ca="1" si="366">IF($D$127=2,IF(AND(BU6&gt;ROUNDUP($E$30-$J$2+1,0),BU6&lt;ROUNDUP($E$113-$J$2+1,0)),1000,0),0)</f>
        <v>0</v>
      </c>
      <c r="BV348" s="348">
        <f t="shared" ca="1" si="366"/>
        <v>0</v>
      </c>
      <c r="BW348" s="348">
        <f t="shared" ca="1" si="366"/>
        <v>0</v>
      </c>
      <c r="BX348" s="348">
        <f t="shared" ca="1" si="366"/>
        <v>0</v>
      </c>
      <c r="BY348" s="348">
        <f t="shared" ca="1" si="366"/>
        <v>0</v>
      </c>
      <c r="BZ348" s="348">
        <f t="shared" ca="1" si="366"/>
        <v>0</v>
      </c>
      <c r="CA348" s="348">
        <f t="shared" ca="1" si="366"/>
        <v>0</v>
      </c>
      <c r="CB348" s="348">
        <f t="shared" ca="1" si="366"/>
        <v>0</v>
      </c>
      <c r="CC348" s="348">
        <f t="shared" ca="1" si="366"/>
        <v>0</v>
      </c>
      <c r="CD348" s="348">
        <f t="shared" ca="1" si="366"/>
        <v>0</v>
      </c>
      <c r="CE348" s="348">
        <f t="shared" ca="1" si="366"/>
        <v>0</v>
      </c>
      <c r="CF348" s="348">
        <f t="shared" ca="1" si="366"/>
        <v>0</v>
      </c>
      <c r="CG348" s="348">
        <f t="shared" ca="1" si="366"/>
        <v>0</v>
      </c>
      <c r="CH348" s="348">
        <f t="shared" ca="1" si="366"/>
        <v>0</v>
      </c>
      <c r="CI348" s="348">
        <f t="shared" ca="1" si="366"/>
        <v>0</v>
      </c>
      <c r="CJ348" s="348">
        <f t="shared" ca="1" si="366"/>
        <v>0</v>
      </c>
      <c r="CK348" s="348">
        <f t="shared" ca="1" si="366"/>
        <v>0</v>
      </c>
      <c r="CL348" s="348">
        <f t="shared" ca="1" si="366"/>
        <v>0</v>
      </c>
      <c r="CM348" s="348">
        <f t="shared" ca="1" si="366"/>
        <v>0</v>
      </c>
      <c r="CN348" s="348">
        <f t="shared" ca="1" si="366"/>
        <v>0</v>
      </c>
      <c r="CO348" s="348">
        <f t="shared" ca="1" si="366"/>
        <v>0</v>
      </c>
      <c r="CP348" s="348">
        <f t="shared" ca="1" si="366"/>
        <v>0</v>
      </c>
      <c r="CQ348" s="348">
        <f t="shared" ca="1" si="366"/>
        <v>0</v>
      </c>
      <c r="CR348" s="348">
        <f t="shared" ca="1" si="366"/>
        <v>0</v>
      </c>
      <c r="CS348" s="348">
        <f t="shared" ca="1" si="366"/>
        <v>0</v>
      </c>
      <c r="CT348" s="348">
        <f t="shared" ca="1" si="366"/>
        <v>0</v>
      </c>
      <c r="CU348" s="348">
        <f t="shared" ca="1" si="366"/>
        <v>0</v>
      </c>
      <c r="CV348" s="348">
        <f t="shared" ca="1" si="366"/>
        <v>0</v>
      </c>
      <c r="CW348" s="348">
        <f t="shared" ca="1" si="366"/>
        <v>0</v>
      </c>
      <c r="CX348" s="348">
        <f t="shared" ca="1" si="366"/>
        <v>0</v>
      </c>
      <c r="CY348" s="348">
        <f t="shared" ca="1" si="366"/>
        <v>0</v>
      </c>
      <c r="CZ348" s="348">
        <f t="shared" ca="1" si="366"/>
        <v>0</v>
      </c>
      <c r="DA348" s="348">
        <f t="shared" ca="1" si="366"/>
        <v>0</v>
      </c>
      <c r="DB348" s="348">
        <f t="shared" ca="1" si="366"/>
        <v>0</v>
      </c>
      <c r="DC348" s="348">
        <f t="shared" ca="1" si="366"/>
        <v>0</v>
      </c>
      <c r="DD348" s="348">
        <f t="shared" ca="1" si="366"/>
        <v>0</v>
      </c>
      <c r="DE348" s="348">
        <f t="shared" ca="1" si="366"/>
        <v>0</v>
      </c>
      <c r="DF348" s="348">
        <f t="shared" ca="1" si="366"/>
        <v>0</v>
      </c>
      <c r="DG348" s="348">
        <f t="shared" ca="1" si="366"/>
        <v>0</v>
      </c>
      <c r="DH348" s="348">
        <f t="shared" ca="1" si="366"/>
        <v>0</v>
      </c>
      <c r="DI348" s="348">
        <f t="shared" ca="1" si="366"/>
        <v>0</v>
      </c>
      <c r="DJ348" s="348">
        <f t="shared" ca="1" si="366"/>
        <v>0</v>
      </c>
      <c r="DK348" s="348">
        <f t="shared" ca="1" si="366"/>
        <v>0</v>
      </c>
      <c r="DL348" s="348">
        <f t="shared" ca="1" si="366"/>
        <v>0</v>
      </c>
      <c r="DM348" s="348">
        <f t="shared" ca="1" si="366"/>
        <v>0</v>
      </c>
      <c r="DN348" s="348">
        <f t="shared" ca="1" si="366"/>
        <v>0</v>
      </c>
      <c r="DO348" s="348">
        <f t="shared" ca="1" si="366"/>
        <v>0</v>
      </c>
      <c r="DP348" s="348">
        <f t="shared" ca="1" si="366"/>
        <v>0</v>
      </c>
      <c r="DQ348" s="348">
        <f t="shared" ca="1" si="366"/>
        <v>0</v>
      </c>
      <c r="DR348" s="348">
        <f t="shared" ca="1" si="366"/>
        <v>0</v>
      </c>
      <c r="DS348" s="348">
        <f t="shared" ca="1" si="366"/>
        <v>0</v>
      </c>
      <c r="DT348" s="348">
        <f t="shared" ca="1" si="366"/>
        <v>0</v>
      </c>
      <c r="DU348" s="348">
        <f t="shared" ca="1" si="366"/>
        <v>0</v>
      </c>
      <c r="DV348" s="348">
        <f t="shared" ca="1" si="366"/>
        <v>0</v>
      </c>
      <c r="DW348" s="348">
        <f t="shared" ca="1" si="366"/>
        <v>0</v>
      </c>
      <c r="DX348" s="348">
        <f t="shared" ca="1" si="366"/>
        <v>0</v>
      </c>
      <c r="DY348" s="348">
        <f t="shared" ca="1" si="366"/>
        <v>0</v>
      </c>
      <c r="DZ348" s="348">
        <f t="shared" ca="1" si="366"/>
        <v>0</v>
      </c>
      <c r="EA348" s="348">
        <f t="shared" ca="1" si="366"/>
        <v>0</v>
      </c>
      <c r="EB348" s="348">
        <f t="shared" ca="1" si="366"/>
        <v>0</v>
      </c>
      <c r="EC348" s="348">
        <f t="shared" ca="1" si="366"/>
        <v>0</v>
      </c>
      <c r="ED348" s="348">
        <f t="shared" ca="1" si="366"/>
        <v>0</v>
      </c>
      <c r="EE348" s="348">
        <f t="shared" ca="1" si="366"/>
        <v>0</v>
      </c>
      <c r="EF348" s="348">
        <f t="shared" ca="1" si="366"/>
        <v>0</v>
      </c>
      <c r="EG348" s="348">
        <f t="shared" ref="EG348:GR348" ca="1" si="367">IF($D$127=2,IF(AND(EG6&gt;ROUNDUP($E$30-$J$2+1,0),EG6&lt;ROUNDUP($E$113-$J$2+1,0)),1000,0),0)</f>
        <v>0</v>
      </c>
      <c r="EH348" s="348">
        <f t="shared" ca="1" si="367"/>
        <v>0</v>
      </c>
      <c r="EI348" s="348">
        <f t="shared" ca="1" si="367"/>
        <v>0</v>
      </c>
      <c r="EJ348" s="348">
        <f t="shared" ca="1" si="367"/>
        <v>0</v>
      </c>
      <c r="EK348" s="348">
        <f t="shared" ca="1" si="367"/>
        <v>0</v>
      </c>
      <c r="EL348" s="348">
        <f t="shared" ca="1" si="367"/>
        <v>0</v>
      </c>
      <c r="EM348" s="348">
        <f t="shared" ca="1" si="367"/>
        <v>0</v>
      </c>
      <c r="EN348" s="348">
        <f t="shared" ca="1" si="367"/>
        <v>0</v>
      </c>
      <c r="EO348" s="348">
        <f t="shared" ca="1" si="367"/>
        <v>0</v>
      </c>
      <c r="EP348" s="348">
        <f t="shared" ca="1" si="367"/>
        <v>0</v>
      </c>
      <c r="EQ348" s="348">
        <f t="shared" ca="1" si="367"/>
        <v>0</v>
      </c>
      <c r="ER348" s="348">
        <f t="shared" ca="1" si="367"/>
        <v>0</v>
      </c>
      <c r="ES348" s="348">
        <f t="shared" ca="1" si="367"/>
        <v>0</v>
      </c>
      <c r="ET348" s="348">
        <f t="shared" ca="1" si="367"/>
        <v>0</v>
      </c>
      <c r="EU348" s="348">
        <f t="shared" ca="1" si="367"/>
        <v>0</v>
      </c>
      <c r="EV348" s="348">
        <f t="shared" ca="1" si="367"/>
        <v>0</v>
      </c>
      <c r="EW348" s="348">
        <f t="shared" ca="1" si="367"/>
        <v>0</v>
      </c>
      <c r="EX348" s="348">
        <f t="shared" ca="1" si="367"/>
        <v>0</v>
      </c>
      <c r="EY348" s="348">
        <f t="shared" ca="1" si="367"/>
        <v>0</v>
      </c>
      <c r="EZ348" s="348">
        <f t="shared" ca="1" si="367"/>
        <v>0</v>
      </c>
      <c r="FA348" s="348">
        <f t="shared" ca="1" si="367"/>
        <v>0</v>
      </c>
      <c r="FB348" s="348">
        <f t="shared" ca="1" si="367"/>
        <v>0</v>
      </c>
      <c r="FC348" s="348">
        <f t="shared" ca="1" si="367"/>
        <v>0</v>
      </c>
      <c r="FD348" s="348">
        <f t="shared" ca="1" si="367"/>
        <v>0</v>
      </c>
      <c r="FE348" s="348">
        <f t="shared" ca="1" si="367"/>
        <v>0</v>
      </c>
      <c r="FF348" s="348">
        <f t="shared" ca="1" si="367"/>
        <v>0</v>
      </c>
      <c r="FG348" s="348">
        <f t="shared" ca="1" si="367"/>
        <v>0</v>
      </c>
      <c r="FH348" s="348">
        <f t="shared" ca="1" si="367"/>
        <v>0</v>
      </c>
      <c r="FI348" s="348">
        <f t="shared" ca="1" si="367"/>
        <v>0</v>
      </c>
      <c r="FJ348" s="348">
        <f t="shared" ca="1" si="367"/>
        <v>0</v>
      </c>
      <c r="FK348" s="348">
        <f t="shared" ca="1" si="367"/>
        <v>0</v>
      </c>
      <c r="FL348" s="348">
        <f t="shared" ca="1" si="367"/>
        <v>0</v>
      </c>
      <c r="FM348" s="348">
        <f t="shared" ca="1" si="367"/>
        <v>0</v>
      </c>
      <c r="FN348" s="348">
        <f t="shared" ca="1" si="367"/>
        <v>0</v>
      </c>
      <c r="FO348" s="348">
        <f t="shared" ca="1" si="367"/>
        <v>0</v>
      </c>
      <c r="FP348" s="348">
        <f t="shared" ca="1" si="367"/>
        <v>0</v>
      </c>
      <c r="FQ348" s="348">
        <f t="shared" ca="1" si="367"/>
        <v>0</v>
      </c>
      <c r="FR348" s="348">
        <f t="shared" ca="1" si="367"/>
        <v>0</v>
      </c>
      <c r="FS348" s="348">
        <f t="shared" ca="1" si="367"/>
        <v>0</v>
      </c>
      <c r="FT348" s="348">
        <f t="shared" ca="1" si="367"/>
        <v>0</v>
      </c>
      <c r="FU348" s="348">
        <f t="shared" ca="1" si="367"/>
        <v>0</v>
      </c>
      <c r="FV348" s="348">
        <f t="shared" ca="1" si="367"/>
        <v>0</v>
      </c>
      <c r="FW348" s="348">
        <f t="shared" ca="1" si="367"/>
        <v>0</v>
      </c>
      <c r="FX348" s="348">
        <f t="shared" ca="1" si="367"/>
        <v>0</v>
      </c>
      <c r="FY348" s="348">
        <f t="shared" ca="1" si="367"/>
        <v>0</v>
      </c>
      <c r="FZ348" s="348">
        <f t="shared" ca="1" si="367"/>
        <v>0</v>
      </c>
      <c r="GA348" s="348">
        <f t="shared" ca="1" si="367"/>
        <v>0</v>
      </c>
      <c r="GB348" s="348">
        <f t="shared" ca="1" si="367"/>
        <v>0</v>
      </c>
      <c r="GC348" s="348">
        <f t="shared" ca="1" si="367"/>
        <v>0</v>
      </c>
      <c r="GD348" s="348">
        <f t="shared" ca="1" si="367"/>
        <v>0</v>
      </c>
      <c r="GE348" s="348">
        <f t="shared" ca="1" si="367"/>
        <v>0</v>
      </c>
      <c r="GF348" s="348">
        <f t="shared" ca="1" si="367"/>
        <v>0</v>
      </c>
      <c r="GG348" s="348">
        <f t="shared" ca="1" si="367"/>
        <v>0</v>
      </c>
      <c r="GH348" s="348">
        <f t="shared" ca="1" si="367"/>
        <v>0</v>
      </c>
      <c r="GI348" s="348">
        <f t="shared" ca="1" si="367"/>
        <v>0</v>
      </c>
      <c r="GJ348" s="348">
        <f t="shared" ca="1" si="367"/>
        <v>0</v>
      </c>
      <c r="GK348" s="348">
        <f t="shared" ca="1" si="367"/>
        <v>0</v>
      </c>
      <c r="GL348" s="348">
        <f t="shared" ca="1" si="367"/>
        <v>0</v>
      </c>
      <c r="GM348" s="348">
        <f t="shared" ca="1" si="367"/>
        <v>0</v>
      </c>
      <c r="GN348" s="348">
        <f t="shared" ca="1" si="367"/>
        <v>0</v>
      </c>
      <c r="GO348" s="348">
        <f t="shared" ca="1" si="367"/>
        <v>0</v>
      </c>
      <c r="GP348" s="348">
        <f t="shared" ca="1" si="367"/>
        <v>0</v>
      </c>
      <c r="GQ348" s="348">
        <f t="shared" ca="1" si="367"/>
        <v>0</v>
      </c>
      <c r="GR348" s="348">
        <f t="shared" ca="1" si="367"/>
        <v>0</v>
      </c>
      <c r="GS348" s="348">
        <f t="shared" ref="GS348:IK348" ca="1" si="368">IF($D$127=2,IF(AND(GS6&gt;ROUNDUP($E$30-$J$2+1,0),GS6&lt;ROUNDUP($E$113-$J$2+1,0)),1000,0),0)</f>
        <v>0</v>
      </c>
      <c r="GT348" s="348">
        <f t="shared" ca="1" si="368"/>
        <v>0</v>
      </c>
      <c r="GU348" s="348">
        <f t="shared" ca="1" si="368"/>
        <v>0</v>
      </c>
      <c r="GV348" s="348">
        <f t="shared" ca="1" si="368"/>
        <v>0</v>
      </c>
      <c r="GW348" s="348">
        <f t="shared" ca="1" si="368"/>
        <v>0</v>
      </c>
      <c r="GX348" s="348">
        <f t="shared" ca="1" si="368"/>
        <v>0</v>
      </c>
      <c r="GY348" s="348">
        <f t="shared" ca="1" si="368"/>
        <v>0</v>
      </c>
      <c r="GZ348" s="348">
        <f t="shared" ca="1" si="368"/>
        <v>0</v>
      </c>
      <c r="HA348" s="348">
        <f t="shared" ca="1" si="368"/>
        <v>0</v>
      </c>
      <c r="HB348" s="348">
        <f t="shared" ca="1" si="368"/>
        <v>0</v>
      </c>
      <c r="HC348" s="348">
        <f t="shared" ca="1" si="368"/>
        <v>0</v>
      </c>
      <c r="HD348" s="348">
        <f t="shared" ca="1" si="368"/>
        <v>0</v>
      </c>
      <c r="HE348" s="348">
        <f t="shared" ca="1" si="368"/>
        <v>0</v>
      </c>
      <c r="HF348" s="348">
        <f t="shared" ca="1" si="368"/>
        <v>0</v>
      </c>
      <c r="HG348" s="348">
        <f t="shared" ca="1" si="368"/>
        <v>0</v>
      </c>
      <c r="HH348" s="348">
        <f t="shared" ca="1" si="368"/>
        <v>0</v>
      </c>
      <c r="HI348" s="348">
        <f t="shared" ca="1" si="368"/>
        <v>0</v>
      </c>
      <c r="HJ348" s="348">
        <f t="shared" ca="1" si="368"/>
        <v>0</v>
      </c>
      <c r="HK348" s="348">
        <f t="shared" ca="1" si="368"/>
        <v>0</v>
      </c>
      <c r="HL348" s="348">
        <f t="shared" ca="1" si="368"/>
        <v>0</v>
      </c>
      <c r="HM348" s="348">
        <f t="shared" ca="1" si="368"/>
        <v>0</v>
      </c>
      <c r="HN348" s="348">
        <f t="shared" ca="1" si="368"/>
        <v>0</v>
      </c>
      <c r="HO348" s="348">
        <f t="shared" ca="1" si="368"/>
        <v>0</v>
      </c>
      <c r="HP348" s="348">
        <f t="shared" ca="1" si="368"/>
        <v>0</v>
      </c>
      <c r="HQ348" s="348">
        <f t="shared" ca="1" si="368"/>
        <v>0</v>
      </c>
      <c r="HR348" s="348">
        <f t="shared" ca="1" si="368"/>
        <v>0</v>
      </c>
      <c r="HS348" s="348">
        <f t="shared" ca="1" si="368"/>
        <v>0</v>
      </c>
      <c r="HT348" s="348">
        <f t="shared" ca="1" si="368"/>
        <v>0</v>
      </c>
      <c r="HU348" s="348">
        <f t="shared" ca="1" si="368"/>
        <v>0</v>
      </c>
      <c r="HV348" s="348">
        <f t="shared" ca="1" si="368"/>
        <v>0</v>
      </c>
      <c r="HW348" s="348">
        <f t="shared" ca="1" si="368"/>
        <v>0</v>
      </c>
      <c r="HX348" s="348">
        <f t="shared" ca="1" si="368"/>
        <v>0</v>
      </c>
      <c r="HY348" s="348">
        <f t="shared" ca="1" si="368"/>
        <v>0</v>
      </c>
      <c r="HZ348" s="348">
        <f t="shared" ca="1" si="368"/>
        <v>0</v>
      </c>
      <c r="IA348" s="348">
        <f t="shared" ca="1" si="368"/>
        <v>0</v>
      </c>
      <c r="IB348" s="348">
        <f t="shared" ca="1" si="368"/>
        <v>0</v>
      </c>
      <c r="IC348" s="348">
        <f t="shared" ca="1" si="368"/>
        <v>0</v>
      </c>
      <c r="ID348" s="348">
        <f t="shared" ca="1" si="368"/>
        <v>0</v>
      </c>
      <c r="IE348" s="348">
        <f t="shared" ca="1" si="368"/>
        <v>0</v>
      </c>
      <c r="IF348" s="348">
        <f t="shared" ca="1" si="368"/>
        <v>0</v>
      </c>
      <c r="IG348" s="348">
        <f t="shared" ca="1" si="368"/>
        <v>0</v>
      </c>
      <c r="IH348" s="348">
        <f t="shared" ca="1" si="368"/>
        <v>0</v>
      </c>
      <c r="II348" s="348">
        <f t="shared" ca="1" si="368"/>
        <v>0</v>
      </c>
      <c r="IJ348" s="348">
        <f t="shared" ca="1" si="368"/>
        <v>0</v>
      </c>
      <c r="IK348" s="348">
        <f t="shared" ca="1" si="368"/>
        <v>0</v>
      </c>
    </row>
    <row r="349" spans="1:245" hidden="1" x14ac:dyDescent="0.35">
      <c r="A349" s="195">
        <f t="shared" si="364"/>
        <v>0</v>
      </c>
      <c r="C349" s="2007" t="s">
        <v>1610</v>
      </c>
      <c r="D349" s="2007"/>
      <c r="E349" s="640">
        <f t="shared" ref="E349:E350" ca="1" si="369">COUNTIF(H349:IK349,1000)</f>
        <v>23</v>
      </c>
      <c r="F349" s="2007" t="s">
        <v>101</v>
      </c>
      <c r="G349" s="2007"/>
      <c r="H349" s="481">
        <f ca="1">IF($D$127=2,IF(AND(H6&gt;ROUNDUP($E$32-$J$2,0),H6&lt;ROUNDUP($E$115-$J$2,0)),1000,0),0)</f>
        <v>0</v>
      </c>
      <c r="I349" s="348">
        <f t="shared" ref="I349:BT349" ca="1" si="370">IF($D$127=2,IF(AND(I6&gt;ROUNDUP($E$32-$J$2,0),I6&lt;ROUNDUP($E$115-$J$2,0)),1000,0),0)</f>
        <v>0</v>
      </c>
      <c r="J349" s="348">
        <f t="shared" ca="1" si="370"/>
        <v>0</v>
      </c>
      <c r="K349" s="348">
        <f t="shared" ca="1" si="370"/>
        <v>0</v>
      </c>
      <c r="L349" s="348">
        <f t="shared" ca="1" si="370"/>
        <v>0</v>
      </c>
      <c r="M349" s="348">
        <f t="shared" ca="1" si="370"/>
        <v>0</v>
      </c>
      <c r="N349" s="348">
        <f t="shared" ca="1" si="370"/>
        <v>0</v>
      </c>
      <c r="O349" s="348">
        <f t="shared" ca="1" si="370"/>
        <v>0</v>
      </c>
      <c r="P349" s="348">
        <f t="shared" ca="1" si="370"/>
        <v>0</v>
      </c>
      <c r="Q349" s="348">
        <f t="shared" ca="1" si="370"/>
        <v>0</v>
      </c>
      <c r="R349" s="348">
        <f t="shared" ca="1" si="370"/>
        <v>0</v>
      </c>
      <c r="S349" s="348">
        <f t="shared" ca="1" si="370"/>
        <v>0</v>
      </c>
      <c r="T349" s="348">
        <f t="shared" ca="1" si="370"/>
        <v>0</v>
      </c>
      <c r="U349" s="348">
        <f t="shared" ca="1" si="370"/>
        <v>0</v>
      </c>
      <c r="V349" s="348">
        <f t="shared" ca="1" si="370"/>
        <v>0</v>
      </c>
      <c r="W349" s="348">
        <f t="shared" ca="1" si="370"/>
        <v>0</v>
      </c>
      <c r="X349" s="348">
        <f t="shared" ca="1" si="370"/>
        <v>0</v>
      </c>
      <c r="Y349" s="348">
        <f t="shared" ca="1" si="370"/>
        <v>0</v>
      </c>
      <c r="Z349" s="348">
        <f t="shared" ca="1" si="370"/>
        <v>0</v>
      </c>
      <c r="AA349" s="348">
        <f t="shared" ca="1" si="370"/>
        <v>0</v>
      </c>
      <c r="AB349" s="348">
        <f t="shared" ca="1" si="370"/>
        <v>0</v>
      </c>
      <c r="AC349" s="348">
        <f t="shared" ca="1" si="370"/>
        <v>0</v>
      </c>
      <c r="AD349" s="348">
        <f t="shared" ca="1" si="370"/>
        <v>0</v>
      </c>
      <c r="AE349" s="348">
        <f t="shared" ca="1" si="370"/>
        <v>0</v>
      </c>
      <c r="AF349" s="348">
        <f t="shared" ca="1" si="370"/>
        <v>0</v>
      </c>
      <c r="AG349" s="348">
        <f t="shared" ca="1" si="370"/>
        <v>0</v>
      </c>
      <c r="AH349" s="348">
        <f t="shared" ca="1" si="370"/>
        <v>0</v>
      </c>
      <c r="AI349" s="348">
        <f t="shared" ca="1" si="370"/>
        <v>0</v>
      </c>
      <c r="AJ349" s="348">
        <f t="shared" ca="1" si="370"/>
        <v>0</v>
      </c>
      <c r="AK349" s="348">
        <f t="shared" ca="1" si="370"/>
        <v>0</v>
      </c>
      <c r="AL349" s="348">
        <f t="shared" ca="1" si="370"/>
        <v>0</v>
      </c>
      <c r="AM349" s="348">
        <f t="shared" ca="1" si="370"/>
        <v>0</v>
      </c>
      <c r="AN349" s="348">
        <f t="shared" ca="1" si="370"/>
        <v>0</v>
      </c>
      <c r="AO349" s="348">
        <f t="shared" ca="1" si="370"/>
        <v>0</v>
      </c>
      <c r="AP349" s="348">
        <f t="shared" ca="1" si="370"/>
        <v>0</v>
      </c>
      <c r="AQ349" s="348">
        <f t="shared" ca="1" si="370"/>
        <v>0</v>
      </c>
      <c r="AR349" s="348">
        <f t="shared" ca="1" si="370"/>
        <v>0</v>
      </c>
      <c r="AS349" s="348">
        <f t="shared" ca="1" si="370"/>
        <v>0</v>
      </c>
      <c r="AT349" s="348">
        <f t="shared" ca="1" si="370"/>
        <v>0</v>
      </c>
      <c r="AU349" s="348">
        <f t="shared" ca="1" si="370"/>
        <v>0</v>
      </c>
      <c r="AV349" s="348">
        <f t="shared" ca="1" si="370"/>
        <v>0</v>
      </c>
      <c r="AW349" s="348">
        <f t="shared" ca="1" si="370"/>
        <v>0</v>
      </c>
      <c r="AX349" s="348">
        <f t="shared" ca="1" si="370"/>
        <v>0</v>
      </c>
      <c r="AY349" s="348">
        <f t="shared" ca="1" si="370"/>
        <v>0</v>
      </c>
      <c r="AZ349" s="348">
        <f t="shared" ca="1" si="370"/>
        <v>0</v>
      </c>
      <c r="BA349" s="348">
        <f t="shared" ca="1" si="370"/>
        <v>0</v>
      </c>
      <c r="BB349" s="348">
        <f t="shared" ca="1" si="370"/>
        <v>0</v>
      </c>
      <c r="BC349" s="348">
        <f t="shared" ca="1" si="370"/>
        <v>0</v>
      </c>
      <c r="BD349" s="348">
        <f t="shared" ca="1" si="370"/>
        <v>0</v>
      </c>
      <c r="BE349" s="348">
        <f t="shared" ca="1" si="370"/>
        <v>0</v>
      </c>
      <c r="BF349" s="348">
        <f t="shared" ca="1" si="370"/>
        <v>0</v>
      </c>
      <c r="BG349" s="348">
        <f t="shared" ca="1" si="370"/>
        <v>0</v>
      </c>
      <c r="BH349" s="348">
        <f t="shared" ca="1" si="370"/>
        <v>0</v>
      </c>
      <c r="BI349" s="348">
        <f t="shared" ca="1" si="370"/>
        <v>0</v>
      </c>
      <c r="BJ349" s="348">
        <f t="shared" ca="1" si="370"/>
        <v>0</v>
      </c>
      <c r="BK349" s="348">
        <f t="shared" ca="1" si="370"/>
        <v>0</v>
      </c>
      <c r="BL349" s="348">
        <f t="shared" ca="1" si="370"/>
        <v>0</v>
      </c>
      <c r="BM349" s="348">
        <f t="shared" ca="1" si="370"/>
        <v>0</v>
      </c>
      <c r="BN349" s="348">
        <f t="shared" ca="1" si="370"/>
        <v>0</v>
      </c>
      <c r="BO349" s="348">
        <f t="shared" ca="1" si="370"/>
        <v>0</v>
      </c>
      <c r="BP349" s="348">
        <f t="shared" ca="1" si="370"/>
        <v>1000</v>
      </c>
      <c r="BQ349" s="348">
        <f t="shared" ca="1" si="370"/>
        <v>1000</v>
      </c>
      <c r="BR349" s="348">
        <f t="shared" ca="1" si="370"/>
        <v>1000</v>
      </c>
      <c r="BS349" s="348">
        <f t="shared" ca="1" si="370"/>
        <v>1000</v>
      </c>
      <c r="BT349" s="348">
        <f t="shared" ca="1" si="370"/>
        <v>1000</v>
      </c>
      <c r="BU349" s="348">
        <f t="shared" ref="BU349:EF349" ca="1" si="371">IF($D$127=2,IF(AND(BU6&gt;ROUNDUP($E$32-$J$2,0),BU6&lt;ROUNDUP($E$115-$J$2,0)),1000,0),0)</f>
        <v>1000</v>
      </c>
      <c r="BV349" s="348">
        <f t="shared" ca="1" si="371"/>
        <v>1000</v>
      </c>
      <c r="BW349" s="348">
        <f t="shared" ca="1" si="371"/>
        <v>1000</v>
      </c>
      <c r="BX349" s="348">
        <f t="shared" ca="1" si="371"/>
        <v>1000</v>
      </c>
      <c r="BY349" s="348">
        <f t="shared" ca="1" si="371"/>
        <v>1000</v>
      </c>
      <c r="BZ349" s="348">
        <f t="shared" ca="1" si="371"/>
        <v>1000</v>
      </c>
      <c r="CA349" s="348">
        <f t="shared" ca="1" si="371"/>
        <v>1000</v>
      </c>
      <c r="CB349" s="348">
        <f t="shared" ca="1" si="371"/>
        <v>1000</v>
      </c>
      <c r="CC349" s="348">
        <f t="shared" ca="1" si="371"/>
        <v>1000</v>
      </c>
      <c r="CD349" s="348">
        <f t="shared" ca="1" si="371"/>
        <v>1000</v>
      </c>
      <c r="CE349" s="348">
        <f t="shared" ca="1" si="371"/>
        <v>1000</v>
      </c>
      <c r="CF349" s="348">
        <f t="shared" ca="1" si="371"/>
        <v>1000</v>
      </c>
      <c r="CG349" s="348">
        <f t="shared" ca="1" si="371"/>
        <v>1000</v>
      </c>
      <c r="CH349" s="348">
        <f t="shared" ca="1" si="371"/>
        <v>1000</v>
      </c>
      <c r="CI349" s="348">
        <f t="shared" ca="1" si="371"/>
        <v>1000</v>
      </c>
      <c r="CJ349" s="348">
        <f t="shared" ca="1" si="371"/>
        <v>1000</v>
      </c>
      <c r="CK349" s="348">
        <f t="shared" ca="1" si="371"/>
        <v>1000</v>
      </c>
      <c r="CL349" s="348">
        <f t="shared" ca="1" si="371"/>
        <v>1000</v>
      </c>
      <c r="CM349" s="348">
        <f t="shared" ca="1" si="371"/>
        <v>0</v>
      </c>
      <c r="CN349" s="348">
        <f t="shared" ca="1" si="371"/>
        <v>0</v>
      </c>
      <c r="CO349" s="348">
        <f t="shared" ca="1" si="371"/>
        <v>0</v>
      </c>
      <c r="CP349" s="348">
        <f t="shared" ca="1" si="371"/>
        <v>0</v>
      </c>
      <c r="CQ349" s="348">
        <f t="shared" ca="1" si="371"/>
        <v>0</v>
      </c>
      <c r="CR349" s="348">
        <f t="shared" ca="1" si="371"/>
        <v>0</v>
      </c>
      <c r="CS349" s="348">
        <f t="shared" ca="1" si="371"/>
        <v>0</v>
      </c>
      <c r="CT349" s="348">
        <f t="shared" ca="1" si="371"/>
        <v>0</v>
      </c>
      <c r="CU349" s="348">
        <f t="shared" ca="1" si="371"/>
        <v>0</v>
      </c>
      <c r="CV349" s="348">
        <f t="shared" ca="1" si="371"/>
        <v>0</v>
      </c>
      <c r="CW349" s="348">
        <f t="shared" ca="1" si="371"/>
        <v>0</v>
      </c>
      <c r="CX349" s="348">
        <f t="shared" ca="1" si="371"/>
        <v>0</v>
      </c>
      <c r="CY349" s="348">
        <f t="shared" ca="1" si="371"/>
        <v>0</v>
      </c>
      <c r="CZ349" s="348">
        <f t="shared" ca="1" si="371"/>
        <v>0</v>
      </c>
      <c r="DA349" s="348">
        <f t="shared" ca="1" si="371"/>
        <v>0</v>
      </c>
      <c r="DB349" s="348">
        <f t="shared" ca="1" si="371"/>
        <v>0</v>
      </c>
      <c r="DC349" s="348">
        <f t="shared" ca="1" si="371"/>
        <v>0</v>
      </c>
      <c r="DD349" s="348">
        <f t="shared" ca="1" si="371"/>
        <v>0</v>
      </c>
      <c r="DE349" s="348">
        <f t="shared" ca="1" si="371"/>
        <v>0</v>
      </c>
      <c r="DF349" s="348">
        <f t="shared" ca="1" si="371"/>
        <v>0</v>
      </c>
      <c r="DG349" s="348">
        <f t="shared" ca="1" si="371"/>
        <v>0</v>
      </c>
      <c r="DH349" s="348">
        <f t="shared" ca="1" si="371"/>
        <v>0</v>
      </c>
      <c r="DI349" s="348">
        <f t="shared" ca="1" si="371"/>
        <v>0</v>
      </c>
      <c r="DJ349" s="348">
        <f t="shared" ca="1" si="371"/>
        <v>0</v>
      </c>
      <c r="DK349" s="348">
        <f t="shared" ca="1" si="371"/>
        <v>0</v>
      </c>
      <c r="DL349" s="348">
        <f t="shared" ca="1" si="371"/>
        <v>0</v>
      </c>
      <c r="DM349" s="348">
        <f t="shared" ca="1" si="371"/>
        <v>0</v>
      </c>
      <c r="DN349" s="348">
        <f t="shared" ca="1" si="371"/>
        <v>0</v>
      </c>
      <c r="DO349" s="348">
        <f t="shared" ca="1" si="371"/>
        <v>0</v>
      </c>
      <c r="DP349" s="348">
        <f t="shared" ca="1" si="371"/>
        <v>0</v>
      </c>
      <c r="DQ349" s="348">
        <f t="shared" ca="1" si="371"/>
        <v>0</v>
      </c>
      <c r="DR349" s="348">
        <f t="shared" ca="1" si="371"/>
        <v>0</v>
      </c>
      <c r="DS349" s="348">
        <f t="shared" ca="1" si="371"/>
        <v>0</v>
      </c>
      <c r="DT349" s="348">
        <f t="shared" ca="1" si="371"/>
        <v>0</v>
      </c>
      <c r="DU349" s="348">
        <f t="shared" ca="1" si="371"/>
        <v>0</v>
      </c>
      <c r="DV349" s="348">
        <f t="shared" ca="1" si="371"/>
        <v>0</v>
      </c>
      <c r="DW349" s="348">
        <f t="shared" ca="1" si="371"/>
        <v>0</v>
      </c>
      <c r="DX349" s="348">
        <f t="shared" ca="1" si="371"/>
        <v>0</v>
      </c>
      <c r="DY349" s="348">
        <f t="shared" ca="1" si="371"/>
        <v>0</v>
      </c>
      <c r="DZ349" s="348">
        <f t="shared" ca="1" si="371"/>
        <v>0</v>
      </c>
      <c r="EA349" s="348">
        <f t="shared" ca="1" si="371"/>
        <v>0</v>
      </c>
      <c r="EB349" s="348">
        <f t="shared" ca="1" si="371"/>
        <v>0</v>
      </c>
      <c r="EC349" s="348">
        <f t="shared" ca="1" si="371"/>
        <v>0</v>
      </c>
      <c r="ED349" s="348">
        <f t="shared" ca="1" si="371"/>
        <v>0</v>
      </c>
      <c r="EE349" s="348">
        <f t="shared" ca="1" si="371"/>
        <v>0</v>
      </c>
      <c r="EF349" s="348">
        <f t="shared" ca="1" si="371"/>
        <v>0</v>
      </c>
      <c r="EG349" s="348">
        <f t="shared" ref="EG349:GR349" ca="1" si="372">IF($D$127=2,IF(AND(EG6&gt;ROUNDUP($E$32-$J$2,0),EG6&lt;ROUNDUP($E$115-$J$2,0)),1000,0),0)</f>
        <v>0</v>
      </c>
      <c r="EH349" s="348">
        <f t="shared" ca="1" si="372"/>
        <v>0</v>
      </c>
      <c r="EI349" s="348">
        <f t="shared" ca="1" si="372"/>
        <v>0</v>
      </c>
      <c r="EJ349" s="348">
        <f t="shared" ca="1" si="372"/>
        <v>0</v>
      </c>
      <c r="EK349" s="348">
        <f t="shared" ca="1" si="372"/>
        <v>0</v>
      </c>
      <c r="EL349" s="348">
        <f t="shared" ca="1" si="372"/>
        <v>0</v>
      </c>
      <c r="EM349" s="348">
        <f t="shared" ca="1" si="372"/>
        <v>0</v>
      </c>
      <c r="EN349" s="348">
        <f t="shared" ca="1" si="372"/>
        <v>0</v>
      </c>
      <c r="EO349" s="348">
        <f t="shared" ca="1" si="372"/>
        <v>0</v>
      </c>
      <c r="EP349" s="348">
        <f t="shared" ca="1" si="372"/>
        <v>0</v>
      </c>
      <c r="EQ349" s="348">
        <f t="shared" ca="1" si="372"/>
        <v>0</v>
      </c>
      <c r="ER349" s="348">
        <f t="shared" ca="1" si="372"/>
        <v>0</v>
      </c>
      <c r="ES349" s="348">
        <f t="shared" ca="1" si="372"/>
        <v>0</v>
      </c>
      <c r="ET349" s="348">
        <f t="shared" ca="1" si="372"/>
        <v>0</v>
      </c>
      <c r="EU349" s="348">
        <f t="shared" ca="1" si="372"/>
        <v>0</v>
      </c>
      <c r="EV349" s="348">
        <f t="shared" ca="1" si="372"/>
        <v>0</v>
      </c>
      <c r="EW349" s="348">
        <f t="shared" ca="1" si="372"/>
        <v>0</v>
      </c>
      <c r="EX349" s="348">
        <f t="shared" ca="1" si="372"/>
        <v>0</v>
      </c>
      <c r="EY349" s="348">
        <f t="shared" ca="1" si="372"/>
        <v>0</v>
      </c>
      <c r="EZ349" s="348">
        <f t="shared" ca="1" si="372"/>
        <v>0</v>
      </c>
      <c r="FA349" s="348">
        <f t="shared" ca="1" si="372"/>
        <v>0</v>
      </c>
      <c r="FB349" s="348">
        <f t="shared" ca="1" si="372"/>
        <v>0</v>
      </c>
      <c r="FC349" s="348">
        <f t="shared" ca="1" si="372"/>
        <v>0</v>
      </c>
      <c r="FD349" s="348">
        <f t="shared" ca="1" si="372"/>
        <v>0</v>
      </c>
      <c r="FE349" s="348">
        <f t="shared" ca="1" si="372"/>
        <v>0</v>
      </c>
      <c r="FF349" s="348">
        <f t="shared" ca="1" si="372"/>
        <v>0</v>
      </c>
      <c r="FG349" s="348">
        <f t="shared" ca="1" si="372"/>
        <v>0</v>
      </c>
      <c r="FH349" s="348">
        <f t="shared" ca="1" si="372"/>
        <v>0</v>
      </c>
      <c r="FI349" s="348">
        <f t="shared" ca="1" si="372"/>
        <v>0</v>
      </c>
      <c r="FJ349" s="348">
        <f t="shared" ca="1" si="372"/>
        <v>0</v>
      </c>
      <c r="FK349" s="348">
        <f t="shared" ca="1" si="372"/>
        <v>0</v>
      </c>
      <c r="FL349" s="348">
        <f t="shared" ca="1" si="372"/>
        <v>0</v>
      </c>
      <c r="FM349" s="348">
        <f t="shared" ca="1" si="372"/>
        <v>0</v>
      </c>
      <c r="FN349" s="348">
        <f t="shared" ca="1" si="372"/>
        <v>0</v>
      </c>
      <c r="FO349" s="348">
        <f t="shared" ca="1" si="372"/>
        <v>0</v>
      </c>
      <c r="FP349" s="348">
        <f t="shared" ca="1" si="372"/>
        <v>0</v>
      </c>
      <c r="FQ349" s="348">
        <f t="shared" ca="1" si="372"/>
        <v>0</v>
      </c>
      <c r="FR349" s="348">
        <f t="shared" ca="1" si="372"/>
        <v>0</v>
      </c>
      <c r="FS349" s="348">
        <f t="shared" ca="1" si="372"/>
        <v>0</v>
      </c>
      <c r="FT349" s="348">
        <f t="shared" ca="1" si="372"/>
        <v>0</v>
      </c>
      <c r="FU349" s="348">
        <f t="shared" ca="1" si="372"/>
        <v>0</v>
      </c>
      <c r="FV349" s="348">
        <f t="shared" ca="1" si="372"/>
        <v>0</v>
      </c>
      <c r="FW349" s="348">
        <f t="shared" ca="1" si="372"/>
        <v>0</v>
      </c>
      <c r="FX349" s="348">
        <f t="shared" ca="1" si="372"/>
        <v>0</v>
      </c>
      <c r="FY349" s="348">
        <f t="shared" ca="1" si="372"/>
        <v>0</v>
      </c>
      <c r="FZ349" s="348">
        <f t="shared" ca="1" si="372"/>
        <v>0</v>
      </c>
      <c r="GA349" s="348">
        <f t="shared" ca="1" si="372"/>
        <v>0</v>
      </c>
      <c r="GB349" s="348">
        <f t="shared" ca="1" si="372"/>
        <v>0</v>
      </c>
      <c r="GC349" s="348">
        <f t="shared" ca="1" si="372"/>
        <v>0</v>
      </c>
      <c r="GD349" s="348">
        <f t="shared" ca="1" si="372"/>
        <v>0</v>
      </c>
      <c r="GE349" s="348">
        <f t="shared" ca="1" si="372"/>
        <v>0</v>
      </c>
      <c r="GF349" s="348">
        <f t="shared" ca="1" si="372"/>
        <v>0</v>
      </c>
      <c r="GG349" s="348">
        <f t="shared" ca="1" si="372"/>
        <v>0</v>
      </c>
      <c r="GH349" s="348">
        <f t="shared" ca="1" si="372"/>
        <v>0</v>
      </c>
      <c r="GI349" s="348">
        <f t="shared" ca="1" si="372"/>
        <v>0</v>
      </c>
      <c r="GJ349" s="348">
        <f t="shared" ca="1" si="372"/>
        <v>0</v>
      </c>
      <c r="GK349" s="348">
        <f t="shared" ca="1" si="372"/>
        <v>0</v>
      </c>
      <c r="GL349" s="348">
        <f t="shared" ca="1" si="372"/>
        <v>0</v>
      </c>
      <c r="GM349" s="348">
        <f t="shared" ca="1" si="372"/>
        <v>0</v>
      </c>
      <c r="GN349" s="348">
        <f t="shared" ca="1" si="372"/>
        <v>0</v>
      </c>
      <c r="GO349" s="348">
        <f t="shared" ca="1" si="372"/>
        <v>0</v>
      </c>
      <c r="GP349" s="348">
        <f t="shared" ca="1" si="372"/>
        <v>0</v>
      </c>
      <c r="GQ349" s="348">
        <f t="shared" ca="1" si="372"/>
        <v>0</v>
      </c>
      <c r="GR349" s="348">
        <f t="shared" ca="1" si="372"/>
        <v>0</v>
      </c>
      <c r="GS349" s="348">
        <f t="shared" ref="GS349:IK349" ca="1" si="373">IF($D$127=2,IF(AND(GS6&gt;ROUNDUP($E$32-$J$2,0),GS6&lt;ROUNDUP($E$115-$J$2,0)),1000,0),0)</f>
        <v>0</v>
      </c>
      <c r="GT349" s="348">
        <f t="shared" ca="1" si="373"/>
        <v>0</v>
      </c>
      <c r="GU349" s="348">
        <f t="shared" ca="1" si="373"/>
        <v>0</v>
      </c>
      <c r="GV349" s="348">
        <f t="shared" ca="1" si="373"/>
        <v>0</v>
      </c>
      <c r="GW349" s="348">
        <f t="shared" ca="1" si="373"/>
        <v>0</v>
      </c>
      <c r="GX349" s="348">
        <f t="shared" ca="1" si="373"/>
        <v>0</v>
      </c>
      <c r="GY349" s="348">
        <f t="shared" ca="1" si="373"/>
        <v>0</v>
      </c>
      <c r="GZ349" s="348">
        <f t="shared" ca="1" si="373"/>
        <v>0</v>
      </c>
      <c r="HA349" s="348">
        <f t="shared" ca="1" si="373"/>
        <v>0</v>
      </c>
      <c r="HB349" s="348">
        <f t="shared" ca="1" si="373"/>
        <v>0</v>
      </c>
      <c r="HC349" s="348">
        <f t="shared" ca="1" si="373"/>
        <v>0</v>
      </c>
      <c r="HD349" s="348">
        <f t="shared" ca="1" si="373"/>
        <v>0</v>
      </c>
      <c r="HE349" s="348">
        <f t="shared" ca="1" si="373"/>
        <v>0</v>
      </c>
      <c r="HF349" s="348">
        <f t="shared" ca="1" si="373"/>
        <v>0</v>
      </c>
      <c r="HG349" s="348">
        <f t="shared" ca="1" si="373"/>
        <v>0</v>
      </c>
      <c r="HH349" s="348">
        <f t="shared" ca="1" si="373"/>
        <v>0</v>
      </c>
      <c r="HI349" s="348">
        <f t="shared" ca="1" si="373"/>
        <v>0</v>
      </c>
      <c r="HJ349" s="348">
        <f t="shared" ca="1" si="373"/>
        <v>0</v>
      </c>
      <c r="HK349" s="348">
        <f t="shared" ca="1" si="373"/>
        <v>0</v>
      </c>
      <c r="HL349" s="348">
        <f t="shared" ca="1" si="373"/>
        <v>0</v>
      </c>
      <c r="HM349" s="348">
        <f t="shared" ca="1" si="373"/>
        <v>0</v>
      </c>
      <c r="HN349" s="348">
        <f t="shared" ca="1" si="373"/>
        <v>0</v>
      </c>
      <c r="HO349" s="348">
        <f t="shared" ca="1" si="373"/>
        <v>0</v>
      </c>
      <c r="HP349" s="348">
        <f t="shared" ca="1" si="373"/>
        <v>0</v>
      </c>
      <c r="HQ349" s="348">
        <f t="shared" ca="1" si="373"/>
        <v>0</v>
      </c>
      <c r="HR349" s="348">
        <f t="shared" ca="1" si="373"/>
        <v>0</v>
      </c>
      <c r="HS349" s="348">
        <f t="shared" ca="1" si="373"/>
        <v>0</v>
      </c>
      <c r="HT349" s="348">
        <f t="shared" ca="1" si="373"/>
        <v>0</v>
      </c>
      <c r="HU349" s="348">
        <f t="shared" ca="1" si="373"/>
        <v>0</v>
      </c>
      <c r="HV349" s="348">
        <f t="shared" ca="1" si="373"/>
        <v>0</v>
      </c>
      <c r="HW349" s="348">
        <f t="shared" ca="1" si="373"/>
        <v>0</v>
      </c>
      <c r="HX349" s="348">
        <f t="shared" ca="1" si="373"/>
        <v>0</v>
      </c>
      <c r="HY349" s="348">
        <f t="shared" ca="1" si="373"/>
        <v>0</v>
      </c>
      <c r="HZ349" s="348">
        <f t="shared" ca="1" si="373"/>
        <v>0</v>
      </c>
      <c r="IA349" s="348">
        <f t="shared" ca="1" si="373"/>
        <v>0</v>
      </c>
      <c r="IB349" s="348">
        <f t="shared" ca="1" si="373"/>
        <v>0</v>
      </c>
      <c r="IC349" s="348">
        <f t="shared" ca="1" si="373"/>
        <v>0</v>
      </c>
      <c r="ID349" s="348">
        <f t="shared" ca="1" si="373"/>
        <v>0</v>
      </c>
      <c r="IE349" s="348">
        <f t="shared" ca="1" si="373"/>
        <v>0</v>
      </c>
      <c r="IF349" s="348">
        <f t="shared" ca="1" si="373"/>
        <v>0</v>
      </c>
      <c r="IG349" s="348">
        <f t="shared" ca="1" si="373"/>
        <v>0</v>
      </c>
      <c r="IH349" s="348">
        <f t="shared" ca="1" si="373"/>
        <v>0</v>
      </c>
      <c r="II349" s="348">
        <f t="shared" ca="1" si="373"/>
        <v>0</v>
      </c>
      <c r="IJ349" s="348">
        <f t="shared" ca="1" si="373"/>
        <v>0</v>
      </c>
      <c r="IK349" s="348">
        <f t="shared" ca="1" si="373"/>
        <v>0</v>
      </c>
    </row>
    <row r="350" spans="1:245" hidden="1" x14ac:dyDescent="0.35">
      <c r="A350" s="195">
        <f t="shared" si="364"/>
        <v>0</v>
      </c>
      <c r="C350" s="2007" t="s">
        <v>1611</v>
      </c>
      <c r="D350" s="2007"/>
      <c r="E350" s="640">
        <f t="shared" ca="1" si="369"/>
        <v>0</v>
      </c>
      <c r="F350" s="2007" t="s">
        <v>101</v>
      </c>
      <c r="G350" s="2007"/>
      <c r="H350" s="481">
        <f ca="1">IF($D$127=2,IF(AND(H6&gt;ROUNDUP($E$32-$J$2,0),H6&lt;ROUNDUP($E$113-$J$2+1,0)),1000,0),0)</f>
        <v>0</v>
      </c>
      <c r="I350" s="348">
        <f t="shared" ref="I350:BT350" ca="1" si="374">IF($D$127=2,IF(AND(I6&gt;ROUNDUP($E$32-$J$2,0),I6&lt;ROUNDUP($E$113-$J$2+1,0)),1000,0),0)</f>
        <v>0</v>
      </c>
      <c r="J350" s="348">
        <f t="shared" ca="1" si="374"/>
        <v>0</v>
      </c>
      <c r="K350" s="348">
        <f t="shared" ca="1" si="374"/>
        <v>0</v>
      </c>
      <c r="L350" s="348">
        <f t="shared" ca="1" si="374"/>
        <v>0</v>
      </c>
      <c r="M350" s="348">
        <f t="shared" ca="1" si="374"/>
        <v>0</v>
      </c>
      <c r="N350" s="348">
        <f t="shared" ca="1" si="374"/>
        <v>0</v>
      </c>
      <c r="O350" s="348">
        <f t="shared" ca="1" si="374"/>
        <v>0</v>
      </c>
      <c r="P350" s="348">
        <f t="shared" ca="1" si="374"/>
        <v>0</v>
      </c>
      <c r="Q350" s="348">
        <f t="shared" ca="1" si="374"/>
        <v>0</v>
      </c>
      <c r="R350" s="348">
        <f t="shared" ca="1" si="374"/>
        <v>0</v>
      </c>
      <c r="S350" s="348">
        <f t="shared" ca="1" si="374"/>
        <v>0</v>
      </c>
      <c r="T350" s="348">
        <f t="shared" ca="1" si="374"/>
        <v>0</v>
      </c>
      <c r="U350" s="348">
        <f t="shared" ca="1" si="374"/>
        <v>0</v>
      </c>
      <c r="V350" s="348">
        <f t="shared" ca="1" si="374"/>
        <v>0</v>
      </c>
      <c r="W350" s="348">
        <f t="shared" ca="1" si="374"/>
        <v>0</v>
      </c>
      <c r="X350" s="348">
        <f t="shared" ca="1" si="374"/>
        <v>0</v>
      </c>
      <c r="Y350" s="348">
        <f t="shared" ca="1" si="374"/>
        <v>0</v>
      </c>
      <c r="Z350" s="348">
        <f t="shared" ca="1" si="374"/>
        <v>0</v>
      </c>
      <c r="AA350" s="348">
        <f t="shared" ca="1" si="374"/>
        <v>0</v>
      </c>
      <c r="AB350" s="348">
        <f t="shared" ca="1" si="374"/>
        <v>0</v>
      </c>
      <c r="AC350" s="348">
        <f t="shared" ca="1" si="374"/>
        <v>0</v>
      </c>
      <c r="AD350" s="348">
        <f t="shared" ca="1" si="374"/>
        <v>0</v>
      </c>
      <c r="AE350" s="348">
        <f t="shared" ca="1" si="374"/>
        <v>0</v>
      </c>
      <c r="AF350" s="348">
        <f t="shared" ca="1" si="374"/>
        <v>0</v>
      </c>
      <c r="AG350" s="348">
        <f t="shared" ca="1" si="374"/>
        <v>0</v>
      </c>
      <c r="AH350" s="348">
        <f t="shared" ca="1" si="374"/>
        <v>0</v>
      </c>
      <c r="AI350" s="348">
        <f t="shared" ca="1" si="374"/>
        <v>0</v>
      </c>
      <c r="AJ350" s="348">
        <f t="shared" ca="1" si="374"/>
        <v>0</v>
      </c>
      <c r="AK350" s="348">
        <f t="shared" ca="1" si="374"/>
        <v>0</v>
      </c>
      <c r="AL350" s="348">
        <f t="shared" ca="1" si="374"/>
        <v>0</v>
      </c>
      <c r="AM350" s="348">
        <f t="shared" ca="1" si="374"/>
        <v>0</v>
      </c>
      <c r="AN350" s="348">
        <f t="shared" ca="1" si="374"/>
        <v>0</v>
      </c>
      <c r="AO350" s="348">
        <f t="shared" ca="1" si="374"/>
        <v>0</v>
      </c>
      <c r="AP350" s="348">
        <f t="shared" ca="1" si="374"/>
        <v>0</v>
      </c>
      <c r="AQ350" s="348">
        <f t="shared" ca="1" si="374"/>
        <v>0</v>
      </c>
      <c r="AR350" s="348">
        <f t="shared" ca="1" si="374"/>
        <v>0</v>
      </c>
      <c r="AS350" s="348">
        <f t="shared" ca="1" si="374"/>
        <v>0</v>
      </c>
      <c r="AT350" s="348">
        <f t="shared" ca="1" si="374"/>
        <v>0</v>
      </c>
      <c r="AU350" s="348">
        <f t="shared" ca="1" si="374"/>
        <v>0</v>
      </c>
      <c r="AV350" s="348">
        <f t="shared" ca="1" si="374"/>
        <v>0</v>
      </c>
      <c r="AW350" s="348">
        <f t="shared" ca="1" si="374"/>
        <v>0</v>
      </c>
      <c r="AX350" s="348">
        <f t="shared" ca="1" si="374"/>
        <v>0</v>
      </c>
      <c r="AY350" s="348">
        <f t="shared" ca="1" si="374"/>
        <v>0</v>
      </c>
      <c r="AZ350" s="348">
        <f t="shared" ca="1" si="374"/>
        <v>0</v>
      </c>
      <c r="BA350" s="348">
        <f t="shared" ca="1" si="374"/>
        <v>0</v>
      </c>
      <c r="BB350" s="348">
        <f t="shared" ca="1" si="374"/>
        <v>0</v>
      </c>
      <c r="BC350" s="348">
        <f t="shared" ca="1" si="374"/>
        <v>0</v>
      </c>
      <c r="BD350" s="348">
        <f t="shared" ca="1" si="374"/>
        <v>0</v>
      </c>
      <c r="BE350" s="348">
        <f t="shared" ca="1" si="374"/>
        <v>0</v>
      </c>
      <c r="BF350" s="348">
        <f t="shared" ca="1" si="374"/>
        <v>0</v>
      </c>
      <c r="BG350" s="348">
        <f t="shared" ca="1" si="374"/>
        <v>0</v>
      </c>
      <c r="BH350" s="348">
        <f t="shared" ca="1" si="374"/>
        <v>0</v>
      </c>
      <c r="BI350" s="348">
        <f t="shared" ca="1" si="374"/>
        <v>0</v>
      </c>
      <c r="BJ350" s="348">
        <f t="shared" ca="1" si="374"/>
        <v>0</v>
      </c>
      <c r="BK350" s="348">
        <f t="shared" ca="1" si="374"/>
        <v>0</v>
      </c>
      <c r="BL350" s="348">
        <f t="shared" ca="1" si="374"/>
        <v>0</v>
      </c>
      <c r="BM350" s="348">
        <f t="shared" ca="1" si="374"/>
        <v>0</v>
      </c>
      <c r="BN350" s="348">
        <f t="shared" ca="1" si="374"/>
        <v>0</v>
      </c>
      <c r="BO350" s="348">
        <f t="shared" ca="1" si="374"/>
        <v>0</v>
      </c>
      <c r="BP350" s="348">
        <f t="shared" ca="1" si="374"/>
        <v>0</v>
      </c>
      <c r="BQ350" s="348">
        <f t="shared" ca="1" si="374"/>
        <v>0</v>
      </c>
      <c r="BR350" s="348">
        <f t="shared" ca="1" si="374"/>
        <v>0</v>
      </c>
      <c r="BS350" s="348">
        <f t="shared" ca="1" si="374"/>
        <v>0</v>
      </c>
      <c r="BT350" s="348">
        <f t="shared" ca="1" si="374"/>
        <v>0</v>
      </c>
      <c r="BU350" s="348">
        <f t="shared" ref="BU350:EF350" ca="1" si="375">IF($D$127=2,IF(AND(BU6&gt;ROUNDUP($E$32-$J$2,0),BU6&lt;ROUNDUP($E$113-$J$2+1,0)),1000,0),0)</f>
        <v>0</v>
      </c>
      <c r="BV350" s="348">
        <f t="shared" ca="1" si="375"/>
        <v>0</v>
      </c>
      <c r="BW350" s="348">
        <f t="shared" ca="1" si="375"/>
        <v>0</v>
      </c>
      <c r="BX350" s="348">
        <f t="shared" ca="1" si="375"/>
        <v>0</v>
      </c>
      <c r="BY350" s="348">
        <f t="shared" ca="1" si="375"/>
        <v>0</v>
      </c>
      <c r="BZ350" s="348">
        <f t="shared" ca="1" si="375"/>
        <v>0</v>
      </c>
      <c r="CA350" s="348">
        <f t="shared" ca="1" si="375"/>
        <v>0</v>
      </c>
      <c r="CB350" s="348">
        <f t="shared" ca="1" si="375"/>
        <v>0</v>
      </c>
      <c r="CC350" s="348">
        <f t="shared" ca="1" si="375"/>
        <v>0</v>
      </c>
      <c r="CD350" s="348">
        <f t="shared" ca="1" si="375"/>
        <v>0</v>
      </c>
      <c r="CE350" s="348">
        <f t="shared" ca="1" si="375"/>
        <v>0</v>
      </c>
      <c r="CF350" s="348">
        <f t="shared" ca="1" si="375"/>
        <v>0</v>
      </c>
      <c r="CG350" s="348">
        <f t="shared" ca="1" si="375"/>
        <v>0</v>
      </c>
      <c r="CH350" s="348">
        <f t="shared" ca="1" si="375"/>
        <v>0</v>
      </c>
      <c r="CI350" s="348">
        <f t="shared" ca="1" si="375"/>
        <v>0</v>
      </c>
      <c r="CJ350" s="348">
        <f t="shared" ca="1" si="375"/>
        <v>0</v>
      </c>
      <c r="CK350" s="348">
        <f t="shared" ca="1" si="375"/>
        <v>0</v>
      </c>
      <c r="CL350" s="348">
        <f t="shared" ca="1" si="375"/>
        <v>0</v>
      </c>
      <c r="CM350" s="348">
        <f t="shared" ca="1" si="375"/>
        <v>0</v>
      </c>
      <c r="CN350" s="348">
        <f t="shared" ca="1" si="375"/>
        <v>0</v>
      </c>
      <c r="CO350" s="348">
        <f t="shared" ca="1" si="375"/>
        <v>0</v>
      </c>
      <c r="CP350" s="348">
        <f t="shared" ca="1" si="375"/>
        <v>0</v>
      </c>
      <c r="CQ350" s="348">
        <f t="shared" ca="1" si="375"/>
        <v>0</v>
      </c>
      <c r="CR350" s="348">
        <f t="shared" ca="1" si="375"/>
        <v>0</v>
      </c>
      <c r="CS350" s="348">
        <f t="shared" ca="1" si="375"/>
        <v>0</v>
      </c>
      <c r="CT350" s="348">
        <f t="shared" ca="1" si="375"/>
        <v>0</v>
      </c>
      <c r="CU350" s="348">
        <f t="shared" ca="1" si="375"/>
        <v>0</v>
      </c>
      <c r="CV350" s="348">
        <f t="shared" ca="1" si="375"/>
        <v>0</v>
      </c>
      <c r="CW350" s="348">
        <f t="shared" ca="1" si="375"/>
        <v>0</v>
      </c>
      <c r="CX350" s="348">
        <f t="shared" ca="1" si="375"/>
        <v>0</v>
      </c>
      <c r="CY350" s="348">
        <f t="shared" ca="1" si="375"/>
        <v>0</v>
      </c>
      <c r="CZ350" s="348">
        <f t="shared" ca="1" si="375"/>
        <v>0</v>
      </c>
      <c r="DA350" s="348">
        <f t="shared" ca="1" si="375"/>
        <v>0</v>
      </c>
      <c r="DB350" s="348">
        <f t="shared" ca="1" si="375"/>
        <v>0</v>
      </c>
      <c r="DC350" s="348">
        <f t="shared" ca="1" si="375"/>
        <v>0</v>
      </c>
      <c r="DD350" s="348">
        <f t="shared" ca="1" si="375"/>
        <v>0</v>
      </c>
      <c r="DE350" s="348">
        <f t="shared" ca="1" si="375"/>
        <v>0</v>
      </c>
      <c r="DF350" s="348">
        <f t="shared" ca="1" si="375"/>
        <v>0</v>
      </c>
      <c r="DG350" s="348">
        <f t="shared" ca="1" si="375"/>
        <v>0</v>
      </c>
      <c r="DH350" s="348">
        <f t="shared" ca="1" si="375"/>
        <v>0</v>
      </c>
      <c r="DI350" s="348">
        <f t="shared" ca="1" si="375"/>
        <v>0</v>
      </c>
      <c r="DJ350" s="348">
        <f t="shared" ca="1" si="375"/>
        <v>0</v>
      </c>
      <c r="DK350" s="348">
        <f t="shared" ca="1" si="375"/>
        <v>0</v>
      </c>
      <c r="DL350" s="348">
        <f t="shared" ca="1" si="375"/>
        <v>0</v>
      </c>
      <c r="DM350" s="348">
        <f t="shared" ca="1" si="375"/>
        <v>0</v>
      </c>
      <c r="DN350" s="348">
        <f t="shared" ca="1" si="375"/>
        <v>0</v>
      </c>
      <c r="DO350" s="348">
        <f t="shared" ca="1" si="375"/>
        <v>0</v>
      </c>
      <c r="DP350" s="348">
        <f t="shared" ca="1" si="375"/>
        <v>0</v>
      </c>
      <c r="DQ350" s="348">
        <f t="shared" ca="1" si="375"/>
        <v>0</v>
      </c>
      <c r="DR350" s="348">
        <f t="shared" ca="1" si="375"/>
        <v>0</v>
      </c>
      <c r="DS350" s="348">
        <f t="shared" ca="1" si="375"/>
        <v>0</v>
      </c>
      <c r="DT350" s="348">
        <f t="shared" ca="1" si="375"/>
        <v>0</v>
      </c>
      <c r="DU350" s="348">
        <f t="shared" ca="1" si="375"/>
        <v>0</v>
      </c>
      <c r="DV350" s="348">
        <f t="shared" ca="1" si="375"/>
        <v>0</v>
      </c>
      <c r="DW350" s="348">
        <f t="shared" ca="1" si="375"/>
        <v>0</v>
      </c>
      <c r="DX350" s="348">
        <f t="shared" ca="1" si="375"/>
        <v>0</v>
      </c>
      <c r="DY350" s="348">
        <f t="shared" ca="1" si="375"/>
        <v>0</v>
      </c>
      <c r="DZ350" s="348">
        <f t="shared" ca="1" si="375"/>
        <v>0</v>
      </c>
      <c r="EA350" s="348">
        <f t="shared" ca="1" si="375"/>
        <v>0</v>
      </c>
      <c r="EB350" s="348">
        <f t="shared" ca="1" si="375"/>
        <v>0</v>
      </c>
      <c r="EC350" s="348">
        <f t="shared" ca="1" si="375"/>
        <v>0</v>
      </c>
      <c r="ED350" s="348">
        <f t="shared" ca="1" si="375"/>
        <v>0</v>
      </c>
      <c r="EE350" s="348">
        <f t="shared" ca="1" si="375"/>
        <v>0</v>
      </c>
      <c r="EF350" s="348">
        <f t="shared" ca="1" si="375"/>
        <v>0</v>
      </c>
      <c r="EG350" s="348">
        <f t="shared" ref="EG350:GR350" ca="1" si="376">IF($D$127=2,IF(AND(EG6&gt;ROUNDUP($E$32-$J$2,0),EG6&lt;ROUNDUP($E$113-$J$2+1,0)),1000,0),0)</f>
        <v>0</v>
      </c>
      <c r="EH350" s="348">
        <f t="shared" ca="1" si="376"/>
        <v>0</v>
      </c>
      <c r="EI350" s="348">
        <f t="shared" ca="1" si="376"/>
        <v>0</v>
      </c>
      <c r="EJ350" s="348">
        <f t="shared" ca="1" si="376"/>
        <v>0</v>
      </c>
      <c r="EK350" s="348">
        <f t="shared" ca="1" si="376"/>
        <v>0</v>
      </c>
      <c r="EL350" s="348">
        <f t="shared" ca="1" si="376"/>
        <v>0</v>
      </c>
      <c r="EM350" s="348">
        <f t="shared" ca="1" si="376"/>
        <v>0</v>
      </c>
      <c r="EN350" s="348">
        <f t="shared" ca="1" si="376"/>
        <v>0</v>
      </c>
      <c r="EO350" s="348">
        <f t="shared" ca="1" si="376"/>
        <v>0</v>
      </c>
      <c r="EP350" s="348">
        <f t="shared" ca="1" si="376"/>
        <v>0</v>
      </c>
      <c r="EQ350" s="348">
        <f t="shared" ca="1" si="376"/>
        <v>0</v>
      </c>
      <c r="ER350" s="348">
        <f t="shared" ca="1" si="376"/>
        <v>0</v>
      </c>
      <c r="ES350" s="348">
        <f t="shared" ca="1" si="376"/>
        <v>0</v>
      </c>
      <c r="ET350" s="348">
        <f t="shared" ca="1" si="376"/>
        <v>0</v>
      </c>
      <c r="EU350" s="348">
        <f t="shared" ca="1" si="376"/>
        <v>0</v>
      </c>
      <c r="EV350" s="348">
        <f t="shared" ca="1" si="376"/>
        <v>0</v>
      </c>
      <c r="EW350" s="348">
        <f t="shared" ca="1" si="376"/>
        <v>0</v>
      </c>
      <c r="EX350" s="348">
        <f t="shared" ca="1" si="376"/>
        <v>0</v>
      </c>
      <c r="EY350" s="348">
        <f t="shared" ca="1" si="376"/>
        <v>0</v>
      </c>
      <c r="EZ350" s="348">
        <f t="shared" ca="1" si="376"/>
        <v>0</v>
      </c>
      <c r="FA350" s="348">
        <f t="shared" ca="1" si="376"/>
        <v>0</v>
      </c>
      <c r="FB350" s="348">
        <f t="shared" ca="1" si="376"/>
        <v>0</v>
      </c>
      <c r="FC350" s="348">
        <f t="shared" ca="1" si="376"/>
        <v>0</v>
      </c>
      <c r="FD350" s="348">
        <f t="shared" ca="1" si="376"/>
        <v>0</v>
      </c>
      <c r="FE350" s="348">
        <f t="shared" ca="1" si="376"/>
        <v>0</v>
      </c>
      <c r="FF350" s="348">
        <f t="shared" ca="1" si="376"/>
        <v>0</v>
      </c>
      <c r="FG350" s="348">
        <f t="shared" ca="1" si="376"/>
        <v>0</v>
      </c>
      <c r="FH350" s="348">
        <f t="shared" ca="1" si="376"/>
        <v>0</v>
      </c>
      <c r="FI350" s="348">
        <f t="shared" ca="1" si="376"/>
        <v>0</v>
      </c>
      <c r="FJ350" s="348">
        <f t="shared" ca="1" si="376"/>
        <v>0</v>
      </c>
      <c r="FK350" s="348">
        <f t="shared" ca="1" si="376"/>
        <v>0</v>
      </c>
      <c r="FL350" s="348">
        <f t="shared" ca="1" si="376"/>
        <v>0</v>
      </c>
      <c r="FM350" s="348">
        <f t="shared" ca="1" si="376"/>
        <v>0</v>
      </c>
      <c r="FN350" s="348">
        <f t="shared" ca="1" si="376"/>
        <v>0</v>
      </c>
      <c r="FO350" s="348">
        <f t="shared" ca="1" si="376"/>
        <v>0</v>
      </c>
      <c r="FP350" s="348">
        <f t="shared" ca="1" si="376"/>
        <v>0</v>
      </c>
      <c r="FQ350" s="348">
        <f t="shared" ca="1" si="376"/>
        <v>0</v>
      </c>
      <c r="FR350" s="348">
        <f t="shared" ca="1" si="376"/>
        <v>0</v>
      </c>
      <c r="FS350" s="348">
        <f t="shared" ca="1" si="376"/>
        <v>0</v>
      </c>
      <c r="FT350" s="348">
        <f t="shared" ca="1" si="376"/>
        <v>0</v>
      </c>
      <c r="FU350" s="348">
        <f t="shared" ca="1" si="376"/>
        <v>0</v>
      </c>
      <c r="FV350" s="348">
        <f t="shared" ca="1" si="376"/>
        <v>0</v>
      </c>
      <c r="FW350" s="348">
        <f t="shared" ca="1" si="376"/>
        <v>0</v>
      </c>
      <c r="FX350" s="348">
        <f t="shared" ca="1" si="376"/>
        <v>0</v>
      </c>
      <c r="FY350" s="348">
        <f t="shared" ca="1" si="376"/>
        <v>0</v>
      </c>
      <c r="FZ350" s="348">
        <f t="shared" ca="1" si="376"/>
        <v>0</v>
      </c>
      <c r="GA350" s="348">
        <f t="shared" ca="1" si="376"/>
        <v>0</v>
      </c>
      <c r="GB350" s="348">
        <f t="shared" ca="1" si="376"/>
        <v>0</v>
      </c>
      <c r="GC350" s="348">
        <f t="shared" ca="1" si="376"/>
        <v>0</v>
      </c>
      <c r="GD350" s="348">
        <f t="shared" ca="1" si="376"/>
        <v>0</v>
      </c>
      <c r="GE350" s="348">
        <f t="shared" ca="1" si="376"/>
        <v>0</v>
      </c>
      <c r="GF350" s="348">
        <f t="shared" ca="1" si="376"/>
        <v>0</v>
      </c>
      <c r="GG350" s="348">
        <f t="shared" ca="1" si="376"/>
        <v>0</v>
      </c>
      <c r="GH350" s="348">
        <f t="shared" ca="1" si="376"/>
        <v>0</v>
      </c>
      <c r="GI350" s="348">
        <f t="shared" ca="1" si="376"/>
        <v>0</v>
      </c>
      <c r="GJ350" s="348">
        <f t="shared" ca="1" si="376"/>
        <v>0</v>
      </c>
      <c r="GK350" s="348">
        <f t="shared" ca="1" si="376"/>
        <v>0</v>
      </c>
      <c r="GL350" s="348">
        <f t="shared" ca="1" si="376"/>
        <v>0</v>
      </c>
      <c r="GM350" s="348">
        <f t="shared" ca="1" si="376"/>
        <v>0</v>
      </c>
      <c r="GN350" s="348">
        <f t="shared" ca="1" si="376"/>
        <v>0</v>
      </c>
      <c r="GO350" s="348">
        <f t="shared" ca="1" si="376"/>
        <v>0</v>
      </c>
      <c r="GP350" s="348">
        <f t="shared" ca="1" si="376"/>
        <v>0</v>
      </c>
      <c r="GQ350" s="348">
        <f t="shared" ca="1" si="376"/>
        <v>0</v>
      </c>
      <c r="GR350" s="348">
        <f t="shared" ca="1" si="376"/>
        <v>0</v>
      </c>
      <c r="GS350" s="348">
        <f t="shared" ref="GS350:IK350" ca="1" si="377">IF($D$127=2,IF(AND(GS6&gt;ROUNDUP($E$32-$J$2,0),GS6&lt;ROUNDUP($E$113-$J$2+1,0)),1000,0),0)</f>
        <v>0</v>
      </c>
      <c r="GT350" s="348">
        <f t="shared" ca="1" si="377"/>
        <v>0</v>
      </c>
      <c r="GU350" s="348">
        <f t="shared" ca="1" si="377"/>
        <v>0</v>
      </c>
      <c r="GV350" s="348">
        <f t="shared" ca="1" si="377"/>
        <v>0</v>
      </c>
      <c r="GW350" s="348">
        <f t="shared" ca="1" si="377"/>
        <v>0</v>
      </c>
      <c r="GX350" s="348">
        <f t="shared" ca="1" si="377"/>
        <v>0</v>
      </c>
      <c r="GY350" s="348">
        <f t="shared" ca="1" si="377"/>
        <v>0</v>
      </c>
      <c r="GZ350" s="348">
        <f t="shared" ca="1" si="377"/>
        <v>0</v>
      </c>
      <c r="HA350" s="348">
        <f t="shared" ca="1" si="377"/>
        <v>0</v>
      </c>
      <c r="HB350" s="348">
        <f t="shared" ca="1" si="377"/>
        <v>0</v>
      </c>
      <c r="HC350" s="348">
        <f t="shared" ca="1" si="377"/>
        <v>0</v>
      </c>
      <c r="HD350" s="348">
        <f t="shared" ca="1" si="377"/>
        <v>0</v>
      </c>
      <c r="HE350" s="348">
        <f t="shared" ca="1" si="377"/>
        <v>0</v>
      </c>
      <c r="HF350" s="348">
        <f t="shared" ca="1" si="377"/>
        <v>0</v>
      </c>
      <c r="HG350" s="348">
        <f t="shared" ca="1" si="377"/>
        <v>0</v>
      </c>
      <c r="HH350" s="348">
        <f t="shared" ca="1" si="377"/>
        <v>0</v>
      </c>
      <c r="HI350" s="348">
        <f t="shared" ca="1" si="377"/>
        <v>0</v>
      </c>
      <c r="HJ350" s="348">
        <f t="shared" ca="1" si="377"/>
        <v>0</v>
      </c>
      <c r="HK350" s="348">
        <f t="shared" ca="1" si="377"/>
        <v>0</v>
      </c>
      <c r="HL350" s="348">
        <f t="shared" ca="1" si="377"/>
        <v>0</v>
      </c>
      <c r="HM350" s="348">
        <f t="shared" ca="1" si="377"/>
        <v>0</v>
      </c>
      <c r="HN350" s="348">
        <f t="shared" ca="1" si="377"/>
        <v>0</v>
      </c>
      <c r="HO350" s="348">
        <f t="shared" ca="1" si="377"/>
        <v>0</v>
      </c>
      <c r="HP350" s="348">
        <f t="shared" ca="1" si="377"/>
        <v>0</v>
      </c>
      <c r="HQ350" s="348">
        <f t="shared" ca="1" si="377"/>
        <v>0</v>
      </c>
      <c r="HR350" s="348">
        <f t="shared" ca="1" si="377"/>
        <v>0</v>
      </c>
      <c r="HS350" s="348">
        <f t="shared" ca="1" si="377"/>
        <v>0</v>
      </c>
      <c r="HT350" s="348">
        <f t="shared" ca="1" si="377"/>
        <v>0</v>
      </c>
      <c r="HU350" s="348">
        <f t="shared" ca="1" si="377"/>
        <v>0</v>
      </c>
      <c r="HV350" s="348">
        <f t="shared" ca="1" si="377"/>
        <v>0</v>
      </c>
      <c r="HW350" s="348">
        <f t="shared" ca="1" si="377"/>
        <v>0</v>
      </c>
      <c r="HX350" s="348">
        <f t="shared" ca="1" si="377"/>
        <v>0</v>
      </c>
      <c r="HY350" s="348">
        <f t="shared" ca="1" si="377"/>
        <v>0</v>
      </c>
      <c r="HZ350" s="348">
        <f t="shared" ca="1" si="377"/>
        <v>0</v>
      </c>
      <c r="IA350" s="348">
        <f t="shared" ca="1" si="377"/>
        <v>0</v>
      </c>
      <c r="IB350" s="348">
        <f t="shared" ca="1" si="377"/>
        <v>0</v>
      </c>
      <c r="IC350" s="348">
        <f t="shared" ca="1" si="377"/>
        <v>0</v>
      </c>
      <c r="ID350" s="348">
        <f t="shared" ca="1" si="377"/>
        <v>0</v>
      </c>
      <c r="IE350" s="348">
        <f t="shared" ca="1" si="377"/>
        <v>0</v>
      </c>
      <c r="IF350" s="348">
        <f t="shared" ca="1" si="377"/>
        <v>0</v>
      </c>
      <c r="IG350" s="348">
        <f t="shared" ca="1" si="377"/>
        <v>0</v>
      </c>
      <c r="IH350" s="348">
        <f t="shared" ca="1" si="377"/>
        <v>0</v>
      </c>
      <c r="II350" s="348">
        <f t="shared" ca="1" si="377"/>
        <v>0</v>
      </c>
      <c r="IJ350" s="348">
        <f t="shared" ca="1" si="377"/>
        <v>0</v>
      </c>
      <c r="IK350" s="348">
        <f t="shared" ca="1" si="377"/>
        <v>0</v>
      </c>
    </row>
    <row r="351" spans="1:245" hidden="1" x14ac:dyDescent="0.35">
      <c r="A351" s="195">
        <f t="shared" si="364"/>
        <v>0</v>
      </c>
    </row>
    <row r="352" spans="1:245" hidden="1" x14ac:dyDescent="0.35">
      <c r="A352" s="195">
        <f t="shared" si="364"/>
        <v>0</v>
      </c>
      <c r="C352" s="638" t="s">
        <v>1612</v>
      </c>
      <c r="D352" s="636" t="s">
        <v>1606</v>
      </c>
      <c r="E352" s="14"/>
      <c r="F352" s="6"/>
      <c r="H352" s="32">
        <f ca="1">IF(ENTRADAS!$F$22&gt;=2,IF(H113=10,1000,1),0)</f>
        <v>1</v>
      </c>
      <c r="I352" s="32">
        <f ca="1">IF(ENTRADAS!$F$22&gt;=2,IF(I113=10,1000,1),0)</f>
        <v>1</v>
      </c>
      <c r="J352" s="32">
        <f ca="1">IF(ENTRADAS!$F$22&gt;=2,IF(J113=10,1000,1),0)</f>
        <v>1</v>
      </c>
      <c r="K352" s="32">
        <f ca="1">IF(ENTRADAS!$F$22&gt;=2,IF(K113=10,1000,1),0)</f>
        <v>1</v>
      </c>
      <c r="L352" s="32">
        <f ca="1">IF(ENTRADAS!$F$22&gt;=2,IF(L113=10,1000,1),0)</f>
        <v>1</v>
      </c>
      <c r="M352" s="32">
        <f ca="1">IF(ENTRADAS!$F$22&gt;=2,IF(M113=10,1000,1),0)</f>
        <v>1</v>
      </c>
      <c r="N352" s="32">
        <f ca="1">IF(ENTRADAS!$F$22&gt;=2,IF(N113=10,1000,1),0)</f>
        <v>1</v>
      </c>
      <c r="O352" s="32">
        <f ca="1">IF(ENTRADAS!$F$22&gt;=2,IF(O113=10,1000,1),0)</f>
        <v>1</v>
      </c>
      <c r="P352" s="32">
        <f ca="1">IF(ENTRADAS!$F$22&gt;=2,IF(P113=10,1000,1),0)</f>
        <v>1</v>
      </c>
      <c r="Q352" s="32">
        <f ca="1">IF(ENTRADAS!$F$22&gt;=2,IF(Q113=10,1000,1),0)</f>
        <v>1</v>
      </c>
      <c r="R352" s="32">
        <f ca="1">IF(ENTRADAS!$F$22&gt;=2,IF(R113=10,1000,1),0)</f>
        <v>1</v>
      </c>
      <c r="S352" s="32">
        <f ca="1">IF(ENTRADAS!$F$22&gt;=2,IF(S113=10,1000,1),0)</f>
        <v>1</v>
      </c>
      <c r="T352" s="32">
        <f ca="1">IF(ENTRADAS!$F$22&gt;=2,IF(T113=10,1000,1),0)</f>
        <v>1</v>
      </c>
      <c r="U352" s="32">
        <f ca="1">IF(ENTRADAS!$F$22&gt;=2,IF(U113=10,1000,1),0)</f>
        <v>1</v>
      </c>
      <c r="V352" s="32">
        <f ca="1">IF(ENTRADAS!$F$22&gt;=2,IF(V113=10,1000,1),0)</f>
        <v>1</v>
      </c>
      <c r="W352" s="32">
        <f ca="1">IF(ENTRADAS!$F$22&gt;=2,IF(W113=10,1000,1),0)</f>
        <v>1</v>
      </c>
      <c r="X352" s="32">
        <f ca="1">IF(ENTRADAS!$F$22&gt;=2,IF(X113=10,1000,1),0)</f>
        <v>1</v>
      </c>
      <c r="Y352" s="32">
        <f ca="1">IF(ENTRADAS!$F$22&gt;=2,IF(Y113=10,1000,1),0)</f>
        <v>1</v>
      </c>
      <c r="Z352" s="32">
        <f ca="1">IF(ENTRADAS!$F$22&gt;=2,IF(Z113=10,1000,1),0)</f>
        <v>1</v>
      </c>
      <c r="AA352" s="32">
        <f ca="1">IF(ENTRADAS!$F$22&gt;=2,IF(AA113=10,1000,1),0)</f>
        <v>1</v>
      </c>
      <c r="AB352" s="32">
        <f ca="1">IF(ENTRADAS!$F$22&gt;=2,IF(AB113=10,1000,1),0)</f>
        <v>1</v>
      </c>
      <c r="AC352" s="32">
        <f ca="1">IF(ENTRADAS!$F$22&gt;=2,IF(AC113=10,1000,1),0)</f>
        <v>1</v>
      </c>
      <c r="AD352" s="32">
        <f ca="1">IF(ENTRADAS!$F$22&gt;=2,IF(AD113=10,1000,1),0)</f>
        <v>1</v>
      </c>
      <c r="AE352" s="32">
        <f ca="1">IF(ENTRADAS!$F$22&gt;=2,IF(AE113=10,1000,1),0)</f>
        <v>1</v>
      </c>
      <c r="AF352" s="32">
        <f ca="1">IF(ENTRADAS!$F$22&gt;=2,IF(AF113=10,1000,1),0)</f>
        <v>1</v>
      </c>
      <c r="AG352" s="32">
        <f ca="1">IF(ENTRADAS!$F$22&gt;=2,IF(AG113=10,1000,1),0)</f>
        <v>1</v>
      </c>
      <c r="AH352" s="32">
        <f ca="1">IF(ENTRADAS!$F$22&gt;=2,IF(AH113=10,1000,1),0)</f>
        <v>1</v>
      </c>
      <c r="AI352" s="32">
        <f ca="1">IF(ENTRADAS!$F$22&gt;=2,IF(AI113=10,1000,1),0)</f>
        <v>1</v>
      </c>
      <c r="AJ352" s="32">
        <f ca="1">IF(ENTRADAS!$F$22&gt;=2,IF(AJ113=10,1000,1),0)</f>
        <v>1</v>
      </c>
      <c r="AK352" s="32">
        <f ca="1">IF(ENTRADAS!$F$22&gt;=2,IF(AK113=10,1000,1),0)</f>
        <v>1</v>
      </c>
      <c r="AL352" s="32">
        <f ca="1">IF(ENTRADAS!$F$22&gt;=2,IF(AL113=10,1000,1),0)</f>
        <v>1</v>
      </c>
      <c r="AM352" s="32">
        <f ca="1">IF(ENTRADAS!$F$22&gt;=2,IF(AM113=10,1000,1),0)</f>
        <v>1</v>
      </c>
      <c r="AN352" s="32">
        <f ca="1">IF(ENTRADAS!$F$22&gt;=2,IF(AN113=10,1000,1),0)</f>
        <v>1</v>
      </c>
      <c r="AO352" s="32">
        <f ca="1">IF(ENTRADAS!$F$22&gt;=2,IF(AO113=10,1000,1),0)</f>
        <v>1</v>
      </c>
      <c r="AP352" s="32">
        <f ca="1">IF(ENTRADAS!$F$22&gt;=2,IF(AP113=10,1000,1),0)</f>
        <v>1</v>
      </c>
      <c r="AQ352" s="32">
        <f ca="1">IF(ENTRADAS!$F$22&gt;=2,IF(AQ113=10,1000,1),0)</f>
        <v>1</v>
      </c>
      <c r="AR352" s="32">
        <f ca="1">IF(ENTRADAS!$F$22&gt;=2,IF(AR113=10,1000,1),0)</f>
        <v>1</v>
      </c>
      <c r="AS352" s="32">
        <f ca="1">IF(ENTRADAS!$F$22&gt;=2,IF(AS113=10,1000,1),0)</f>
        <v>1</v>
      </c>
      <c r="AT352" s="32">
        <f ca="1">IF(ENTRADAS!$F$22&gt;=2,IF(AT113=10,1000,1),0)</f>
        <v>1</v>
      </c>
      <c r="AU352" s="32">
        <f ca="1">IF(ENTRADAS!$F$22&gt;=2,IF(AU113=10,1000,1),0)</f>
        <v>1</v>
      </c>
      <c r="AV352" s="32">
        <f ca="1">IF(ENTRADAS!$F$22&gt;=2,IF(AV113=10,1000,1),0)</f>
        <v>1</v>
      </c>
      <c r="AW352" s="32">
        <f ca="1">IF(ENTRADAS!$F$22&gt;=2,IF(AW113=10,1000,1),0)</f>
        <v>1</v>
      </c>
      <c r="AX352" s="32">
        <f ca="1">IF(ENTRADAS!$F$22&gt;=2,IF(AX113=10,1000,1),0)</f>
        <v>1</v>
      </c>
      <c r="AY352" s="32">
        <f ca="1">IF(ENTRADAS!$F$22&gt;=2,IF(AY113=10,1000,1),0)</f>
        <v>1</v>
      </c>
      <c r="AZ352" s="32">
        <f ca="1">IF(ENTRADAS!$F$22&gt;=2,IF(AZ113=10,1000,1),0)</f>
        <v>1</v>
      </c>
      <c r="BA352" s="32">
        <f ca="1">IF(ENTRADAS!$F$22&gt;=2,IF(BA113=10,1000,1),0)</f>
        <v>1</v>
      </c>
      <c r="BB352" s="32">
        <f ca="1">IF(ENTRADAS!$F$22&gt;=2,IF(BB113=10,1000,1),0)</f>
        <v>1</v>
      </c>
      <c r="BC352" s="32">
        <f ca="1">IF(ENTRADAS!$F$22&gt;=2,IF(BC113=10,1000,1),0)</f>
        <v>1</v>
      </c>
      <c r="BD352" s="32">
        <f ca="1">IF(ENTRADAS!$F$22&gt;=2,IF(BD113=10,1000,1),0)</f>
        <v>1</v>
      </c>
      <c r="BE352" s="32">
        <f ca="1">IF(ENTRADAS!$F$22&gt;=2,IF(BE113=10,1000,1),0)</f>
        <v>1</v>
      </c>
      <c r="BF352" s="32">
        <f ca="1">IF(ENTRADAS!$F$22&gt;=2,IF(BF113=10,1000,1),0)</f>
        <v>1</v>
      </c>
      <c r="BG352" s="32">
        <f ca="1">IF(ENTRADAS!$F$22&gt;=2,IF(BG113=10,1000,1),0)</f>
        <v>1</v>
      </c>
      <c r="BH352" s="32">
        <f ca="1">IF(ENTRADAS!$F$22&gt;=2,IF(BH113=10,1000,1),0)</f>
        <v>1</v>
      </c>
      <c r="BI352" s="32">
        <f ca="1">IF(ENTRADAS!$F$22&gt;=2,IF(BI113=10,1000,1),0)</f>
        <v>1</v>
      </c>
      <c r="BJ352" s="32">
        <f ca="1">IF(ENTRADAS!$F$22&gt;=2,IF(BJ113=10,1000,1),0)</f>
        <v>1000</v>
      </c>
      <c r="BK352" s="32">
        <f ca="1">IF(ENTRADAS!$F$22&gt;=2,IF(BK113=10,1000,1),0)</f>
        <v>1000</v>
      </c>
      <c r="BL352" s="32">
        <f ca="1">IF(ENTRADAS!$F$22&gt;=2,IF(BL113=10,1000,1),0)</f>
        <v>1000</v>
      </c>
      <c r="BM352" s="32">
        <f ca="1">IF(ENTRADAS!$F$22&gt;=2,IF(BM113=10,1000,1),0)</f>
        <v>1000</v>
      </c>
      <c r="BN352" s="32">
        <f ca="1">IF(ENTRADAS!$F$22&gt;=2,IF(BN113=10,1000,1),0)</f>
        <v>1000</v>
      </c>
      <c r="BO352" s="32">
        <f ca="1">IF(ENTRADAS!$F$22&gt;=2,IF(BO113=10,1000,1),0)</f>
        <v>1000</v>
      </c>
      <c r="BP352" s="32">
        <f ca="1">IF(ENTRADAS!$F$22&gt;=2,IF(BP113=10,1000,1),0)</f>
        <v>1000</v>
      </c>
      <c r="BQ352" s="32">
        <f ca="1">IF(ENTRADAS!$F$22&gt;=2,IF(BQ113=10,1000,1),0)</f>
        <v>1000</v>
      </c>
      <c r="BR352" s="32">
        <f ca="1">IF(ENTRADAS!$F$22&gt;=2,IF(BR113=10,1000,1),0)</f>
        <v>1000</v>
      </c>
      <c r="BS352" s="32">
        <f ca="1">IF(ENTRADAS!$F$22&gt;=2,IF(BS113=10,1000,1),0)</f>
        <v>1000</v>
      </c>
      <c r="BT352" s="32">
        <f ca="1">IF(ENTRADAS!$F$22&gt;=2,IF(BT113=10,1000,1),0)</f>
        <v>1000</v>
      </c>
      <c r="BU352" s="32">
        <f ca="1">IF(ENTRADAS!$F$22&gt;=2,IF(BU113=10,1000,1),0)</f>
        <v>1000</v>
      </c>
      <c r="BV352" s="32">
        <f ca="1">IF(ENTRADAS!$F$22&gt;=2,IF(BV113=10,1000,1),0)</f>
        <v>1000</v>
      </c>
      <c r="BW352" s="32">
        <f ca="1">IF(ENTRADAS!$F$22&gt;=2,IF(BW113=10,1000,1),0)</f>
        <v>1000</v>
      </c>
      <c r="BX352" s="32">
        <f ca="1">IF(ENTRADAS!$F$22&gt;=2,IF(BX113=10,1000,1),0)</f>
        <v>1000</v>
      </c>
      <c r="BY352" s="32">
        <f ca="1">IF(ENTRADAS!$F$22&gt;=2,IF(BY113=10,1000,1),0)</f>
        <v>1000</v>
      </c>
      <c r="BZ352" s="32">
        <f ca="1">IF(ENTRADAS!$F$22&gt;=2,IF(BZ113=10,1000,1),0)</f>
        <v>1000</v>
      </c>
      <c r="CA352" s="32">
        <f ca="1">IF(ENTRADAS!$F$22&gt;=2,IF(CA113=10,1000,1),0)</f>
        <v>1000</v>
      </c>
      <c r="CB352" s="32">
        <f ca="1">IF(ENTRADAS!$F$22&gt;=2,IF(CB113=10,1000,1),0)</f>
        <v>1000</v>
      </c>
      <c r="CC352" s="32">
        <f ca="1">IF(ENTRADAS!$F$22&gt;=2,IF(CC113=10,1000,1),0)</f>
        <v>1000</v>
      </c>
      <c r="CD352" s="32">
        <f ca="1">IF(ENTRADAS!$F$22&gt;=2,IF(CD113=10,1000,1),0)</f>
        <v>1000</v>
      </c>
      <c r="CE352" s="32">
        <f ca="1">IF(ENTRADAS!$F$22&gt;=2,IF(CE113=10,1000,1),0)</f>
        <v>1000</v>
      </c>
      <c r="CF352" s="32">
        <f ca="1">IF(ENTRADAS!$F$22&gt;=2,IF(CF113=10,1000,1),0)</f>
        <v>1000</v>
      </c>
      <c r="CG352" s="32">
        <f ca="1">IF(ENTRADAS!$F$22&gt;=2,IF(CG113=10,1000,1),0)</f>
        <v>1000</v>
      </c>
      <c r="CH352" s="32">
        <f ca="1">IF(ENTRADAS!$F$22&gt;=2,IF(CH113=10,1000,1),0)</f>
        <v>1000</v>
      </c>
      <c r="CI352" s="32">
        <f ca="1">IF(ENTRADAS!$F$22&gt;=2,IF(CI113=10,1000,1),0)</f>
        <v>1000</v>
      </c>
      <c r="CJ352" s="32">
        <f ca="1">IF(ENTRADAS!$F$22&gt;=2,IF(CJ113=10,1000,1),0)</f>
        <v>1000</v>
      </c>
      <c r="CK352" s="32">
        <f ca="1">IF(ENTRADAS!$F$22&gt;=2,IF(CK113=10,1000,1),0)</f>
        <v>1000</v>
      </c>
      <c r="CL352" s="32">
        <f ca="1">IF(ENTRADAS!$F$22&gt;=2,IF(CL113=10,1000,1),0)</f>
        <v>1000</v>
      </c>
      <c r="CM352" s="32">
        <f ca="1">IF(ENTRADAS!$F$22&gt;=2,IF(CM113=10,1000,1),0)</f>
        <v>1</v>
      </c>
      <c r="CN352" s="32">
        <f ca="1">IF(ENTRADAS!$F$22&gt;=2,IF(CN113=10,1000,1),0)</f>
        <v>1</v>
      </c>
      <c r="CO352" s="32">
        <f ca="1">IF(ENTRADAS!$F$22&gt;=2,IF(CO113=10,1000,1),0)</f>
        <v>1</v>
      </c>
      <c r="CP352" s="32">
        <f ca="1">IF(ENTRADAS!$F$22&gt;=2,IF(CP113=10,1000,1),0)</f>
        <v>1</v>
      </c>
      <c r="CQ352" s="32">
        <f ca="1">IF(ENTRADAS!$F$22&gt;=2,IF(CQ113=10,1000,1),0)</f>
        <v>1</v>
      </c>
      <c r="CR352" s="32">
        <f ca="1">IF(ENTRADAS!$F$22&gt;=2,IF(CR113=10,1000,1),0)</f>
        <v>1</v>
      </c>
      <c r="CS352" s="32">
        <f ca="1">IF(ENTRADAS!$F$22&gt;=2,IF(CS113=10,1000,1),0)</f>
        <v>1</v>
      </c>
      <c r="CT352" s="32">
        <f ca="1">IF(ENTRADAS!$F$22&gt;=2,IF(CT113=10,1000,1),0)</f>
        <v>1</v>
      </c>
      <c r="CU352" s="32">
        <f ca="1">IF(ENTRADAS!$F$22&gt;=2,IF(CU113=10,1000,1),0)</f>
        <v>1</v>
      </c>
      <c r="CV352" s="32">
        <f ca="1">IF(ENTRADAS!$F$22&gt;=2,IF(CV113=10,1000,1),0)</f>
        <v>1</v>
      </c>
      <c r="CW352" s="32">
        <f ca="1">IF(ENTRADAS!$F$22&gt;=2,IF(CW113=10,1000,1),0)</f>
        <v>1</v>
      </c>
      <c r="CX352" s="32">
        <f ca="1">IF(ENTRADAS!$F$22&gt;=2,IF(CX113=10,1000,1),0)</f>
        <v>1</v>
      </c>
      <c r="CY352" s="32">
        <f ca="1">IF(ENTRADAS!$F$22&gt;=2,IF(CY113=10,1000,1),0)</f>
        <v>1</v>
      </c>
      <c r="CZ352" s="32">
        <f ca="1">IF(ENTRADAS!$F$22&gt;=2,IF(CZ113=10,1000,1),0)</f>
        <v>1</v>
      </c>
      <c r="DA352" s="32">
        <f ca="1">IF(ENTRADAS!$F$22&gt;=2,IF(DA113=10,1000,1),0)</f>
        <v>1</v>
      </c>
      <c r="DB352" s="32">
        <f ca="1">IF(ENTRADAS!$F$22&gt;=2,IF(DB113=10,1000,1),0)</f>
        <v>1</v>
      </c>
      <c r="DC352" s="32">
        <f ca="1">IF(ENTRADAS!$F$22&gt;=2,IF(DC113=10,1000,1),0)</f>
        <v>1</v>
      </c>
      <c r="DD352" s="32">
        <f ca="1">IF(ENTRADAS!$F$22&gt;=2,IF(DD113=10,1000,1),0)</f>
        <v>1</v>
      </c>
      <c r="DE352" s="32">
        <f ca="1">IF(ENTRADAS!$F$22&gt;=2,IF(DE113=10,1000,1),0)</f>
        <v>1</v>
      </c>
      <c r="DF352" s="32">
        <f ca="1">IF(ENTRADAS!$F$22&gt;=2,IF(DF113=10,1000,1),0)</f>
        <v>1</v>
      </c>
      <c r="DG352" s="32">
        <f ca="1">IF(ENTRADAS!$F$22&gt;=2,IF(DG113=10,1000,1),0)</f>
        <v>1</v>
      </c>
      <c r="DH352" s="32">
        <f ca="1">IF(ENTRADAS!$F$22&gt;=2,IF(DH113=10,1000,1),0)</f>
        <v>1</v>
      </c>
      <c r="DI352" s="32">
        <f ca="1">IF(ENTRADAS!$F$22&gt;=2,IF(DI113=10,1000,1),0)</f>
        <v>1</v>
      </c>
      <c r="DJ352" s="32">
        <f ca="1">IF(ENTRADAS!$F$22&gt;=2,IF(DJ113=10,1000,1),0)</f>
        <v>1</v>
      </c>
      <c r="DK352" s="32">
        <f ca="1">IF(ENTRADAS!$F$22&gt;=2,IF(DK113=10,1000,1),0)</f>
        <v>1</v>
      </c>
      <c r="DL352" s="32">
        <f ca="1">IF(ENTRADAS!$F$22&gt;=2,IF(DL113=10,1000,1),0)</f>
        <v>1</v>
      </c>
      <c r="DM352" s="32">
        <f ca="1">IF(ENTRADAS!$F$22&gt;=2,IF(DM113=10,1000,1),0)</f>
        <v>1</v>
      </c>
      <c r="DN352" s="32">
        <f ca="1">IF(ENTRADAS!$F$22&gt;=2,IF(DN113=10,1000,1),0)</f>
        <v>1</v>
      </c>
      <c r="DO352" s="32">
        <f ca="1">IF(ENTRADAS!$F$22&gt;=2,IF(DO113=10,1000,1),0)</f>
        <v>1</v>
      </c>
      <c r="DP352" s="32">
        <f ca="1">IF(ENTRADAS!$F$22&gt;=2,IF(DP113=10,1000,1),0)</f>
        <v>1</v>
      </c>
      <c r="DQ352" s="32">
        <f ca="1">IF(ENTRADAS!$F$22&gt;=2,IF(DQ113=10,1000,1),0)</f>
        <v>1</v>
      </c>
      <c r="DR352" s="32">
        <f ca="1">IF(ENTRADAS!$F$22&gt;=2,IF(DR113=10,1000,1),0)</f>
        <v>1</v>
      </c>
      <c r="DS352" s="32">
        <f ca="1">IF(ENTRADAS!$F$22&gt;=2,IF(DS113=10,1000,1),0)</f>
        <v>1</v>
      </c>
      <c r="DT352" s="32">
        <f ca="1">IF(ENTRADAS!$F$22&gt;=2,IF(DT113=10,1000,1),0)</f>
        <v>1</v>
      </c>
      <c r="DU352" s="32">
        <f ca="1">IF(ENTRADAS!$F$22&gt;=2,IF(DU113=10,1000,1),0)</f>
        <v>1</v>
      </c>
      <c r="DV352" s="32">
        <f ca="1">IF(ENTRADAS!$F$22&gt;=2,IF(DV113=10,1000,1),0)</f>
        <v>1</v>
      </c>
      <c r="DW352" s="32">
        <f ca="1">IF(ENTRADAS!$F$22&gt;=2,IF(DW113=10,1000,1),0)</f>
        <v>1</v>
      </c>
      <c r="DX352" s="32">
        <f ca="1">IF(ENTRADAS!$F$22&gt;=2,IF(DX113=10,1000,1),0)</f>
        <v>1</v>
      </c>
      <c r="DY352" s="32">
        <f ca="1">IF(ENTRADAS!$F$22&gt;=2,IF(DY113=10,1000,1),0)</f>
        <v>1</v>
      </c>
      <c r="DZ352" s="32">
        <f ca="1">IF(ENTRADAS!$F$22&gt;=2,IF(DZ113=10,1000,1),0)</f>
        <v>1</v>
      </c>
      <c r="EA352" s="32">
        <f ca="1">IF(ENTRADAS!$F$22&gt;=2,IF(EA113=10,1000,1),0)</f>
        <v>1</v>
      </c>
      <c r="EB352" s="32">
        <f ca="1">IF(ENTRADAS!$F$22&gt;=2,IF(EB113=10,1000,1),0)</f>
        <v>1</v>
      </c>
      <c r="EC352" s="32">
        <f ca="1">IF(ENTRADAS!$F$22&gt;=2,IF(EC113=10,1000,1),0)</f>
        <v>1</v>
      </c>
      <c r="ED352" s="32">
        <f ca="1">IF(ENTRADAS!$F$22&gt;=2,IF(ED113=10,1000,1),0)</f>
        <v>1</v>
      </c>
      <c r="EE352" s="32">
        <f ca="1">IF(ENTRADAS!$F$22&gt;=2,IF(EE113=10,1000,1),0)</f>
        <v>1</v>
      </c>
      <c r="EF352" s="32">
        <f ca="1">IF(ENTRADAS!$F$22&gt;=2,IF(EF113=10,1000,1),0)</f>
        <v>1</v>
      </c>
      <c r="EG352" s="32">
        <f ca="1">IF(ENTRADAS!$F$22&gt;=2,IF(EG113=10,1000,1),0)</f>
        <v>1</v>
      </c>
      <c r="EH352" s="32">
        <f ca="1">IF(ENTRADAS!$F$22&gt;=2,IF(EH113=10,1000,1),0)</f>
        <v>1</v>
      </c>
      <c r="EI352" s="32">
        <f ca="1">IF(ENTRADAS!$F$22&gt;=2,IF(EI113=10,1000,1),0)</f>
        <v>1</v>
      </c>
      <c r="EJ352" s="32">
        <f ca="1">IF(ENTRADAS!$F$22&gt;=2,IF(EJ113=10,1000,1),0)</f>
        <v>1</v>
      </c>
      <c r="EK352" s="32">
        <f ca="1">IF(ENTRADAS!$F$22&gt;=2,IF(EK113=10,1000,1),0)</f>
        <v>1</v>
      </c>
      <c r="EL352" s="32">
        <f ca="1">IF(ENTRADAS!$F$22&gt;=2,IF(EL113=10,1000,1),0)</f>
        <v>1</v>
      </c>
      <c r="EM352" s="32">
        <f ca="1">IF(ENTRADAS!$F$22&gt;=2,IF(EM113=10,1000,1),0)</f>
        <v>1</v>
      </c>
      <c r="EN352" s="32">
        <f ca="1">IF(ENTRADAS!$F$22&gt;=2,IF(EN113=10,1000,1),0)</f>
        <v>1</v>
      </c>
      <c r="EO352" s="32">
        <f ca="1">IF(ENTRADAS!$F$22&gt;=2,IF(EO113=10,1000,1),0)</f>
        <v>1</v>
      </c>
      <c r="EP352" s="32">
        <f ca="1">IF(ENTRADAS!$F$22&gt;=2,IF(EP113=10,1000,1),0)</f>
        <v>1</v>
      </c>
      <c r="EQ352" s="32">
        <f ca="1">IF(ENTRADAS!$F$22&gt;=2,IF(EQ113=10,1000,1),0)</f>
        <v>1</v>
      </c>
      <c r="ER352" s="32">
        <f ca="1">IF(ENTRADAS!$F$22&gt;=2,IF(ER113=10,1000,1),0)</f>
        <v>1</v>
      </c>
      <c r="ES352" s="32">
        <f ca="1">IF(ENTRADAS!$F$22&gt;=2,IF(ES113=10,1000,1),0)</f>
        <v>1</v>
      </c>
      <c r="ET352" s="32">
        <f ca="1">IF(ENTRADAS!$F$22&gt;=2,IF(ET113=10,1000,1),0)</f>
        <v>1</v>
      </c>
      <c r="EU352" s="32">
        <f ca="1">IF(ENTRADAS!$F$22&gt;=2,IF(EU113=10,1000,1),0)</f>
        <v>1</v>
      </c>
      <c r="EV352" s="32">
        <f ca="1">IF(ENTRADAS!$F$22&gt;=2,IF(EV113=10,1000,1),0)</f>
        <v>1</v>
      </c>
      <c r="EW352" s="32">
        <f ca="1">IF(ENTRADAS!$F$22&gt;=2,IF(EW113=10,1000,1),0)</f>
        <v>1</v>
      </c>
      <c r="EX352" s="32">
        <f ca="1">IF(ENTRADAS!$F$22&gt;=2,IF(EX113=10,1000,1),0)</f>
        <v>1</v>
      </c>
      <c r="EY352" s="32">
        <f ca="1">IF(ENTRADAS!$F$22&gt;=2,IF(EY113=10,1000,1),0)</f>
        <v>1</v>
      </c>
      <c r="EZ352" s="32">
        <f ca="1">IF(ENTRADAS!$F$22&gt;=2,IF(EZ113=10,1000,1),0)</f>
        <v>1</v>
      </c>
      <c r="FA352" s="32">
        <f ca="1">IF(ENTRADAS!$F$22&gt;=2,IF(FA113=10,1000,1),0)</f>
        <v>1</v>
      </c>
      <c r="FB352" s="32">
        <f ca="1">IF(ENTRADAS!$F$22&gt;=2,IF(FB113=10,1000,1),0)</f>
        <v>1</v>
      </c>
      <c r="FC352" s="32">
        <f ca="1">IF(ENTRADAS!$F$22&gt;=2,IF(FC113=10,1000,1),0)</f>
        <v>1</v>
      </c>
      <c r="FD352" s="32">
        <f ca="1">IF(ENTRADAS!$F$22&gt;=2,IF(FD113=10,1000,1),0)</f>
        <v>1</v>
      </c>
      <c r="FE352" s="32">
        <f ca="1">IF(ENTRADAS!$F$22&gt;=2,IF(FE113=10,1000,1),0)</f>
        <v>1</v>
      </c>
      <c r="FF352" s="32">
        <f ca="1">IF(ENTRADAS!$F$22&gt;=2,IF(FF113=10,1000,1),0)</f>
        <v>1</v>
      </c>
      <c r="FG352" s="32">
        <f ca="1">IF(ENTRADAS!$F$22&gt;=2,IF(FG113=10,1000,1),0)</f>
        <v>1</v>
      </c>
      <c r="FH352" s="32">
        <f ca="1">IF(ENTRADAS!$F$22&gt;=2,IF(FH113=10,1000,1),0)</f>
        <v>1</v>
      </c>
      <c r="FI352" s="32">
        <f ca="1">IF(ENTRADAS!$F$22&gt;=2,IF(FI113=10,1000,1),0)</f>
        <v>1</v>
      </c>
      <c r="FJ352" s="32">
        <f ca="1">IF(ENTRADAS!$F$22&gt;=2,IF(FJ113=10,1000,1),0)</f>
        <v>1</v>
      </c>
      <c r="FK352" s="32">
        <f ca="1">IF(ENTRADAS!$F$22&gt;=2,IF(FK113=10,1000,1),0)</f>
        <v>1</v>
      </c>
      <c r="FL352" s="32">
        <f ca="1">IF(ENTRADAS!$F$22&gt;=2,IF(FL113=10,1000,1),0)</f>
        <v>1</v>
      </c>
      <c r="FM352" s="32">
        <f ca="1">IF(ENTRADAS!$F$22&gt;=2,IF(FM113=10,1000,1),0)</f>
        <v>1</v>
      </c>
      <c r="FN352" s="32">
        <f ca="1">IF(ENTRADAS!$F$22&gt;=2,IF(FN113=10,1000,1),0)</f>
        <v>1</v>
      </c>
      <c r="FO352" s="32">
        <f ca="1">IF(ENTRADAS!$F$22&gt;=2,IF(FO113=10,1000,1),0)</f>
        <v>1</v>
      </c>
      <c r="FP352" s="32">
        <f ca="1">IF(ENTRADAS!$F$22&gt;=2,IF(FP113=10,1000,1),0)</f>
        <v>1</v>
      </c>
      <c r="FQ352" s="32">
        <f ca="1">IF(ENTRADAS!$F$22&gt;=2,IF(FQ113=10,1000,1),0)</f>
        <v>1</v>
      </c>
      <c r="FR352" s="32">
        <f ca="1">IF(ENTRADAS!$F$22&gt;=2,IF(FR113=10,1000,1),0)</f>
        <v>1</v>
      </c>
      <c r="FS352" s="32">
        <f ca="1">IF(ENTRADAS!$F$22&gt;=2,IF(FS113=10,1000,1),0)</f>
        <v>1</v>
      </c>
      <c r="FT352" s="32">
        <f ca="1">IF(ENTRADAS!$F$22&gt;=2,IF(FT113=10,1000,1),0)</f>
        <v>1</v>
      </c>
      <c r="FU352" s="32">
        <f ca="1">IF(ENTRADAS!$F$22&gt;=2,IF(FU113=10,1000,1),0)</f>
        <v>1</v>
      </c>
      <c r="FV352" s="32">
        <f ca="1">IF(ENTRADAS!$F$22&gt;=2,IF(FV113=10,1000,1),0)</f>
        <v>1</v>
      </c>
      <c r="FW352" s="32">
        <f ca="1">IF(ENTRADAS!$F$22&gt;=2,IF(FW113=10,1000,1),0)</f>
        <v>1</v>
      </c>
      <c r="FX352" s="32">
        <f ca="1">IF(ENTRADAS!$F$22&gt;=2,IF(FX113=10,1000,1),0)</f>
        <v>1</v>
      </c>
      <c r="FY352" s="32">
        <f ca="1">IF(ENTRADAS!$F$22&gt;=2,IF(FY113=10,1000,1),0)</f>
        <v>1</v>
      </c>
      <c r="FZ352" s="32">
        <f ca="1">IF(ENTRADAS!$F$22&gt;=2,IF(FZ113=10,1000,1),0)</f>
        <v>1</v>
      </c>
      <c r="GA352" s="32">
        <f ca="1">IF(ENTRADAS!$F$22&gt;=2,IF(GA113=10,1000,1),0)</f>
        <v>1</v>
      </c>
      <c r="GB352" s="32">
        <f ca="1">IF(ENTRADAS!$F$22&gt;=2,IF(GB113=10,1000,1),0)</f>
        <v>1</v>
      </c>
      <c r="GC352" s="32">
        <f ca="1">IF(ENTRADAS!$F$22&gt;=2,IF(GC113=10,1000,1),0)</f>
        <v>1</v>
      </c>
      <c r="GD352" s="32">
        <f ca="1">IF(ENTRADAS!$F$22&gt;=2,IF(GD113=10,1000,1),0)</f>
        <v>1</v>
      </c>
      <c r="GE352" s="32">
        <f ca="1">IF(ENTRADAS!$F$22&gt;=2,IF(GE113=10,1000,1),0)</f>
        <v>1</v>
      </c>
      <c r="GF352" s="32">
        <f ca="1">IF(ENTRADAS!$F$22&gt;=2,IF(GF113=10,1000,1),0)</f>
        <v>1</v>
      </c>
      <c r="GG352" s="32">
        <f ca="1">IF(ENTRADAS!$F$22&gt;=2,IF(GG113=10,1000,1),0)</f>
        <v>1</v>
      </c>
      <c r="GH352" s="32">
        <f ca="1">IF(ENTRADAS!$F$22&gt;=2,IF(GH113=10,1000,1),0)</f>
        <v>1</v>
      </c>
      <c r="GI352" s="32">
        <f ca="1">IF(ENTRADAS!$F$22&gt;=2,IF(GI113=10,1000,1),0)</f>
        <v>1</v>
      </c>
      <c r="GJ352" s="32">
        <f ca="1">IF(ENTRADAS!$F$22&gt;=2,IF(GJ113=10,1000,1),0)</f>
        <v>1</v>
      </c>
      <c r="GK352" s="32">
        <f ca="1">IF(ENTRADAS!$F$22&gt;=2,IF(GK113=10,1000,1),0)</f>
        <v>1</v>
      </c>
      <c r="GL352" s="32">
        <f ca="1">IF(ENTRADAS!$F$22&gt;=2,IF(GL113=10,1000,1),0)</f>
        <v>1</v>
      </c>
      <c r="GM352" s="32">
        <f ca="1">IF(ENTRADAS!$F$22&gt;=2,IF(GM113=10,1000,1),0)</f>
        <v>1</v>
      </c>
      <c r="GN352" s="32">
        <f ca="1">IF(ENTRADAS!$F$22&gt;=2,IF(GN113=10,1000,1),0)</f>
        <v>1</v>
      </c>
      <c r="GO352" s="32">
        <f ca="1">IF(ENTRADAS!$F$22&gt;=2,IF(GO113=10,1000,1),0)</f>
        <v>1</v>
      </c>
      <c r="GP352" s="32">
        <f ca="1">IF(ENTRADAS!$F$22&gt;=2,IF(GP113=10,1000,1),0)</f>
        <v>1</v>
      </c>
      <c r="GQ352" s="32">
        <f ca="1">IF(ENTRADAS!$F$22&gt;=2,IF(GQ113=10,1000,1),0)</f>
        <v>1</v>
      </c>
      <c r="GR352" s="32">
        <f ca="1">IF(ENTRADAS!$F$22&gt;=2,IF(GR113=10,1000,1),0)</f>
        <v>1</v>
      </c>
      <c r="GS352" s="32">
        <f ca="1">IF(ENTRADAS!$F$22&gt;=2,IF(GS113=10,1000,1),0)</f>
        <v>1</v>
      </c>
      <c r="GT352" s="32">
        <f ca="1">IF(ENTRADAS!$F$22&gt;=2,IF(GT113=10,1000,1),0)</f>
        <v>1</v>
      </c>
      <c r="GU352" s="32">
        <f ca="1">IF(ENTRADAS!$F$22&gt;=2,IF(GU113=10,1000,1),0)</f>
        <v>1</v>
      </c>
      <c r="GV352" s="32">
        <f ca="1">IF(ENTRADAS!$F$22&gt;=2,IF(GV113=10,1000,1),0)</f>
        <v>1</v>
      </c>
      <c r="GW352" s="32">
        <f ca="1">IF(ENTRADAS!$F$22&gt;=2,IF(GW113=10,1000,1),0)</f>
        <v>1</v>
      </c>
      <c r="GX352" s="32">
        <f ca="1">IF(ENTRADAS!$F$22&gt;=2,IF(GX113=10,1000,1),0)</f>
        <v>1</v>
      </c>
      <c r="GY352" s="32">
        <f ca="1">IF(ENTRADAS!$F$22&gt;=2,IF(GY113=10,1000,1),0)</f>
        <v>1</v>
      </c>
      <c r="GZ352" s="32">
        <f ca="1">IF(ENTRADAS!$F$22&gt;=2,IF(GZ113=10,1000,1),0)</f>
        <v>1</v>
      </c>
      <c r="HA352" s="32">
        <f ca="1">IF(ENTRADAS!$F$22&gt;=2,IF(HA113=10,1000,1),0)</f>
        <v>1</v>
      </c>
      <c r="HB352" s="32">
        <f ca="1">IF(ENTRADAS!$F$22&gt;=2,IF(HB113=10,1000,1),0)</f>
        <v>1</v>
      </c>
      <c r="HC352" s="32">
        <f ca="1">IF(ENTRADAS!$F$22&gt;=2,IF(HC113=10,1000,1),0)</f>
        <v>1</v>
      </c>
      <c r="HD352" s="32">
        <f ca="1">IF(ENTRADAS!$F$22&gt;=2,IF(HD113=10,1000,1),0)</f>
        <v>1</v>
      </c>
      <c r="HE352" s="32">
        <f ca="1">IF(ENTRADAS!$F$22&gt;=2,IF(HE113=10,1000,1),0)</f>
        <v>1</v>
      </c>
      <c r="HF352" s="32">
        <f ca="1">IF(ENTRADAS!$F$22&gt;=2,IF(HF113=10,1000,1),0)</f>
        <v>1</v>
      </c>
      <c r="HG352" s="32">
        <f ca="1">IF(ENTRADAS!$F$22&gt;=2,IF(HG113=10,1000,1),0)</f>
        <v>1</v>
      </c>
      <c r="HH352" s="32">
        <f ca="1">IF(ENTRADAS!$F$22&gt;=2,IF(HH113=10,1000,1),0)</f>
        <v>1</v>
      </c>
      <c r="HI352" s="32">
        <f ca="1">IF(ENTRADAS!$F$22&gt;=2,IF(HI113=10,1000,1),0)</f>
        <v>1</v>
      </c>
      <c r="HJ352" s="32">
        <f ca="1">IF(ENTRADAS!$F$22&gt;=2,IF(HJ113=10,1000,1),0)</f>
        <v>1</v>
      </c>
      <c r="HK352" s="32">
        <f ca="1">IF(ENTRADAS!$F$22&gt;=2,IF(HK113=10,1000,1),0)</f>
        <v>1</v>
      </c>
      <c r="HL352" s="32">
        <f ca="1">IF(ENTRADAS!$F$22&gt;=2,IF(HL113=10,1000,1),0)</f>
        <v>1</v>
      </c>
      <c r="HM352" s="32">
        <f ca="1">IF(ENTRADAS!$F$22&gt;=2,IF(HM113=10,1000,1),0)</f>
        <v>1</v>
      </c>
      <c r="HN352" s="32">
        <f ca="1">IF(ENTRADAS!$F$22&gt;=2,IF(HN113=10,1000,1),0)</f>
        <v>1</v>
      </c>
      <c r="HO352" s="32">
        <f ca="1">IF(ENTRADAS!$F$22&gt;=2,IF(HO113=10,1000,1),0)</f>
        <v>1</v>
      </c>
      <c r="HP352" s="32">
        <f ca="1">IF(ENTRADAS!$F$22&gt;=2,IF(HP113=10,1000,1),0)</f>
        <v>1</v>
      </c>
      <c r="HQ352" s="32">
        <f ca="1">IF(ENTRADAS!$F$22&gt;=2,IF(HQ113=10,1000,1),0)</f>
        <v>1</v>
      </c>
      <c r="HR352" s="32">
        <f ca="1">IF(ENTRADAS!$F$22&gt;=2,IF(HR113=10,1000,1),0)</f>
        <v>1</v>
      </c>
      <c r="HS352" s="32">
        <f ca="1">IF(ENTRADAS!$F$22&gt;=2,IF(HS113=10,1000,1),0)</f>
        <v>1</v>
      </c>
      <c r="HT352" s="32">
        <f ca="1">IF(ENTRADAS!$F$22&gt;=2,IF(HT113=10,1000,1),0)</f>
        <v>1</v>
      </c>
      <c r="HU352" s="32">
        <f ca="1">IF(ENTRADAS!$F$22&gt;=2,IF(HU113=10,1000,1),0)</f>
        <v>1</v>
      </c>
      <c r="HV352" s="32">
        <f ca="1">IF(ENTRADAS!$F$22&gt;=2,IF(HV113=10,1000,1),0)</f>
        <v>1</v>
      </c>
      <c r="HW352" s="32">
        <f ca="1">IF(ENTRADAS!$F$22&gt;=2,IF(HW113=10,1000,1),0)</f>
        <v>1</v>
      </c>
      <c r="HX352" s="32">
        <f ca="1">IF(ENTRADAS!$F$22&gt;=2,IF(HX113=10,1000,1),0)</f>
        <v>1</v>
      </c>
      <c r="HY352" s="32">
        <f ca="1">IF(ENTRADAS!$F$22&gt;=2,IF(HY113=10,1000,1),0)</f>
        <v>1</v>
      </c>
      <c r="HZ352" s="32">
        <f ca="1">IF(ENTRADAS!$F$22&gt;=2,IF(HZ113=10,1000,1),0)</f>
        <v>1</v>
      </c>
      <c r="IA352" s="32">
        <f ca="1">IF(ENTRADAS!$F$22&gt;=2,IF(IA113=10,1000,1),0)</f>
        <v>1</v>
      </c>
      <c r="IB352" s="32">
        <f ca="1">IF(ENTRADAS!$F$22&gt;=2,IF(IB113=10,1000,1),0)</f>
        <v>1</v>
      </c>
      <c r="IC352" s="32">
        <f ca="1">IF(ENTRADAS!$F$22&gt;=2,IF(IC113=10,1000,1),0)</f>
        <v>1</v>
      </c>
      <c r="ID352" s="32">
        <f ca="1">IF(ENTRADAS!$F$22&gt;=2,IF(ID113=10,1000,1),0)</f>
        <v>1</v>
      </c>
      <c r="IE352" s="32">
        <f ca="1">IF(ENTRADAS!$F$22&gt;=2,IF(IE113=10,1000,1),0)</f>
        <v>1</v>
      </c>
      <c r="IF352" s="32">
        <f ca="1">IF(ENTRADAS!$F$22&gt;=2,IF(IF113=10,1000,1),0)</f>
        <v>1</v>
      </c>
      <c r="IG352" s="32">
        <f ca="1">IF(ENTRADAS!$F$22&gt;=2,IF(IG113=10,1000,1),0)</f>
        <v>1</v>
      </c>
      <c r="IH352" s="32">
        <f ca="1">IF(ENTRADAS!$F$22&gt;=2,IF(IH113=10,1000,1),0)</f>
        <v>1</v>
      </c>
      <c r="II352" s="32">
        <f ca="1">IF(ENTRADAS!$F$22&gt;=2,IF(II113=10,1000,1),0)</f>
        <v>1</v>
      </c>
      <c r="IJ352" s="32">
        <f ca="1">IF(ENTRADAS!$F$22&gt;=2,IF(IJ113=10,1000,1),0)</f>
        <v>1</v>
      </c>
      <c r="IK352" s="32">
        <f ca="1">IF(ENTRADAS!$F$22&gt;=2,IF(IK113=10,1000,1),0)</f>
        <v>1</v>
      </c>
    </row>
    <row r="353" spans="1:245" hidden="1" x14ac:dyDescent="0.35">
      <c r="A353" s="195">
        <f t="shared" si="364"/>
        <v>0</v>
      </c>
      <c r="C353" s="639" t="s">
        <v>1613</v>
      </c>
      <c r="D353" s="637" t="s">
        <v>1608</v>
      </c>
      <c r="E353" s="17"/>
      <c r="F353" s="626"/>
      <c r="H353" s="32">
        <f ca="1">IF($F$353="X",0,IF(ENTRADAS!$F$22&gt;=2,IF(H115=10,1000,1),0))</f>
        <v>1</v>
      </c>
      <c r="I353" s="32">
        <f ca="1">IF($F$353="X",0,IF(ENTRADAS!$F$22&gt;=2,IF(I115=10,1000,1),0))</f>
        <v>1</v>
      </c>
      <c r="J353" s="32">
        <f ca="1">IF($F$353="X",0,IF(ENTRADAS!$F$22&gt;=2,IF(J115=10,1000,1),0))</f>
        <v>1</v>
      </c>
      <c r="K353" s="32">
        <f ca="1">IF($F$353="X",0,IF(ENTRADAS!$F$22&gt;=2,IF(K115=10,1000,1),0))</f>
        <v>1</v>
      </c>
      <c r="L353" s="32">
        <f ca="1">IF($F$353="X",0,IF(ENTRADAS!$F$22&gt;=2,IF(L115=10,1000,1),0))</f>
        <v>1</v>
      </c>
      <c r="M353" s="32">
        <f ca="1">IF($F$353="X",0,IF(ENTRADAS!$F$22&gt;=2,IF(M115=10,1000,1),0))</f>
        <v>1</v>
      </c>
      <c r="N353" s="32">
        <f ca="1">IF($F$353="X",0,IF(ENTRADAS!$F$22&gt;=2,IF(N115=10,1000,1),0))</f>
        <v>1</v>
      </c>
      <c r="O353" s="32">
        <f ca="1">IF($F$353="X",0,IF(ENTRADAS!$F$22&gt;=2,IF(O115=10,1000,1),0))</f>
        <v>1</v>
      </c>
      <c r="P353" s="32">
        <f ca="1">IF($F$353="X",0,IF(ENTRADAS!$F$22&gt;=2,IF(P115=10,1000,1),0))</f>
        <v>1</v>
      </c>
      <c r="Q353" s="32">
        <f ca="1">IF($F$353="X",0,IF(ENTRADAS!$F$22&gt;=2,IF(Q115=10,1000,1),0))</f>
        <v>1</v>
      </c>
      <c r="R353" s="32">
        <f ca="1">IF($F$353="X",0,IF(ENTRADAS!$F$22&gt;=2,IF(R115=10,1000,1),0))</f>
        <v>1</v>
      </c>
      <c r="S353" s="32">
        <f ca="1">IF($F$353="X",0,IF(ENTRADAS!$F$22&gt;=2,IF(S115=10,1000,1),0))</f>
        <v>1</v>
      </c>
      <c r="T353" s="32">
        <f ca="1">IF($F$353="X",0,IF(ENTRADAS!$F$22&gt;=2,IF(T115=10,1000,1),0))</f>
        <v>1</v>
      </c>
      <c r="U353" s="32">
        <f ca="1">IF($F$353="X",0,IF(ENTRADAS!$F$22&gt;=2,IF(U115=10,1000,1),0))</f>
        <v>1</v>
      </c>
      <c r="V353" s="32">
        <f ca="1">IF($F$353="X",0,IF(ENTRADAS!$F$22&gt;=2,IF(V115=10,1000,1),0))</f>
        <v>1</v>
      </c>
      <c r="W353" s="32">
        <f ca="1">IF($F$353="X",0,IF(ENTRADAS!$F$22&gt;=2,IF(W115=10,1000,1),0))</f>
        <v>1</v>
      </c>
      <c r="X353" s="32">
        <f ca="1">IF($F$353="X",0,IF(ENTRADAS!$F$22&gt;=2,IF(X115=10,1000,1),0))</f>
        <v>1</v>
      </c>
      <c r="Y353" s="32">
        <f ca="1">IF($F$353="X",0,IF(ENTRADAS!$F$22&gt;=2,IF(Y115=10,1000,1),0))</f>
        <v>1</v>
      </c>
      <c r="Z353" s="32">
        <f ca="1">IF($F$353="X",0,IF(ENTRADAS!$F$22&gt;=2,IF(Z115=10,1000,1),0))</f>
        <v>1</v>
      </c>
      <c r="AA353" s="32">
        <f ca="1">IF($F$353="X",0,IF(ENTRADAS!$F$22&gt;=2,IF(AA115=10,1000,1),0))</f>
        <v>1</v>
      </c>
      <c r="AB353" s="32">
        <f ca="1">IF($F$353="X",0,IF(ENTRADAS!$F$22&gt;=2,IF(AB115=10,1000,1),0))</f>
        <v>1</v>
      </c>
      <c r="AC353" s="32">
        <f ca="1">IF($F$353="X",0,IF(ENTRADAS!$F$22&gt;=2,IF(AC115=10,1000,1),0))</f>
        <v>1</v>
      </c>
      <c r="AD353" s="32">
        <f ca="1">IF($F$353="X",0,IF(ENTRADAS!$F$22&gt;=2,IF(AD115=10,1000,1),0))</f>
        <v>1</v>
      </c>
      <c r="AE353" s="32">
        <f ca="1">IF($F$353="X",0,IF(ENTRADAS!$F$22&gt;=2,IF(AE115=10,1000,1),0))</f>
        <v>1</v>
      </c>
      <c r="AF353" s="32">
        <f ca="1">IF($F$353="X",0,IF(ENTRADAS!$F$22&gt;=2,IF(AF115=10,1000,1),0))</f>
        <v>1</v>
      </c>
      <c r="AG353" s="32">
        <f ca="1">IF($F$353="X",0,IF(ENTRADAS!$F$22&gt;=2,IF(AG115=10,1000,1),0))</f>
        <v>1</v>
      </c>
      <c r="AH353" s="32">
        <f ca="1">IF($F$353="X",0,IF(ENTRADAS!$F$22&gt;=2,IF(AH115=10,1000,1),0))</f>
        <v>1</v>
      </c>
      <c r="AI353" s="32">
        <f ca="1">IF($F$353="X",0,IF(ENTRADAS!$F$22&gt;=2,IF(AI115=10,1000,1),0))</f>
        <v>1</v>
      </c>
      <c r="AJ353" s="32">
        <f ca="1">IF($F$353="X",0,IF(ENTRADAS!$F$22&gt;=2,IF(AJ115=10,1000,1),0))</f>
        <v>1</v>
      </c>
      <c r="AK353" s="32">
        <f ca="1">IF($F$353="X",0,IF(ENTRADAS!$F$22&gt;=2,IF(AK115=10,1000,1),0))</f>
        <v>1</v>
      </c>
      <c r="AL353" s="32">
        <f ca="1">IF($F$353="X",0,IF(ENTRADAS!$F$22&gt;=2,IF(AL115=10,1000,1),0))</f>
        <v>1</v>
      </c>
      <c r="AM353" s="32">
        <f ca="1">IF($F$353="X",0,IF(ENTRADAS!$F$22&gt;=2,IF(AM115=10,1000,1),0))</f>
        <v>1</v>
      </c>
      <c r="AN353" s="32">
        <f ca="1">IF($F$353="X",0,IF(ENTRADAS!$F$22&gt;=2,IF(AN115=10,1000,1),0))</f>
        <v>1</v>
      </c>
      <c r="AO353" s="32">
        <f ca="1">IF($F$353="X",0,IF(ENTRADAS!$F$22&gt;=2,IF(AO115=10,1000,1),0))</f>
        <v>1</v>
      </c>
      <c r="AP353" s="32">
        <f ca="1">IF($F$353="X",0,IF(ENTRADAS!$F$22&gt;=2,IF(AP115=10,1000,1),0))</f>
        <v>1</v>
      </c>
      <c r="AQ353" s="32">
        <f ca="1">IF($F$353="X",0,IF(ENTRADAS!$F$22&gt;=2,IF(AQ115=10,1000,1),0))</f>
        <v>1</v>
      </c>
      <c r="AR353" s="32">
        <f ca="1">IF($F$353="X",0,IF(ENTRADAS!$F$22&gt;=2,IF(AR115=10,1000,1),0))</f>
        <v>1</v>
      </c>
      <c r="AS353" s="32">
        <f ca="1">IF($F$353="X",0,IF(ENTRADAS!$F$22&gt;=2,IF(AS115=10,1000,1),0))</f>
        <v>1</v>
      </c>
      <c r="AT353" s="32">
        <f ca="1">IF($F$353="X",0,IF(ENTRADAS!$F$22&gt;=2,IF(AT115=10,1000,1),0))</f>
        <v>1</v>
      </c>
      <c r="AU353" s="32">
        <f ca="1">IF($F$353="X",0,IF(ENTRADAS!$F$22&gt;=2,IF(AU115=10,1000,1),0))</f>
        <v>1</v>
      </c>
      <c r="AV353" s="32">
        <f ca="1">IF($F$353="X",0,IF(ENTRADAS!$F$22&gt;=2,IF(AV115=10,1000,1),0))</f>
        <v>1</v>
      </c>
      <c r="AW353" s="32">
        <f ca="1">IF($F$353="X",0,IF(ENTRADAS!$F$22&gt;=2,IF(AW115=10,1000,1),0))</f>
        <v>1</v>
      </c>
      <c r="AX353" s="32">
        <f ca="1">IF($F$353="X",0,IF(ENTRADAS!$F$22&gt;=2,IF(AX115=10,1000,1),0))</f>
        <v>1</v>
      </c>
      <c r="AY353" s="32">
        <f ca="1">IF($F$353="X",0,IF(ENTRADAS!$F$22&gt;=2,IF(AY115=10,1000,1),0))</f>
        <v>1</v>
      </c>
      <c r="AZ353" s="32">
        <f ca="1">IF($F$353="X",0,IF(ENTRADAS!$F$22&gt;=2,IF(AZ115=10,1000,1),0))</f>
        <v>1</v>
      </c>
      <c r="BA353" s="32">
        <f ca="1">IF($F$353="X",0,IF(ENTRADAS!$F$22&gt;=2,IF(BA115=10,1000,1),0))</f>
        <v>1</v>
      </c>
      <c r="BB353" s="32">
        <f ca="1">IF($F$353="X",0,IF(ENTRADAS!$F$22&gt;=2,IF(BB115=10,1000,1),0))</f>
        <v>1</v>
      </c>
      <c r="BC353" s="32">
        <f ca="1">IF($F$353="X",0,IF(ENTRADAS!$F$22&gt;=2,IF(BC115=10,1000,1),0))</f>
        <v>1</v>
      </c>
      <c r="BD353" s="32">
        <f ca="1">IF($F$353="X",0,IF(ENTRADAS!$F$22&gt;=2,IF(BD115=10,1000,1),0))</f>
        <v>1</v>
      </c>
      <c r="BE353" s="32">
        <f ca="1">IF($F$353="X",0,IF(ENTRADAS!$F$22&gt;=2,IF(BE115=10,1000,1),0))</f>
        <v>1</v>
      </c>
      <c r="BF353" s="32">
        <f ca="1">IF($F$353="X",0,IF(ENTRADAS!$F$22&gt;=2,IF(BF115=10,1000,1),0))</f>
        <v>1</v>
      </c>
      <c r="BG353" s="32">
        <f ca="1">IF($F$353="X",0,IF(ENTRADAS!$F$22&gt;=2,IF(BG115=10,1000,1),0))</f>
        <v>1</v>
      </c>
      <c r="BH353" s="32">
        <f ca="1">IF($F$353="X",0,IF(ENTRADAS!$F$22&gt;=2,IF(BH115=10,1000,1),0))</f>
        <v>1</v>
      </c>
      <c r="BI353" s="32">
        <f ca="1">IF($F$353="X",0,IF(ENTRADAS!$F$22&gt;=2,IF(BI115=10,1000,1),0))</f>
        <v>1</v>
      </c>
      <c r="BJ353" s="32">
        <f ca="1">IF($F$353="X",0,IF(ENTRADAS!$F$22&gt;=2,IF(BJ115=10,1000,1),0))</f>
        <v>1</v>
      </c>
      <c r="BK353" s="32">
        <f ca="1">IF($F$353="X",0,IF(ENTRADAS!$F$22&gt;=2,IF(BK115=10,1000,1),0))</f>
        <v>1</v>
      </c>
      <c r="BL353" s="32">
        <f ca="1">IF($F$353="X",0,IF(ENTRADAS!$F$22&gt;=2,IF(BL115=10,1000,1),0))</f>
        <v>1</v>
      </c>
      <c r="BM353" s="32">
        <f ca="1">IF($F$353="X",0,IF(ENTRADAS!$F$22&gt;=2,IF(BM115=10,1000,1),0))</f>
        <v>1</v>
      </c>
      <c r="BN353" s="32">
        <f ca="1">IF($F$353="X",0,IF(ENTRADAS!$F$22&gt;=2,IF(BN115=10,1000,1),0))</f>
        <v>1</v>
      </c>
      <c r="BO353" s="32">
        <f ca="1">IF($F$353="X",0,IF(ENTRADAS!$F$22&gt;=2,IF(BO115=10,1000,1),0))</f>
        <v>1</v>
      </c>
      <c r="BP353" s="32">
        <f ca="1">IF($F$353="X",0,IF(ENTRADAS!$F$22&gt;=2,IF(BP115=10,1000,1),0))</f>
        <v>1</v>
      </c>
      <c r="BQ353" s="32">
        <f ca="1">IF($F$353="X",0,IF(ENTRADAS!$F$22&gt;=2,IF(BQ115=10,1000,1),0))</f>
        <v>1</v>
      </c>
      <c r="BR353" s="32">
        <f ca="1">IF($F$353="X",0,IF(ENTRADAS!$F$22&gt;=2,IF(BR115=10,1000,1),0))</f>
        <v>1</v>
      </c>
      <c r="BS353" s="32">
        <f ca="1">IF($F$353="X",0,IF(ENTRADAS!$F$22&gt;=2,IF(BS115=10,1000,1),0))</f>
        <v>1</v>
      </c>
      <c r="BT353" s="32">
        <f ca="1">IF($F$353="X",0,IF(ENTRADAS!$F$22&gt;=2,IF(BT115=10,1000,1),0))</f>
        <v>1</v>
      </c>
      <c r="BU353" s="32">
        <f ca="1">IF($F$353="X",0,IF(ENTRADAS!$F$22&gt;=2,IF(BU115=10,1000,1),0))</f>
        <v>1</v>
      </c>
      <c r="BV353" s="32">
        <f ca="1">IF($F$353="X",0,IF(ENTRADAS!$F$22&gt;=2,IF(BV115=10,1000,1),0))</f>
        <v>1</v>
      </c>
      <c r="BW353" s="32">
        <f ca="1">IF($F$353="X",0,IF(ENTRADAS!$F$22&gt;=2,IF(BW115=10,1000,1),0))</f>
        <v>1</v>
      </c>
      <c r="BX353" s="32">
        <f ca="1">IF($F$353="X",0,IF(ENTRADAS!$F$22&gt;=2,IF(BX115=10,1000,1),0))</f>
        <v>1</v>
      </c>
      <c r="BY353" s="32">
        <f ca="1">IF($F$353="X",0,IF(ENTRADAS!$F$22&gt;=2,IF(BY115=10,1000,1),0))</f>
        <v>1</v>
      </c>
      <c r="BZ353" s="32">
        <f ca="1">IF($F$353="X",0,IF(ENTRADAS!$F$22&gt;=2,IF(BZ115=10,1000,1),0))</f>
        <v>1</v>
      </c>
      <c r="CA353" s="32">
        <f ca="1">IF($F$353="X",0,IF(ENTRADAS!$F$22&gt;=2,IF(CA115=10,1000,1),0))</f>
        <v>1</v>
      </c>
      <c r="CB353" s="32">
        <f ca="1">IF($F$353="X",0,IF(ENTRADAS!$F$22&gt;=2,IF(CB115=10,1000,1),0))</f>
        <v>1</v>
      </c>
      <c r="CC353" s="32">
        <f ca="1">IF($F$353="X",0,IF(ENTRADAS!$F$22&gt;=2,IF(CC115=10,1000,1),0))</f>
        <v>1</v>
      </c>
      <c r="CD353" s="32">
        <f ca="1">IF($F$353="X",0,IF(ENTRADAS!$F$22&gt;=2,IF(CD115=10,1000,1),0))</f>
        <v>1</v>
      </c>
      <c r="CE353" s="32">
        <f ca="1">IF($F$353="X",0,IF(ENTRADAS!$F$22&gt;=2,IF(CE115=10,1000,1),0))</f>
        <v>1</v>
      </c>
      <c r="CF353" s="32">
        <f ca="1">IF($F$353="X",0,IF(ENTRADAS!$F$22&gt;=2,IF(CF115=10,1000,1),0))</f>
        <v>1</v>
      </c>
      <c r="CG353" s="32">
        <f ca="1">IF($F$353="X",0,IF(ENTRADAS!$F$22&gt;=2,IF(CG115=10,1000,1),0))</f>
        <v>1</v>
      </c>
      <c r="CH353" s="32">
        <f ca="1">IF($F$353="X",0,IF(ENTRADAS!$F$22&gt;=2,IF(CH115=10,1000,1),0))</f>
        <v>1</v>
      </c>
      <c r="CI353" s="32">
        <f ca="1">IF($F$353="X",0,IF(ENTRADAS!$F$22&gt;=2,IF(CI115=10,1000,1),0))</f>
        <v>1</v>
      </c>
      <c r="CJ353" s="32">
        <f ca="1">IF($F$353="X",0,IF(ENTRADAS!$F$22&gt;=2,IF(CJ115=10,1000,1),0))</f>
        <v>1</v>
      </c>
      <c r="CK353" s="32">
        <f ca="1">IF($F$353="X",0,IF(ENTRADAS!$F$22&gt;=2,IF(CK115=10,1000,1),0))</f>
        <v>1</v>
      </c>
      <c r="CL353" s="32">
        <f ca="1">IF($F$353="X",0,IF(ENTRADAS!$F$22&gt;=2,IF(CL115=10,1000,1),0))</f>
        <v>1</v>
      </c>
      <c r="CM353" s="32">
        <f ca="1">IF($F$353="X",0,IF(ENTRADAS!$F$22&gt;=2,IF(CM115=10,1000,1),0))</f>
        <v>1</v>
      </c>
      <c r="CN353" s="32">
        <f ca="1">IF($F$353="X",0,IF(ENTRADAS!$F$22&gt;=2,IF(CN115=10,1000,1),0))</f>
        <v>1</v>
      </c>
      <c r="CO353" s="32">
        <f ca="1">IF($F$353="X",0,IF(ENTRADAS!$F$22&gt;=2,IF(CO115=10,1000,1),0))</f>
        <v>1</v>
      </c>
      <c r="CP353" s="32">
        <f ca="1">IF($F$353="X",0,IF(ENTRADAS!$F$22&gt;=2,IF(CP115=10,1000,1),0))</f>
        <v>1</v>
      </c>
      <c r="CQ353" s="32">
        <f ca="1">IF($F$353="X",0,IF(ENTRADAS!$F$22&gt;=2,IF(CQ115=10,1000,1),0))</f>
        <v>1</v>
      </c>
      <c r="CR353" s="32">
        <f ca="1">IF($F$353="X",0,IF(ENTRADAS!$F$22&gt;=2,IF(CR115=10,1000,1),0))</f>
        <v>1</v>
      </c>
      <c r="CS353" s="32">
        <f ca="1">IF($F$353="X",0,IF(ENTRADAS!$F$22&gt;=2,IF(CS115=10,1000,1),0))</f>
        <v>1</v>
      </c>
      <c r="CT353" s="32">
        <f ca="1">IF($F$353="X",0,IF(ENTRADAS!$F$22&gt;=2,IF(CT115=10,1000,1),0))</f>
        <v>1</v>
      </c>
      <c r="CU353" s="32">
        <f ca="1">IF($F$353="X",0,IF(ENTRADAS!$F$22&gt;=2,IF(CU115=10,1000,1),0))</f>
        <v>1</v>
      </c>
      <c r="CV353" s="32">
        <f ca="1">IF($F$353="X",0,IF(ENTRADAS!$F$22&gt;=2,IF(CV115=10,1000,1),0))</f>
        <v>1</v>
      </c>
      <c r="CW353" s="32">
        <f ca="1">IF($F$353="X",0,IF(ENTRADAS!$F$22&gt;=2,IF(CW115=10,1000,1),0))</f>
        <v>1</v>
      </c>
      <c r="CX353" s="32">
        <f ca="1">IF($F$353="X",0,IF(ENTRADAS!$F$22&gt;=2,IF(CX115=10,1000,1),0))</f>
        <v>1</v>
      </c>
      <c r="CY353" s="32">
        <f ca="1">IF($F$353="X",0,IF(ENTRADAS!$F$22&gt;=2,IF(CY115=10,1000,1),0))</f>
        <v>1</v>
      </c>
      <c r="CZ353" s="32">
        <f ca="1">IF($F$353="X",0,IF(ENTRADAS!$F$22&gt;=2,IF(CZ115=10,1000,1),0))</f>
        <v>1</v>
      </c>
      <c r="DA353" s="32">
        <f ca="1">IF($F$353="X",0,IF(ENTRADAS!$F$22&gt;=2,IF(DA115=10,1000,1),0))</f>
        <v>1</v>
      </c>
      <c r="DB353" s="32">
        <f ca="1">IF($F$353="X",0,IF(ENTRADAS!$F$22&gt;=2,IF(DB115=10,1000,1),0))</f>
        <v>1</v>
      </c>
      <c r="DC353" s="32">
        <f ca="1">IF($F$353="X",0,IF(ENTRADAS!$F$22&gt;=2,IF(DC115=10,1000,1),0))</f>
        <v>1</v>
      </c>
      <c r="DD353" s="32">
        <f ca="1">IF($F$353="X",0,IF(ENTRADAS!$F$22&gt;=2,IF(DD115=10,1000,1),0))</f>
        <v>1</v>
      </c>
      <c r="DE353" s="32">
        <f ca="1">IF($F$353="X",0,IF(ENTRADAS!$F$22&gt;=2,IF(DE115=10,1000,1),0))</f>
        <v>1</v>
      </c>
      <c r="DF353" s="32">
        <f ca="1">IF($F$353="X",0,IF(ENTRADAS!$F$22&gt;=2,IF(DF115=10,1000,1),0))</f>
        <v>1</v>
      </c>
      <c r="DG353" s="32">
        <f ca="1">IF($F$353="X",0,IF(ENTRADAS!$F$22&gt;=2,IF(DG115=10,1000,1),0))</f>
        <v>1</v>
      </c>
      <c r="DH353" s="32">
        <f ca="1">IF($F$353="X",0,IF(ENTRADAS!$F$22&gt;=2,IF(DH115=10,1000,1),0))</f>
        <v>1</v>
      </c>
      <c r="DI353" s="32">
        <f ca="1">IF($F$353="X",0,IF(ENTRADAS!$F$22&gt;=2,IF(DI115=10,1000,1),0))</f>
        <v>1</v>
      </c>
      <c r="DJ353" s="32">
        <f ca="1">IF($F$353="X",0,IF(ENTRADAS!$F$22&gt;=2,IF(DJ115=10,1000,1),0))</f>
        <v>1</v>
      </c>
      <c r="DK353" s="32">
        <f ca="1">IF($F$353="X",0,IF(ENTRADAS!$F$22&gt;=2,IF(DK115=10,1000,1),0))</f>
        <v>1</v>
      </c>
      <c r="DL353" s="32">
        <f ca="1">IF($F$353="X",0,IF(ENTRADAS!$F$22&gt;=2,IF(DL115=10,1000,1),0))</f>
        <v>1</v>
      </c>
      <c r="DM353" s="32">
        <f ca="1">IF($F$353="X",0,IF(ENTRADAS!$F$22&gt;=2,IF(DM115=10,1000,1),0))</f>
        <v>1</v>
      </c>
      <c r="DN353" s="32">
        <f ca="1">IF($F$353="X",0,IF(ENTRADAS!$F$22&gt;=2,IF(DN115=10,1000,1),0))</f>
        <v>1</v>
      </c>
      <c r="DO353" s="32">
        <f ca="1">IF($F$353="X",0,IF(ENTRADAS!$F$22&gt;=2,IF(DO115=10,1000,1),0))</f>
        <v>1</v>
      </c>
      <c r="DP353" s="32">
        <f ca="1">IF($F$353="X",0,IF(ENTRADAS!$F$22&gt;=2,IF(DP115=10,1000,1),0))</f>
        <v>1</v>
      </c>
      <c r="DQ353" s="32">
        <f ca="1">IF($F$353="X",0,IF(ENTRADAS!$F$22&gt;=2,IF(DQ115=10,1000,1),0))</f>
        <v>1</v>
      </c>
      <c r="DR353" s="32">
        <f ca="1">IF($F$353="X",0,IF(ENTRADAS!$F$22&gt;=2,IF(DR115=10,1000,1),0))</f>
        <v>1</v>
      </c>
      <c r="DS353" s="32">
        <f ca="1">IF($F$353="X",0,IF(ENTRADAS!$F$22&gt;=2,IF(DS115=10,1000,1),0))</f>
        <v>1</v>
      </c>
      <c r="DT353" s="32">
        <f ca="1">IF($F$353="X",0,IF(ENTRADAS!$F$22&gt;=2,IF(DT115=10,1000,1),0))</f>
        <v>1</v>
      </c>
      <c r="DU353" s="32">
        <f ca="1">IF($F$353="X",0,IF(ENTRADAS!$F$22&gt;=2,IF(DU115=10,1000,1),0))</f>
        <v>1</v>
      </c>
      <c r="DV353" s="32">
        <f ca="1">IF($F$353="X",0,IF(ENTRADAS!$F$22&gt;=2,IF(DV115=10,1000,1),0))</f>
        <v>1</v>
      </c>
      <c r="DW353" s="32">
        <f ca="1">IF($F$353="X",0,IF(ENTRADAS!$F$22&gt;=2,IF(DW115=10,1000,1),0))</f>
        <v>1</v>
      </c>
      <c r="DX353" s="32">
        <f ca="1">IF($F$353="X",0,IF(ENTRADAS!$F$22&gt;=2,IF(DX115=10,1000,1),0))</f>
        <v>1</v>
      </c>
      <c r="DY353" s="32">
        <f ca="1">IF($F$353="X",0,IF(ENTRADAS!$F$22&gt;=2,IF(DY115=10,1000,1),0))</f>
        <v>1</v>
      </c>
      <c r="DZ353" s="32">
        <f ca="1">IF($F$353="X",0,IF(ENTRADAS!$F$22&gt;=2,IF(DZ115=10,1000,1),0))</f>
        <v>1</v>
      </c>
      <c r="EA353" s="32">
        <f ca="1">IF($F$353="X",0,IF(ENTRADAS!$F$22&gt;=2,IF(EA115=10,1000,1),0))</f>
        <v>1</v>
      </c>
      <c r="EB353" s="32">
        <f ca="1">IF($F$353="X",0,IF(ENTRADAS!$F$22&gt;=2,IF(EB115=10,1000,1),0))</f>
        <v>1</v>
      </c>
      <c r="EC353" s="32">
        <f ca="1">IF($F$353="X",0,IF(ENTRADAS!$F$22&gt;=2,IF(EC115=10,1000,1),0))</f>
        <v>1</v>
      </c>
      <c r="ED353" s="32">
        <f ca="1">IF($F$353="X",0,IF(ENTRADAS!$F$22&gt;=2,IF(ED115=10,1000,1),0))</f>
        <v>1</v>
      </c>
      <c r="EE353" s="32">
        <f ca="1">IF($F$353="X",0,IF(ENTRADAS!$F$22&gt;=2,IF(EE115=10,1000,1),0))</f>
        <v>1</v>
      </c>
      <c r="EF353" s="32">
        <f ca="1">IF($F$353="X",0,IF(ENTRADAS!$F$22&gt;=2,IF(EF115=10,1000,1),0))</f>
        <v>1</v>
      </c>
      <c r="EG353" s="32">
        <f ca="1">IF($F$353="X",0,IF(ENTRADAS!$F$22&gt;=2,IF(EG115=10,1000,1),0))</f>
        <v>1</v>
      </c>
      <c r="EH353" s="32">
        <f ca="1">IF($F$353="X",0,IF(ENTRADAS!$F$22&gt;=2,IF(EH115=10,1000,1),0))</f>
        <v>1</v>
      </c>
      <c r="EI353" s="32">
        <f ca="1">IF($F$353="X",0,IF(ENTRADAS!$F$22&gt;=2,IF(EI115=10,1000,1),0))</f>
        <v>1</v>
      </c>
      <c r="EJ353" s="32">
        <f ca="1">IF($F$353="X",0,IF(ENTRADAS!$F$22&gt;=2,IF(EJ115=10,1000,1),0))</f>
        <v>1</v>
      </c>
      <c r="EK353" s="32">
        <f ca="1">IF($F$353="X",0,IF(ENTRADAS!$F$22&gt;=2,IF(EK115=10,1000,1),0))</f>
        <v>1</v>
      </c>
      <c r="EL353" s="32">
        <f ca="1">IF($F$353="X",0,IF(ENTRADAS!$F$22&gt;=2,IF(EL115=10,1000,1),0))</f>
        <v>1</v>
      </c>
      <c r="EM353" s="32">
        <f ca="1">IF($F$353="X",0,IF(ENTRADAS!$F$22&gt;=2,IF(EM115=10,1000,1),0))</f>
        <v>1</v>
      </c>
      <c r="EN353" s="32">
        <f ca="1">IF($F$353="X",0,IF(ENTRADAS!$F$22&gt;=2,IF(EN115=10,1000,1),0))</f>
        <v>1</v>
      </c>
      <c r="EO353" s="32">
        <f ca="1">IF($F$353="X",0,IF(ENTRADAS!$F$22&gt;=2,IF(EO115=10,1000,1),0))</f>
        <v>1</v>
      </c>
      <c r="EP353" s="32">
        <f ca="1">IF($F$353="X",0,IF(ENTRADAS!$F$22&gt;=2,IF(EP115=10,1000,1),0))</f>
        <v>1</v>
      </c>
      <c r="EQ353" s="32">
        <f ca="1">IF($F$353="X",0,IF(ENTRADAS!$F$22&gt;=2,IF(EQ115=10,1000,1),0))</f>
        <v>1</v>
      </c>
      <c r="ER353" s="32">
        <f ca="1">IF($F$353="X",0,IF(ENTRADAS!$F$22&gt;=2,IF(ER115=10,1000,1),0))</f>
        <v>1</v>
      </c>
      <c r="ES353" s="32">
        <f ca="1">IF($F$353="X",0,IF(ENTRADAS!$F$22&gt;=2,IF(ES115=10,1000,1),0))</f>
        <v>1</v>
      </c>
      <c r="ET353" s="32">
        <f ca="1">IF($F$353="X",0,IF(ENTRADAS!$F$22&gt;=2,IF(ET115=10,1000,1),0))</f>
        <v>1</v>
      </c>
      <c r="EU353" s="32">
        <f ca="1">IF($F$353="X",0,IF(ENTRADAS!$F$22&gt;=2,IF(EU115=10,1000,1),0))</f>
        <v>1</v>
      </c>
      <c r="EV353" s="32">
        <f ca="1">IF($F$353="X",0,IF(ENTRADAS!$F$22&gt;=2,IF(EV115=10,1000,1),0))</f>
        <v>1</v>
      </c>
      <c r="EW353" s="32">
        <f ca="1">IF($F$353="X",0,IF(ENTRADAS!$F$22&gt;=2,IF(EW115=10,1000,1),0))</f>
        <v>1</v>
      </c>
      <c r="EX353" s="32">
        <f ca="1">IF($F$353="X",0,IF(ENTRADAS!$F$22&gt;=2,IF(EX115=10,1000,1),0))</f>
        <v>1</v>
      </c>
      <c r="EY353" s="32">
        <f ca="1">IF($F$353="X",0,IF(ENTRADAS!$F$22&gt;=2,IF(EY115=10,1000,1),0))</f>
        <v>1</v>
      </c>
      <c r="EZ353" s="32">
        <f ca="1">IF($F$353="X",0,IF(ENTRADAS!$F$22&gt;=2,IF(EZ115=10,1000,1),0))</f>
        <v>1</v>
      </c>
      <c r="FA353" s="32">
        <f ca="1">IF($F$353="X",0,IF(ENTRADAS!$F$22&gt;=2,IF(FA115=10,1000,1),0))</f>
        <v>1</v>
      </c>
      <c r="FB353" s="32">
        <f ca="1">IF($F$353="X",0,IF(ENTRADAS!$F$22&gt;=2,IF(FB115=10,1000,1),0))</f>
        <v>1</v>
      </c>
      <c r="FC353" s="32">
        <f ca="1">IF($F$353="X",0,IF(ENTRADAS!$F$22&gt;=2,IF(FC115=10,1000,1),0))</f>
        <v>1</v>
      </c>
      <c r="FD353" s="32">
        <f ca="1">IF($F$353="X",0,IF(ENTRADAS!$F$22&gt;=2,IF(FD115=10,1000,1),0))</f>
        <v>1</v>
      </c>
      <c r="FE353" s="32">
        <f ca="1">IF($F$353="X",0,IF(ENTRADAS!$F$22&gt;=2,IF(FE115=10,1000,1),0))</f>
        <v>1</v>
      </c>
      <c r="FF353" s="32">
        <f ca="1">IF($F$353="X",0,IF(ENTRADAS!$F$22&gt;=2,IF(FF115=10,1000,1),0))</f>
        <v>1</v>
      </c>
      <c r="FG353" s="32">
        <f ca="1">IF($F$353="X",0,IF(ENTRADAS!$F$22&gt;=2,IF(FG115=10,1000,1),0))</f>
        <v>1</v>
      </c>
      <c r="FH353" s="32">
        <f ca="1">IF($F$353="X",0,IF(ENTRADAS!$F$22&gt;=2,IF(FH115=10,1000,1),0))</f>
        <v>1</v>
      </c>
      <c r="FI353" s="32">
        <f ca="1">IF($F$353="X",0,IF(ENTRADAS!$F$22&gt;=2,IF(FI115=10,1000,1),0))</f>
        <v>1</v>
      </c>
      <c r="FJ353" s="32">
        <f ca="1">IF($F$353="X",0,IF(ENTRADAS!$F$22&gt;=2,IF(FJ115=10,1000,1),0))</f>
        <v>1</v>
      </c>
      <c r="FK353" s="32">
        <f ca="1">IF($F$353="X",0,IF(ENTRADAS!$F$22&gt;=2,IF(FK115=10,1000,1),0))</f>
        <v>1</v>
      </c>
      <c r="FL353" s="32">
        <f ca="1">IF($F$353="X",0,IF(ENTRADAS!$F$22&gt;=2,IF(FL115=10,1000,1),0))</f>
        <v>1</v>
      </c>
      <c r="FM353" s="32">
        <f ca="1">IF($F$353="X",0,IF(ENTRADAS!$F$22&gt;=2,IF(FM115=10,1000,1),0))</f>
        <v>1</v>
      </c>
      <c r="FN353" s="32">
        <f ca="1">IF($F$353="X",0,IF(ENTRADAS!$F$22&gt;=2,IF(FN115=10,1000,1),0))</f>
        <v>1</v>
      </c>
      <c r="FO353" s="32">
        <f ca="1">IF($F$353="X",0,IF(ENTRADAS!$F$22&gt;=2,IF(FO115=10,1000,1),0))</f>
        <v>1</v>
      </c>
      <c r="FP353" s="32">
        <f ca="1">IF($F$353="X",0,IF(ENTRADAS!$F$22&gt;=2,IF(FP115=10,1000,1),0))</f>
        <v>1</v>
      </c>
      <c r="FQ353" s="32">
        <f ca="1">IF($F$353="X",0,IF(ENTRADAS!$F$22&gt;=2,IF(FQ115=10,1000,1),0))</f>
        <v>1</v>
      </c>
      <c r="FR353" s="32">
        <f ca="1">IF($F$353="X",0,IF(ENTRADAS!$F$22&gt;=2,IF(FR115=10,1000,1),0))</f>
        <v>1</v>
      </c>
      <c r="FS353" s="32">
        <f ca="1">IF($F$353="X",0,IF(ENTRADAS!$F$22&gt;=2,IF(FS115=10,1000,1),0))</f>
        <v>1</v>
      </c>
      <c r="FT353" s="32">
        <f ca="1">IF($F$353="X",0,IF(ENTRADAS!$F$22&gt;=2,IF(FT115=10,1000,1),0))</f>
        <v>1</v>
      </c>
      <c r="FU353" s="32">
        <f ca="1">IF($F$353="X",0,IF(ENTRADAS!$F$22&gt;=2,IF(FU115=10,1000,1),0))</f>
        <v>1</v>
      </c>
      <c r="FV353" s="32">
        <f ca="1">IF($F$353="X",0,IF(ENTRADAS!$F$22&gt;=2,IF(FV115=10,1000,1),0))</f>
        <v>1</v>
      </c>
      <c r="FW353" s="32">
        <f ca="1">IF($F$353="X",0,IF(ENTRADAS!$F$22&gt;=2,IF(FW115=10,1000,1),0))</f>
        <v>1</v>
      </c>
      <c r="FX353" s="32">
        <f ca="1">IF($F$353="X",0,IF(ENTRADAS!$F$22&gt;=2,IF(FX115=10,1000,1),0))</f>
        <v>1</v>
      </c>
      <c r="FY353" s="32">
        <f ca="1">IF($F$353="X",0,IF(ENTRADAS!$F$22&gt;=2,IF(FY115=10,1000,1),0))</f>
        <v>1</v>
      </c>
      <c r="FZ353" s="32">
        <f ca="1">IF($F$353="X",0,IF(ENTRADAS!$F$22&gt;=2,IF(FZ115=10,1000,1),0))</f>
        <v>1</v>
      </c>
      <c r="GA353" s="32">
        <f ca="1">IF($F$353="X",0,IF(ENTRADAS!$F$22&gt;=2,IF(GA115=10,1000,1),0))</f>
        <v>1</v>
      </c>
      <c r="GB353" s="32">
        <f ca="1">IF($F$353="X",0,IF(ENTRADAS!$F$22&gt;=2,IF(GB115=10,1000,1),0))</f>
        <v>1</v>
      </c>
      <c r="GC353" s="32">
        <f ca="1">IF($F$353="X",0,IF(ENTRADAS!$F$22&gt;=2,IF(GC115=10,1000,1),0))</f>
        <v>1</v>
      </c>
      <c r="GD353" s="32">
        <f ca="1">IF($F$353="X",0,IF(ENTRADAS!$F$22&gt;=2,IF(GD115=10,1000,1),0))</f>
        <v>1</v>
      </c>
      <c r="GE353" s="32">
        <f ca="1">IF($F$353="X",0,IF(ENTRADAS!$F$22&gt;=2,IF(GE115=10,1000,1),0))</f>
        <v>1</v>
      </c>
      <c r="GF353" s="32">
        <f ca="1">IF($F$353="X",0,IF(ENTRADAS!$F$22&gt;=2,IF(GF115=10,1000,1),0))</f>
        <v>1</v>
      </c>
      <c r="GG353" s="32">
        <f ca="1">IF($F$353="X",0,IF(ENTRADAS!$F$22&gt;=2,IF(GG115=10,1000,1),0))</f>
        <v>1</v>
      </c>
      <c r="GH353" s="32">
        <f ca="1">IF($F$353="X",0,IF(ENTRADAS!$F$22&gt;=2,IF(GH115=10,1000,1),0))</f>
        <v>1</v>
      </c>
      <c r="GI353" s="32">
        <f ca="1">IF($F$353="X",0,IF(ENTRADAS!$F$22&gt;=2,IF(GI115=10,1000,1),0))</f>
        <v>1</v>
      </c>
      <c r="GJ353" s="32">
        <f ca="1">IF($F$353="X",0,IF(ENTRADAS!$F$22&gt;=2,IF(GJ115=10,1000,1),0))</f>
        <v>1</v>
      </c>
      <c r="GK353" s="32">
        <f ca="1">IF($F$353="X",0,IF(ENTRADAS!$F$22&gt;=2,IF(GK115=10,1000,1),0))</f>
        <v>1</v>
      </c>
      <c r="GL353" s="32">
        <f ca="1">IF($F$353="X",0,IF(ENTRADAS!$F$22&gt;=2,IF(GL115=10,1000,1),0))</f>
        <v>1</v>
      </c>
      <c r="GM353" s="32">
        <f ca="1">IF($F$353="X",0,IF(ENTRADAS!$F$22&gt;=2,IF(GM115=10,1000,1),0))</f>
        <v>1</v>
      </c>
      <c r="GN353" s="32">
        <f ca="1">IF($F$353="X",0,IF(ENTRADAS!$F$22&gt;=2,IF(GN115=10,1000,1),0))</f>
        <v>1</v>
      </c>
      <c r="GO353" s="32">
        <f ca="1">IF($F$353="X",0,IF(ENTRADAS!$F$22&gt;=2,IF(GO115=10,1000,1),0))</f>
        <v>1</v>
      </c>
      <c r="GP353" s="32">
        <f ca="1">IF($F$353="X",0,IF(ENTRADAS!$F$22&gt;=2,IF(GP115=10,1000,1),0))</f>
        <v>1</v>
      </c>
      <c r="GQ353" s="32">
        <f ca="1">IF($F$353="X",0,IF(ENTRADAS!$F$22&gt;=2,IF(GQ115=10,1000,1),0))</f>
        <v>1</v>
      </c>
      <c r="GR353" s="32">
        <f ca="1">IF($F$353="X",0,IF(ENTRADAS!$F$22&gt;=2,IF(GR115=10,1000,1),0))</f>
        <v>1</v>
      </c>
      <c r="GS353" s="32">
        <f ca="1">IF($F$353="X",0,IF(ENTRADAS!$F$22&gt;=2,IF(GS115=10,1000,1),0))</f>
        <v>1</v>
      </c>
      <c r="GT353" s="32">
        <f ca="1">IF($F$353="X",0,IF(ENTRADAS!$F$22&gt;=2,IF(GT115=10,1000,1),0))</f>
        <v>1</v>
      </c>
      <c r="GU353" s="32">
        <f ca="1">IF($F$353="X",0,IF(ENTRADAS!$F$22&gt;=2,IF(GU115=10,1000,1),0))</f>
        <v>1</v>
      </c>
      <c r="GV353" s="32">
        <f ca="1">IF($F$353="X",0,IF(ENTRADAS!$F$22&gt;=2,IF(GV115=10,1000,1),0))</f>
        <v>1</v>
      </c>
      <c r="GW353" s="32">
        <f ca="1">IF($F$353="X",0,IF(ENTRADAS!$F$22&gt;=2,IF(GW115=10,1000,1),0))</f>
        <v>1</v>
      </c>
      <c r="GX353" s="32">
        <f ca="1">IF($F$353="X",0,IF(ENTRADAS!$F$22&gt;=2,IF(GX115=10,1000,1),0))</f>
        <v>1</v>
      </c>
      <c r="GY353" s="32">
        <f ca="1">IF($F$353="X",0,IF(ENTRADAS!$F$22&gt;=2,IF(GY115=10,1000,1),0))</f>
        <v>1</v>
      </c>
      <c r="GZ353" s="32">
        <f ca="1">IF($F$353="X",0,IF(ENTRADAS!$F$22&gt;=2,IF(GZ115=10,1000,1),0))</f>
        <v>1</v>
      </c>
      <c r="HA353" s="32">
        <f ca="1">IF($F$353="X",0,IF(ENTRADAS!$F$22&gt;=2,IF(HA115=10,1000,1),0))</f>
        <v>1</v>
      </c>
      <c r="HB353" s="32">
        <f ca="1">IF($F$353="X",0,IF(ENTRADAS!$F$22&gt;=2,IF(HB115=10,1000,1),0))</f>
        <v>1</v>
      </c>
      <c r="HC353" s="32">
        <f ca="1">IF($F$353="X",0,IF(ENTRADAS!$F$22&gt;=2,IF(HC115=10,1000,1),0))</f>
        <v>1</v>
      </c>
      <c r="HD353" s="32">
        <f ca="1">IF($F$353="X",0,IF(ENTRADAS!$F$22&gt;=2,IF(HD115=10,1000,1),0))</f>
        <v>1</v>
      </c>
      <c r="HE353" s="32">
        <f ca="1">IF($F$353="X",0,IF(ENTRADAS!$F$22&gt;=2,IF(HE115=10,1000,1),0))</f>
        <v>1</v>
      </c>
      <c r="HF353" s="32">
        <f ca="1">IF($F$353="X",0,IF(ENTRADAS!$F$22&gt;=2,IF(HF115=10,1000,1),0))</f>
        <v>1</v>
      </c>
      <c r="HG353" s="32">
        <f ca="1">IF($F$353="X",0,IF(ENTRADAS!$F$22&gt;=2,IF(HG115=10,1000,1),0))</f>
        <v>1</v>
      </c>
      <c r="HH353" s="32">
        <f ca="1">IF($F$353="X",0,IF(ENTRADAS!$F$22&gt;=2,IF(HH115=10,1000,1),0))</f>
        <v>1</v>
      </c>
      <c r="HI353" s="32">
        <f ca="1">IF($F$353="X",0,IF(ENTRADAS!$F$22&gt;=2,IF(HI115=10,1000,1),0))</f>
        <v>1</v>
      </c>
      <c r="HJ353" s="32">
        <f ca="1">IF($F$353="X",0,IF(ENTRADAS!$F$22&gt;=2,IF(HJ115=10,1000,1),0))</f>
        <v>1</v>
      </c>
      <c r="HK353" s="32">
        <f ca="1">IF($F$353="X",0,IF(ENTRADAS!$F$22&gt;=2,IF(HK115=10,1000,1),0))</f>
        <v>1</v>
      </c>
      <c r="HL353" s="32">
        <f ca="1">IF($F$353="X",0,IF(ENTRADAS!$F$22&gt;=2,IF(HL115=10,1000,1),0))</f>
        <v>1</v>
      </c>
      <c r="HM353" s="32">
        <f ca="1">IF($F$353="X",0,IF(ENTRADAS!$F$22&gt;=2,IF(HM115=10,1000,1),0))</f>
        <v>1</v>
      </c>
      <c r="HN353" s="32">
        <f ca="1">IF($F$353="X",0,IF(ENTRADAS!$F$22&gt;=2,IF(HN115=10,1000,1),0))</f>
        <v>1</v>
      </c>
      <c r="HO353" s="32">
        <f ca="1">IF($F$353="X",0,IF(ENTRADAS!$F$22&gt;=2,IF(HO115=10,1000,1),0))</f>
        <v>1</v>
      </c>
      <c r="HP353" s="32">
        <f ca="1">IF($F$353="X",0,IF(ENTRADAS!$F$22&gt;=2,IF(HP115=10,1000,1),0))</f>
        <v>1</v>
      </c>
      <c r="HQ353" s="32">
        <f ca="1">IF($F$353="X",0,IF(ENTRADAS!$F$22&gt;=2,IF(HQ115=10,1000,1),0))</f>
        <v>1</v>
      </c>
      <c r="HR353" s="32">
        <f ca="1">IF($F$353="X",0,IF(ENTRADAS!$F$22&gt;=2,IF(HR115=10,1000,1),0))</f>
        <v>1</v>
      </c>
      <c r="HS353" s="32">
        <f ca="1">IF($F$353="X",0,IF(ENTRADAS!$F$22&gt;=2,IF(HS115=10,1000,1),0))</f>
        <v>1</v>
      </c>
      <c r="HT353" s="32">
        <f ca="1">IF($F$353="X",0,IF(ENTRADAS!$F$22&gt;=2,IF(HT115=10,1000,1),0))</f>
        <v>1</v>
      </c>
      <c r="HU353" s="32">
        <f ca="1">IF($F$353="X",0,IF(ENTRADAS!$F$22&gt;=2,IF(HU115=10,1000,1),0))</f>
        <v>1</v>
      </c>
      <c r="HV353" s="32">
        <f ca="1">IF($F$353="X",0,IF(ENTRADAS!$F$22&gt;=2,IF(HV115=10,1000,1),0))</f>
        <v>1</v>
      </c>
      <c r="HW353" s="32">
        <f ca="1">IF($F$353="X",0,IF(ENTRADAS!$F$22&gt;=2,IF(HW115=10,1000,1),0))</f>
        <v>1</v>
      </c>
      <c r="HX353" s="32">
        <f ca="1">IF($F$353="X",0,IF(ENTRADAS!$F$22&gt;=2,IF(HX115=10,1000,1),0))</f>
        <v>1</v>
      </c>
      <c r="HY353" s="32">
        <f ca="1">IF($F$353="X",0,IF(ENTRADAS!$F$22&gt;=2,IF(HY115=10,1000,1),0))</f>
        <v>1</v>
      </c>
      <c r="HZ353" s="32">
        <f ca="1">IF($F$353="X",0,IF(ENTRADAS!$F$22&gt;=2,IF(HZ115=10,1000,1),0))</f>
        <v>1</v>
      </c>
      <c r="IA353" s="32">
        <f ca="1">IF($F$353="X",0,IF(ENTRADAS!$F$22&gt;=2,IF(IA115=10,1000,1),0))</f>
        <v>1</v>
      </c>
      <c r="IB353" s="32">
        <f ca="1">IF($F$353="X",0,IF(ENTRADAS!$F$22&gt;=2,IF(IB115=10,1000,1),0))</f>
        <v>1</v>
      </c>
      <c r="IC353" s="32">
        <f ca="1">IF($F$353="X",0,IF(ENTRADAS!$F$22&gt;=2,IF(IC115=10,1000,1),0))</f>
        <v>1</v>
      </c>
      <c r="ID353" s="32">
        <f ca="1">IF($F$353="X",0,IF(ENTRADAS!$F$22&gt;=2,IF(ID115=10,1000,1),0))</f>
        <v>1</v>
      </c>
      <c r="IE353" s="32">
        <f ca="1">IF($F$353="X",0,IF(ENTRADAS!$F$22&gt;=2,IF(IE115=10,1000,1),0))</f>
        <v>1</v>
      </c>
      <c r="IF353" s="32">
        <f ca="1">IF($F$353="X",0,IF(ENTRADAS!$F$22&gt;=2,IF(IF115=10,1000,1),0))</f>
        <v>1</v>
      </c>
      <c r="IG353" s="32">
        <f ca="1">IF($F$353="X",0,IF(ENTRADAS!$F$22&gt;=2,IF(IG115=10,1000,1),0))</f>
        <v>1</v>
      </c>
      <c r="IH353" s="32">
        <f ca="1">IF($F$353="X",0,IF(ENTRADAS!$F$22&gt;=2,IF(IH115=10,1000,1),0))</f>
        <v>1</v>
      </c>
      <c r="II353" s="32">
        <f ca="1">IF($F$353="X",0,IF(ENTRADAS!$F$22&gt;=2,IF(II115=10,1000,1),0))</f>
        <v>1</v>
      </c>
      <c r="IJ353" s="32">
        <f ca="1">IF($F$353="X",0,IF(ENTRADAS!$F$22&gt;=2,IF(IJ115=10,1000,1),0))</f>
        <v>1</v>
      </c>
      <c r="IK353" s="32">
        <f ca="1">IF($F$353="X",0,IF(ENTRADAS!$F$22&gt;=2,IF(IK115=10,1000,1),0))</f>
        <v>1</v>
      </c>
    </row>
    <row r="354" spans="1:245" hidden="1" x14ac:dyDescent="0.35">
      <c r="A354" s="195">
        <f t="shared" si="364"/>
        <v>0</v>
      </c>
    </row>
    <row r="355" spans="1:245" hidden="1" x14ac:dyDescent="0.35">
      <c r="A355" s="195">
        <f t="shared" si="364"/>
        <v>0</v>
      </c>
      <c r="C355" s="2007" t="s">
        <v>1609</v>
      </c>
      <c r="D355" s="2007"/>
      <c r="E355" s="640">
        <f ca="1">COUNTIF(H355:IK355,1000)</f>
        <v>0</v>
      </c>
      <c r="F355" s="2007" t="s">
        <v>101</v>
      </c>
      <c r="G355" s="2007"/>
      <c r="H355" s="348">
        <f ca="1">IF($D$211=3,IF(AND(H6&gt;ROUNDUP($E$114-$J$2+1,0),H6&lt;ROUNDUP($E$197-$J$2+1,0)),1000,0),0)</f>
        <v>0</v>
      </c>
      <c r="I355" s="348">
        <f t="shared" ref="I355:BT355" ca="1" si="378">IF($D$211=3,IF(AND(I6&gt;ROUNDUP($E$114-$J$2+1,0),I6&lt;ROUNDUP($E$197-$J$2+1,0)),1000,0),0)</f>
        <v>0</v>
      </c>
      <c r="J355" s="348">
        <f t="shared" ca="1" si="378"/>
        <v>0</v>
      </c>
      <c r="K355" s="348">
        <f t="shared" ca="1" si="378"/>
        <v>0</v>
      </c>
      <c r="L355" s="348">
        <f t="shared" ca="1" si="378"/>
        <v>0</v>
      </c>
      <c r="M355" s="348">
        <f t="shared" ca="1" si="378"/>
        <v>0</v>
      </c>
      <c r="N355" s="348">
        <f t="shared" ca="1" si="378"/>
        <v>0</v>
      </c>
      <c r="O355" s="348">
        <f t="shared" ca="1" si="378"/>
        <v>0</v>
      </c>
      <c r="P355" s="348">
        <f t="shared" ca="1" si="378"/>
        <v>0</v>
      </c>
      <c r="Q355" s="348">
        <f t="shared" ca="1" si="378"/>
        <v>0</v>
      </c>
      <c r="R355" s="348">
        <f t="shared" ca="1" si="378"/>
        <v>0</v>
      </c>
      <c r="S355" s="348">
        <f t="shared" ca="1" si="378"/>
        <v>0</v>
      </c>
      <c r="T355" s="348">
        <f t="shared" ca="1" si="378"/>
        <v>0</v>
      </c>
      <c r="U355" s="348">
        <f t="shared" ca="1" si="378"/>
        <v>0</v>
      </c>
      <c r="V355" s="348">
        <f t="shared" ca="1" si="378"/>
        <v>0</v>
      </c>
      <c r="W355" s="348">
        <f t="shared" ca="1" si="378"/>
        <v>0</v>
      </c>
      <c r="X355" s="348">
        <f t="shared" ca="1" si="378"/>
        <v>0</v>
      </c>
      <c r="Y355" s="348">
        <f t="shared" ca="1" si="378"/>
        <v>0</v>
      </c>
      <c r="Z355" s="348">
        <f t="shared" ca="1" si="378"/>
        <v>0</v>
      </c>
      <c r="AA355" s="348">
        <f t="shared" ca="1" si="378"/>
        <v>0</v>
      </c>
      <c r="AB355" s="348">
        <f t="shared" ca="1" si="378"/>
        <v>0</v>
      </c>
      <c r="AC355" s="348">
        <f t="shared" ca="1" si="378"/>
        <v>0</v>
      </c>
      <c r="AD355" s="348">
        <f t="shared" ca="1" si="378"/>
        <v>0</v>
      </c>
      <c r="AE355" s="348">
        <f t="shared" ca="1" si="378"/>
        <v>0</v>
      </c>
      <c r="AF355" s="348">
        <f t="shared" ca="1" si="378"/>
        <v>0</v>
      </c>
      <c r="AG355" s="348">
        <f t="shared" ca="1" si="378"/>
        <v>0</v>
      </c>
      <c r="AH355" s="348">
        <f t="shared" ca="1" si="378"/>
        <v>0</v>
      </c>
      <c r="AI355" s="348">
        <f t="shared" ca="1" si="378"/>
        <v>0</v>
      </c>
      <c r="AJ355" s="348">
        <f t="shared" ca="1" si="378"/>
        <v>0</v>
      </c>
      <c r="AK355" s="348">
        <f t="shared" ca="1" si="378"/>
        <v>0</v>
      </c>
      <c r="AL355" s="348">
        <f t="shared" ca="1" si="378"/>
        <v>0</v>
      </c>
      <c r="AM355" s="348">
        <f t="shared" ca="1" si="378"/>
        <v>0</v>
      </c>
      <c r="AN355" s="348">
        <f t="shared" ca="1" si="378"/>
        <v>0</v>
      </c>
      <c r="AO355" s="348">
        <f t="shared" ca="1" si="378"/>
        <v>0</v>
      </c>
      <c r="AP355" s="348">
        <f t="shared" ca="1" si="378"/>
        <v>0</v>
      </c>
      <c r="AQ355" s="348">
        <f t="shared" ca="1" si="378"/>
        <v>0</v>
      </c>
      <c r="AR355" s="348">
        <f t="shared" ca="1" si="378"/>
        <v>0</v>
      </c>
      <c r="AS355" s="348">
        <f t="shared" ca="1" si="378"/>
        <v>0</v>
      </c>
      <c r="AT355" s="348">
        <f t="shared" ca="1" si="378"/>
        <v>0</v>
      </c>
      <c r="AU355" s="348">
        <f t="shared" ca="1" si="378"/>
        <v>0</v>
      </c>
      <c r="AV355" s="348">
        <f t="shared" ca="1" si="378"/>
        <v>0</v>
      </c>
      <c r="AW355" s="348">
        <f t="shared" ca="1" si="378"/>
        <v>0</v>
      </c>
      <c r="AX355" s="348">
        <f t="shared" ca="1" si="378"/>
        <v>0</v>
      </c>
      <c r="AY355" s="348">
        <f t="shared" ca="1" si="378"/>
        <v>0</v>
      </c>
      <c r="AZ355" s="348">
        <f t="shared" ca="1" si="378"/>
        <v>0</v>
      </c>
      <c r="BA355" s="348">
        <f t="shared" ca="1" si="378"/>
        <v>0</v>
      </c>
      <c r="BB355" s="348">
        <f t="shared" ca="1" si="378"/>
        <v>0</v>
      </c>
      <c r="BC355" s="348">
        <f t="shared" ca="1" si="378"/>
        <v>0</v>
      </c>
      <c r="BD355" s="348">
        <f t="shared" ca="1" si="378"/>
        <v>0</v>
      </c>
      <c r="BE355" s="348">
        <f t="shared" ca="1" si="378"/>
        <v>0</v>
      </c>
      <c r="BF355" s="348">
        <f t="shared" ca="1" si="378"/>
        <v>0</v>
      </c>
      <c r="BG355" s="348">
        <f t="shared" ca="1" si="378"/>
        <v>0</v>
      </c>
      <c r="BH355" s="348">
        <f t="shared" ca="1" si="378"/>
        <v>0</v>
      </c>
      <c r="BI355" s="348">
        <f t="shared" ca="1" si="378"/>
        <v>0</v>
      </c>
      <c r="BJ355" s="348">
        <f t="shared" ca="1" si="378"/>
        <v>0</v>
      </c>
      <c r="BK355" s="348">
        <f t="shared" ca="1" si="378"/>
        <v>0</v>
      </c>
      <c r="BL355" s="348">
        <f t="shared" ca="1" si="378"/>
        <v>0</v>
      </c>
      <c r="BM355" s="348">
        <f t="shared" ca="1" si="378"/>
        <v>0</v>
      </c>
      <c r="BN355" s="348">
        <f t="shared" ca="1" si="378"/>
        <v>0</v>
      </c>
      <c r="BO355" s="348">
        <f t="shared" ca="1" si="378"/>
        <v>0</v>
      </c>
      <c r="BP355" s="348">
        <f t="shared" ca="1" si="378"/>
        <v>0</v>
      </c>
      <c r="BQ355" s="348">
        <f t="shared" ca="1" si="378"/>
        <v>0</v>
      </c>
      <c r="BR355" s="348">
        <f t="shared" ca="1" si="378"/>
        <v>0</v>
      </c>
      <c r="BS355" s="348">
        <f t="shared" ca="1" si="378"/>
        <v>0</v>
      </c>
      <c r="BT355" s="348">
        <f t="shared" ca="1" si="378"/>
        <v>0</v>
      </c>
      <c r="BU355" s="348">
        <f t="shared" ref="BU355:EF355" ca="1" si="379">IF($D$211=3,IF(AND(BU6&gt;ROUNDUP($E$114-$J$2+1,0),BU6&lt;ROUNDUP($E$197-$J$2+1,0)),1000,0),0)</f>
        <v>0</v>
      </c>
      <c r="BV355" s="348">
        <f t="shared" ca="1" si="379"/>
        <v>0</v>
      </c>
      <c r="BW355" s="348">
        <f t="shared" ca="1" si="379"/>
        <v>0</v>
      </c>
      <c r="BX355" s="348">
        <f t="shared" ca="1" si="379"/>
        <v>0</v>
      </c>
      <c r="BY355" s="348">
        <f t="shared" ca="1" si="379"/>
        <v>0</v>
      </c>
      <c r="BZ355" s="348">
        <f t="shared" ca="1" si="379"/>
        <v>0</v>
      </c>
      <c r="CA355" s="348">
        <f t="shared" ca="1" si="379"/>
        <v>0</v>
      </c>
      <c r="CB355" s="348">
        <f t="shared" ca="1" si="379"/>
        <v>0</v>
      </c>
      <c r="CC355" s="348">
        <f t="shared" ca="1" si="379"/>
        <v>0</v>
      </c>
      <c r="CD355" s="348">
        <f t="shared" ca="1" si="379"/>
        <v>0</v>
      </c>
      <c r="CE355" s="348">
        <f t="shared" ca="1" si="379"/>
        <v>0</v>
      </c>
      <c r="CF355" s="348">
        <f t="shared" ca="1" si="379"/>
        <v>0</v>
      </c>
      <c r="CG355" s="348">
        <f t="shared" ca="1" si="379"/>
        <v>0</v>
      </c>
      <c r="CH355" s="348">
        <f t="shared" ca="1" si="379"/>
        <v>0</v>
      </c>
      <c r="CI355" s="348">
        <f t="shared" ca="1" si="379"/>
        <v>0</v>
      </c>
      <c r="CJ355" s="348">
        <f t="shared" ca="1" si="379"/>
        <v>0</v>
      </c>
      <c r="CK355" s="348">
        <f t="shared" ca="1" si="379"/>
        <v>0</v>
      </c>
      <c r="CL355" s="348">
        <f t="shared" ca="1" si="379"/>
        <v>0</v>
      </c>
      <c r="CM355" s="348">
        <f t="shared" ca="1" si="379"/>
        <v>0</v>
      </c>
      <c r="CN355" s="348">
        <f t="shared" ca="1" si="379"/>
        <v>0</v>
      </c>
      <c r="CO355" s="348">
        <f t="shared" ca="1" si="379"/>
        <v>0</v>
      </c>
      <c r="CP355" s="348">
        <f t="shared" ca="1" si="379"/>
        <v>0</v>
      </c>
      <c r="CQ355" s="348">
        <f t="shared" ca="1" si="379"/>
        <v>0</v>
      </c>
      <c r="CR355" s="348">
        <f t="shared" ca="1" si="379"/>
        <v>0</v>
      </c>
      <c r="CS355" s="348">
        <f t="shared" ca="1" si="379"/>
        <v>0</v>
      </c>
      <c r="CT355" s="348">
        <f t="shared" ca="1" si="379"/>
        <v>0</v>
      </c>
      <c r="CU355" s="348">
        <f t="shared" ca="1" si="379"/>
        <v>0</v>
      </c>
      <c r="CV355" s="348">
        <f t="shared" ca="1" si="379"/>
        <v>0</v>
      </c>
      <c r="CW355" s="348">
        <f t="shared" ca="1" si="379"/>
        <v>0</v>
      </c>
      <c r="CX355" s="348">
        <f t="shared" ca="1" si="379"/>
        <v>0</v>
      </c>
      <c r="CY355" s="348">
        <f t="shared" ca="1" si="379"/>
        <v>0</v>
      </c>
      <c r="CZ355" s="348">
        <f t="shared" ca="1" si="379"/>
        <v>0</v>
      </c>
      <c r="DA355" s="348">
        <f t="shared" ca="1" si="379"/>
        <v>0</v>
      </c>
      <c r="DB355" s="348">
        <f t="shared" ca="1" si="379"/>
        <v>0</v>
      </c>
      <c r="DC355" s="348">
        <f t="shared" ca="1" si="379"/>
        <v>0</v>
      </c>
      <c r="DD355" s="348">
        <f t="shared" ca="1" si="379"/>
        <v>0</v>
      </c>
      <c r="DE355" s="348">
        <f t="shared" ca="1" si="379"/>
        <v>0</v>
      </c>
      <c r="DF355" s="348">
        <f t="shared" ca="1" si="379"/>
        <v>0</v>
      </c>
      <c r="DG355" s="348">
        <f t="shared" ca="1" si="379"/>
        <v>0</v>
      </c>
      <c r="DH355" s="348">
        <f t="shared" ca="1" si="379"/>
        <v>0</v>
      </c>
      <c r="DI355" s="348">
        <f t="shared" ca="1" si="379"/>
        <v>0</v>
      </c>
      <c r="DJ355" s="348">
        <f t="shared" ca="1" si="379"/>
        <v>0</v>
      </c>
      <c r="DK355" s="348">
        <f t="shared" ca="1" si="379"/>
        <v>0</v>
      </c>
      <c r="DL355" s="348">
        <f t="shared" ca="1" si="379"/>
        <v>0</v>
      </c>
      <c r="DM355" s="348">
        <f t="shared" ca="1" si="379"/>
        <v>0</v>
      </c>
      <c r="DN355" s="348">
        <f t="shared" ca="1" si="379"/>
        <v>0</v>
      </c>
      <c r="DO355" s="348">
        <f t="shared" ca="1" si="379"/>
        <v>0</v>
      </c>
      <c r="DP355" s="348">
        <f t="shared" ca="1" si="379"/>
        <v>0</v>
      </c>
      <c r="DQ355" s="348">
        <f t="shared" ca="1" si="379"/>
        <v>0</v>
      </c>
      <c r="DR355" s="348">
        <f t="shared" ca="1" si="379"/>
        <v>0</v>
      </c>
      <c r="DS355" s="348">
        <f t="shared" ca="1" si="379"/>
        <v>0</v>
      </c>
      <c r="DT355" s="348">
        <f t="shared" ca="1" si="379"/>
        <v>0</v>
      </c>
      <c r="DU355" s="348">
        <f t="shared" ca="1" si="379"/>
        <v>0</v>
      </c>
      <c r="DV355" s="348">
        <f t="shared" ca="1" si="379"/>
        <v>0</v>
      </c>
      <c r="DW355" s="348">
        <f t="shared" ca="1" si="379"/>
        <v>0</v>
      </c>
      <c r="DX355" s="348">
        <f t="shared" ca="1" si="379"/>
        <v>0</v>
      </c>
      <c r="DY355" s="348">
        <f t="shared" ca="1" si="379"/>
        <v>0</v>
      </c>
      <c r="DZ355" s="348">
        <f t="shared" ca="1" si="379"/>
        <v>0</v>
      </c>
      <c r="EA355" s="348">
        <f t="shared" ca="1" si="379"/>
        <v>0</v>
      </c>
      <c r="EB355" s="348">
        <f t="shared" ca="1" si="379"/>
        <v>0</v>
      </c>
      <c r="EC355" s="348">
        <f t="shared" ca="1" si="379"/>
        <v>0</v>
      </c>
      <c r="ED355" s="348">
        <f t="shared" ca="1" si="379"/>
        <v>0</v>
      </c>
      <c r="EE355" s="348">
        <f t="shared" ca="1" si="379"/>
        <v>0</v>
      </c>
      <c r="EF355" s="348">
        <f t="shared" ca="1" si="379"/>
        <v>0</v>
      </c>
      <c r="EG355" s="348">
        <f t="shared" ref="EG355:GR355" ca="1" si="380">IF($D$211=3,IF(AND(EG6&gt;ROUNDUP($E$114-$J$2+1,0),EG6&lt;ROUNDUP($E$197-$J$2+1,0)),1000,0),0)</f>
        <v>0</v>
      </c>
      <c r="EH355" s="348">
        <f t="shared" ca="1" si="380"/>
        <v>0</v>
      </c>
      <c r="EI355" s="348">
        <f t="shared" ca="1" si="380"/>
        <v>0</v>
      </c>
      <c r="EJ355" s="348">
        <f t="shared" ca="1" si="380"/>
        <v>0</v>
      </c>
      <c r="EK355" s="348">
        <f t="shared" ca="1" si="380"/>
        <v>0</v>
      </c>
      <c r="EL355" s="348">
        <f t="shared" ca="1" si="380"/>
        <v>0</v>
      </c>
      <c r="EM355" s="348">
        <f t="shared" ca="1" si="380"/>
        <v>0</v>
      </c>
      <c r="EN355" s="348">
        <f t="shared" ca="1" si="380"/>
        <v>0</v>
      </c>
      <c r="EO355" s="348">
        <f t="shared" ca="1" si="380"/>
        <v>0</v>
      </c>
      <c r="EP355" s="348">
        <f t="shared" ca="1" si="380"/>
        <v>0</v>
      </c>
      <c r="EQ355" s="348">
        <f t="shared" ca="1" si="380"/>
        <v>0</v>
      </c>
      <c r="ER355" s="348">
        <f t="shared" ca="1" si="380"/>
        <v>0</v>
      </c>
      <c r="ES355" s="348">
        <f t="shared" ca="1" si="380"/>
        <v>0</v>
      </c>
      <c r="ET355" s="348">
        <f t="shared" ca="1" si="380"/>
        <v>0</v>
      </c>
      <c r="EU355" s="348">
        <f t="shared" ca="1" si="380"/>
        <v>0</v>
      </c>
      <c r="EV355" s="348">
        <f t="shared" ca="1" si="380"/>
        <v>0</v>
      </c>
      <c r="EW355" s="348">
        <f t="shared" ca="1" si="380"/>
        <v>0</v>
      </c>
      <c r="EX355" s="348">
        <f t="shared" ca="1" si="380"/>
        <v>0</v>
      </c>
      <c r="EY355" s="348">
        <f t="shared" ca="1" si="380"/>
        <v>0</v>
      </c>
      <c r="EZ355" s="348">
        <f t="shared" ca="1" si="380"/>
        <v>0</v>
      </c>
      <c r="FA355" s="348">
        <f t="shared" ca="1" si="380"/>
        <v>0</v>
      </c>
      <c r="FB355" s="348">
        <f t="shared" ca="1" si="380"/>
        <v>0</v>
      </c>
      <c r="FC355" s="348">
        <f t="shared" ca="1" si="380"/>
        <v>0</v>
      </c>
      <c r="FD355" s="348">
        <f t="shared" ca="1" si="380"/>
        <v>0</v>
      </c>
      <c r="FE355" s="348">
        <f t="shared" ca="1" si="380"/>
        <v>0</v>
      </c>
      <c r="FF355" s="348">
        <f t="shared" ca="1" si="380"/>
        <v>0</v>
      </c>
      <c r="FG355" s="348">
        <f t="shared" ca="1" si="380"/>
        <v>0</v>
      </c>
      <c r="FH355" s="348">
        <f t="shared" ca="1" si="380"/>
        <v>0</v>
      </c>
      <c r="FI355" s="348">
        <f t="shared" ca="1" si="380"/>
        <v>0</v>
      </c>
      <c r="FJ355" s="348">
        <f t="shared" ca="1" si="380"/>
        <v>0</v>
      </c>
      <c r="FK355" s="348">
        <f t="shared" ca="1" si="380"/>
        <v>0</v>
      </c>
      <c r="FL355" s="348">
        <f t="shared" ca="1" si="380"/>
        <v>0</v>
      </c>
      <c r="FM355" s="348">
        <f t="shared" ca="1" si="380"/>
        <v>0</v>
      </c>
      <c r="FN355" s="348">
        <f t="shared" ca="1" si="380"/>
        <v>0</v>
      </c>
      <c r="FO355" s="348">
        <f t="shared" ca="1" si="380"/>
        <v>0</v>
      </c>
      <c r="FP355" s="348">
        <f t="shared" ca="1" si="380"/>
        <v>0</v>
      </c>
      <c r="FQ355" s="348">
        <f t="shared" ca="1" si="380"/>
        <v>0</v>
      </c>
      <c r="FR355" s="348">
        <f t="shared" ca="1" si="380"/>
        <v>0</v>
      </c>
      <c r="FS355" s="348">
        <f t="shared" ca="1" si="380"/>
        <v>0</v>
      </c>
      <c r="FT355" s="348">
        <f t="shared" ca="1" si="380"/>
        <v>0</v>
      </c>
      <c r="FU355" s="348">
        <f t="shared" ca="1" si="380"/>
        <v>0</v>
      </c>
      <c r="FV355" s="348">
        <f t="shared" ca="1" si="380"/>
        <v>0</v>
      </c>
      <c r="FW355" s="348">
        <f t="shared" ca="1" si="380"/>
        <v>0</v>
      </c>
      <c r="FX355" s="348">
        <f t="shared" ca="1" si="380"/>
        <v>0</v>
      </c>
      <c r="FY355" s="348">
        <f t="shared" ca="1" si="380"/>
        <v>0</v>
      </c>
      <c r="FZ355" s="348">
        <f t="shared" ca="1" si="380"/>
        <v>0</v>
      </c>
      <c r="GA355" s="348">
        <f t="shared" ca="1" si="380"/>
        <v>0</v>
      </c>
      <c r="GB355" s="348">
        <f t="shared" ca="1" si="380"/>
        <v>0</v>
      </c>
      <c r="GC355" s="348">
        <f t="shared" ca="1" si="380"/>
        <v>0</v>
      </c>
      <c r="GD355" s="348">
        <f t="shared" ca="1" si="380"/>
        <v>0</v>
      </c>
      <c r="GE355" s="348">
        <f t="shared" ca="1" si="380"/>
        <v>0</v>
      </c>
      <c r="GF355" s="348">
        <f t="shared" ca="1" si="380"/>
        <v>0</v>
      </c>
      <c r="GG355" s="348">
        <f t="shared" ca="1" si="380"/>
        <v>0</v>
      </c>
      <c r="GH355" s="348">
        <f t="shared" ca="1" si="380"/>
        <v>0</v>
      </c>
      <c r="GI355" s="348">
        <f t="shared" ca="1" si="380"/>
        <v>0</v>
      </c>
      <c r="GJ355" s="348">
        <f t="shared" ca="1" si="380"/>
        <v>0</v>
      </c>
      <c r="GK355" s="348">
        <f t="shared" ca="1" si="380"/>
        <v>0</v>
      </c>
      <c r="GL355" s="348">
        <f t="shared" ca="1" si="380"/>
        <v>0</v>
      </c>
      <c r="GM355" s="348">
        <f t="shared" ca="1" si="380"/>
        <v>0</v>
      </c>
      <c r="GN355" s="348">
        <f t="shared" ca="1" si="380"/>
        <v>0</v>
      </c>
      <c r="GO355" s="348">
        <f t="shared" ca="1" si="380"/>
        <v>0</v>
      </c>
      <c r="GP355" s="348">
        <f t="shared" ca="1" si="380"/>
        <v>0</v>
      </c>
      <c r="GQ355" s="348">
        <f t="shared" ca="1" si="380"/>
        <v>0</v>
      </c>
      <c r="GR355" s="348">
        <f t="shared" ca="1" si="380"/>
        <v>0</v>
      </c>
      <c r="GS355" s="348">
        <f t="shared" ref="GS355:IK355" ca="1" si="381">IF($D$211=3,IF(AND(GS6&gt;ROUNDUP($E$114-$J$2+1,0),GS6&lt;ROUNDUP($E$197-$J$2+1,0)),1000,0),0)</f>
        <v>0</v>
      </c>
      <c r="GT355" s="348">
        <f t="shared" ca="1" si="381"/>
        <v>0</v>
      </c>
      <c r="GU355" s="348">
        <f t="shared" ca="1" si="381"/>
        <v>0</v>
      </c>
      <c r="GV355" s="348">
        <f t="shared" ca="1" si="381"/>
        <v>0</v>
      </c>
      <c r="GW355" s="348">
        <f t="shared" ca="1" si="381"/>
        <v>0</v>
      </c>
      <c r="GX355" s="348">
        <f t="shared" ca="1" si="381"/>
        <v>0</v>
      </c>
      <c r="GY355" s="348">
        <f t="shared" ca="1" si="381"/>
        <v>0</v>
      </c>
      <c r="GZ355" s="348">
        <f t="shared" ca="1" si="381"/>
        <v>0</v>
      </c>
      <c r="HA355" s="348">
        <f t="shared" ca="1" si="381"/>
        <v>0</v>
      </c>
      <c r="HB355" s="348">
        <f t="shared" ca="1" si="381"/>
        <v>0</v>
      </c>
      <c r="HC355" s="348">
        <f t="shared" ca="1" si="381"/>
        <v>0</v>
      </c>
      <c r="HD355" s="348">
        <f t="shared" ca="1" si="381"/>
        <v>0</v>
      </c>
      <c r="HE355" s="348">
        <f t="shared" ca="1" si="381"/>
        <v>0</v>
      </c>
      <c r="HF355" s="348">
        <f t="shared" ca="1" si="381"/>
        <v>0</v>
      </c>
      <c r="HG355" s="348">
        <f t="shared" ca="1" si="381"/>
        <v>0</v>
      </c>
      <c r="HH355" s="348">
        <f t="shared" ca="1" si="381"/>
        <v>0</v>
      </c>
      <c r="HI355" s="348">
        <f t="shared" ca="1" si="381"/>
        <v>0</v>
      </c>
      <c r="HJ355" s="348">
        <f t="shared" ca="1" si="381"/>
        <v>0</v>
      </c>
      <c r="HK355" s="348">
        <f t="shared" ca="1" si="381"/>
        <v>0</v>
      </c>
      <c r="HL355" s="348">
        <f t="shared" ca="1" si="381"/>
        <v>0</v>
      </c>
      <c r="HM355" s="348">
        <f t="shared" ca="1" si="381"/>
        <v>0</v>
      </c>
      <c r="HN355" s="348">
        <f t="shared" ca="1" si="381"/>
        <v>0</v>
      </c>
      <c r="HO355" s="348">
        <f t="shared" ca="1" si="381"/>
        <v>0</v>
      </c>
      <c r="HP355" s="348">
        <f t="shared" ca="1" si="381"/>
        <v>0</v>
      </c>
      <c r="HQ355" s="348">
        <f t="shared" ca="1" si="381"/>
        <v>0</v>
      </c>
      <c r="HR355" s="348">
        <f t="shared" ca="1" si="381"/>
        <v>0</v>
      </c>
      <c r="HS355" s="348">
        <f t="shared" ca="1" si="381"/>
        <v>0</v>
      </c>
      <c r="HT355" s="348">
        <f t="shared" ca="1" si="381"/>
        <v>0</v>
      </c>
      <c r="HU355" s="348">
        <f t="shared" ca="1" si="381"/>
        <v>0</v>
      </c>
      <c r="HV355" s="348">
        <f t="shared" ca="1" si="381"/>
        <v>0</v>
      </c>
      <c r="HW355" s="348">
        <f t="shared" ca="1" si="381"/>
        <v>0</v>
      </c>
      <c r="HX355" s="348">
        <f t="shared" ca="1" si="381"/>
        <v>0</v>
      </c>
      <c r="HY355" s="348">
        <f t="shared" ca="1" si="381"/>
        <v>0</v>
      </c>
      <c r="HZ355" s="348">
        <f t="shared" ca="1" si="381"/>
        <v>0</v>
      </c>
      <c r="IA355" s="348">
        <f t="shared" ca="1" si="381"/>
        <v>0</v>
      </c>
      <c r="IB355" s="348">
        <f t="shared" ca="1" si="381"/>
        <v>0</v>
      </c>
      <c r="IC355" s="348">
        <f t="shared" ca="1" si="381"/>
        <v>0</v>
      </c>
      <c r="ID355" s="348">
        <f t="shared" ca="1" si="381"/>
        <v>0</v>
      </c>
      <c r="IE355" s="348">
        <f t="shared" ca="1" si="381"/>
        <v>0</v>
      </c>
      <c r="IF355" s="348">
        <f t="shared" ca="1" si="381"/>
        <v>0</v>
      </c>
      <c r="IG355" s="348">
        <f t="shared" ca="1" si="381"/>
        <v>0</v>
      </c>
      <c r="IH355" s="348">
        <f t="shared" ca="1" si="381"/>
        <v>0</v>
      </c>
      <c r="II355" s="348">
        <f t="shared" ca="1" si="381"/>
        <v>0</v>
      </c>
      <c r="IJ355" s="348">
        <f t="shared" ca="1" si="381"/>
        <v>0</v>
      </c>
      <c r="IK355" s="348">
        <f t="shared" ca="1" si="381"/>
        <v>0</v>
      </c>
    </row>
    <row r="356" spans="1:245" hidden="1" x14ac:dyDescent="0.35">
      <c r="A356" s="195">
        <f t="shared" si="364"/>
        <v>0</v>
      </c>
      <c r="C356" s="2007" t="s">
        <v>1610</v>
      </c>
      <c r="D356" s="2007"/>
      <c r="E356" s="640">
        <f ca="1">COUNTIF(H356:IK356,1000)</f>
        <v>25</v>
      </c>
      <c r="F356" s="2007" t="s">
        <v>101</v>
      </c>
      <c r="G356" s="2007"/>
      <c r="H356" s="348">
        <f ca="1">IF($D$211=3,IF(AND(H6&gt;ROUNDUP($E$116-$J$2,0),H6&lt;ROUNDUP($E$199-$J$2,0)),1000,0),0)</f>
        <v>0</v>
      </c>
      <c r="I356" s="348">
        <f t="shared" ref="I356:BT356" ca="1" si="382">IF($D$211=3,IF(AND(I6&gt;ROUNDUP($E$116-$J$2,0),I6&lt;ROUNDUP($E$199-$J$2,0)),1000,0),0)</f>
        <v>0</v>
      </c>
      <c r="J356" s="348">
        <f t="shared" ca="1" si="382"/>
        <v>0</v>
      </c>
      <c r="K356" s="348">
        <f t="shared" ca="1" si="382"/>
        <v>0</v>
      </c>
      <c r="L356" s="348">
        <f t="shared" ca="1" si="382"/>
        <v>0</v>
      </c>
      <c r="M356" s="348">
        <f t="shared" ca="1" si="382"/>
        <v>0</v>
      </c>
      <c r="N356" s="348">
        <f t="shared" ca="1" si="382"/>
        <v>0</v>
      </c>
      <c r="O356" s="348">
        <f t="shared" ca="1" si="382"/>
        <v>0</v>
      </c>
      <c r="P356" s="348">
        <f t="shared" ca="1" si="382"/>
        <v>0</v>
      </c>
      <c r="Q356" s="348">
        <f t="shared" ca="1" si="382"/>
        <v>0</v>
      </c>
      <c r="R356" s="348">
        <f t="shared" ca="1" si="382"/>
        <v>0</v>
      </c>
      <c r="S356" s="348">
        <f t="shared" ca="1" si="382"/>
        <v>0</v>
      </c>
      <c r="T356" s="348">
        <f t="shared" ca="1" si="382"/>
        <v>0</v>
      </c>
      <c r="U356" s="348">
        <f t="shared" ca="1" si="382"/>
        <v>0</v>
      </c>
      <c r="V356" s="348">
        <f t="shared" ca="1" si="382"/>
        <v>0</v>
      </c>
      <c r="W356" s="348">
        <f t="shared" ca="1" si="382"/>
        <v>0</v>
      </c>
      <c r="X356" s="348">
        <f t="shared" ca="1" si="382"/>
        <v>0</v>
      </c>
      <c r="Y356" s="348">
        <f t="shared" ca="1" si="382"/>
        <v>0</v>
      </c>
      <c r="Z356" s="348">
        <f t="shared" ca="1" si="382"/>
        <v>0</v>
      </c>
      <c r="AA356" s="348">
        <f t="shared" ca="1" si="382"/>
        <v>0</v>
      </c>
      <c r="AB356" s="348">
        <f t="shared" ca="1" si="382"/>
        <v>0</v>
      </c>
      <c r="AC356" s="348">
        <f t="shared" ca="1" si="382"/>
        <v>0</v>
      </c>
      <c r="AD356" s="348">
        <f t="shared" ca="1" si="382"/>
        <v>0</v>
      </c>
      <c r="AE356" s="348">
        <f t="shared" ca="1" si="382"/>
        <v>0</v>
      </c>
      <c r="AF356" s="348">
        <f t="shared" ca="1" si="382"/>
        <v>0</v>
      </c>
      <c r="AG356" s="348">
        <f t="shared" ca="1" si="382"/>
        <v>0</v>
      </c>
      <c r="AH356" s="348">
        <f t="shared" ca="1" si="382"/>
        <v>0</v>
      </c>
      <c r="AI356" s="348">
        <f t="shared" ca="1" si="382"/>
        <v>0</v>
      </c>
      <c r="AJ356" s="348">
        <f t="shared" ca="1" si="382"/>
        <v>0</v>
      </c>
      <c r="AK356" s="348">
        <f t="shared" ca="1" si="382"/>
        <v>0</v>
      </c>
      <c r="AL356" s="348">
        <f t="shared" ca="1" si="382"/>
        <v>0</v>
      </c>
      <c r="AM356" s="348">
        <f t="shared" ca="1" si="382"/>
        <v>0</v>
      </c>
      <c r="AN356" s="348">
        <f t="shared" ca="1" si="382"/>
        <v>0</v>
      </c>
      <c r="AO356" s="348">
        <f t="shared" ca="1" si="382"/>
        <v>0</v>
      </c>
      <c r="AP356" s="348">
        <f t="shared" ca="1" si="382"/>
        <v>0</v>
      </c>
      <c r="AQ356" s="348">
        <f t="shared" ca="1" si="382"/>
        <v>0</v>
      </c>
      <c r="AR356" s="348">
        <f t="shared" ca="1" si="382"/>
        <v>0</v>
      </c>
      <c r="AS356" s="348">
        <f t="shared" ca="1" si="382"/>
        <v>0</v>
      </c>
      <c r="AT356" s="348">
        <f t="shared" ca="1" si="382"/>
        <v>0</v>
      </c>
      <c r="AU356" s="348">
        <f t="shared" ca="1" si="382"/>
        <v>0</v>
      </c>
      <c r="AV356" s="348">
        <f t="shared" ca="1" si="382"/>
        <v>0</v>
      </c>
      <c r="AW356" s="348">
        <f t="shared" ca="1" si="382"/>
        <v>0</v>
      </c>
      <c r="AX356" s="348">
        <f t="shared" ca="1" si="382"/>
        <v>0</v>
      </c>
      <c r="AY356" s="348">
        <f t="shared" ca="1" si="382"/>
        <v>0</v>
      </c>
      <c r="AZ356" s="348">
        <f t="shared" ca="1" si="382"/>
        <v>0</v>
      </c>
      <c r="BA356" s="348">
        <f t="shared" ca="1" si="382"/>
        <v>0</v>
      </c>
      <c r="BB356" s="348">
        <f t="shared" ca="1" si="382"/>
        <v>0</v>
      </c>
      <c r="BC356" s="348">
        <f t="shared" ca="1" si="382"/>
        <v>0</v>
      </c>
      <c r="BD356" s="348">
        <f t="shared" ca="1" si="382"/>
        <v>0</v>
      </c>
      <c r="BE356" s="348">
        <f t="shared" ca="1" si="382"/>
        <v>0</v>
      </c>
      <c r="BF356" s="348">
        <f t="shared" ca="1" si="382"/>
        <v>0</v>
      </c>
      <c r="BG356" s="348">
        <f t="shared" ca="1" si="382"/>
        <v>0</v>
      </c>
      <c r="BH356" s="348">
        <f t="shared" ca="1" si="382"/>
        <v>0</v>
      </c>
      <c r="BI356" s="348">
        <f t="shared" ca="1" si="382"/>
        <v>0</v>
      </c>
      <c r="BJ356" s="348">
        <f t="shared" ca="1" si="382"/>
        <v>0</v>
      </c>
      <c r="BK356" s="348">
        <f t="shared" ca="1" si="382"/>
        <v>0</v>
      </c>
      <c r="BL356" s="348">
        <f t="shared" ca="1" si="382"/>
        <v>0</v>
      </c>
      <c r="BM356" s="348">
        <f t="shared" ca="1" si="382"/>
        <v>0</v>
      </c>
      <c r="BN356" s="348">
        <f t="shared" ca="1" si="382"/>
        <v>0</v>
      </c>
      <c r="BO356" s="348">
        <f t="shared" ca="1" si="382"/>
        <v>0</v>
      </c>
      <c r="BP356" s="348">
        <f t="shared" ca="1" si="382"/>
        <v>0</v>
      </c>
      <c r="BQ356" s="348">
        <f t="shared" ca="1" si="382"/>
        <v>0</v>
      </c>
      <c r="BR356" s="348">
        <f t="shared" ca="1" si="382"/>
        <v>0</v>
      </c>
      <c r="BS356" s="348">
        <f t="shared" ca="1" si="382"/>
        <v>0</v>
      </c>
      <c r="BT356" s="348">
        <f t="shared" ca="1" si="382"/>
        <v>0</v>
      </c>
      <c r="BU356" s="348">
        <f t="shared" ref="BU356:EF356" ca="1" si="383">IF($D$211=3,IF(AND(BU6&gt;ROUNDUP($E$116-$J$2,0),BU6&lt;ROUNDUP($E$199-$J$2,0)),1000,0),0)</f>
        <v>0</v>
      </c>
      <c r="BV356" s="348">
        <f t="shared" ca="1" si="383"/>
        <v>0</v>
      </c>
      <c r="BW356" s="348">
        <f t="shared" ca="1" si="383"/>
        <v>0</v>
      </c>
      <c r="BX356" s="348">
        <f t="shared" ca="1" si="383"/>
        <v>0</v>
      </c>
      <c r="BY356" s="348">
        <f t="shared" ca="1" si="383"/>
        <v>0</v>
      </c>
      <c r="BZ356" s="348">
        <f t="shared" ca="1" si="383"/>
        <v>0</v>
      </c>
      <c r="CA356" s="348">
        <f t="shared" ca="1" si="383"/>
        <v>0</v>
      </c>
      <c r="CB356" s="348">
        <f t="shared" ca="1" si="383"/>
        <v>0</v>
      </c>
      <c r="CC356" s="348">
        <f t="shared" ca="1" si="383"/>
        <v>0</v>
      </c>
      <c r="CD356" s="348">
        <f t="shared" ca="1" si="383"/>
        <v>0</v>
      </c>
      <c r="CE356" s="348">
        <f t="shared" ca="1" si="383"/>
        <v>0</v>
      </c>
      <c r="CF356" s="348">
        <f t="shared" ca="1" si="383"/>
        <v>0</v>
      </c>
      <c r="CG356" s="348">
        <f t="shared" ca="1" si="383"/>
        <v>0</v>
      </c>
      <c r="CH356" s="348">
        <f t="shared" ca="1" si="383"/>
        <v>0</v>
      </c>
      <c r="CI356" s="348">
        <f t="shared" ca="1" si="383"/>
        <v>0</v>
      </c>
      <c r="CJ356" s="348">
        <f t="shared" ca="1" si="383"/>
        <v>0</v>
      </c>
      <c r="CK356" s="348">
        <f t="shared" ca="1" si="383"/>
        <v>0</v>
      </c>
      <c r="CL356" s="348">
        <f t="shared" ca="1" si="383"/>
        <v>0</v>
      </c>
      <c r="CM356" s="348">
        <f t="shared" ca="1" si="383"/>
        <v>1000</v>
      </c>
      <c r="CN356" s="348">
        <f t="shared" ca="1" si="383"/>
        <v>1000</v>
      </c>
      <c r="CO356" s="348">
        <f t="shared" ca="1" si="383"/>
        <v>1000</v>
      </c>
      <c r="CP356" s="348">
        <f t="shared" ca="1" si="383"/>
        <v>1000</v>
      </c>
      <c r="CQ356" s="348">
        <f t="shared" ca="1" si="383"/>
        <v>1000</v>
      </c>
      <c r="CR356" s="348">
        <f t="shared" ca="1" si="383"/>
        <v>1000</v>
      </c>
      <c r="CS356" s="348">
        <f t="shared" ca="1" si="383"/>
        <v>1000</v>
      </c>
      <c r="CT356" s="348">
        <f t="shared" ca="1" si="383"/>
        <v>1000</v>
      </c>
      <c r="CU356" s="348">
        <f t="shared" ca="1" si="383"/>
        <v>1000</v>
      </c>
      <c r="CV356" s="348">
        <f t="shared" ca="1" si="383"/>
        <v>1000</v>
      </c>
      <c r="CW356" s="348">
        <f t="shared" ca="1" si="383"/>
        <v>1000</v>
      </c>
      <c r="CX356" s="348">
        <f t="shared" ca="1" si="383"/>
        <v>1000</v>
      </c>
      <c r="CY356" s="348">
        <f t="shared" ca="1" si="383"/>
        <v>1000</v>
      </c>
      <c r="CZ356" s="348">
        <f t="shared" ca="1" si="383"/>
        <v>1000</v>
      </c>
      <c r="DA356" s="348">
        <f t="shared" ca="1" si="383"/>
        <v>1000</v>
      </c>
      <c r="DB356" s="348">
        <f t="shared" ca="1" si="383"/>
        <v>1000</v>
      </c>
      <c r="DC356" s="348">
        <f t="shared" ca="1" si="383"/>
        <v>1000</v>
      </c>
      <c r="DD356" s="348">
        <f t="shared" ca="1" si="383"/>
        <v>1000</v>
      </c>
      <c r="DE356" s="348">
        <f t="shared" ca="1" si="383"/>
        <v>1000</v>
      </c>
      <c r="DF356" s="348">
        <f t="shared" ca="1" si="383"/>
        <v>1000</v>
      </c>
      <c r="DG356" s="348">
        <f t="shared" ca="1" si="383"/>
        <v>1000</v>
      </c>
      <c r="DH356" s="348">
        <f t="shared" ca="1" si="383"/>
        <v>1000</v>
      </c>
      <c r="DI356" s="348">
        <f t="shared" ca="1" si="383"/>
        <v>1000</v>
      </c>
      <c r="DJ356" s="348">
        <f t="shared" ca="1" si="383"/>
        <v>1000</v>
      </c>
      <c r="DK356" s="348">
        <f t="shared" ca="1" si="383"/>
        <v>1000</v>
      </c>
      <c r="DL356" s="348">
        <f t="shared" ca="1" si="383"/>
        <v>0</v>
      </c>
      <c r="DM356" s="348">
        <f t="shared" ca="1" si="383"/>
        <v>0</v>
      </c>
      <c r="DN356" s="348">
        <f t="shared" ca="1" si="383"/>
        <v>0</v>
      </c>
      <c r="DO356" s="348">
        <f t="shared" ca="1" si="383"/>
        <v>0</v>
      </c>
      <c r="DP356" s="348">
        <f t="shared" ca="1" si="383"/>
        <v>0</v>
      </c>
      <c r="DQ356" s="348">
        <f t="shared" ca="1" si="383"/>
        <v>0</v>
      </c>
      <c r="DR356" s="348">
        <f t="shared" ca="1" si="383"/>
        <v>0</v>
      </c>
      <c r="DS356" s="348">
        <f t="shared" ca="1" si="383"/>
        <v>0</v>
      </c>
      <c r="DT356" s="348">
        <f t="shared" ca="1" si="383"/>
        <v>0</v>
      </c>
      <c r="DU356" s="348">
        <f t="shared" ca="1" si="383"/>
        <v>0</v>
      </c>
      <c r="DV356" s="348">
        <f t="shared" ca="1" si="383"/>
        <v>0</v>
      </c>
      <c r="DW356" s="348">
        <f t="shared" ca="1" si="383"/>
        <v>0</v>
      </c>
      <c r="DX356" s="348">
        <f t="shared" ca="1" si="383"/>
        <v>0</v>
      </c>
      <c r="DY356" s="348">
        <f t="shared" ca="1" si="383"/>
        <v>0</v>
      </c>
      <c r="DZ356" s="348">
        <f t="shared" ca="1" si="383"/>
        <v>0</v>
      </c>
      <c r="EA356" s="348">
        <f t="shared" ca="1" si="383"/>
        <v>0</v>
      </c>
      <c r="EB356" s="348">
        <f t="shared" ca="1" si="383"/>
        <v>0</v>
      </c>
      <c r="EC356" s="348">
        <f t="shared" ca="1" si="383"/>
        <v>0</v>
      </c>
      <c r="ED356" s="348">
        <f t="shared" ca="1" si="383"/>
        <v>0</v>
      </c>
      <c r="EE356" s="348">
        <f t="shared" ca="1" si="383"/>
        <v>0</v>
      </c>
      <c r="EF356" s="348">
        <f t="shared" ca="1" si="383"/>
        <v>0</v>
      </c>
      <c r="EG356" s="348">
        <f t="shared" ref="EG356:GR356" ca="1" si="384">IF($D$211=3,IF(AND(EG6&gt;ROUNDUP($E$116-$J$2,0),EG6&lt;ROUNDUP($E$199-$J$2,0)),1000,0),0)</f>
        <v>0</v>
      </c>
      <c r="EH356" s="348">
        <f t="shared" ca="1" si="384"/>
        <v>0</v>
      </c>
      <c r="EI356" s="348">
        <f t="shared" ca="1" si="384"/>
        <v>0</v>
      </c>
      <c r="EJ356" s="348">
        <f t="shared" ca="1" si="384"/>
        <v>0</v>
      </c>
      <c r="EK356" s="348">
        <f t="shared" ca="1" si="384"/>
        <v>0</v>
      </c>
      <c r="EL356" s="348">
        <f t="shared" ca="1" si="384"/>
        <v>0</v>
      </c>
      <c r="EM356" s="348">
        <f t="shared" ca="1" si="384"/>
        <v>0</v>
      </c>
      <c r="EN356" s="348">
        <f t="shared" ca="1" si="384"/>
        <v>0</v>
      </c>
      <c r="EO356" s="348">
        <f t="shared" ca="1" si="384"/>
        <v>0</v>
      </c>
      <c r="EP356" s="348">
        <f t="shared" ca="1" si="384"/>
        <v>0</v>
      </c>
      <c r="EQ356" s="348">
        <f t="shared" ca="1" si="384"/>
        <v>0</v>
      </c>
      <c r="ER356" s="348">
        <f t="shared" ca="1" si="384"/>
        <v>0</v>
      </c>
      <c r="ES356" s="348">
        <f t="shared" ca="1" si="384"/>
        <v>0</v>
      </c>
      <c r="ET356" s="348">
        <f t="shared" ca="1" si="384"/>
        <v>0</v>
      </c>
      <c r="EU356" s="348">
        <f t="shared" ca="1" si="384"/>
        <v>0</v>
      </c>
      <c r="EV356" s="348">
        <f t="shared" ca="1" si="384"/>
        <v>0</v>
      </c>
      <c r="EW356" s="348">
        <f t="shared" ca="1" si="384"/>
        <v>0</v>
      </c>
      <c r="EX356" s="348">
        <f t="shared" ca="1" si="384"/>
        <v>0</v>
      </c>
      <c r="EY356" s="348">
        <f t="shared" ca="1" si="384"/>
        <v>0</v>
      </c>
      <c r="EZ356" s="348">
        <f t="shared" ca="1" si="384"/>
        <v>0</v>
      </c>
      <c r="FA356" s="348">
        <f t="shared" ca="1" si="384"/>
        <v>0</v>
      </c>
      <c r="FB356" s="348">
        <f t="shared" ca="1" si="384"/>
        <v>0</v>
      </c>
      <c r="FC356" s="348">
        <f t="shared" ca="1" si="384"/>
        <v>0</v>
      </c>
      <c r="FD356" s="348">
        <f t="shared" ca="1" si="384"/>
        <v>0</v>
      </c>
      <c r="FE356" s="348">
        <f t="shared" ca="1" si="384"/>
        <v>0</v>
      </c>
      <c r="FF356" s="348">
        <f t="shared" ca="1" si="384"/>
        <v>0</v>
      </c>
      <c r="FG356" s="348">
        <f t="shared" ca="1" si="384"/>
        <v>0</v>
      </c>
      <c r="FH356" s="348">
        <f t="shared" ca="1" si="384"/>
        <v>0</v>
      </c>
      <c r="FI356" s="348">
        <f t="shared" ca="1" si="384"/>
        <v>0</v>
      </c>
      <c r="FJ356" s="348">
        <f t="shared" ca="1" si="384"/>
        <v>0</v>
      </c>
      <c r="FK356" s="348">
        <f t="shared" ca="1" si="384"/>
        <v>0</v>
      </c>
      <c r="FL356" s="348">
        <f t="shared" ca="1" si="384"/>
        <v>0</v>
      </c>
      <c r="FM356" s="348">
        <f t="shared" ca="1" si="384"/>
        <v>0</v>
      </c>
      <c r="FN356" s="348">
        <f t="shared" ca="1" si="384"/>
        <v>0</v>
      </c>
      <c r="FO356" s="348">
        <f t="shared" ca="1" si="384"/>
        <v>0</v>
      </c>
      <c r="FP356" s="348">
        <f t="shared" ca="1" si="384"/>
        <v>0</v>
      </c>
      <c r="FQ356" s="348">
        <f t="shared" ca="1" si="384"/>
        <v>0</v>
      </c>
      <c r="FR356" s="348">
        <f t="shared" ca="1" si="384"/>
        <v>0</v>
      </c>
      <c r="FS356" s="348">
        <f t="shared" ca="1" si="384"/>
        <v>0</v>
      </c>
      <c r="FT356" s="348">
        <f t="shared" ca="1" si="384"/>
        <v>0</v>
      </c>
      <c r="FU356" s="348">
        <f t="shared" ca="1" si="384"/>
        <v>0</v>
      </c>
      <c r="FV356" s="348">
        <f t="shared" ca="1" si="384"/>
        <v>0</v>
      </c>
      <c r="FW356" s="348">
        <f t="shared" ca="1" si="384"/>
        <v>0</v>
      </c>
      <c r="FX356" s="348">
        <f t="shared" ca="1" si="384"/>
        <v>0</v>
      </c>
      <c r="FY356" s="348">
        <f t="shared" ca="1" si="384"/>
        <v>0</v>
      </c>
      <c r="FZ356" s="348">
        <f t="shared" ca="1" si="384"/>
        <v>0</v>
      </c>
      <c r="GA356" s="348">
        <f t="shared" ca="1" si="384"/>
        <v>0</v>
      </c>
      <c r="GB356" s="348">
        <f t="shared" ca="1" si="384"/>
        <v>0</v>
      </c>
      <c r="GC356" s="348">
        <f t="shared" ca="1" si="384"/>
        <v>0</v>
      </c>
      <c r="GD356" s="348">
        <f t="shared" ca="1" si="384"/>
        <v>0</v>
      </c>
      <c r="GE356" s="348">
        <f t="shared" ca="1" si="384"/>
        <v>0</v>
      </c>
      <c r="GF356" s="348">
        <f t="shared" ca="1" si="384"/>
        <v>0</v>
      </c>
      <c r="GG356" s="348">
        <f t="shared" ca="1" si="384"/>
        <v>0</v>
      </c>
      <c r="GH356" s="348">
        <f t="shared" ca="1" si="384"/>
        <v>0</v>
      </c>
      <c r="GI356" s="348">
        <f t="shared" ca="1" si="384"/>
        <v>0</v>
      </c>
      <c r="GJ356" s="348">
        <f t="shared" ca="1" si="384"/>
        <v>0</v>
      </c>
      <c r="GK356" s="348">
        <f t="shared" ca="1" si="384"/>
        <v>0</v>
      </c>
      <c r="GL356" s="348">
        <f t="shared" ca="1" si="384"/>
        <v>0</v>
      </c>
      <c r="GM356" s="348">
        <f t="shared" ca="1" si="384"/>
        <v>0</v>
      </c>
      <c r="GN356" s="348">
        <f t="shared" ca="1" si="384"/>
        <v>0</v>
      </c>
      <c r="GO356" s="348">
        <f t="shared" ca="1" si="384"/>
        <v>0</v>
      </c>
      <c r="GP356" s="348">
        <f t="shared" ca="1" si="384"/>
        <v>0</v>
      </c>
      <c r="GQ356" s="348">
        <f t="shared" ca="1" si="384"/>
        <v>0</v>
      </c>
      <c r="GR356" s="348">
        <f t="shared" ca="1" si="384"/>
        <v>0</v>
      </c>
      <c r="GS356" s="348">
        <f t="shared" ref="GS356:IK356" ca="1" si="385">IF($D$211=3,IF(AND(GS6&gt;ROUNDUP($E$116-$J$2,0),GS6&lt;ROUNDUP($E$199-$J$2,0)),1000,0),0)</f>
        <v>0</v>
      </c>
      <c r="GT356" s="348">
        <f t="shared" ca="1" si="385"/>
        <v>0</v>
      </c>
      <c r="GU356" s="348">
        <f t="shared" ca="1" si="385"/>
        <v>0</v>
      </c>
      <c r="GV356" s="348">
        <f t="shared" ca="1" si="385"/>
        <v>0</v>
      </c>
      <c r="GW356" s="348">
        <f t="shared" ca="1" si="385"/>
        <v>0</v>
      </c>
      <c r="GX356" s="348">
        <f t="shared" ca="1" si="385"/>
        <v>0</v>
      </c>
      <c r="GY356" s="348">
        <f t="shared" ca="1" si="385"/>
        <v>0</v>
      </c>
      <c r="GZ356" s="348">
        <f t="shared" ca="1" si="385"/>
        <v>0</v>
      </c>
      <c r="HA356" s="348">
        <f t="shared" ca="1" si="385"/>
        <v>0</v>
      </c>
      <c r="HB356" s="348">
        <f t="shared" ca="1" si="385"/>
        <v>0</v>
      </c>
      <c r="HC356" s="348">
        <f t="shared" ca="1" si="385"/>
        <v>0</v>
      </c>
      <c r="HD356" s="348">
        <f t="shared" ca="1" si="385"/>
        <v>0</v>
      </c>
      <c r="HE356" s="348">
        <f t="shared" ca="1" si="385"/>
        <v>0</v>
      </c>
      <c r="HF356" s="348">
        <f t="shared" ca="1" si="385"/>
        <v>0</v>
      </c>
      <c r="HG356" s="348">
        <f t="shared" ca="1" si="385"/>
        <v>0</v>
      </c>
      <c r="HH356" s="348">
        <f t="shared" ca="1" si="385"/>
        <v>0</v>
      </c>
      <c r="HI356" s="348">
        <f t="shared" ca="1" si="385"/>
        <v>0</v>
      </c>
      <c r="HJ356" s="348">
        <f t="shared" ca="1" si="385"/>
        <v>0</v>
      </c>
      <c r="HK356" s="348">
        <f t="shared" ca="1" si="385"/>
        <v>0</v>
      </c>
      <c r="HL356" s="348">
        <f t="shared" ca="1" si="385"/>
        <v>0</v>
      </c>
      <c r="HM356" s="348">
        <f t="shared" ca="1" si="385"/>
        <v>0</v>
      </c>
      <c r="HN356" s="348">
        <f t="shared" ca="1" si="385"/>
        <v>0</v>
      </c>
      <c r="HO356" s="348">
        <f t="shared" ca="1" si="385"/>
        <v>0</v>
      </c>
      <c r="HP356" s="348">
        <f t="shared" ca="1" si="385"/>
        <v>0</v>
      </c>
      <c r="HQ356" s="348">
        <f t="shared" ca="1" si="385"/>
        <v>0</v>
      </c>
      <c r="HR356" s="348">
        <f t="shared" ca="1" si="385"/>
        <v>0</v>
      </c>
      <c r="HS356" s="348">
        <f t="shared" ca="1" si="385"/>
        <v>0</v>
      </c>
      <c r="HT356" s="348">
        <f t="shared" ca="1" si="385"/>
        <v>0</v>
      </c>
      <c r="HU356" s="348">
        <f t="shared" ca="1" si="385"/>
        <v>0</v>
      </c>
      <c r="HV356" s="348">
        <f t="shared" ca="1" si="385"/>
        <v>0</v>
      </c>
      <c r="HW356" s="348">
        <f t="shared" ca="1" si="385"/>
        <v>0</v>
      </c>
      <c r="HX356" s="348">
        <f t="shared" ca="1" si="385"/>
        <v>0</v>
      </c>
      <c r="HY356" s="348">
        <f t="shared" ca="1" si="385"/>
        <v>0</v>
      </c>
      <c r="HZ356" s="348">
        <f t="shared" ca="1" si="385"/>
        <v>0</v>
      </c>
      <c r="IA356" s="348">
        <f t="shared" ca="1" si="385"/>
        <v>0</v>
      </c>
      <c r="IB356" s="348">
        <f t="shared" ca="1" si="385"/>
        <v>0</v>
      </c>
      <c r="IC356" s="348">
        <f t="shared" ca="1" si="385"/>
        <v>0</v>
      </c>
      <c r="ID356" s="348">
        <f t="shared" ca="1" si="385"/>
        <v>0</v>
      </c>
      <c r="IE356" s="348">
        <f t="shared" ca="1" si="385"/>
        <v>0</v>
      </c>
      <c r="IF356" s="348">
        <f t="shared" ca="1" si="385"/>
        <v>0</v>
      </c>
      <c r="IG356" s="348">
        <f t="shared" ca="1" si="385"/>
        <v>0</v>
      </c>
      <c r="IH356" s="348">
        <f t="shared" ca="1" si="385"/>
        <v>0</v>
      </c>
      <c r="II356" s="348">
        <f t="shared" ca="1" si="385"/>
        <v>0</v>
      </c>
      <c r="IJ356" s="348">
        <f t="shared" ca="1" si="385"/>
        <v>0</v>
      </c>
      <c r="IK356" s="348">
        <f t="shared" ca="1" si="385"/>
        <v>0</v>
      </c>
    </row>
    <row r="357" spans="1:245" hidden="1" x14ac:dyDescent="0.35">
      <c r="A357" s="195">
        <f t="shared" si="364"/>
        <v>0</v>
      </c>
      <c r="C357" s="2007" t="s">
        <v>1611</v>
      </c>
      <c r="D357" s="2007"/>
      <c r="E357" s="640">
        <f ca="1">COUNTIF(H357:IK357,1000)</f>
        <v>1</v>
      </c>
      <c r="F357" s="2007" t="s">
        <v>101</v>
      </c>
      <c r="G357" s="2007"/>
      <c r="H357" s="348">
        <f ca="1">IF($D$211=3,IF(AND(H6&gt;ROUNDUP($E$116-$J$2,0),H6&lt;ROUNDUP($E$197-$J$2+1,0)),1000,0),0)</f>
        <v>0</v>
      </c>
      <c r="I357" s="348">
        <f t="shared" ref="I357:BT357" ca="1" si="386">IF($D$211=3,IF(AND(I6&gt;ROUNDUP($E$116-$J$2,0),I6&lt;ROUNDUP($E$197-$J$2+1,0)),1000,0),0)</f>
        <v>0</v>
      </c>
      <c r="J357" s="348">
        <f t="shared" ca="1" si="386"/>
        <v>0</v>
      </c>
      <c r="K357" s="348">
        <f t="shared" ca="1" si="386"/>
        <v>0</v>
      </c>
      <c r="L357" s="348">
        <f t="shared" ca="1" si="386"/>
        <v>0</v>
      </c>
      <c r="M357" s="348">
        <f t="shared" ca="1" si="386"/>
        <v>0</v>
      </c>
      <c r="N357" s="348">
        <f t="shared" ca="1" si="386"/>
        <v>0</v>
      </c>
      <c r="O357" s="348">
        <f t="shared" ca="1" si="386"/>
        <v>0</v>
      </c>
      <c r="P357" s="348">
        <f t="shared" ca="1" si="386"/>
        <v>0</v>
      </c>
      <c r="Q357" s="348">
        <f t="shared" ca="1" si="386"/>
        <v>0</v>
      </c>
      <c r="R357" s="348">
        <f t="shared" ca="1" si="386"/>
        <v>0</v>
      </c>
      <c r="S357" s="348">
        <f t="shared" ca="1" si="386"/>
        <v>0</v>
      </c>
      <c r="T357" s="348">
        <f t="shared" ca="1" si="386"/>
        <v>0</v>
      </c>
      <c r="U357" s="348">
        <f t="shared" ca="1" si="386"/>
        <v>0</v>
      </c>
      <c r="V357" s="348">
        <f t="shared" ca="1" si="386"/>
        <v>0</v>
      </c>
      <c r="W357" s="348">
        <f t="shared" ca="1" si="386"/>
        <v>0</v>
      </c>
      <c r="X357" s="348">
        <f t="shared" ca="1" si="386"/>
        <v>0</v>
      </c>
      <c r="Y357" s="348">
        <f t="shared" ca="1" si="386"/>
        <v>0</v>
      </c>
      <c r="Z357" s="348">
        <f t="shared" ca="1" si="386"/>
        <v>0</v>
      </c>
      <c r="AA357" s="348">
        <f t="shared" ca="1" si="386"/>
        <v>0</v>
      </c>
      <c r="AB357" s="348">
        <f t="shared" ca="1" si="386"/>
        <v>0</v>
      </c>
      <c r="AC357" s="348">
        <f t="shared" ca="1" si="386"/>
        <v>0</v>
      </c>
      <c r="AD357" s="348">
        <f t="shared" ca="1" si="386"/>
        <v>0</v>
      </c>
      <c r="AE357" s="348">
        <f t="shared" ca="1" si="386"/>
        <v>0</v>
      </c>
      <c r="AF357" s="348">
        <f t="shared" ca="1" si="386"/>
        <v>0</v>
      </c>
      <c r="AG357" s="348">
        <f t="shared" ca="1" si="386"/>
        <v>0</v>
      </c>
      <c r="AH357" s="348">
        <f t="shared" ca="1" si="386"/>
        <v>0</v>
      </c>
      <c r="AI357" s="348">
        <f t="shared" ca="1" si="386"/>
        <v>0</v>
      </c>
      <c r="AJ357" s="348">
        <f t="shared" ca="1" si="386"/>
        <v>0</v>
      </c>
      <c r="AK357" s="348">
        <f t="shared" ca="1" si="386"/>
        <v>0</v>
      </c>
      <c r="AL357" s="348">
        <f t="shared" ca="1" si="386"/>
        <v>0</v>
      </c>
      <c r="AM357" s="348">
        <f t="shared" ca="1" si="386"/>
        <v>0</v>
      </c>
      <c r="AN357" s="348">
        <f t="shared" ca="1" si="386"/>
        <v>0</v>
      </c>
      <c r="AO357" s="348">
        <f t="shared" ca="1" si="386"/>
        <v>0</v>
      </c>
      <c r="AP357" s="348">
        <f t="shared" ca="1" si="386"/>
        <v>0</v>
      </c>
      <c r="AQ357" s="348">
        <f t="shared" ca="1" si="386"/>
        <v>0</v>
      </c>
      <c r="AR357" s="348">
        <f t="shared" ca="1" si="386"/>
        <v>0</v>
      </c>
      <c r="AS357" s="348">
        <f t="shared" ca="1" si="386"/>
        <v>0</v>
      </c>
      <c r="AT357" s="348">
        <f t="shared" ca="1" si="386"/>
        <v>0</v>
      </c>
      <c r="AU357" s="348">
        <f t="shared" ca="1" si="386"/>
        <v>0</v>
      </c>
      <c r="AV357" s="348">
        <f t="shared" ca="1" si="386"/>
        <v>0</v>
      </c>
      <c r="AW357" s="348">
        <f t="shared" ca="1" si="386"/>
        <v>0</v>
      </c>
      <c r="AX357" s="348">
        <f t="shared" ca="1" si="386"/>
        <v>0</v>
      </c>
      <c r="AY357" s="348">
        <f t="shared" ca="1" si="386"/>
        <v>0</v>
      </c>
      <c r="AZ357" s="348">
        <f t="shared" ca="1" si="386"/>
        <v>0</v>
      </c>
      <c r="BA357" s="348">
        <f t="shared" ca="1" si="386"/>
        <v>0</v>
      </c>
      <c r="BB357" s="348">
        <f t="shared" ca="1" si="386"/>
        <v>0</v>
      </c>
      <c r="BC357" s="348">
        <f t="shared" ca="1" si="386"/>
        <v>0</v>
      </c>
      <c r="BD357" s="348">
        <f t="shared" ca="1" si="386"/>
        <v>0</v>
      </c>
      <c r="BE357" s="348">
        <f t="shared" ca="1" si="386"/>
        <v>0</v>
      </c>
      <c r="BF357" s="348">
        <f t="shared" ca="1" si="386"/>
        <v>0</v>
      </c>
      <c r="BG357" s="348">
        <f t="shared" ca="1" si="386"/>
        <v>0</v>
      </c>
      <c r="BH357" s="348">
        <f t="shared" ca="1" si="386"/>
        <v>0</v>
      </c>
      <c r="BI357" s="348">
        <f t="shared" ca="1" si="386"/>
        <v>0</v>
      </c>
      <c r="BJ357" s="348">
        <f t="shared" ca="1" si="386"/>
        <v>0</v>
      </c>
      <c r="BK357" s="348">
        <f t="shared" ca="1" si="386"/>
        <v>0</v>
      </c>
      <c r="BL357" s="348">
        <f t="shared" ca="1" si="386"/>
        <v>0</v>
      </c>
      <c r="BM357" s="348">
        <f t="shared" ca="1" si="386"/>
        <v>0</v>
      </c>
      <c r="BN357" s="348">
        <f t="shared" ca="1" si="386"/>
        <v>0</v>
      </c>
      <c r="BO357" s="348">
        <f t="shared" ca="1" si="386"/>
        <v>0</v>
      </c>
      <c r="BP357" s="348">
        <f t="shared" ca="1" si="386"/>
        <v>0</v>
      </c>
      <c r="BQ357" s="348">
        <f t="shared" ca="1" si="386"/>
        <v>0</v>
      </c>
      <c r="BR357" s="348">
        <f t="shared" ca="1" si="386"/>
        <v>0</v>
      </c>
      <c r="BS357" s="348">
        <f t="shared" ca="1" si="386"/>
        <v>0</v>
      </c>
      <c r="BT357" s="348">
        <f t="shared" ca="1" si="386"/>
        <v>0</v>
      </c>
      <c r="BU357" s="348">
        <f t="shared" ref="BU357:EF357" ca="1" si="387">IF($D$211=3,IF(AND(BU6&gt;ROUNDUP($E$116-$J$2,0),BU6&lt;ROUNDUP($E$197-$J$2+1,0)),1000,0),0)</f>
        <v>0</v>
      </c>
      <c r="BV357" s="348">
        <f t="shared" ca="1" si="387"/>
        <v>0</v>
      </c>
      <c r="BW357" s="348">
        <f t="shared" ca="1" si="387"/>
        <v>0</v>
      </c>
      <c r="BX357" s="348">
        <f t="shared" ca="1" si="387"/>
        <v>0</v>
      </c>
      <c r="BY357" s="348">
        <f t="shared" ca="1" si="387"/>
        <v>0</v>
      </c>
      <c r="BZ357" s="348">
        <f t="shared" ca="1" si="387"/>
        <v>0</v>
      </c>
      <c r="CA357" s="348">
        <f t="shared" ca="1" si="387"/>
        <v>0</v>
      </c>
      <c r="CB357" s="348">
        <f t="shared" ca="1" si="387"/>
        <v>0</v>
      </c>
      <c r="CC357" s="348">
        <f t="shared" ca="1" si="387"/>
        <v>0</v>
      </c>
      <c r="CD357" s="348">
        <f t="shared" ca="1" si="387"/>
        <v>0</v>
      </c>
      <c r="CE357" s="348">
        <f t="shared" ca="1" si="387"/>
        <v>0</v>
      </c>
      <c r="CF357" s="348">
        <f t="shared" ca="1" si="387"/>
        <v>0</v>
      </c>
      <c r="CG357" s="348">
        <f t="shared" ca="1" si="387"/>
        <v>0</v>
      </c>
      <c r="CH357" s="348">
        <f t="shared" ca="1" si="387"/>
        <v>0</v>
      </c>
      <c r="CI357" s="348">
        <f t="shared" ca="1" si="387"/>
        <v>0</v>
      </c>
      <c r="CJ357" s="348">
        <f t="shared" ca="1" si="387"/>
        <v>0</v>
      </c>
      <c r="CK357" s="348">
        <f t="shared" ca="1" si="387"/>
        <v>0</v>
      </c>
      <c r="CL357" s="348">
        <f t="shared" ca="1" si="387"/>
        <v>0</v>
      </c>
      <c r="CM357" s="348">
        <f t="shared" ca="1" si="387"/>
        <v>1000</v>
      </c>
      <c r="CN357" s="348">
        <f t="shared" ca="1" si="387"/>
        <v>0</v>
      </c>
      <c r="CO357" s="348">
        <f t="shared" ca="1" si="387"/>
        <v>0</v>
      </c>
      <c r="CP357" s="348">
        <f t="shared" ca="1" si="387"/>
        <v>0</v>
      </c>
      <c r="CQ357" s="348">
        <f t="shared" ca="1" si="387"/>
        <v>0</v>
      </c>
      <c r="CR357" s="348">
        <f t="shared" ca="1" si="387"/>
        <v>0</v>
      </c>
      <c r="CS357" s="348">
        <f t="shared" ca="1" si="387"/>
        <v>0</v>
      </c>
      <c r="CT357" s="348">
        <f t="shared" ca="1" si="387"/>
        <v>0</v>
      </c>
      <c r="CU357" s="348">
        <f t="shared" ca="1" si="387"/>
        <v>0</v>
      </c>
      <c r="CV357" s="348">
        <f t="shared" ca="1" si="387"/>
        <v>0</v>
      </c>
      <c r="CW357" s="348">
        <f t="shared" ca="1" si="387"/>
        <v>0</v>
      </c>
      <c r="CX357" s="348">
        <f t="shared" ca="1" si="387"/>
        <v>0</v>
      </c>
      <c r="CY357" s="348">
        <f t="shared" ca="1" si="387"/>
        <v>0</v>
      </c>
      <c r="CZ357" s="348">
        <f t="shared" ca="1" si="387"/>
        <v>0</v>
      </c>
      <c r="DA357" s="348">
        <f t="shared" ca="1" si="387"/>
        <v>0</v>
      </c>
      <c r="DB357" s="348">
        <f t="shared" ca="1" si="387"/>
        <v>0</v>
      </c>
      <c r="DC357" s="348">
        <f t="shared" ca="1" si="387"/>
        <v>0</v>
      </c>
      <c r="DD357" s="348">
        <f t="shared" ca="1" si="387"/>
        <v>0</v>
      </c>
      <c r="DE357" s="348">
        <f t="shared" ca="1" si="387"/>
        <v>0</v>
      </c>
      <c r="DF357" s="348">
        <f t="shared" ca="1" si="387"/>
        <v>0</v>
      </c>
      <c r="DG357" s="348">
        <f t="shared" ca="1" si="387"/>
        <v>0</v>
      </c>
      <c r="DH357" s="348">
        <f t="shared" ca="1" si="387"/>
        <v>0</v>
      </c>
      <c r="DI357" s="348">
        <f t="shared" ca="1" si="387"/>
        <v>0</v>
      </c>
      <c r="DJ357" s="348">
        <f t="shared" ca="1" si="387"/>
        <v>0</v>
      </c>
      <c r="DK357" s="348">
        <f t="shared" ca="1" si="387"/>
        <v>0</v>
      </c>
      <c r="DL357" s="348">
        <f t="shared" ca="1" si="387"/>
        <v>0</v>
      </c>
      <c r="DM357" s="348">
        <f t="shared" ca="1" si="387"/>
        <v>0</v>
      </c>
      <c r="DN357" s="348">
        <f t="shared" ca="1" si="387"/>
        <v>0</v>
      </c>
      <c r="DO357" s="348">
        <f t="shared" ca="1" si="387"/>
        <v>0</v>
      </c>
      <c r="DP357" s="348">
        <f t="shared" ca="1" si="387"/>
        <v>0</v>
      </c>
      <c r="DQ357" s="348">
        <f t="shared" ca="1" si="387"/>
        <v>0</v>
      </c>
      <c r="DR357" s="348">
        <f t="shared" ca="1" si="387"/>
        <v>0</v>
      </c>
      <c r="DS357" s="348">
        <f t="shared" ca="1" si="387"/>
        <v>0</v>
      </c>
      <c r="DT357" s="348">
        <f t="shared" ca="1" si="387"/>
        <v>0</v>
      </c>
      <c r="DU357" s="348">
        <f t="shared" ca="1" si="387"/>
        <v>0</v>
      </c>
      <c r="DV357" s="348">
        <f t="shared" ca="1" si="387"/>
        <v>0</v>
      </c>
      <c r="DW357" s="348">
        <f t="shared" ca="1" si="387"/>
        <v>0</v>
      </c>
      <c r="DX357" s="348">
        <f t="shared" ca="1" si="387"/>
        <v>0</v>
      </c>
      <c r="DY357" s="348">
        <f t="shared" ca="1" si="387"/>
        <v>0</v>
      </c>
      <c r="DZ357" s="348">
        <f t="shared" ca="1" si="387"/>
        <v>0</v>
      </c>
      <c r="EA357" s="348">
        <f t="shared" ca="1" si="387"/>
        <v>0</v>
      </c>
      <c r="EB357" s="348">
        <f t="shared" ca="1" si="387"/>
        <v>0</v>
      </c>
      <c r="EC357" s="348">
        <f t="shared" ca="1" si="387"/>
        <v>0</v>
      </c>
      <c r="ED357" s="348">
        <f t="shared" ca="1" si="387"/>
        <v>0</v>
      </c>
      <c r="EE357" s="348">
        <f t="shared" ca="1" si="387"/>
        <v>0</v>
      </c>
      <c r="EF357" s="348">
        <f t="shared" ca="1" si="387"/>
        <v>0</v>
      </c>
      <c r="EG357" s="348">
        <f t="shared" ref="EG357:GR357" ca="1" si="388">IF($D$211=3,IF(AND(EG6&gt;ROUNDUP($E$116-$J$2,0),EG6&lt;ROUNDUP($E$197-$J$2+1,0)),1000,0),0)</f>
        <v>0</v>
      </c>
      <c r="EH357" s="348">
        <f t="shared" ca="1" si="388"/>
        <v>0</v>
      </c>
      <c r="EI357" s="348">
        <f t="shared" ca="1" si="388"/>
        <v>0</v>
      </c>
      <c r="EJ357" s="348">
        <f t="shared" ca="1" si="388"/>
        <v>0</v>
      </c>
      <c r="EK357" s="348">
        <f t="shared" ca="1" si="388"/>
        <v>0</v>
      </c>
      <c r="EL357" s="348">
        <f t="shared" ca="1" si="388"/>
        <v>0</v>
      </c>
      <c r="EM357" s="348">
        <f t="shared" ca="1" si="388"/>
        <v>0</v>
      </c>
      <c r="EN357" s="348">
        <f t="shared" ca="1" si="388"/>
        <v>0</v>
      </c>
      <c r="EO357" s="348">
        <f t="shared" ca="1" si="388"/>
        <v>0</v>
      </c>
      <c r="EP357" s="348">
        <f t="shared" ca="1" si="388"/>
        <v>0</v>
      </c>
      <c r="EQ357" s="348">
        <f t="shared" ca="1" si="388"/>
        <v>0</v>
      </c>
      <c r="ER357" s="348">
        <f t="shared" ca="1" si="388"/>
        <v>0</v>
      </c>
      <c r="ES357" s="348">
        <f t="shared" ca="1" si="388"/>
        <v>0</v>
      </c>
      <c r="ET357" s="348">
        <f t="shared" ca="1" si="388"/>
        <v>0</v>
      </c>
      <c r="EU357" s="348">
        <f t="shared" ca="1" si="388"/>
        <v>0</v>
      </c>
      <c r="EV357" s="348">
        <f t="shared" ca="1" si="388"/>
        <v>0</v>
      </c>
      <c r="EW357" s="348">
        <f t="shared" ca="1" si="388"/>
        <v>0</v>
      </c>
      <c r="EX357" s="348">
        <f t="shared" ca="1" si="388"/>
        <v>0</v>
      </c>
      <c r="EY357" s="348">
        <f t="shared" ca="1" si="388"/>
        <v>0</v>
      </c>
      <c r="EZ357" s="348">
        <f t="shared" ca="1" si="388"/>
        <v>0</v>
      </c>
      <c r="FA357" s="348">
        <f t="shared" ca="1" si="388"/>
        <v>0</v>
      </c>
      <c r="FB357" s="348">
        <f t="shared" ca="1" si="388"/>
        <v>0</v>
      </c>
      <c r="FC357" s="348">
        <f t="shared" ca="1" si="388"/>
        <v>0</v>
      </c>
      <c r="FD357" s="348">
        <f t="shared" ca="1" si="388"/>
        <v>0</v>
      </c>
      <c r="FE357" s="348">
        <f t="shared" ca="1" si="388"/>
        <v>0</v>
      </c>
      <c r="FF357" s="348">
        <f t="shared" ca="1" si="388"/>
        <v>0</v>
      </c>
      <c r="FG357" s="348">
        <f t="shared" ca="1" si="388"/>
        <v>0</v>
      </c>
      <c r="FH357" s="348">
        <f t="shared" ca="1" si="388"/>
        <v>0</v>
      </c>
      <c r="FI357" s="348">
        <f t="shared" ca="1" si="388"/>
        <v>0</v>
      </c>
      <c r="FJ357" s="348">
        <f t="shared" ca="1" si="388"/>
        <v>0</v>
      </c>
      <c r="FK357" s="348">
        <f t="shared" ca="1" si="388"/>
        <v>0</v>
      </c>
      <c r="FL357" s="348">
        <f t="shared" ca="1" si="388"/>
        <v>0</v>
      </c>
      <c r="FM357" s="348">
        <f t="shared" ca="1" si="388"/>
        <v>0</v>
      </c>
      <c r="FN357" s="348">
        <f t="shared" ca="1" si="388"/>
        <v>0</v>
      </c>
      <c r="FO357" s="348">
        <f t="shared" ca="1" si="388"/>
        <v>0</v>
      </c>
      <c r="FP357" s="348">
        <f t="shared" ca="1" si="388"/>
        <v>0</v>
      </c>
      <c r="FQ357" s="348">
        <f t="shared" ca="1" si="388"/>
        <v>0</v>
      </c>
      <c r="FR357" s="348">
        <f t="shared" ca="1" si="388"/>
        <v>0</v>
      </c>
      <c r="FS357" s="348">
        <f t="shared" ca="1" si="388"/>
        <v>0</v>
      </c>
      <c r="FT357" s="348">
        <f t="shared" ca="1" si="388"/>
        <v>0</v>
      </c>
      <c r="FU357" s="348">
        <f t="shared" ca="1" si="388"/>
        <v>0</v>
      </c>
      <c r="FV357" s="348">
        <f t="shared" ca="1" si="388"/>
        <v>0</v>
      </c>
      <c r="FW357" s="348">
        <f t="shared" ca="1" si="388"/>
        <v>0</v>
      </c>
      <c r="FX357" s="348">
        <f t="shared" ca="1" si="388"/>
        <v>0</v>
      </c>
      <c r="FY357" s="348">
        <f t="shared" ca="1" si="388"/>
        <v>0</v>
      </c>
      <c r="FZ357" s="348">
        <f t="shared" ca="1" si="388"/>
        <v>0</v>
      </c>
      <c r="GA357" s="348">
        <f t="shared" ca="1" si="388"/>
        <v>0</v>
      </c>
      <c r="GB357" s="348">
        <f t="shared" ca="1" si="388"/>
        <v>0</v>
      </c>
      <c r="GC357" s="348">
        <f t="shared" ca="1" si="388"/>
        <v>0</v>
      </c>
      <c r="GD357" s="348">
        <f t="shared" ca="1" si="388"/>
        <v>0</v>
      </c>
      <c r="GE357" s="348">
        <f t="shared" ca="1" si="388"/>
        <v>0</v>
      </c>
      <c r="GF357" s="348">
        <f t="shared" ca="1" si="388"/>
        <v>0</v>
      </c>
      <c r="GG357" s="348">
        <f t="shared" ca="1" si="388"/>
        <v>0</v>
      </c>
      <c r="GH357" s="348">
        <f t="shared" ca="1" si="388"/>
        <v>0</v>
      </c>
      <c r="GI357" s="348">
        <f t="shared" ca="1" si="388"/>
        <v>0</v>
      </c>
      <c r="GJ357" s="348">
        <f t="shared" ca="1" si="388"/>
        <v>0</v>
      </c>
      <c r="GK357" s="348">
        <f t="shared" ca="1" si="388"/>
        <v>0</v>
      </c>
      <c r="GL357" s="348">
        <f t="shared" ca="1" si="388"/>
        <v>0</v>
      </c>
      <c r="GM357" s="348">
        <f t="shared" ca="1" si="388"/>
        <v>0</v>
      </c>
      <c r="GN357" s="348">
        <f t="shared" ca="1" si="388"/>
        <v>0</v>
      </c>
      <c r="GO357" s="348">
        <f t="shared" ca="1" si="388"/>
        <v>0</v>
      </c>
      <c r="GP357" s="348">
        <f t="shared" ca="1" si="388"/>
        <v>0</v>
      </c>
      <c r="GQ357" s="348">
        <f t="shared" ca="1" si="388"/>
        <v>0</v>
      </c>
      <c r="GR357" s="348">
        <f t="shared" ca="1" si="388"/>
        <v>0</v>
      </c>
      <c r="GS357" s="348">
        <f t="shared" ref="GS357:IK357" ca="1" si="389">IF($D$211=3,IF(AND(GS6&gt;ROUNDUP($E$116-$J$2,0),GS6&lt;ROUNDUP($E$197-$J$2+1,0)),1000,0),0)</f>
        <v>0</v>
      </c>
      <c r="GT357" s="348">
        <f t="shared" ca="1" si="389"/>
        <v>0</v>
      </c>
      <c r="GU357" s="348">
        <f t="shared" ca="1" si="389"/>
        <v>0</v>
      </c>
      <c r="GV357" s="348">
        <f t="shared" ca="1" si="389"/>
        <v>0</v>
      </c>
      <c r="GW357" s="348">
        <f t="shared" ca="1" si="389"/>
        <v>0</v>
      </c>
      <c r="GX357" s="348">
        <f t="shared" ca="1" si="389"/>
        <v>0</v>
      </c>
      <c r="GY357" s="348">
        <f t="shared" ca="1" si="389"/>
        <v>0</v>
      </c>
      <c r="GZ357" s="348">
        <f t="shared" ca="1" si="389"/>
        <v>0</v>
      </c>
      <c r="HA357" s="348">
        <f t="shared" ca="1" si="389"/>
        <v>0</v>
      </c>
      <c r="HB357" s="348">
        <f t="shared" ca="1" si="389"/>
        <v>0</v>
      </c>
      <c r="HC357" s="348">
        <f t="shared" ca="1" si="389"/>
        <v>0</v>
      </c>
      <c r="HD357" s="348">
        <f t="shared" ca="1" si="389"/>
        <v>0</v>
      </c>
      <c r="HE357" s="348">
        <f t="shared" ca="1" si="389"/>
        <v>0</v>
      </c>
      <c r="HF357" s="348">
        <f t="shared" ca="1" si="389"/>
        <v>0</v>
      </c>
      <c r="HG357" s="348">
        <f t="shared" ca="1" si="389"/>
        <v>0</v>
      </c>
      <c r="HH357" s="348">
        <f t="shared" ca="1" si="389"/>
        <v>0</v>
      </c>
      <c r="HI357" s="348">
        <f t="shared" ca="1" si="389"/>
        <v>0</v>
      </c>
      <c r="HJ357" s="348">
        <f t="shared" ca="1" si="389"/>
        <v>0</v>
      </c>
      <c r="HK357" s="348">
        <f t="shared" ca="1" si="389"/>
        <v>0</v>
      </c>
      <c r="HL357" s="348">
        <f t="shared" ca="1" si="389"/>
        <v>0</v>
      </c>
      <c r="HM357" s="348">
        <f t="shared" ca="1" si="389"/>
        <v>0</v>
      </c>
      <c r="HN357" s="348">
        <f t="shared" ca="1" si="389"/>
        <v>0</v>
      </c>
      <c r="HO357" s="348">
        <f t="shared" ca="1" si="389"/>
        <v>0</v>
      </c>
      <c r="HP357" s="348">
        <f t="shared" ca="1" si="389"/>
        <v>0</v>
      </c>
      <c r="HQ357" s="348">
        <f t="shared" ca="1" si="389"/>
        <v>0</v>
      </c>
      <c r="HR357" s="348">
        <f t="shared" ca="1" si="389"/>
        <v>0</v>
      </c>
      <c r="HS357" s="348">
        <f t="shared" ca="1" si="389"/>
        <v>0</v>
      </c>
      <c r="HT357" s="348">
        <f t="shared" ca="1" si="389"/>
        <v>0</v>
      </c>
      <c r="HU357" s="348">
        <f t="shared" ca="1" si="389"/>
        <v>0</v>
      </c>
      <c r="HV357" s="348">
        <f t="shared" ca="1" si="389"/>
        <v>0</v>
      </c>
      <c r="HW357" s="348">
        <f t="shared" ca="1" si="389"/>
        <v>0</v>
      </c>
      <c r="HX357" s="348">
        <f t="shared" ca="1" si="389"/>
        <v>0</v>
      </c>
      <c r="HY357" s="348">
        <f t="shared" ca="1" si="389"/>
        <v>0</v>
      </c>
      <c r="HZ357" s="348">
        <f t="shared" ca="1" si="389"/>
        <v>0</v>
      </c>
      <c r="IA357" s="348">
        <f t="shared" ca="1" si="389"/>
        <v>0</v>
      </c>
      <c r="IB357" s="348">
        <f t="shared" ca="1" si="389"/>
        <v>0</v>
      </c>
      <c r="IC357" s="348">
        <f t="shared" ca="1" si="389"/>
        <v>0</v>
      </c>
      <c r="ID357" s="348">
        <f t="shared" ca="1" si="389"/>
        <v>0</v>
      </c>
      <c r="IE357" s="348">
        <f t="shared" ca="1" si="389"/>
        <v>0</v>
      </c>
      <c r="IF357" s="348">
        <f t="shared" ca="1" si="389"/>
        <v>0</v>
      </c>
      <c r="IG357" s="348">
        <f t="shared" ca="1" si="389"/>
        <v>0</v>
      </c>
      <c r="IH357" s="348">
        <f t="shared" ca="1" si="389"/>
        <v>0</v>
      </c>
      <c r="II357" s="348">
        <f t="shared" ca="1" si="389"/>
        <v>0</v>
      </c>
      <c r="IJ357" s="348">
        <f t="shared" ca="1" si="389"/>
        <v>0</v>
      </c>
      <c r="IK357" s="348">
        <f t="shared" ca="1" si="389"/>
        <v>0</v>
      </c>
    </row>
    <row r="358" spans="1:245" hidden="1" x14ac:dyDescent="0.35">
      <c r="A358" s="195">
        <f t="shared" si="364"/>
        <v>0</v>
      </c>
    </row>
    <row r="359" spans="1:245" hidden="1" x14ac:dyDescent="0.35">
      <c r="A359" s="195">
        <f t="shared" si="364"/>
        <v>0</v>
      </c>
      <c r="C359" s="638" t="s">
        <v>1614</v>
      </c>
      <c r="D359" s="636" t="s">
        <v>1606</v>
      </c>
      <c r="E359" s="14"/>
      <c r="F359" s="6"/>
      <c r="H359" s="32">
        <f ca="1">IF(ENTRADAS!$F$22&gt;=3,IF(H197=10,1000,1),0)</f>
        <v>1</v>
      </c>
      <c r="I359" s="32">
        <f ca="1">IF(ENTRADAS!$F$22&gt;=3,IF(I197=10,1000,1),0)</f>
        <v>1</v>
      </c>
      <c r="J359" s="32">
        <f ca="1">IF(ENTRADAS!$F$22&gt;=3,IF(J197=10,1000,1),0)</f>
        <v>1</v>
      </c>
      <c r="K359" s="32">
        <f ca="1">IF(ENTRADAS!$F$22&gt;=3,IF(K197=10,1000,1),0)</f>
        <v>1</v>
      </c>
      <c r="L359" s="32">
        <f ca="1">IF(ENTRADAS!$F$22&gt;=3,IF(L197=10,1000,1),0)</f>
        <v>1</v>
      </c>
      <c r="M359" s="32">
        <f ca="1">IF(ENTRADAS!$F$22&gt;=3,IF(M197=10,1000,1),0)</f>
        <v>1</v>
      </c>
      <c r="N359" s="32">
        <f ca="1">IF(ENTRADAS!$F$22&gt;=3,IF(N197=10,1000,1),0)</f>
        <v>1</v>
      </c>
      <c r="O359" s="32">
        <f ca="1">IF(ENTRADAS!$F$22&gt;=3,IF(O197=10,1000,1),0)</f>
        <v>1</v>
      </c>
      <c r="P359" s="32">
        <f ca="1">IF(ENTRADAS!$F$22&gt;=3,IF(P197=10,1000,1),0)</f>
        <v>1</v>
      </c>
      <c r="Q359" s="32">
        <f ca="1">IF(ENTRADAS!$F$22&gt;=3,IF(Q197=10,1000,1),0)</f>
        <v>1</v>
      </c>
      <c r="R359" s="32">
        <f ca="1">IF(ENTRADAS!$F$22&gt;=3,IF(R197=10,1000,1),0)</f>
        <v>1</v>
      </c>
      <c r="S359" s="32">
        <f ca="1">IF(ENTRADAS!$F$22&gt;=3,IF(S197=10,1000,1),0)</f>
        <v>1</v>
      </c>
      <c r="T359" s="32">
        <f ca="1">IF(ENTRADAS!$F$22&gt;=3,IF(T197=10,1000,1),0)</f>
        <v>1</v>
      </c>
      <c r="U359" s="32">
        <f ca="1">IF(ENTRADAS!$F$22&gt;=3,IF(U197=10,1000,1),0)</f>
        <v>1</v>
      </c>
      <c r="V359" s="32">
        <f ca="1">IF(ENTRADAS!$F$22&gt;=3,IF(V197=10,1000,1),0)</f>
        <v>1</v>
      </c>
      <c r="W359" s="32">
        <f ca="1">IF(ENTRADAS!$F$22&gt;=3,IF(W197=10,1000,1),0)</f>
        <v>1</v>
      </c>
      <c r="X359" s="32">
        <f ca="1">IF(ENTRADAS!$F$22&gt;=3,IF(X197=10,1000,1),0)</f>
        <v>1</v>
      </c>
      <c r="Y359" s="32">
        <f ca="1">IF(ENTRADAS!$F$22&gt;=3,IF(Y197=10,1000,1),0)</f>
        <v>1</v>
      </c>
      <c r="Z359" s="32">
        <f ca="1">IF(ENTRADAS!$F$22&gt;=3,IF(Z197=10,1000,1),0)</f>
        <v>1</v>
      </c>
      <c r="AA359" s="32">
        <f ca="1">IF(ENTRADAS!$F$22&gt;=3,IF(AA197=10,1000,1),0)</f>
        <v>1</v>
      </c>
      <c r="AB359" s="32">
        <f ca="1">IF(ENTRADAS!$F$22&gt;=3,IF(AB197=10,1000,1),0)</f>
        <v>1</v>
      </c>
      <c r="AC359" s="32">
        <f ca="1">IF(ENTRADAS!$F$22&gt;=3,IF(AC197=10,1000,1),0)</f>
        <v>1</v>
      </c>
      <c r="AD359" s="32">
        <f ca="1">IF(ENTRADAS!$F$22&gt;=3,IF(AD197=10,1000,1),0)</f>
        <v>1</v>
      </c>
      <c r="AE359" s="32">
        <f ca="1">IF(ENTRADAS!$F$22&gt;=3,IF(AE197=10,1000,1),0)</f>
        <v>1</v>
      </c>
      <c r="AF359" s="32">
        <f ca="1">IF(ENTRADAS!$F$22&gt;=3,IF(AF197=10,1000,1),0)</f>
        <v>1</v>
      </c>
      <c r="AG359" s="32">
        <f ca="1">IF(ENTRADAS!$F$22&gt;=3,IF(AG197=10,1000,1),0)</f>
        <v>1</v>
      </c>
      <c r="AH359" s="32">
        <f ca="1">IF(ENTRADAS!$F$22&gt;=3,IF(AH197=10,1000,1),0)</f>
        <v>1</v>
      </c>
      <c r="AI359" s="32">
        <f ca="1">IF(ENTRADAS!$F$22&gt;=3,IF(AI197=10,1000,1),0)</f>
        <v>1</v>
      </c>
      <c r="AJ359" s="32">
        <f ca="1">IF(ENTRADAS!$F$22&gt;=3,IF(AJ197=10,1000,1),0)</f>
        <v>1</v>
      </c>
      <c r="AK359" s="32">
        <f ca="1">IF(ENTRADAS!$F$22&gt;=3,IF(AK197=10,1000,1),0)</f>
        <v>1</v>
      </c>
      <c r="AL359" s="32">
        <f ca="1">IF(ENTRADAS!$F$22&gt;=3,IF(AL197=10,1000,1),0)</f>
        <v>1</v>
      </c>
      <c r="AM359" s="32">
        <f ca="1">IF(ENTRADAS!$F$22&gt;=3,IF(AM197=10,1000,1),0)</f>
        <v>1</v>
      </c>
      <c r="AN359" s="32">
        <f ca="1">IF(ENTRADAS!$F$22&gt;=3,IF(AN197=10,1000,1),0)</f>
        <v>1</v>
      </c>
      <c r="AO359" s="32">
        <f ca="1">IF(ENTRADAS!$F$22&gt;=3,IF(AO197=10,1000,1),0)</f>
        <v>1</v>
      </c>
      <c r="AP359" s="32">
        <f ca="1">IF(ENTRADAS!$F$22&gt;=3,IF(AP197=10,1000,1),0)</f>
        <v>1</v>
      </c>
      <c r="AQ359" s="32">
        <f ca="1">IF(ENTRADAS!$F$22&gt;=3,IF(AQ197=10,1000,1),0)</f>
        <v>1</v>
      </c>
      <c r="AR359" s="32">
        <f ca="1">IF(ENTRADAS!$F$22&gt;=3,IF(AR197=10,1000,1),0)</f>
        <v>1</v>
      </c>
      <c r="AS359" s="32">
        <f ca="1">IF(ENTRADAS!$F$22&gt;=3,IF(AS197=10,1000,1),0)</f>
        <v>1</v>
      </c>
      <c r="AT359" s="32">
        <f ca="1">IF(ENTRADAS!$F$22&gt;=3,IF(AT197=10,1000,1),0)</f>
        <v>1</v>
      </c>
      <c r="AU359" s="32">
        <f ca="1">IF(ENTRADAS!$F$22&gt;=3,IF(AU197=10,1000,1),0)</f>
        <v>1</v>
      </c>
      <c r="AV359" s="32">
        <f ca="1">IF(ENTRADAS!$F$22&gt;=3,IF(AV197=10,1000,1),0)</f>
        <v>1</v>
      </c>
      <c r="AW359" s="32">
        <f ca="1">IF(ENTRADAS!$F$22&gt;=3,IF(AW197=10,1000,1),0)</f>
        <v>1</v>
      </c>
      <c r="AX359" s="32">
        <f ca="1">IF(ENTRADAS!$F$22&gt;=3,IF(AX197=10,1000,1),0)</f>
        <v>1</v>
      </c>
      <c r="AY359" s="32">
        <f ca="1">IF(ENTRADAS!$F$22&gt;=3,IF(AY197=10,1000,1),0)</f>
        <v>1</v>
      </c>
      <c r="AZ359" s="32">
        <f ca="1">IF(ENTRADAS!$F$22&gt;=3,IF(AZ197=10,1000,1),0)</f>
        <v>1</v>
      </c>
      <c r="BA359" s="32">
        <f ca="1">IF(ENTRADAS!$F$22&gt;=3,IF(BA197=10,1000,1),0)</f>
        <v>1</v>
      </c>
      <c r="BB359" s="32">
        <f ca="1">IF(ENTRADAS!$F$22&gt;=3,IF(BB197=10,1000,1),0)</f>
        <v>1</v>
      </c>
      <c r="BC359" s="32">
        <f ca="1">IF(ENTRADAS!$F$22&gt;=3,IF(BC197=10,1000,1),0)</f>
        <v>1</v>
      </c>
      <c r="BD359" s="32">
        <f ca="1">IF(ENTRADAS!$F$22&gt;=3,IF(BD197=10,1000,1),0)</f>
        <v>1</v>
      </c>
      <c r="BE359" s="32">
        <f ca="1">IF(ENTRADAS!$F$22&gt;=3,IF(BE197=10,1000,1),0)</f>
        <v>1</v>
      </c>
      <c r="BF359" s="32">
        <f ca="1">IF(ENTRADAS!$F$22&gt;=3,IF(BF197=10,1000,1),0)</f>
        <v>1</v>
      </c>
      <c r="BG359" s="32">
        <f ca="1">IF(ENTRADAS!$F$22&gt;=3,IF(BG197=10,1000,1),0)</f>
        <v>1</v>
      </c>
      <c r="BH359" s="32">
        <f ca="1">IF(ENTRADAS!$F$22&gt;=3,IF(BH197=10,1000,1),0)</f>
        <v>1</v>
      </c>
      <c r="BI359" s="32">
        <f ca="1">IF(ENTRADAS!$F$22&gt;=3,IF(BI197=10,1000,1),0)</f>
        <v>1</v>
      </c>
      <c r="BJ359" s="32">
        <f ca="1">IF(ENTRADAS!$F$22&gt;=3,IF(BJ197=10,1000,1),0)</f>
        <v>1</v>
      </c>
      <c r="BK359" s="32">
        <f ca="1">IF(ENTRADAS!$F$22&gt;=3,IF(BK197=10,1000,1),0)</f>
        <v>1</v>
      </c>
      <c r="BL359" s="32">
        <f ca="1">IF(ENTRADAS!$F$22&gt;=3,IF(BL197=10,1000,1),0)</f>
        <v>1</v>
      </c>
      <c r="BM359" s="32">
        <f ca="1">IF(ENTRADAS!$F$22&gt;=3,IF(BM197=10,1000,1),0)</f>
        <v>1</v>
      </c>
      <c r="BN359" s="32">
        <f ca="1">IF(ENTRADAS!$F$22&gt;=3,IF(BN197=10,1000,1),0)</f>
        <v>1</v>
      </c>
      <c r="BO359" s="32">
        <f ca="1">IF(ENTRADAS!$F$22&gt;=3,IF(BO197=10,1000,1),0)</f>
        <v>1</v>
      </c>
      <c r="BP359" s="32">
        <f ca="1">IF(ENTRADAS!$F$22&gt;=3,IF(BP197=10,1000,1),0)</f>
        <v>1</v>
      </c>
      <c r="BQ359" s="32">
        <f ca="1">IF(ENTRADAS!$F$22&gt;=3,IF(BQ197=10,1000,1),0)</f>
        <v>1</v>
      </c>
      <c r="BR359" s="32">
        <f ca="1">IF(ENTRADAS!$F$22&gt;=3,IF(BR197=10,1000,1),0)</f>
        <v>1</v>
      </c>
      <c r="BS359" s="32">
        <f ca="1">IF(ENTRADAS!$F$22&gt;=3,IF(BS197=10,1000,1),0)</f>
        <v>1</v>
      </c>
      <c r="BT359" s="32">
        <f ca="1">IF(ENTRADAS!$F$22&gt;=3,IF(BT197=10,1000,1),0)</f>
        <v>1</v>
      </c>
      <c r="BU359" s="32">
        <f ca="1">IF(ENTRADAS!$F$22&gt;=3,IF(BU197=10,1000,1),0)</f>
        <v>1</v>
      </c>
      <c r="BV359" s="32">
        <f ca="1">IF(ENTRADAS!$F$22&gt;=3,IF(BV197=10,1000,1),0)</f>
        <v>1</v>
      </c>
      <c r="BW359" s="32">
        <f ca="1">IF(ENTRADAS!$F$22&gt;=3,IF(BW197=10,1000,1),0)</f>
        <v>1</v>
      </c>
      <c r="BX359" s="32">
        <f ca="1">IF(ENTRADAS!$F$22&gt;=3,IF(BX197=10,1000,1),0)</f>
        <v>1</v>
      </c>
      <c r="BY359" s="32">
        <f ca="1">IF(ENTRADAS!$F$22&gt;=3,IF(BY197=10,1000,1),0)</f>
        <v>1</v>
      </c>
      <c r="BZ359" s="32">
        <f ca="1">IF(ENTRADAS!$F$22&gt;=3,IF(BZ197=10,1000,1),0)</f>
        <v>1</v>
      </c>
      <c r="CA359" s="32">
        <f ca="1">IF(ENTRADAS!$F$22&gt;=3,IF(CA197=10,1000,1),0)</f>
        <v>1</v>
      </c>
      <c r="CB359" s="32">
        <f ca="1">IF(ENTRADAS!$F$22&gt;=3,IF(CB197=10,1000,1),0)</f>
        <v>1</v>
      </c>
      <c r="CC359" s="32">
        <f ca="1">IF(ENTRADAS!$F$22&gt;=3,IF(CC197=10,1000,1),0)</f>
        <v>1</v>
      </c>
      <c r="CD359" s="32">
        <f ca="1">IF(ENTRADAS!$F$22&gt;=3,IF(CD197=10,1000,1),0)</f>
        <v>1</v>
      </c>
      <c r="CE359" s="32">
        <f ca="1">IF(ENTRADAS!$F$22&gt;=3,IF(CE197=10,1000,1),0)</f>
        <v>1</v>
      </c>
      <c r="CF359" s="32">
        <f ca="1">IF(ENTRADAS!$F$22&gt;=3,IF(CF197=10,1000,1),0)</f>
        <v>1</v>
      </c>
      <c r="CG359" s="32">
        <f ca="1">IF(ENTRADAS!$F$22&gt;=3,IF(CG197=10,1000,1),0)</f>
        <v>1</v>
      </c>
      <c r="CH359" s="32">
        <f ca="1">IF(ENTRADAS!$F$22&gt;=3,IF(CH197=10,1000,1),0)</f>
        <v>1</v>
      </c>
      <c r="CI359" s="32">
        <f ca="1">IF(ENTRADAS!$F$22&gt;=3,IF(CI197=10,1000,1),0)</f>
        <v>1000</v>
      </c>
      <c r="CJ359" s="32">
        <f ca="1">IF(ENTRADAS!$F$22&gt;=3,IF(CJ197=10,1000,1),0)</f>
        <v>1000</v>
      </c>
      <c r="CK359" s="32">
        <f ca="1">IF(ENTRADAS!$F$22&gt;=3,IF(CK197=10,1000,1),0)</f>
        <v>1000</v>
      </c>
      <c r="CL359" s="32">
        <f ca="1">IF(ENTRADAS!$F$22&gt;=3,IF(CL197=10,1000,1),0)</f>
        <v>1000</v>
      </c>
      <c r="CM359" s="32">
        <f ca="1">IF(ENTRADAS!$F$22&gt;=3,IF(CM197=10,1000,1),0)</f>
        <v>1000</v>
      </c>
      <c r="CN359" s="32">
        <f ca="1">IF(ENTRADAS!$F$22&gt;=3,IF(CN197=10,1000,1),0)</f>
        <v>1000</v>
      </c>
      <c r="CO359" s="32">
        <f ca="1">IF(ENTRADAS!$F$22&gt;=3,IF(CO197=10,1000,1),0)</f>
        <v>1000</v>
      </c>
      <c r="CP359" s="32">
        <f ca="1">IF(ENTRADAS!$F$22&gt;=3,IF(CP197=10,1000,1),0)</f>
        <v>1000</v>
      </c>
      <c r="CQ359" s="32">
        <f ca="1">IF(ENTRADAS!$F$22&gt;=3,IF(CQ197=10,1000,1),0)</f>
        <v>1000</v>
      </c>
      <c r="CR359" s="32">
        <f ca="1">IF(ENTRADAS!$F$22&gt;=3,IF(CR197=10,1000,1),0)</f>
        <v>1000</v>
      </c>
      <c r="CS359" s="32">
        <f ca="1">IF(ENTRADAS!$F$22&gt;=3,IF(CS197=10,1000,1),0)</f>
        <v>1000</v>
      </c>
      <c r="CT359" s="32">
        <f ca="1">IF(ENTRADAS!$F$22&gt;=3,IF(CT197=10,1000,1),0)</f>
        <v>1000</v>
      </c>
      <c r="CU359" s="32">
        <f ca="1">IF(ENTRADAS!$F$22&gt;=3,IF(CU197=10,1000,1),0)</f>
        <v>1000</v>
      </c>
      <c r="CV359" s="32">
        <f ca="1">IF(ENTRADAS!$F$22&gt;=3,IF(CV197=10,1000,1),0)</f>
        <v>1000</v>
      </c>
      <c r="CW359" s="32">
        <f ca="1">IF(ENTRADAS!$F$22&gt;=3,IF(CW197=10,1000,1),0)</f>
        <v>1000</v>
      </c>
      <c r="CX359" s="32">
        <f ca="1">IF(ENTRADAS!$F$22&gt;=3,IF(CX197=10,1000,1),0)</f>
        <v>1000</v>
      </c>
      <c r="CY359" s="32">
        <f ca="1">IF(ENTRADAS!$F$22&gt;=3,IF(CY197=10,1000,1),0)</f>
        <v>1000</v>
      </c>
      <c r="CZ359" s="32">
        <f ca="1">IF(ENTRADAS!$F$22&gt;=3,IF(CZ197=10,1000,1),0)</f>
        <v>1000</v>
      </c>
      <c r="DA359" s="32">
        <f ca="1">IF(ENTRADAS!$F$22&gt;=3,IF(DA197=10,1000,1),0)</f>
        <v>1000</v>
      </c>
      <c r="DB359" s="32">
        <f ca="1">IF(ENTRADAS!$F$22&gt;=3,IF(DB197=10,1000,1),0)</f>
        <v>1000</v>
      </c>
      <c r="DC359" s="32">
        <f ca="1">IF(ENTRADAS!$F$22&gt;=3,IF(DC197=10,1000,1),0)</f>
        <v>1000</v>
      </c>
      <c r="DD359" s="32">
        <f ca="1">IF(ENTRADAS!$F$22&gt;=3,IF(DD197=10,1000,1),0)</f>
        <v>1000</v>
      </c>
      <c r="DE359" s="32">
        <f ca="1">IF(ENTRADAS!$F$22&gt;=3,IF(DE197=10,1000,1),0)</f>
        <v>1000</v>
      </c>
      <c r="DF359" s="32">
        <f ca="1">IF(ENTRADAS!$F$22&gt;=3,IF(DF197=10,1000,1),0)</f>
        <v>1000</v>
      </c>
      <c r="DG359" s="32">
        <f ca="1">IF(ENTRADAS!$F$22&gt;=3,IF(DG197=10,1000,1),0)</f>
        <v>1000</v>
      </c>
      <c r="DH359" s="32">
        <f ca="1">IF(ENTRADAS!$F$22&gt;=3,IF(DH197=10,1000,1),0)</f>
        <v>1000</v>
      </c>
      <c r="DI359" s="32">
        <f ca="1">IF(ENTRADAS!$F$22&gt;=3,IF(DI197=10,1000,1),0)</f>
        <v>1000</v>
      </c>
      <c r="DJ359" s="32">
        <f ca="1">IF(ENTRADAS!$F$22&gt;=3,IF(DJ197=10,1000,1),0)</f>
        <v>1000</v>
      </c>
      <c r="DK359" s="32">
        <f ca="1">IF(ENTRADAS!$F$22&gt;=3,IF(DK197=10,1000,1),0)</f>
        <v>1000</v>
      </c>
      <c r="DL359" s="32">
        <f ca="1">IF(ENTRADAS!$F$22&gt;=3,IF(DL197=10,1000,1),0)</f>
        <v>1</v>
      </c>
      <c r="DM359" s="32">
        <f ca="1">IF(ENTRADAS!$F$22&gt;=3,IF(DM197=10,1000,1),0)</f>
        <v>1</v>
      </c>
      <c r="DN359" s="32">
        <f ca="1">IF(ENTRADAS!$F$22&gt;=3,IF(DN197=10,1000,1),0)</f>
        <v>1</v>
      </c>
      <c r="DO359" s="32">
        <f ca="1">IF(ENTRADAS!$F$22&gt;=3,IF(DO197=10,1000,1),0)</f>
        <v>1</v>
      </c>
      <c r="DP359" s="32">
        <f ca="1">IF(ENTRADAS!$F$22&gt;=3,IF(DP197=10,1000,1),0)</f>
        <v>1</v>
      </c>
      <c r="DQ359" s="32">
        <f ca="1">IF(ENTRADAS!$F$22&gt;=3,IF(DQ197=10,1000,1),0)</f>
        <v>1</v>
      </c>
      <c r="DR359" s="32">
        <f ca="1">IF(ENTRADAS!$F$22&gt;=3,IF(DR197=10,1000,1),0)</f>
        <v>1</v>
      </c>
      <c r="DS359" s="32">
        <f ca="1">IF(ENTRADAS!$F$22&gt;=3,IF(DS197=10,1000,1),0)</f>
        <v>1</v>
      </c>
      <c r="DT359" s="32">
        <f ca="1">IF(ENTRADAS!$F$22&gt;=3,IF(DT197=10,1000,1),0)</f>
        <v>1</v>
      </c>
      <c r="DU359" s="32">
        <f ca="1">IF(ENTRADAS!$F$22&gt;=3,IF(DU197=10,1000,1),0)</f>
        <v>1</v>
      </c>
      <c r="DV359" s="32">
        <f ca="1">IF(ENTRADAS!$F$22&gt;=3,IF(DV197=10,1000,1),0)</f>
        <v>1</v>
      </c>
      <c r="DW359" s="32">
        <f ca="1">IF(ENTRADAS!$F$22&gt;=3,IF(DW197=10,1000,1),0)</f>
        <v>1</v>
      </c>
      <c r="DX359" s="32">
        <f ca="1">IF(ENTRADAS!$F$22&gt;=3,IF(DX197=10,1000,1),0)</f>
        <v>1</v>
      </c>
      <c r="DY359" s="32">
        <f ca="1">IF(ENTRADAS!$F$22&gt;=3,IF(DY197=10,1000,1),0)</f>
        <v>1</v>
      </c>
      <c r="DZ359" s="32">
        <f ca="1">IF(ENTRADAS!$F$22&gt;=3,IF(DZ197=10,1000,1),0)</f>
        <v>1</v>
      </c>
      <c r="EA359" s="32">
        <f ca="1">IF(ENTRADAS!$F$22&gt;=3,IF(EA197=10,1000,1),0)</f>
        <v>1</v>
      </c>
      <c r="EB359" s="32">
        <f ca="1">IF(ENTRADAS!$F$22&gt;=3,IF(EB197=10,1000,1),0)</f>
        <v>1</v>
      </c>
      <c r="EC359" s="32">
        <f ca="1">IF(ENTRADAS!$F$22&gt;=3,IF(EC197=10,1000,1),0)</f>
        <v>1</v>
      </c>
      <c r="ED359" s="32">
        <f ca="1">IF(ENTRADAS!$F$22&gt;=3,IF(ED197=10,1000,1),0)</f>
        <v>1</v>
      </c>
      <c r="EE359" s="32">
        <f ca="1">IF(ENTRADAS!$F$22&gt;=3,IF(EE197=10,1000,1),0)</f>
        <v>1</v>
      </c>
      <c r="EF359" s="32">
        <f ca="1">IF(ENTRADAS!$F$22&gt;=3,IF(EF197=10,1000,1),0)</f>
        <v>1</v>
      </c>
      <c r="EG359" s="32">
        <f ca="1">IF(ENTRADAS!$F$22&gt;=3,IF(EG197=10,1000,1),0)</f>
        <v>1</v>
      </c>
      <c r="EH359" s="32">
        <f ca="1">IF(ENTRADAS!$F$22&gt;=3,IF(EH197=10,1000,1),0)</f>
        <v>1</v>
      </c>
      <c r="EI359" s="32">
        <f ca="1">IF(ENTRADAS!$F$22&gt;=3,IF(EI197=10,1000,1),0)</f>
        <v>1</v>
      </c>
      <c r="EJ359" s="32">
        <f ca="1">IF(ENTRADAS!$F$22&gt;=3,IF(EJ197=10,1000,1),0)</f>
        <v>1</v>
      </c>
      <c r="EK359" s="32">
        <f ca="1">IF(ENTRADAS!$F$22&gt;=3,IF(EK197=10,1000,1),0)</f>
        <v>1</v>
      </c>
      <c r="EL359" s="32">
        <f ca="1">IF(ENTRADAS!$F$22&gt;=3,IF(EL197=10,1000,1),0)</f>
        <v>1</v>
      </c>
      <c r="EM359" s="32">
        <f ca="1">IF(ENTRADAS!$F$22&gt;=3,IF(EM197=10,1000,1),0)</f>
        <v>1</v>
      </c>
      <c r="EN359" s="32">
        <f ca="1">IF(ENTRADAS!$F$22&gt;=3,IF(EN197=10,1000,1),0)</f>
        <v>1</v>
      </c>
      <c r="EO359" s="32">
        <f ca="1">IF(ENTRADAS!$F$22&gt;=3,IF(EO197=10,1000,1),0)</f>
        <v>1</v>
      </c>
      <c r="EP359" s="32">
        <f ca="1">IF(ENTRADAS!$F$22&gt;=3,IF(EP197=10,1000,1),0)</f>
        <v>1</v>
      </c>
      <c r="EQ359" s="32">
        <f ca="1">IF(ENTRADAS!$F$22&gt;=3,IF(EQ197=10,1000,1),0)</f>
        <v>1</v>
      </c>
      <c r="ER359" s="32">
        <f ca="1">IF(ENTRADAS!$F$22&gt;=3,IF(ER197=10,1000,1),0)</f>
        <v>1</v>
      </c>
      <c r="ES359" s="32">
        <f ca="1">IF(ENTRADAS!$F$22&gt;=3,IF(ES197=10,1000,1),0)</f>
        <v>1</v>
      </c>
      <c r="ET359" s="32">
        <f ca="1">IF(ENTRADAS!$F$22&gt;=3,IF(ET197=10,1000,1),0)</f>
        <v>1</v>
      </c>
      <c r="EU359" s="32">
        <f ca="1">IF(ENTRADAS!$F$22&gt;=3,IF(EU197=10,1000,1),0)</f>
        <v>1</v>
      </c>
      <c r="EV359" s="32">
        <f ca="1">IF(ENTRADAS!$F$22&gt;=3,IF(EV197=10,1000,1),0)</f>
        <v>1</v>
      </c>
      <c r="EW359" s="32">
        <f ca="1">IF(ENTRADAS!$F$22&gt;=3,IF(EW197=10,1000,1),0)</f>
        <v>1</v>
      </c>
      <c r="EX359" s="32">
        <f ca="1">IF(ENTRADAS!$F$22&gt;=3,IF(EX197=10,1000,1),0)</f>
        <v>1</v>
      </c>
      <c r="EY359" s="32">
        <f ca="1">IF(ENTRADAS!$F$22&gt;=3,IF(EY197=10,1000,1),0)</f>
        <v>1</v>
      </c>
      <c r="EZ359" s="32">
        <f ca="1">IF(ENTRADAS!$F$22&gt;=3,IF(EZ197=10,1000,1),0)</f>
        <v>1</v>
      </c>
      <c r="FA359" s="32">
        <f ca="1">IF(ENTRADAS!$F$22&gt;=3,IF(FA197=10,1000,1),0)</f>
        <v>1</v>
      </c>
      <c r="FB359" s="32">
        <f ca="1">IF(ENTRADAS!$F$22&gt;=3,IF(FB197=10,1000,1),0)</f>
        <v>1</v>
      </c>
      <c r="FC359" s="32">
        <f ca="1">IF(ENTRADAS!$F$22&gt;=3,IF(FC197=10,1000,1),0)</f>
        <v>1</v>
      </c>
      <c r="FD359" s="32">
        <f ca="1">IF(ENTRADAS!$F$22&gt;=3,IF(FD197=10,1000,1),0)</f>
        <v>1</v>
      </c>
      <c r="FE359" s="32">
        <f ca="1">IF(ENTRADAS!$F$22&gt;=3,IF(FE197=10,1000,1),0)</f>
        <v>1</v>
      </c>
      <c r="FF359" s="32">
        <f ca="1">IF(ENTRADAS!$F$22&gt;=3,IF(FF197=10,1000,1),0)</f>
        <v>1</v>
      </c>
      <c r="FG359" s="32">
        <f ca="1">IF(ENTRADAS!$F$22&gt;=3,IF(FG197=10,1000,1),0)</f>
        <v>1</v>
      </c>
      <c r="FH359" s="32">
        <f ca="1">IF(ENTRADAS!$F$22&gt;=3,IF(FH197=10,1000,1),0)</f>
        <v>1</v>
      </c>
      <c r="FI359" s="32">
        <f ca="1">IF(ENTRADAS!$F$22&gt;=3,IF(FI197=10,1000,1),0)</f>
        <v>1</v>
      </c>
      <c r="FJ359" s="32">
        <f ca="1">IF(ENTRADAS!$F$22&gt;=3,IF(FJ197=10,1000,1),0)</f>
        <v>1</v>
      </c>
      <c r="FK359" s="32">
        <f ca="1">IF(ENTRADAS!$F$22&gt;=3,IF(FK197=10,1000,1),0)</f>
        <v>1</v>
      </c>
      <c r="FL359" s="32">
        <f ca="1">IF(ENTRADAS!$F$22&gt;=3,IF(FL197=10,1000,1),0)</f>
        <v>1</v>
      </c>
      <c r="FM359" s="32">
        <f ca="1">IF(ENTRADAS!$F$22&gt;=3,IF(FM197=10,1000,1),0)</f>
        <v>1</v>
      </c>
      <c r="FN359" s="32">
        <f ca="1">IF(ENTRADAS!$F$22&gt;=3,IF(FN197=10,1000,1),0)</f>
        <v>1</v>
      </c>
      <c r="FO359" s="32">
        <f ca="1">IF(ENTRADAS!$F$22&gt;=3,IF(FO197=10,1000,1),0)</f>
        <v>1</v>
      </c>
      <c r="FP359" s="32">
        <f ca="1">IF(ENTRADAS!$F$22&gt;=3,IF(FP197=10,1000,1),0)</f>
        <v>1</v>
      </c>
      <c r="FQ359" s="32">
        <f ca="1">IF(ENTRADAS!$F$22&gt;=3,IF(FQ197=10,1000,1),0)</f>
        <v>1</v>
      </c>
      <c r="FR359" s="32">
        <f ca="1">IF(ENTRADAS!$F$22&gt;=3,IF(FR197=10,1000,1),0)</f>
        <v>1</v>
      </c>
      <c r="FS359" s="32">
        <f ca="1">IF(ENTRADAS!$F$22&gt;=3,IF(FS197=10,1000,1),0)</f>
        <v>1</v>
      </c>
      <c r="FT359" s="32">
        <f ca="1">IF(ENTRADAS!$F$22&gt;=3,IF(FT197=10,1000,1),0)</f>
        <v>1</v>
      </c>
      <c r="FU359" s="32">
        <f ca="1">IF(ENTRADAS!$F$22&gt;=3,IF(FU197=10,1000,1),0)</f>
        <v>1</v>
      </c>
      <c r="FV359" s="32">
        <f ca="1">IF(ENTRADAS!$F$22&gt;=3,IF(FV197=10,1000,1),0)</f>
        <v>1</v>
      </c>
      <c r="FW359" s="32">
        <f ca="1">IF(ENTRADAS!$F$22&gt;=3,IF(FW197=10,1000,1),0)</f>
        <v>1</v>
      </c>
      <c r="FX359" s="32">
        <f ca="1">IF(ENTRADAS!$F$22&gt;=3,IF(FX197=10,1000,1),0)</f>
        <v>1</v>
      </c>
      <c r="FY359" s="32">
        <f ca="1">IF(ENTRADAS!$F$22&gt;=3,IF(FY197=10,1000,1),0)</f>
        <v>1</v>
      </c>
      <c r="FZ359" s="32">
        <f ca="1">IF(ENTRADAS!$F$22&gt;=3,IF(FZ197=10,1000,1),0)</f>
        <v>1</v>
      </c>
      <c r="GA359" s="32">
        <f ca="1">IF(ENTRADAS!$F$22&gt;=3,IF(GA197=10,1000,1),0)</f>
        <v>1</v>
      </c>
      <c r="GB359" s="32">
        <f ca="1">IF(ENTRADAS!$F$22&gt;=3,IF(GB197=10,1000,1),0)</f>
        <v>1</v>
      </c>
      <c r="GC359" s="32">
        <f ca="1">IF(ENTRADAS!$F$22&gt;=3,IF(GC197=10,1000,1),0)</f>
        <v>1</v>
      </c>
      <c r="GD359" s="32">
        <f ca="1">IF(ENTRADAS!$F$22&gt;=3,IF(GD197=10,1000,1),0)</f>
        <v>1</v>
      </c>
      <c r="GE359" s="32">
        <f ca="1">IF(ENTRADAS!$F$22&gt;=3,IF(GE197=10,1000,1),0)</f>
        <v>1</v>
      </c>
      <c r="GF359" s="32">
        <f ca="1">IF(ENTRADAS!$F$22&gt;=3,IF(GF197=10,1000,1),0)</f>
        <v>1</v>
      </c>
      <c r="GG359" s="32">
        <f ca="1">IF(ENTRADAS!$F$22&gt;=3,IF(GG197=10,1000,1),0)</f>
        <v>1</v>
      </c>
      <c r="GH359" s="32">
        <f ca="1">IF(ENTRADAS!$F$22&gt;=3,IF(GH197=10,1000,1),0)</f>
        <v>1</v>
      </c>
      <c r="GI359" s="32">
        <f ca="1">IF(ENTRADAS!$F$22&gt;=3,IF(GI197=10,1000,1),0)</f>
        <v>1</v>
      </c>
      <c r="GJ359" s="32">
        <f ca="1">IF(ENTRADAS!$F$22&gt;=3,IF(GJ197=10,1000,1),0)</f>
        <v>1</v>
      </c>
      <c r="GK359" s="32">
        <f ca="1">IF(ENTRADAS!$F$22&gt;=3,IF(GK197=10,1000,1),0)</f>
        <v>1</v>
      </c>
      <c r="GL359" s="32">
        <f ca="1">IF(ENTRADAS!$F$22&gt;=3,IF(GL197=10,1000,1),0)</f>
        <v>1</v>
      </c>
      <c r="GM359" s="32">
        <f ca="1">IF(ENTRADAS!$F$22&gt;=3,IF(GM197=10,1000,1),0)</f>
        <v>1</v>
      </c>
      <c r="GN359" s="32">
        <f ca="1">IF(ENTRADAS!$F$22&gt;=3,IF(GN197=10,1000,1),0)</f>
        <v>1</v>
      </c>
      <c r="GO359" s="32">
        <f ca="1">IF(ENTRADAS!$F$22&gt;=3,IF(GO197=10,1000,1),0)</f>
        <v>1</v>
      </c>
      <c r="GP359" s="32">
        <f ca="1">IF(ENTRADAS!$F$22&gt;=3,IF(GP197=10,1000,1),0)</f>
        <v>1</v>
      </c>
      <c r="GQ359" s="32">
        <f ca="1">IF(ENTRADAS!$F$22&gt;=3,IF(GQ197=10,1000,1),0)</f>
        <v>1</v>
      </c>
      <c r="GR359" s="32">
        <f ca="1">IF(ENTRADAS!$F$22&gt;=3,IF(GR197=10,1000,1),0)</f>
        <v>1</v>
      </c>
      <c r="GS359" s="32">
        <f ca="1">IF(ENTRADAS!$F$22&gt;=3,IF(GS197=10,1000,1),0)</f>
        <v>1</v>
      </c>
      <c r="GT359" s="32">
        <f ca="1">IF(ENTRADAS!$F$22&gt;=3,IF(GT197=10,1000,1),0)</f>
        <v>1</v>
      </c>
      <c r="GU359" s="32">
        <f ca="1">IF(ENTRADAS!$F$22&gt;=3,IF(GU197=10,1000,1),0)</f>
        <v>1</v>
      </c>
      <c r="GV359" s="32">
        <f ca="1">IF(ENTRADAS!$F$22&gt;=3,IF(GV197=10,1000,1),0)</f>
        <v>1</v>
      </c>
      <c r="GW359" s="32">
        <f ca="1">IF(ENTRADAS!$F$22&gt;=3,IF(GW197=10,1000,1),0)</f>
        <v>1</v>
      </c>
      <c r="GX359" s="32">
        <f ca="1">IF(ENTRADAS!$F$22&gt;=3,IF(GX197=10,1000,1),0)</f>
        <v>1</v>
      </c>
      <c r="GY359" s="32">
        <f ca="1">IF(ENTRADAS!$F$22&gt;=3,IF(GY197=10,1000,1),0)</f>
        <v>1</v>
      </c>
      <c r="GZ359" s="32">
        <f ca="1">IF(ENTRADAS!$F$22&gt;=3,IF(GZ197=10,1000,1),0)</f>
        <v>1</v>
      </c>
      <c r="HA359" s="32">
        <f ca="1">IF(ENTRADAS!$F$22&gt;=3,IF(HA197=10,1000,1),0)</f>
        <v>1</v>
      </c>
      <c r="HB359" s="32">
        <f ca="1">IF(ENTRADAS!$F$22&gt;=3,IF(HB197=10,1000,1),0)</f>
        <v>1</v>
      </c>
      <c r="HC359" s="32">
        <f ca="1">IF(ENTRADAS!$F$22&gt;=3,IF(HC197=10,1000,1),0)</f>
        <v>1</v>
      </c>
      <c r="HD359" s="32">
        <f ca="1">IF(ENTRADAS!$F$22&gt;=3,IF(HD197=10,1000,1),0)</f>
        <v>1</v>
      </c>
      <c r="HE359" s="32">
        <f ca="1">IF(ENTRADAS!$F$22&gt;=3,IF(HE197=10,1000,1),0)</f>
        <v>1</v>
      </c>
      <c r="HF359" s="32">
        <f ca="1">IF(ENTRADAS!$F$22&gt;=3,IF(HF197=10,1000,1),0)</f>
        <v>1</v>
      </c>
      <c r="HG359" s="32">
        <f ca="1">IF(ENTRADAS!$F$22&gt;=3,IF(HG197=10,1000,1),0)</f>
        <v>1</v>
      </c>
      <c r="HH359" s="32">
        <f ca="1">IF(ENTRADAS!$F$22&gt;=3,IF(HH197=10,1000,1),0)</f>
        <v>1</v>
      </c>
      <c r="HI359" s="32">
        <f ca="1">IF(ENTRADAS!$F$22&gt;=3,IF(HI197=10,1000,1),0)</f>
        <v>1</v>
      </c>
      <c r="HJ359" s="32">
        <f ca="1">IF(ENTRADAS!$F$22&gt;=3,IF(HJ197=10,1000,1),0)</f>
        <v>1</v>
      </c>
      <c r="HK359" s="32">
        <f ca="1">IF(ENTRADAS!$F$22&gt;=3,IF(HK197=10,1000,1),0)</f>
        <v>1</v>
      </c>
      <c r="HL359" s="32">
        <f ca="1">IF(ENTRADAS!$F$22&gt;=3,IF(HL197=10,1000,1),0)</f>
        <v>1</v>
      </c>
      <c r="HM359" s="32">
        <f ca="1">IF(ENTRADAS!$F$22&gt;=3,IF(HM197=10,1000,1),0)</f>
        <v>1</v>
      </c>
      <c r="HN359" s="32">
        <f ca="1">IF(ENTRADAS!$F$22&gt;=3,IF(HN197=10,1000,1),0)</f>
        <v>1</v>
      </c>
      <c r="HO359" s="32">
        <f ca="1">IF(ENTRADAS!$F$22&gt;=3,IF(HO197=10,1000,1),0)</f>
        <v>1</v>
      </c>
      <c r="HP359" s="32">
        <f ca="1">IF(ENTRADAS!$F$22&gt;=3,IF(HP197=10,1000,1),0)</f>
        <v>1</v>
      </c>
      <c r="HQ359" s="32">
        <f ca="1">IF(ENTRADAS!$F$22&gt;=3,IF(HQ197=10,1000,1),0)</f>
        <v>1</v>
      </c>
      <c r="HR359" s="32">
        <f ca="1">IF(ENTRADAS!$F$22&gt;=3,IF(HR197=10,1000,1),0)</f>
        <v>1</v>
      </c>
      <c r="HS359" s="32">
        <f ca="1">IF(ENTRADAS!$F$22&gt;=3,IF(HS197=10,1000,1),0)</f>
        <v>1</v>
      </c>
      <c r="HT359" s="32">
        <f ca="1">IF(ENTRADAS!$F$22&gt;=3,IF(HT197=10,1000,1),0)</f>
        <v>1</v>
      </c>
      <c r="HU359" s="32">
        <f ca="1">IF(ENTRADAS!$F$22&gt;=3,IF(HU197=10,1000,1),0)</f>
        <v>1</v>
      </c>
      <c r="HV359" s="32">
        <f ca="1">IF(ENTRADAS!$F$22&gt;=3,IF(HV197=10,1000,1),0)</f>
        <v>1</v>
      </c>
      <c r="HW359" s="32">
        <f ca="1">IF(ENTRADAS!$F$22&gt;=3,IF(HW197=10,1000,1),0)</f>
        <v>1</v>
      </c>
      <c r="HX359" s="32">
        <f ca="1">IF(ENTRADAS!$F$22&gt;=3,IF(HX197=10,1000,1),0)</f>
        <v>1</v>
      </c>
      <c r="HY359" s="32">
        <f ca="1">IF(ENTRADAS!$F$22&gt;=3,IF(HY197=10,1000,1),0)</f>
        <v>1</v>
      </c>
      <c r="HZ359" s="32">
        <f ca="1">IF(ENTRADAS!$F$22&gt;=3,IF(HZ197=10,1000,1),0)</f>
        <v>1</v>
      </c>
      <c r="IA359" s="32">
        <f ca="1">IF(ENTRADAS!$F$22&gt;=3,IF(IA197=10,1000,1),0)</f>
        <v>1</v>
      </c>
      <c r="IB359" s="32">
        <f ca="1">IF(ENTRADAS!$F$22&gt;=3,IF(IB197=10,1000,1),0)</f>
        <v>1</v>
      </c>
      <c r="IC359" s="32">
        <f ca="1">IF(ENTRADAS!$F$22&gt;=3,IF(IC197=10,1000,1),0)</f>
        <v>1</v>
      </c>
      <c r="ID359" s="32">
        <f ca="1">IF(ENTRADAS!$F$22&gt;=3,IF(ID197=10,1000,1),0)</f>
        <v>1</v>
      </c>
      <c r="IE359" s="32">
        <f ca="1">IF(ENTRADAS!$F$22&gt;=3,IF(IE197=10,1000,1),0)</f>
        <v>1</v>
      </c>
      <c r="IF359" s="32">
        <f ca="1">IF(ENTRADAS!$F$22&gt;=3,IF(IF197=10,1000,1),0)</f>
        <v>1</v>
      </c>
      <c r="IG359" s="32">
        <f ca="1">IF(ENTRADAS!$F$22&gt;=3,IF(IG197=10,1000,1),0)</f>
        <v>1</v>
      </c>
      <c r="IH359" s="32">
        <f ca="1">IF(ENTRADAS!$F$22&gt;=3,IF(IH197=10,1000,1),0)</f>
        <v>1</v>
      </c>
      <c r="II359" s="32">
        <f ca="1">IF(ENTRADAS!$F$22&gt;=3,IF(II197=10,1000,1),0)</f>
        <v>1</v>
      </c>
      <c r="IJ359" s="32">
        <f ca="1">IF(ENTRADAS!$F$22&gt;=3,IF(IJ197=10,1000,1),0)</f>
        <v>1</v>
      </c>
      <c r="IK359" s="32">
        <f ca="1">IF(ENTRADAS!$F$22&gt;=3,IF(IK197=10,1000,1),0)</f>
        <v>1</v>
      </c>
    </row>
    <row r="360" spans="1:245" hidden="1" x14ac:dyDescent="0.35">
      <c r="A360" s="195">
        <f t="shared" si="364"/>
        <v>0</v>
      </c>
      <c r="C360" s="639" t="s">
        <v>1615</v>
      </c>
      <c r="D360" s="637" t="s">
        <v>1608</v>
      </c>
      <c r="E360" s="17"/>
      <c r="F360" s="626"/>
      <c r="H360" s="32">
        <f ca="1">IF($F$360="X",0,IF(ENTRADAS!$F$22&gt;=3,IF(H199=10,1000,1),0))</f>
        <v>1</v>
      </c>
      <c r="I360" s="32">
        <f ca="1">IF($F$360="X",0,IF(ENTRADAS!$F$22&gt;=3,IF(I199=10,1000,1),0))</f>
        <v>1</v>
      </c>
      <c r="J360" s="32">
        <f ca="1">IF($F$360="X",0,IF(ENTRADAS!$F$22&gt;=3,IF(J199=10,1000,1),0))</f>
        <v>1</v>
      </c>
      <c r="K360" s="32">
        <f ca="1">IF($F$360="X",0,IF(ENTRADAS!$F$22&gt;=3,IF(K199=10,1000,1),0))</f>
        <v>1</v>
      </c>
      <c r="L360" s="32">
        <f ca="1">IF($F$360="X",0,IF(ENTRADAS!$F$22&gt;=3,IF(L199=10,1000,1),0))</f>
        <v>1</v>
      </c>
      <c r="M360" s="32">
        <f ca="1">IF($F$360="X",0,IF(ENTRADAS!$F$22&gt;=3,IF(M199=10,1000,1),0))</f>
        <v>1</v>
      </c>
      <c r="N360" s="32">
        <f ca="1">IF($F$360="X",0,IF(ENTRADAS!$F$22&gt;=3,IF(N199=10,1000,1),0))</f>
        <v>1</v>
      </c>
      <c r="O360" s="32">
        <f ca="1">IF($F$360="X",0,IF(ENTRADAS!$F$22&gt;=3,IF(O199=10,1000,1),0))</f>
        <v>1</v>
      </c>
      <c r="P360" s="32">
        <f ca="1">IF($F$360="X",0,IF(ENTRADAS!$F$22&gt;=3,IF(P199=10,1000,1),0))</f>
        <v>1</v>
      </c>
      <c r="Q360" s="32">
        <f ca="1">IF($F$360="X",0,IF(ENTRADAS!$F$22&gt;=3,IF(Q199=10,1000,1),0))</f>
        <v>1</v>
      </c>
      <c r="R360" s="32">
        <f ca="1">IF($F$360="X",0,IF(ENTRADAS!$F$22&gt;=3,IF(R199=10,1000,1),0))</f>
        <v>1</v>
      </c>
      <c r="S360" s="32">
        <f ca="1">IF($F$360="X",0,IF(ENTRADAS!$F$22&gt;=3,IF(S199=10,1000,1),0))</f>
        <v>1</v>
      </c>
      <c r="T360" s="32">
        <f ca="1">IF($F$360="X",0,IF(ENTRADAS!$F$22&gt;=3,IF(T199=10,1000,1),0))</f>
        <v>1</v>
      </c>
      <c r="U360" s="32">
        <f ca="1">IF($F$360="X",0,IF(ENTRADAS!$F$22&gt;=3,IF(U199=10,1000,1),0))</f>
        <v>1</v>
      </c>
      <c r="V360" s="32">
        <f ca="1">IF($F$360="X",0,IF(ENTRADAS!$F$22&gt;=3,IF(V199=10,1000,1),0))</f>
        <v>1</v>
      </c>
      <c r="W360" s="32">
        <f ca="1">IF($F$360="X",0,IF(ENTRADAS!$F$22&gt;=3,IF(W199=10,1000,1),0))</f>
        <v>1</v>
      </c>
      <c r="X360" s="32">
        <f ca="1">IF($F$360="X",0,IF(ENTRADAS!$F$22&gt;=3,IF(X199=10,1000,1),0))</f>
        <v>1</v>
      </c>
      <c r="Y360" s="32">
        <f ca="1">IF($F$360="X",0,IF(ENTRADAS!$F$22&gt;=3,IF(Y199=10,1000,1),0))</f>
        <v>1</v>
      </c>
      <c r="Z360" s="32">
        <f ca="1">IF($F$360="X",0,IF(ENTRADAS!$F$22&gt;=3,IF(Z199=10,1000,1),0))</f>
        <v>1</v>
      </c>
      <c r="AA360" s="32">
        <f ca="1">IF($F$360="X",0,IF(ENTRADAS!$F$22&gt;=3,IF(AA199=10,1000,1),0))</f>
        <v>1</v>
      </c>
      <c r="AB360" s="32">
        <f ca="1">IF($F$360="X",0,IF(ENTRADAS!$F$22&gt;=3,IF(AB199=10,1000,1),0))</f>
        <v>1</v>
      </c>
      <c r="AC360" s="32">
        <f ca="1">IF($F$360="X",0,IF(ENTRADAS!$F$22&gt;=3,IF(AC199=10,1000,1),0))</f>
        <v>1</v>
      </c>
      <c r="AD360" s="32">
        <f ca="1">IF($F$360="X",0,IF(ENTRADAS!$F$22&gt;=3,IF(AD199=10,1000,1),0))</f>
        <v>1</v>
      </c>
      <c r="AE360" s="32">
        <f ca="1">IF($F$360="X",0,IF(ENTRADAS!$F$22&gt;=3,IF(AE199=10,1000,1),0))</f>
        <v>1</v>
      </c>
      <c r="AF360" s="32">
        <f ca="1">IF($F$360="X",0,IF(ENTRADAS!$F$22&gt;=3,IF(AF199=10,1000,1),0))</f>
        <v>1</v>
      </c>
      <c r="AG360" s="32">
        <f ca="1">IF($F$360="X",0,IF(ENTRADAS!$F$22&gt;=3,IF(AG199=10,1000,1),0))</f>
        <v>1</v>
      </c>
      <c r="AH360" s="32">
        <f ca="1">IF($F$360="X",0,IF(ENTRADAS!$F$22&gt;=3,IF(AH199=10,1000,1),0))</f>
        <v>1</v>
      </c>
      <c r="AI360" s="32">
        <f ca="1">IF($F$360="X",0,IF(ENTRADAS!$F$22&gt;=3,IF(AI199=10,1000,1),0))</f>
        <v>1</v>
      </c>
      <c r="AJ360" s="32">
        <f ca="1">IF($F$360="X",0,IF(ENTRADAS!$F$22&gt;=3,IF(AJ199=10,1000,1),0))</f>
        <v>1</v>
      </c>
      <c r="AK360" s="32">
        <f ca="1">IF($F$360="X",0,IF(ENTRADAS!$F$22&gt;=3,IF(AK199=10,1000,1),0))</f>
        <v>1</v>
      </c>
      <c r="AL360" s="32">
        <f ca="1">IF($F$360="X",0,IF(ENTRADAS!$F$22&gt;=3,IF(AL199=10,1000,1),0))</f>
        <v>1</v>
      </c>
      <c r="AM360" s="32">
        <f ca="1">IF($F$360="X",0,IF(ENTRADAS!$F$22&gt;=3,IF(AM199=10,1000,1),0))</f>
        <v>1</v>
      </c>
      <c r="AN360" s="32">
        <f ca="1">IF($F$360="X",0,IF(ENTRADAS!$F$22&gt;=3,IF(AN199=10,1000,1),0))</f>
        <v>1</v>
      </c>
      <c r="AO360" s="32">
        <f ca="1">IF($F$360="X",0,IF(ENTRADAS!$F$22&gt;=3,IF(AO199=10,1000,1),0))</f>
        <v>1</v>
      </c>
      <c r="AP360" s="32">
        <f ca="1">IF($F$360="X",0,IF(ENTRADAS!$F$22&gt;=3,IF(AP199=10,1000,1),0))</f>
        <v>1</v>
      </c>
      <c r="AQ360" s="32">
        <f ca="1">IF($F$360="X",0,IF(ENTRADAS!$F$22&gt;=3,IF(AQ199=10,1000,1),0))</f>
        <v>1</v>
      </c>
      <c r="AR360" s="32">
        <f ca="1">IF($F$360="X",0,IF(ENTRADAS!$F$22&gt;=3,IF(AR199=10,1000,1),0))</f>
        <v>1</v>
      </c>
      <c r="AS360" s="32">
        <f ca="1">IF($F$360="X",0,IF(ENTRADAS!$F$22&gt;=3,IF(AS199=10,1000,1),0))</f>
        <v>1</v>
      </c>
      <c r="AT360" s="32">
        <f ca="1">IF($F$360="X",0,IF(ENTRADAS!$F$22&gt;=3,IF(AT199=10,1000,1),0))</f>
        <v>1</v>
      </c>
      <c r="AU360" s="32">
        <f ca="1">IF($F$360="X",0,IF(ENTRADAS!$F$22&gt;=3,IF(AU199=10,1000,1),0))</f>
        <v>1</v>
      </c>
      <c r="AV360" s="32">
        <f ca="1">IF($F$360="X",0,IF(ENTRADAS!$F$22&gt;=3,IF(AV199=10,1000,1),0))</f>
        <v>1</v>
      </c>
      <c r="AW360" s="32">
        <f ca="1">IF($F$360="X",0,IF(ENTRADAS!$F$22&gt;=3,IF(AW199=10,1000,1),0))</f>
        <v>1</v>
      </c>
      <c r="AX360" s="32">
        <f ca="1">IF($F$360="X",0,IF(ENTRADAS!$F$22&gt;=3,IF(AX199=10,1000,1),0))</f>
        <v>1</v>
      </c>
      <c r="AY360" s="32">
        <f ca="1">IF($F$360="X",0,IF(ENTRADAS!$F$22&gt;=3,IF(AY199=10,1000,1),0))</f>
        <v>1</v>
      </c>
      <c r="AZ360" s="32">
        <f ca="1">IF($F$360="X",0,IF(ENTRADAS!$F$22&gt;=3,IF(AZ199=10,1000,1),0))</f>
        <v>1</v>
      </c>
      <c r="BA360" s="32">
        <f ca="1">IF($F$360="X",0,IF(ENTRADAS!$F$22&gt;=3,IF(BA199=10,1000,1),0))</f>
        <v>1</v>
      </c>
      <c r="BB360" s="32">
        <f ca="1">IF($F$360="X",0,IF(ENTRADAS!$F$22&gt;=3,IF(BB199=10,1000,1),0))</f>
        <v>1</v>
      </c>
      <c r="BC360" s="32">
        <f ca="1">IF($F$360="X",0,IF(ENTRADAS!$F$22&gt;=3,IF(BC199=10,1000,1),0))</f>
        <v>1</v>
      </c>
      <c r="BD360" s="32">
        <f ca="1">IF($F$360="X",0,IF(ENTRADAS!$F$22&gt;=3,IF(BD199=10,1000,1),0))</f>
        <v>1</v>
      </c>
      <c r="BE360" s="32">
        <f ca="1">IF($F$360="X",0,IF(ENTRADAS!$F$22&gt;=3,IF(BE199=10,1000,1),0))</f>
        <v>1</v>
      </c>
      <c r="BF360" s="32">
        <f ca="1">IF($F$360="X",0,IF(ENTRADAS!$F$22&gt;=3,IF(BF199=10,1000,1),0))</f>
        <v>1</v>
      </c>
      <c r="BG360" s="32">
        <f ca="1">IF($F$360="X",0,IF(ENTRADAS!$F$22&gt;=3,IF(BG199=10,1000,1),0))</f>
        <v>1</v>
      </c>
      <c r="BH360" s="32">
        <f ca="1">IF($F$360="X",0,IF(ENTRADAS!$F$22&gt;=3,IF(BH199=10,1000,1),0))</f>
        <v>1</v>
      </c>
      <c r="BI360" s="32">
        <f ca="1">IF($F$360="X",0,IF(ENTRADAS!$F$22&gt;=3,IF(BI199=10,1000,1),0))</f>
        <v>1</v>
      </c>
      <c r="BJ360" s="32">
        <f ca="1">IF($F$360="X",0,IF(ENTRADAS!$F$22&gt;=3,IF(BJ199=10,1000,1),0))</f>
        <v>1</v>
      </c>
      <c r="BK360" s="32">
        <f ca="1">IF($F$360="X",0,IF(ENTRADAS!$F$22&gt;=3,IF(BK199=10,1000,1),0))</f>
        <v>1</v>
      </c>
      <c r="BL360" s="32">
        <f ca="1">IF($F$360="X",0,IF(ENTRADAS!$F$22&gt;=3,IF(BL199=10,1000,1),0))</f>
        <v>1</v>
      </c>
      <c r="BM360" s="32">
        <f ca="1">IF($F$360="X",0,IF(ENTRADAS!$F$22&gt;=3,IF(BM199=10,1000,1),0))</f>
        <v>1</v>
      </c>
      <c r="BN360" s="32">
        <f ca="1">IF($F$360="X",0,IF(ENTRADAS!$F$22&gt;=3,IF(BN199=10,1000,1),0))</f>
        <v>1</v>
      </c>
      <c r="BO360" s="32">
        <f ca="1">IF($F$360="X",0,IF(ENTRADAS!$F$22&gt;=3,IF(BO199=10,1000,1),0))</f>
        <v>1</v>
      </c>
      <c r="BP360" s="32">
        <f ca="1">IF($F$360="X",0,IF(ENTRADAS!$F$22&gt;=3,IF(BP199=10,1000,1),0))</f>
        <v>1</v>
      </c>
      <c r="BQ360" s="32">
        <f ca="1">IF($F$360="X",0,IF(ENTRADAS!$F$22&gt;=3,IF(BQ199=10,1000,1),0))</f>
        <v>1</v>
      </c>
      <c r="BR360" s="32">
        <f ca="1">IF($F$360="X",0,IF(ENTRADAS!$F$22&gt;=3,IF(BR199=10,1000,1),0))</f>
        <v>1</v>
      </c>
      <c r="BS360" s="32">
        <f ca="1">IF($F$360="X",0,IF(ENTRADAS!$F$22&gt;=3,IF(BS199=10,1000,1),0))</f>
        <v>1</v>
      </c>
      <c r="BT360" s="32">
        <f ca="1">IF($F$360="X",0,IF(ENTRADAS!$F$22&gt;=3,IF(BT199=10,1000,1),0))</f>
        <v>1</v>
      </c>
      <c r="BU360" s="32">
        <f ca="1">IF($F$360="X",0,IF(ENTRADAS!$F$22&gt;=3,IF(BU199=10,1000,1),0))</f>
        <v>1</v>
      </c>
      <c r="BV360" s="32">
        <f ca="1">IF($F$360="X",0,IF(ENTRADAS!$F$22&gt;=3,IF(BV199=10,1000,1),0))</f>
        <v>1</v>
      </c>
      <c r="BW360" s="32">
        <f ca="1">IF($F$360="X",0,IF(ENTRADAS!$F$22&gt;=3,IF(BW199=10,1000,1),0))</f>
        <v>1</v>
      </c>
      <c r="BX360" s="32">
        <f ca="1">IF($F$360="X",0,IF(ENTRADAS!$F$22&gt;=3,IF(BX199=10,1000,1),0))</f>
        <v>1</v>
      </c>
      <c r="BY360" s="32">
        <f ca="1">IF($F$360="X",0,IF(ENTRADAS!$F$22&gt;=3,IF(BY199=10,1000,1),0))</f>
        <v>1</v>
      </c>
      <c r="BZ360" s="32">
        <f ca="1">IF($F$360="X",0,IF(ENTRADAS!$F$22&gt;=3,IF(BZ199=10,1000,1),0))</f>
        <v>1</v>
      </c>
      <c r="CA360" s="32">
        <f ca="1">IF($F$360="X",0,IF(ENTRADAS!$F$22&gt;=3,IF(CA199=10,1000,1),0))</f>
        <v>1</v>
      </c>
      <c r="CB360" s="32">
        <f ca="1">IF($F$360="X",0,IF(ENTRADAS!$F$22&gt;=3,IF(CB199=10,1000,1),0))</f>
        <v>1</v>
      </c>
      <c r="CC360" s="32">
        <f ca="1">IF($F$360="X",0,IF(ENTRADAS!$F$22&gt;=3,IF(CC199=10,1000,1),0))</f>
        <v>1</v>
      </c>
      <c r="CD360" s="32">
        <f ca="1">IF($F$360="X",0,IF(ENTRADAS!$F$22&gt;=3,IF(CD199=10,1000,1),0))</f>
        <v>1</v>
      </c>
      <c r="CE360" s="32">
        <f ca="1">IF($F$360="X",0,IF(ENTRADAS!$F$22&gt;=3,IF(CE199=10,1000,1),0))</f>
        <v>1</v>
      </c>
      <c r="CF360" s="32">
        <f ca="1">IF($F$360="X",0,IF(ENTRADAS!$F$22&gt;=3,IF(CF199=10,1000,1),0))</f>
        <v>1</v>
      </c>
      <c r="CG360" s="32">
        <f ca="1">IF($F$360="X",0,IF(ENTRADAS!$F$22&gt;=3,IF(CG199=10,1000,1),0))</f>
        <v>1</v>
      </c>
      <c r="CH360" s="32">
        <f ca="1">IF($F$360="X",0,IF(ENTRADAS!$F$22&gt;=3,IF(CH199=10,1000,1),0))</f>
        <v>1</v>
      </c>
      <c r="CI360" s="32">
        <f ca="1">IF($F$360="X",0,IF(ENTRADAS!$F$22&gt;=3,IF(CI199=10,1000,1),0))</f>
        <v>1</v>
      </c>
      <c r="CJ360" s="32">
        <f ca="1">IF($F$360="X",0,IF(ENTRADAS!$F$22&gt;=3,IF(CJ199=10,1000,1),0))</f>
        <v>1</v>
      </c>
      <c r="CK360" s="32">
        <f ca="1">IF($F$360="X",0,IF(ENTRADAS!$F$22&gt;=3,IF(CK199=10,1000,1),0))</f>
        <v>1</v>
      </c>
      <c r="CL360" s="32">
        <f ca="1">IF($F$360="X",0,IF(ENTRADAS!$F$22&gt;=3,IF(CL199=10,1000,1),0))</f>
        <v>1</v>
      </c>
      <c r="CM360" s="32">
        <f ca="1">IF($F$360="X",0,IF(ENTRADAS!$F$22&gt;=3,IF(CM199=10,1000,1),0))</f>
        <v>1</v>
      </c>
      <c r="CN360" s="32">
        <f ca="1">IF($F$360="X",0,IF(ENTRADAS!$F$22&gt;=3,IF(CN199=10,1000,1),0))</f>
        <v>1</v>
      </c>
      <c r="CO360" s="32">
        <f ca="1">IF($F$360="X",0,IF(ENTRADAS!$F$22&gt;=3,IF(CO199=10,1000,1),0))</f>
        <v>1</v>
      </c>
      <c r="CP360" s="32">
        <f ca="1">IF($F$360="X",0,IF(ENTRADAS!$F$22&gt;=3,IF(CP199=10,1000,1),0))</f>
        <v>1</v>
      </c>
      <c r="CQ360" s="32">
        <f ca="1">IF($F$360="X",0,IF(ENTRADAS!$F$22&gt;=3,IF(CQ199=10,1000,1),0))</f>
        <v>1</v>
      </c>
      <c r="CR360" s="32">
        <f ca="1">IF($F$360="X",0,IF(ENTRADAS!$F$22&gt;=3,IF(CR199=10,1000,1),0))</f>
        <v>1</v>
      </c>
      <c r="CS360" s="32">
        <f ca="1">IF($F$360="X",0,IF(ENTRADAS!$F$22&gt;=3,IF(CS199=10,1000,1),0))</f>
        <v>1</v>
      </c>
      <c r="CT360" s="32">
        <f ca="1">IF($F$360="X",0,IF(ENTRADAS!$F$22&gt;=3,IF(CT199=10,1000,1),0))</f>
        <v>1</v>
      </c>
      <c r="CU360" s="32">
        <f ca="1">IF($F$360="X",0,IF(ENTRADAS!$F$22&gt;=3,IF(CU199=10,1000,1),0))</f>
        <v>1</v>
      </c>
      <c r="CV360" s="32">
        <f ca="1">IF($F$360="X",0,IF(ENTRADAS!$F$22&gt;=3,IF(CV199=10,1000,1),0))</f>
        <v>1</v>
      </c>
      <c r="CW360" s="32">
        <f ca="1">IF($F$360="X",0,IF(ENTRADAS!$F$22&gt;=3,IF(CW199=10,1000,1),0))</f>
        <v>1</v>
      </c>
      <c r="CX360" s="32">
        <f ca="1">IF($F$360="X",0,IF(ENTRADAS!$F$22&gt;=3,IF(CX199=10,1000,1),0))</f>
        <v>1</v>
      </c>
      <c r="CY360" s="32">
        <f ca="1">IF($F$360="X",0,IF(ENTRADAS!$F$22&gt;=3,IF(CY199=10,1000,1),0))</f>
        <v>1</v>
      </c>
      <c r="CZ360" s="32">
        <f ca="1">IF($F$360="X",0,IF(ENTRADAS!$F$22&gt;=3,IF(CZ199=10,1000,1),0))</f>
        <v>1</v>
      </c>
      <c r="DA360" s="32">
        <f ca="1">IF($F$360="X",0,IF(ENTRADAS!$F$22&gt;=3,IF(DA199=10,1000,1),0))</f>
        <v>1</v>
      </c>
      <c r="DB360" s="32">
        <f ca="1">IF($F$360="X",0,IF(ENTRADAS!$F$22&gt;=3,IF(DB199=10,1000,1),0))</f>
        <v>1</v>
      </c>
      <c r="DC360" s="32">
        <f ca="1">IF($F$360="X",0,IF(ENTRADAS!$F$22&gt;=3,IF(DC199=10,1000,1),0))</f>
        <v>1</v>
      </c>
      <c r="DD360" s="32">
        <f ca="1">IF($F$360="X",0,IF(ENTRADAS!$F$22&gt;=3,IF(DD199=10,1000,1),0))</f>
        <v>1</v>
      </c>
      <c r="DE360" s="32">
        <f ca="1">IF($F$360="X",0,IF(ENTRADAS!$F$22&gt;=3,IF(DE199=10,1000,1),0))</f>
        <v>1</v>
      </c>
      <c r="DF360" s="32">
        <f ca="1">IF($F$360="X",0,IF(ENTRADAS!$F$22&gt;=3,IF(DF199=10,1000,1),0))</f>
        <v>1</v>
      </c>
      <c r="DG360" s="32">
        <f ca="1">IF($F$360="X",0,IF(ENTRADAS!$F$22&gt;=3,IF(DG199=10,1000,1),0))</f>
        <v>1</v>
      </c>
      <c r="DH360" s="32">
        <f ca="1">IF($F$360="X",0,IF(ENTRADAS!$F$22&gt;=3,IF(DH199=10,1000,1),0))</f>
        <v>1</v>
      </c>
      <c r="DI360" s="32">
        <f ca="1">IF($F$360="X",0,IF(ENTRADAS!$F$22&gt;=3,IF(DI199=10,1000,1),0))</f>
        <v>1</v>
      </c>
      <c r="DJ360" s="32">
        <f ca="1">IF($F$360="X",0,IF(ENTRADAS!$F$22&gt;=3,IF(DJ199=10,1000,1),0))</f>
        <v>1</v>
      </c>
      <c r="DK360" s="32">
        <f ca="1">IF($F$360="X",0,IF(ENTRADAS!$F$22&gt;=3,IF(DK199=10,1000,1),0))</f>
        <v>1</v>
      </c>
      <c r="DL360" s="32">
        <f ca="1">IF($F$360="X",0,IF(ENTRADAS!$F$22&gt;=3,IF(DL199=10,1000,1),0))</f>
        <v>1</v>
      </c>
      <c r="DM360" s="32">
        <f ca="1">IF($F$360="X",0,IF(ENTRADAS!$F$22&gt;=3,IF(DM199=10,1000,1),0))</f>
        <v>1</v>
      </c>
      <c r="DN360" s="32">
        <f ca="1">IF($F$360="X",0,IF(ENTRADAS!$F$22&gt;=3,IF(DN199=10,1000,1),0))</f>
        <v>1</v>
      </c>
      <c r="DO360" s="32">
        <f ca="1">IF($F$360="X",0,IF(ENTRADAS!$F$22&gt;=3,IF(DO199=10,1000,1),0))</f>
        <v>1</v>
      </c>
      <c r="DP360" s="32">
        <f ca="1">IF($F$360="X",0,IF(ENTRADAS!$F$22&gt;=3,IF(DP199=10,1000,1),0))</f>
        <v>1</v>
      </c>
      <c r="DQ360" s="32">
        <f ca="1">IF($F$360="X",0,IF(ENTRADAS!$F$22&gt;=3,IF(DQ199=10,1000,1),0))</f>
        <v>1</v>
      </c>
      <c r="DR360" s="32">
        <f ca="1">IF($F$360="X",0,IF(ENTRADAS!$F$22&gt;=3,IF(DR199=10,1000,1),0))</f>
        <v>1</v>
      </c>
      <c r="DS360" s="32">
        <f ca="1">IF($F$360="X",0,IF(ENTRADAS!$F$22&gt;=3,IF(DS199=10,1000,1),0))</f>
        <v>1</v>
      </c>
      <c r="DT360" s="32">
        <f ca="1">IF($F$360="X",0,IF(ENTRADAS!$F$22&gt;=3,IF(DT199=10,1000,1),0))</f>
        <v>1</v>
      </c>
      <c r="DU360" s="32">
        <f ca="1">IF($F$360="X",0,IF(ENTRADAS!$F$22&gt;=3,IF(DU199=10,1000,1),0))</f>
        <v>1</v>
      </c>
      <c r="DV360" s="32">
        <f ca="1">IF($F$360="X",0,IF(ENTRADAS!$F$22&gt;=3,IF(DV199=10,1000,1),0))</f>
        <v>1</v>
      </c>
      <c r="DW360" s="32">
        <f ca="1">IF($F$360="X",0,IF(ENTRADAS!$F$22&gt;=3,IF(DW199=10,1000,1),0))</f>
        <v>1</v>
      </c>
      <c r="DX360" s="32">
        <f ca="1">IF($F$360="X",0,IF(ENTRADAS!$F$22&gt;=3,IF(DX199=10,1000,1),0))</f>
        <v>1</v>
      </c>
      <c r="DY360" s="32">
        <f ca="1">IF($F$360="X",0,IF(ENTRADAS!$F$22&gt;=3,IF(DY199=10,1000,1),0))</f>
        <v>1</v>
      </c>
      <c r="DZ360" s="32">
        <f ca="1">IF($F$360="X",0,IF(ENTRADAS!$F$22&gt;=3,IF(DZ199=10,1000,1),0))</f>
        <v>1</v>
      </c>
      <c r="EA360" s="32">
        <f ca="1">IF($F$360="X",0,IF(ENTRADAS!$F$22&gt;=3,IF(EA199=10,1000,1),0))</f>
        <v>1</v>
      </c>
      <c r="EB360" s="32">
        <f ca="1">IF($F$360="X",0,IF(ENTRADAS!$F$22&gt;=3,IF(EB199=10,1000,1),0))</f>
        <v>1</v>
      </c>
      <c r="EC360" s="32">
        <f ca="1">IF($F$360="X",0,IF(ENTRADAS!$F$22&gt;=3,IF(EC199=10,1000,1),0))</f>
        <v>1</v>
      </c>
      <c r="ED360" s="32">
        <f ca="1">IF($F$360="X",0,IF(ENTRADAS!$F$22&gt;=3,IF(ED199=10,1000,1),0))</f>
        <v>1</v>
      </c>
      <c r="EE360" s="32">
        <f ca="1">IF($F$360="X",0,IF(ENTRADAS!$F$22&gt;=3,IF(EE199=10,1000,1),0))</f>
        <v>1</v>
      </c>
      <c r="EF360" s="32">
        <f ca="1">IF($F$360="X",0,IF(ENTRADAS!$F$22&gt;=3,IF(EF199=10,1000,1),0))</f>
        <v>1</v>
      </c>
      <c r="EG360" s="32">
        <f ca="1">IF($F$360="X",0,IF(ENTRADAS!$F$22&gt;=3,IF(EG199=10,1000,1),0))</f>
        <v>1</v>
      </c>
      <c r="EH360" s="32">
        <f ca="1">IF($F$360="X",0,IF(ENTRADAS!$F$22&gt;=3,IF(EH199=10,1000,1),0))</f>
        <v>1</v>
      </c>
      <c r="EI360" s="32">
        <f ca="1">IF($F$360="X",0,IF(ENTRADAS!$F$22&gt;=3,IF(EI199=10,1000,1),0))</f>
        <v>1</v>
      </c>
      <c r="EJ360" s="32">
        <f ca="1">IF($F$360="X",0,IF(ENTRADAS!$F$22&gt;=3,IF(EJ199=10,1000,1),0))</f>
        <v>1</v>
      </c>
      <c r="EK360" s="32">
        <f ca="1">IF($F$360="X",0,IF(ENTRADAS!$F$22&gt;=3,IF(EK199=10,1000,1),0))</f>
        <v>1</v>
      </c>
      <c r="EL360" s="32">
        <f ca="1">IF($F$360="X",0,IF(ENTRADAS!$F$22&gt;=3,IF(EL199=10,1000,1),0))</f>
        <v>1</v>
      </c>
      <c r="EM360" s="32">
        <f ca="1">IF($F$360="X",0,IF(ENTRADAS!$F$22&gt;=3,IF(EM199=10,1000,1),0))</f>
        <v>1</v>
      </c>
      <c r="EN360" s="32">
        <f ca="1">IF($F$360="X",0,IF(ENTRADAS!$F$22&gt;=3,IF(EN199=10,1000,1),0))</f>
        <v>1</v>
      </c>
      <c r="EO360" s="32">
        <f ca="1">IF($F$360="X",0,IF(ENTRADAS!$F$22&gt;=3,IF(EO199=10,1000,1),0))</f>
        <v>1</v>
      </c>
      <c r="EP360" s="32">
        <f ca="1">IF($F$360="X",0,IF(ENTRADAS!$F$22&gt;=3,IF(EP199=10,1000,1),0))</f>
        <v>1</v>
      </c>
      <c r="EQ360" s="32">
        <f ca="1">IF($F$360="X",0,IF(ENTRADAS!$F$22&gt;=3,IF(EQ199=10,1000,1),0))</f>
        <v>1</v>
      </c>
      <c r="ER360" s="32">
        <f ca="1">IF($F$360="X",0,IF(ENTRADAS!$F$22&gt;=3,IF(ER199=10,1000,1),0))</f>
        <v>1</v>
      </c>
      <c r="ES360" s="32">
        <f ca="1">IF($F$360="X",0,IF(ENTRADAS!$F$22&gt;=3,IF(ES199=10,1000,1),0))</f>
        <v>1</v>
      </c>
      <c r="ET360" s="32">
        <f ca="1">IF($F$360="X",0,IF(ENTRADAS!$F$22&gt;=3,IF(ET199=10,1000,1),0))</f>
        <v>1</v>
      </c>
      <c r="EU360" s="32">
        <f ca="1">IF($F$360="X",0,IF(ENTRADAS!$F$22&gt;=3,IF(EU199=10,1000,1),0))</f>
        <v>1</v>
      </c>
      <c r="EV360" s="32">
        <f ca="1">IF($F$360="X",0,IF(ENTRADAS!$F$22&gt;=3,IF(EV199=10,1000,1),0))</f>
        <v>1</v>
      </c>
      <c r="EW360" s="32">
        <f ca="1">IF($F$360="X",0,IF(ENTRADAS!$F$22&gt;=3,IF(EW199=10,1000,1),0))</f>
        <v>1</v>
      </c>
      <c r="EX360" s="32">
        <f ca="1">IF($F$360="X",0,IF(ENTRADAS!$F$22&gt;=3,IF(EX199=10,1000,1),0))</f>
        <v>1</v>
      </c>
      <c r="EY360" s="32">
        <f ca="1">IF($F$360="X",0,IF(ENTRADAS!$F$22&gt;=3,IF(EY199=10,1000,1),0))</f>
        <v>1</v>
      </c>
      <c r="EZ360" s="32">
        <f ca="1">IF($F$360="X",0,IF(ENTRADAS!$F$22&gt;=3,IF(EZ199=10,1000,1),0))</f>
        <v>1</v>
      </c>
      <c r="FA360" s="32">
        <f ca="1">IF($F$360="X",0,IF(ENTRADAS!$F$22&gt;=3,IF(FA199=10,1000,1),0))</f>
        <v>1</v>
      </c>
      <c r="FB360" s="32">
        <f ca="1">IF($F$360="X",0,IF(ENTRADAS!$F$22&gt;=3,IF(FB199=10,1000,1),0))</f>
        <v>1</v>
      </c>
      <c r="FC360" s="32">
        <f ca="1">IF($F$360="X",0,IF(ENTRADAS!$F$22&gt;=3,IF(FC199=10,1000,1),0))</f>
        <v>1</v>
      </c>
      <c r="FD360" s="32">
        <f ca="1">IF($F$360="X",0,IF(ENTRADAS!$F$22&gt;=3,IF(FD199=10,1000,1),0))</f>
        <v>1</v>
      </c>
      <c r="FE360" s="32">
        <f ca="1">IF($F$360="X",0,IF(ENTRADAS!$F$22&gt;=3,IF(FE199=10,1000,1),0))</f>
        <v>1</v>
      </c>
      <c r="FF360" s="32">
        <f ca="1">IF($F$360="X",0,IF(ENTRADAS!$F$22&gt;=3,IF(FF199=10,1000,1),0))</f>
        <v>1</v>
      </c>
      <c r="FG360" s="32">
        <f ca="1">IF($F$360="X",0,IF(ENTRADAS!$F$22&gt;=3,IF(FG199=10,1000,1),0))</f>
        <v>1</v>
      </c>
      <c r="FH360" s="32">
        <f ca="1">IF($F$360="X",0,IF(ENTRADAS!$F$22&gt;=3,IF(FH199=10,1000,1),0))</f>
        <v>1</v>
      </c>
      <c r="FI360" s="32">
        <f ca="1">IF($F$360="X",0,IF(ENTRADAS!$F$22&gt;=3,IF(FI199=10,1000,1),0))</f>
        <v>1</v>
      </c>
      <c r="FJ360" s="32">
        <f ca="1">IF($F$360="X",0,IF(ENTRADAS!$F$22&gt;=3,IF(FJ199=10,1000,1),0))</f>
        <v>1</v>
      </c>
      <c r="FK360" s="32">
        <f ca="1">IF($F$360="X",0,IF(ENTRADAS!$F$22&gt;=3,IF(FK199=10,1000,1),0))</f>
        <v>1</v>
      </c>
      <c r="FL360" s="32">
        <f ca="1">IF($F$360="X",0,IF(ENTRADAS!$F$22&gt;=3,IF(FL199=10,1000,1),0))</f>
        <v>1</v>
      </c>
      <c r="FM360" s="32">
        <f ca="1">IF($F$360="X",0,IF(ENTRADAS!$F$22&gt;=3,IF(FM199=10,1000,1),0))</f>
        <v>1</v>
      </c>
      <c r="FN360" s="32">
        <f ca="1">IF($F$360="X",0,IF(ENTRADAS!$F$22&gt;=3,IF(FN199=10,1000,1),0))</f>
        <v>1</v>
      </c>
      <c r="FO360" s="32">
        <f ca="1">IF($F$360="X",0,IF(ENTRADAS!$F$22&gt;=3,IF(FO199=10,1000,1),0))</f>
        <v>1</v>
      </c>
      <c r="FP360" s="32">
        <f ca="1">IF($F$360="X",0,IF(ENTRADAS!$F$22&gt;=3,IF(FP199=10,1000,1),0))</f>
        <v>1</v>
      </c>
      <c r="FQ360" s="32">
        <f ca="1">IF($F$360="X",0,IF(ENTRADAS!$F$22&gt;=3,IF(FQ199=10,1000,1),0))</f>
        <v>1</v>
      </c>
      <c r="FR360" s="32">
        <f ca="1">IF($F$360="X",0,IF(ENTRADAS!$F$22&gt;=3,IF(FR199=10,1000,1),0))</f>
        <v>1</v>
      </c>
      <c r="FS360" s="32">
        <f ca="1">IF($F$360="X",0,IF(ENTRADAS!$F$22&gt;=3,IF(FS199=10,1000,1),0))</f>
        <v>1</v>
      </c>
      <c r="FT360" s="32">
        <f ca="1">IF($F$360="X",0,IF(ENTRADAS!$F$22&gt;=3,IF(FT199=10,1000,1),0))</f>
        <v>1</v>
      </c>
      <c r="FU360" s="32">
        <f ca="1">IF($F$360="X",0,IF(ENTRADAS!$F$22&gt;=3,IF(FU199=10,1000,1),0))</f>
        <v>1</v>
      </c>
      <c r="FV360" s="32">
        <f ca="1">IF($F$360="X",0,IF(ENTRADAS!$F$22&gt;=3,IF(FV199=10,1000,1),0))</f>
        <v>1</v>
      </c>
      <c r="FW360" s="32">
        <f ca="1">IF($F$360="X",0,IF(ENTRADAS!$F$22&gt;=3,IF(FW199=10,1000,1),0))</f>
        <v>1</v>
      </c>
      <c r="FX360" s="32">
        <f ca="1">IF($F$360="X",0,IF(ENTRADAS!$F$22&gt;=3,IF(FX199=10,1000,1),0))</f>
        <v>1</v>
      </c>
      <c r="FY360" s="32">
        <f ca="1">IF($F$360="X",0,IF(ENTRADAS!$F$22&gt;=3,IF(FY199=10,1000,1),0))</f>
        <v>1</v>
      </c>
      <c r="FZ360" s="32">
        <f ca="1">IF($F$360="X",0,IF(ENTRADAS!$F$22&gt;=3,IF(FZ199=10,1000,1),0))</f>
        <v>1</v>
      </c>
      <c r="GA360" s="32">
        <f ca="1">IF($F$360="X",0,IF(ENTRADAS!$F$22&gt;=3,IF(GA199=10,1000,1),0))</f>
        <v>1</v>
      </c>
      <c r="GB360" s="32">
        <f ca="1">IF($F$360="X",0,IF(ENTRADAS!$F$22&gt;=3,IF(GB199=10,1000,1),0))</f>
        <v>1</v>
      </c>
      <c r="GC360" s="32">
        <f ca="1">IF($F$360="X",0,IF(ENTRADAS!$F$22&gt;=3,IF(GC199=10,1000,1),0))</f>
        <v>1</v>
      </c>
      <c r="GD360" s="32">
        <f ca="1">IF($F$360="X",0,IF(ENTRADAS!$F$22&gt;=3,IF(GD199=10,1000,1),0))</f>
        <v>1</v>
      </c>
      <c r="GE360" s="32">
        <f ca="1">IF($F$360="X",0,IF(ENTRADAS!$F$22&gt;=3,IF(GE199=10,1000,1),0))</f>
        <v>1</v>
      </c>
      <c r="GF360" s="32">
        <f ca="1">IF($F$360="X",0,IF(ENTRADAS!$F$22&gt;=3,IF(GF199=10,1000,1),0))</f>
        <v>1</v>
      </c>
      <c r="GG360" s="32">
        <f ca="1">IF($F$360="X",0,IF(ENTRADAS!$F$22&gt;=3,IF(GG199=10,1000,1),0))</f>
        <v>1</v>
      </c>
      <c r="GH360" s="32">
        <f ca="1">IF($F$360="X",0,IF(ENTRADAS!$F$22&gt;=3,IF(GH199=10,1000,1),0))</f>
        <v>1</v>
      </c>
      <c r="GI360" s="32">
        <f ca="1">IF($F$360="X",0,IF(ENTRADAS!$F$22&gt;=3,IF(GI199=10,1000,1),0))</f>
        <v>1</v>
      </c>
      <c r="GJ360" s="32">
        <f ca="1">IF($F$360="X",0,IF(ENTRADAS!$F$22&gt;=3,IF(GJ199=10,1000,1),0))</f>
        <v>1</v>
      </c>
      <c r="GK360" s="32">
        <f ca="1">IF($F$360="X",0,IF(ENTRADAS!$F$22&gt;=3,IF(GK199=10,1000,1),0))</f>
        <v>1</v>
      </c>
      <c r="GL360" s="32">
        <f ca="1">IF($F$360="X",0,IF(ENTRADAS!$F$22&gt;=3,IF(GL199=10,1000,1),0))</f>
        <v>1</v>
      </c>
      <c r="GM360" s="32">
        <f ca="1">IF($F$360="X",0,IF(ENTRADAS!$F$22&gt;=3,IF(GM199=10,1000,1),0))</f>
        <v>1</v>
      </c>
      <c r="GN360" s="32">
        <f ca="1">IF($F$360="X",0,IF(ENTRADAS!$F$22&gt;=3,IF(GN199=10,1000,1),0))</f>
        <v>1</v>
      </c>
      <c r="GO360" s="32">
        <f ca="1">IF($F$360="X",0,IF(ENTRADAS!$F$22&gt;=3,IF(GO199=10,1000,1),0))</f>
        <v>1</v>
      </c>
      <c r="GP360" s="32">
        <f ca="1">IF($F$360="X",0,IF(ENTRADAS!$F$22&gt;=3,IF(GP199=10,1000,1),0))</f>
        <v>1</v>
      </c>
      <c r="GQ360" s="32">
        <f ca="1">IF($F$360="X",0,IF(ENTRADAS!$F$22&gt;=3,IF(GQ199=10,1000,1),0))</f>
        <v>1</v>
      </c>
      <c r="GR360" s="32">
        <f ca="1">IF($F$360="X",0,IF(ENTRADAS!$F$22&gt;=3,IF(GR199=10,1000,1),0))</f>
        <v>1</v>
      </c>
      <c r="GS360" s="32">
        <f ca="1">IF($F$360="X",0,IF(ENTRADAS!$F$22&gt;=3,IF(GS199=10,1000,1),0))</f>
        <v>1</v>
      </c>
      <c r="GT360" s="32">
        <f ca="1">IF($F$360="X",0,IF(ENTRADAS!$F$22&gt;=3,IF(GT199=10,1000,1),0))</f>
        <v>1</v>
      </c>
      <c r="GU360" s="32">
        <f ca="1">IF($F$360="X",0,IF(ENTRADAS!$F$22&gt;=3,IF(GU199=10,1000,1),0))</f>
        <v>1</v>
      </c>
      <c r="GV360" s="32">
        <f ca="1">IF($F$360="X",0,IF(ENTRADAS!$F$22&gt;=3,IF(GV199=10,1000,1),0))</f>
        <v>1</v>
      </c>
      <c r="GW360" s="32">
        <f ca="1">IF($F$360="X",0,IF(ENTRADAS!$F$22&gt;=3,IF(GW199=10,1000,1),0))</f>
        <v>1</v>
      </c>
      <c r="GX360" s="32">
        <f ca="1">IF($F$360="X",0,IF(ENTRADAS!$F$22&gt;=3,IF(GX199=10,1000,1),0))</f>
        <v>1</v>
      </c>
      <c r="GY360" s="32">
        <f ca="1">IF($F$360="X",0,IF(ENTRADAS!$F$22&gt;=3,IF(GY199=10,1000,1),0))</f>
        <v>1</v>
      </c>
      <c r="GZ360" s="32">
        <f ca="1">IF($F$360="X",0,IF(ENTRADAS!$F$22&gt;=3,IF(GZ199=10,1000,1),0))</f>
        <v>1</v>
      </c>
      <c r="HA360" s="32">
        <f ca="1">IF($F$360="X",0,IF(ENTRADAS!$F$22&gt;=3,IF(HA199=10,1000,1),0))</f>
        <v>1</v>
      </c>
      <c r="HB360" s="32">
        <f ca="1">IF($F$360="X",0,IF(ENTRADAS!$F$22&gt;=3,IF(HB199=10,1000,1),0))</f>
        <v>1</v>
      </c>
      <c r="HC360" s="32">
        <f ca="1">IF($F$360="X",0,IF(ENTRADAS!$F$22&gt;=3,IF(HC199=10,1000,1),0))</f>
        <v>1</v>
      </c>
      <c r="HD360" s="32">
        <f ca="1">IF($F$360="X",0,IF(ENTRADAS!$F$22&gt;=3,IF(HD199=10,1000,1),0))</f>
        <v>1</v>
      </c>
      <c r="HE360" s="32">
        <f ca="1">IF($F$360="X",0,IF(ENTRADAS!$F$22&gt;=3,IF(HE199=10,1000,1),0))</f>
        <v>1</v>
      </c>
      <c r="HF360" s="32">
        <f ca="1">IF($F$360="X",0,IF(ENTRADAS!$F$22&gt;=3,IF(HF199=10,1000,1),0))</f>
        <v>1</v>
      </c>
      <c r="HG360" s="32">
        <f ca="1">IF($F$360="X",0,IF(ENTRADAS!$F$22&gt;=3,IF(HG199=10,1000,1),0))</f>
        <v>1</v>
      </c>
      <c r="HH360" s="32">
        <f ca="1">IF($F$360="X",0,IF(ENTRADAS!$F$22&gt;=3,IF(HH199=10,1000,1),0))</f>
        <v>1</v>
      </c>
      <c r="HI360" s="32">
        <f ca="1">IF($F$360="X",0,IF(ENTRADAS!$F$22&gt;=3,IF(HI199=10,1000,1),0))</f>
        <v>1</v>
      </c>
      <c r="HJ360" s="32">
        <f ca="1">IF($F$360="X",0,IF(ENTRADAS!$F$22&gt;=3,IF(HJ199=10,1000,1),0))</f>
        <v>1</v>
      </c>
      <c r="HK360" s="32">
        <f ca="1">IF($F$360="X",0,IF(ENTRADAS!$F$22&gt;=3,IF(HK199=10,1000,1),0))</f>
        <v>1</v>
      </c>
      <c r="HL360" s="32">
        <f ca="1">IF($F$360="X",0,IF(ENTRADAS!$F$22&gt;=3,IF(HL199=10,1000,1),0))</f>
        <v>1</v>
      </c>
      <c r="HM360" s="32">
        <f ca="1">IF($F$360="X",0,IF(ENTRADAS!$F$22&gt;=3,IF(HM199=10,1000,1),0))</f>
        <v>1</v>
      </c>
      <c r="HN360" s="32">
        <f ca="1">IF($F$360="X",0,IF(ENTRADAS!$F$22&gt;=3,IF(HN199=10,1000,1),0))</f>
        <v>1</v>
      </c>
      <c r="HO360" s="32">
        <f ca="1">IF($F$360="X",0,IF(ENTRADAS!$F$22&gt;=3,IF(HO199=10,1000,1),0))</f>
        <v>1</v>
      </c>
      <c r="HP360" s="32">
        <f ca="1">IF($F$360="X",0,IF(ENTRADAS!$F$22&gt;=3,IF(HP199=10,1000,1),0))</f>
        <v>1</v>
      </c>
      <c r="HQ360" s="32">
        <f ca="1">IF($F$360="X",0,IF(ENTRADAS!$F$22&gt;=3,IF(HQ199=10,1000,1),0))</f>
        <v>1</v>
      </c>
      <c r="HR360" s="32">
        <f ca="1">IF($F$360="X",0,IF(ENTRADAS!$F$22&gt;=3,IF(HR199=10,1000,1),0))</f>
        <v>1</v>
      </c>
      <c r="HS360" s="32">
        <f ca="1">IF($F$360="X",0,IF(ENTRADAS!$F$22&gt;=3,IF(HS199=10,1000,1),0))</f>
        <v>1</v>
      </c>
      <c r="HT360" s="32">
        <f ca="1">IF($F$360="X",0,IF(ENTRADAS!$F$22&gt;=3,IF(HT199=10,1000,1),0))</f>
        <v>1</v>
      </c>
      <c r="HU360" s="32">
        <f ca="1">IF($F$360="X",0,IF(ENTRADAS!$F$22&gt;=3,IF(HU199=10,1000,1),0))</f>
        <v>1</v>
      </c>
      <c r="HV360" s="32">
        <f ca="1">IF($F$360="X",0,IF(ENTRADAS!$F$22&gt;=3,IF(HV199=10,1000,1),0))</f>
        <v>1</v>
      </c>
      <c r="HW360" s="32">
        <f ca="1">IF($F$360="X",0,IF(ENTRADAS!$F$22&gt;=3,IF(HW199=10,1000,1),0))</f>
        <v>1</v>
      </c>
      <c r="HX360" s="32">
        <f ca="1">IF($F$360="X",0,IF(ENTRADAS!$F$22&gt;=3,IF(HX199=10,1000,1),0))</f>
        <v>1</v>
      </c>
      <c r="HY360" s="32">
        <f ca="1">IF($F$360="X",0,IF(ENTRADAS!$F$22&gt;=3,IF(HY199=10,1000,1),0))</f>
        <v>1</v>
      </c>
      <c r="HZ360" s="32">
        <f ca="1">IF($F$360="X",0,IF(ENTRADAS!$F$22&gt;=3,IF(HZ199=10,1000,1),0))</f>
        <v>1</v>
      </c>
      <c r="IA360" s="32">
        <f ca="1">IF($F$360="X",0,IF(ENTRADAS!$F$22&gt;=3,IF(IA199=10,1000,1),0))</f>
        <v>1</v>
      </c>
      <c r="IB360" s="32">
        <f ca="1">IF($F$360="X",0,IF(ENTRADAS!$F$22&gt;=3,IF(IB199=10,1000,1),0))</f>
        <v>1</v>
      </c>
      <c r="IC360" s="32">
        <f ca="1">IF($F$360="X",0,IF(ENTRADAS!$F$22&gt;=3,IF(IC199=10,1000,1),0))</f>
        <v>1</v>
      </c>
      <c r="ID360" s="32">
        <f ca="1">IF($F$360="X",0,IF(ENTRADAS!$F$22&gt;=3,IF(ID199=10,1000,1),0))</f>
        <v>1</v>
      </c>
      <c r="IE360" s="32">
        <f ca="1">IF($F$360="X",0,IF(ENTRADAS!$F$22&gt;=3,IF(IE199=10,1000,1),0))</f>
        <v>1</v>
      </c>
      <c r="IF360" s="32">
        <f ca="1">IF($F$360="X",0,IF(ENTRADAS!$F$22&gt;=3,IF(IF199=10,1000,1),0))</f>
        <v>1</v>
      </c>
      <c r="IG360" s="32">
        <f ca="1">IF($F$360="X",0,IF(ENTRADAS!$F$22&gt;=3,IF(IG199=10,1000,1),0))</f>
        <v>1</v>
      </c>
      <c r="IH360" s="32">
        <f ca="1">IF($F$360="X",0,IF(ENTRADAS!$F$22&gt;=3,IF(IH199=10,1000,1),0))</f>
        <v>1</v>
      </c>
      <c r="II360" s="32">
        <f ca="1">IF($F$360="X",0,IF(ENTRADAS!$F$22&gt;=3,IF(II199=10,1000,1),0))</f>
        <v>1</v>
      </c>
      <c r="IJ360" s="32">
        <f ca="1">IF($F$360="X",0,IF(ENTRADAS!$F$22&gt;=3,IF(IJ199=10,1000,1),0))</f>
        <v>1</v>
      </c>
      <c r="IK360" s="32">
        <f ca="1">IF($F$360="X",0,IF(ENTRADAS!$F$22&gt;=3,IF(IK199=10,1000,1),0))</f>
        <v>1</v>
      </c>
    </row>
    <row r="361" spans="1:245" hidden="1" x14ac:dyDescent="0.35">
      <c r="A361" s="195">
        <f t="shared" si="364"/>
        <v>0</v>
      </c>
    </row>
    <row r="362" spans="1:245" hidden="1" x14ac:dyDescent="0.35">
      <c r="A362" s="195">
        <f t="shared" si="364"/>
        <v>0</v>
      </c>
      <c r="C362" s="2007" t="s">
        <v>1609</v>
      </c>
      <c r="D362" s="2007"/>
      <c r="E362" s="640">
        <f ca="1">COUNTIF(H362:IK362,1000)</f>
        <v>0</v>
      </c>
      <c r="F362" s="2007" t="s">
        <v>101</v>
      </c>
      <c r="G362" s="2007"/>
      <c r="H362" s="348">
        <f ca="1">IF($D$295=4,IF(AND(H6&gt;ROUNDUP($E$198-$J$2+1,0),H6&lt;ROUNDUP($E$281-$J$2+1,0)),1000,0),0)</f>
        <v>0</v>
      </c>
      <c r="I362" s="348">
        <f t="shared" ref="I362:BT362" ca="1" si="390">IF($D$295=4,IF(AND(I6&gt;ROUNDUP($E$198-$J$2+1,0),I6&lt;ROUNDUP($E$281-$J$2+1,0)),1000,0),0)</f>
        <v>0</v>
      </c>
      <c r="J362" s="348">
        <f t="shared" ca="1" si="390"/>
        <v>0</v>
      </c>
      <c r="K362" s="348">
        <f t="shared" ca="1" si="390"/>
        <v>0</v>
      </c>
      <c r="L362" s="348">
        <f t="shared" ca="1" si="390"/>
        <v>0</v>
      </c>
      <c r="M362" s="348">
        <f t="shared" ca="1" si="390"/>
        <v>0</v>
      </c>
      <c r="N362" s="348">
        <f t="shared" ca="1" si="390"/>
        <v>0</v>
      </c>
      <c r="O362" s="348">
        <f t="shared" ca="1" si="390"/>
        <v>0</v>
      </c>
      <c r="P362" s="348">
        <f t="shared" ca="1" si="390"/>
        <v>0</v>
      </c>
      <c r="Q362" s="348">
        <f t="shared" ca="1" si="390"/>
        <v>0</v>
      </c>
      <c r="R362" s="348">
        <f t="shared" ca="1" si="390"/>
        <v>0</v>
      </c>
      <c r="S362" s="348">
        <f t="shared" ca="1" si="390"/>
        <v>0</v>
      </c>
      <c r="T362" s="348">
        <f t="shared" ca="1" si="390"/>
        <v>0</v>
      </c>
      <c r="U362" s="348">
        <f t="shared" ca="1" si="390"/>
        <v>0</v>
      </c>
      <c r="V362" s="348">
        <f t="shared" ca="1" si="390"/>
        <v>0</v>
      </c>
      <c r="W362" s="348">
        <f t="shared" ca="1" si="390"/>
        <v>0</v>
      </c>
      <c r="X362" s="348">
        <f t="shared" ca="1" si="390"/>
        <v>0</v>
      </c>
      <c r="Y362" s="348">
        <f t="shared" ca="1" si="390"/>
        <v>0</v>
      </c>
      <c r="Z362" s="348">
        <f t="shared" ca="1" si="390"/>
        <v>0</v>
      </c>
      <c r="AA362" s="348">
        <f t="shared" ca="1" si="390"/>
        <v>0</v>
      </c>
      <c r="AB362" s="348">
        <f t="shared" ca="1" si="390"/>
        <v>0</v>
      </c>
      <c r="AC362" s="348">
        <f t="shared" ca="1" si="390"/>
        <v>0</v>
      </c>
      <c r="AD362" s="348">
        <f t="shared" ca="1" si="390"/>
        <v>0</v>
      </c>
      <c r="AE362" s="348">
        <f t="shared" ca="1" si="390"/>
        <v>0</v>
      </c>
      <c r="AF362" s="348">
        <f t="shared" ca="1" si="390"/>
        <v>0</v>
      </c>
      <c r="AG362" s="348">
        <f t="shared" ca="1" si="390"/>
        <v>0</v>
      </c>
      <c r="AH362" s="348">
        <f t="shared" ca="1" si="390"/>
        <v>0</v>
      </c>
      <c r="AI362" s="348">
        <f t="shared" ca="1" si="390"/>
        <v>0</v>
      </c>
      <c r="AJ362" s="348">
        <f t="shared" ca="1" si="390"/>
        <v>0</v>
      </c>
      <c r="AK362" s="348">
        <f t="shared" ca="1" si="390"/>
        <v>0</v>
      </c>
      <c r="AL362" s="348">
        <f t="shared" ca="1" si="390"/>
        <v>0</v>
      </c>
      <c r="AM362" s="348">
        <f t="shared" ca="1" si="390"/>
        <v>0</v>
      </c>
      <c r="AN362" s="348">
        <f t="shared" ca="1" si="390"/>
        <v>0</v>
      </c>
      <c r="AO362" s="348">
        <f t="shared" ca="1" si="390"/>
        <v>0</v>
      </c>
      <c r="AP362" s="348">
        <f t="shared" ca="1" si="390"/>
        <v>0</v>
      </c>
      <c r="AQ362" s="348">
        <f t="shared" ca="1" si="390"/>
        <v>0</v>
      </c>
      <c r="AR362" s="348">
        <f t="shared" ca="1" si="390"/>
        <v>0</v>
      </c>
      <c r="AS362" s="348">
        <f t="shared" ca="1" si="390"/>
        <v>0</v>
      </c>
      <c r="AT362" s="348">
        <f t="shared" ca="1" si="390"/>
        <v>0</v>
      </c>
      <c r="AU362" s="348">
        <f t="shared" ca="1" si="390"/>
        <v>0</v>
      </c>
      <c r="AV362" s="348">
        <f t="shared" ca="1" si="390"/>
        <v>0</v>
      </c>
      <c r="AW362" s="348">
        <f t="shared" ca="1" si="390"/>
        <v>0</v>
      </c>
      <c r="AX362" s="348">
        <f t="shared" ca="1" si="390"/>
        <v>0</v>
      </c>
      <c r="AY362" s="348">
        <f t="shared" ca="1" si="390"/>
        <v>0</v>
      </c>
      <c r="AZ362" s="348">
        <f t="shared" ca="1" si="390"/>
        <v>0</v>
      </c>
      <c r="BA362" s="348">
        <f t="shared" ca="1" si="390"/>
        <v>0</v>
      </c>
      <c r="BB362" s="348">
        <f t="shared" ca="1" si="390"/>
        <v>0</v>
      </c>
      <c r="BC362" s="348">
        <f t="shared" ca="1" si="390"/>
        <v>0</v>
      </c>
      <c r="BD362" s="348">
        <f t="shared" ca="1" si="390"/>
        <v>0</v>
      </c>
      <c r="BE362" s="348">
        <f t="shared" ca="1" si="390"/>
        <v>0</v>
      </c>
      <c r="BF362" s="348">
        <f t="shared" ca="1" si="390"/>
        <v>0</v>
      </c>
      <c r="BG362" s="348">
        <f t="shared" ca="1" si="390"/>
        <v>0</v>
      </c>
      <c r="BH362" s="348">
        <f t="shared" ca="1" si="390"/>
        <v>0</v>
      </c>
      <c r="BI362" s="348">
        <f t="shared" ca="1" si="390"/>
        <v>0</v>
      </c>
      <c r="BJ362" s="348">
        <f t="shared" ca="1" si="390"/>
        <v>0</v>
      </c>
      <c r="BK362" s="348">
        <f t="shared" ca="1" si="390"/>
        <v>0</v>
      </c>
      <c r="BL362" s="348">
        <f t="shared" ca="1" si="390"/>
        <v>0</v>
      </c>
      <c r="BM362" s="348">
        <f t="shared" ca="1" si="390"/>
        <v>0</v>
      </c>
      <c r="BN362" s="348">
        <f t="shared" ca="1" si="390"/>
        <v>0</v>
      </c>
      <c r="BO362" s="348">
        <f t="shared" ca="1" si="390"/>
        <v>0</v>
      </c>
      <c r="BP362" s="348">
        <f t="shared" ca="1" si="390"/>
        <v>0</v>
      </c>
      <c r="BQ362" s="348">
        <f t="shared" ca="1" si="390"/>
        <v>0</v>
      </c>
      <c r="BR362" s="348">
        <f t="shared" ca="1" si="390"/>
        <v>0</v>
      </c>
      <c r="BS362" s="348">
        <f t="shared" ca="1" si="390"/>
        <v>0</v>
      </c>
      <c r="BT362" s="348">
        <f t="shared" ca="1" si="390"/>
        <v>0</v>
      </c>
      <c r="BU362" s="348">
        <f t="shared" ref="BU362:EF362" ca="1" si="391">IF($D$295=4,IF(AND(BU6&gt;ROUNDUP($E$198-$J$2+1,0),BU6&lt;ROUNDUP($E$281-$J$2+1,0)),1000,0),0)</f>
        <v>0</v>
      </c>
      <c r="BV362" s="348">
        <f t="shared" ca="1" si="391"/>
        <v>0</v>
      </c>
      <c r="BW362" s="348">
        <f t="shared" ca="1" si="391"/>
        <v>0</v>
      </c>
      <c r="BX362" s="348">
        <f t="shared" ca="1" si="391"/>
        <v>0</v>
      </c>
      <c r="BY362" s="348">
        <f t="shared" ca="1" si="391"/>
        <v>0</v>
      </c>
      <c r="BZ362" s="348">
        <f t="shared" ca="1" si="391"/>
        <v>0</v>
      </c>
      <c r="CA362" s="348">
        <f t="shared" ca="1" si="391"/>
        <v>0</v>
      </c>
      <c r="CB362" s="348">
        <f t="shared" ca="1" si="391"/>
        <v>0</v>
      </c>
      <c r="CC362" s="348">
        <f t="shared" ca="1" si="391"/>
        <v>0</v>
      </c>
      <c r="CD362" s="348">
        <f t="shared" ca="1" si="391"/>
        <v>0</v>
      </c>
      <c r="CE362" s="348">
        <f t="shared" ca="1" si="391"/>
        <v>0</v>
      </c>
      <c r="CF362" s="348">
        <f t="shared" ca="1" si="391"/>
        <v>0</v>
      </c>
      <c r="CG362" s="348">
        <f t="shared" ca="1" si="391"/>
        <v>0</v>
      </c>
      <c r="CH362" s="348">
        <f t="shared" ca="1" si="391"/>
        <v>0</v>
      </c>
      <c r="CI362" s="348">
        <f t="shared" ca="1" si="391"/>
        <v>0</v>
      </c>
      <c r="CJ362" s="348">
        <f t="shared" ca="1" si="391"/>
        <v>0</v>
      </c>
      <c r="CK362" s="348">
        <f t="shared" ca="1" si="391"/>
        <v>0</v>
      </c>
      <c r="CL362" s="348">
        <f t="shared" ca="1" si="391"/>
        <v>0</v>
      </c>
      <c r="CM362" s="348">
        <f t="shared" ca="1" si="391"/>
        <v>0</v>
      </c>
      <c r="CN362" s="348">
        <f t="shared" ca="1" si="391"/>
        <v>0</v>
      </c>
      <c r="CO362" s="348">
        <f t="shared" ca="1" si="391"/>
        <v>0</v>
      </c>
      <c r="CP362" s="348">
        <f t="shared" ca="1" si="391"/>
        <v>0</v>
      </c>
      <c r="CQ362" s="348">
        <f t="shared" ca="1" si="391"/>
        <v>0</v>
      </c>
      <c r="CR362" s="348">
        <f t="shared" ca="1" si="391"/>
        <v>0</v>
      </c>
      <c r="CS362" s="348">
        <f t="shared" ca="1" si="391"/>
        <v>0</v>
      </c>
      <c r="CT362" s="348">
        <f t="shared" ca="1" si="391"/>
        <v>0</v>
      </c>
      <c r="CU362" s="348">
        <f t="shared" ca="1" si="391"/>
        <v>0</v>
      </c>
      <c r="CV362" s="348">
        <f t="shared" ca="1" si="391"/>
        <v>0</v>
      </c>
      <c r="CW362" s="348">
        <f t="shared" ca="1" si="391"/>
        <v>0</v>
      </c>
      <c r="CX362" s="348">
        <f t="shared" ca="1" si="391"/>
        <v>0</v>
      </c>
      <c r="CY362" s="348">
        <f t="shared" ca="1" si="391"/>
        <v>0</v>
      </c>
      <c r="CZ362" s="348">
        <f t="shared" ca="1" si="391"/>
        <v>0</v>
      </c>
      <c r="DA362" s="348">
        <f t="shared" ca="1" si="391"/>
        <v>0</v>
      </c>
      <c r="DB362" s="348">
        <f t="shared" ca="1" si="391"/>
        <v>0</v>
      </c>
      <c r="DC362" s="348">
        <f t="shared" ca="1" si="391"/>
        <v>0</v>
      </c>
      <c r="DD362" s="348">
        <f t="shared" ca="1" si="391"/>
        <v>0</v>
      </c>
      <c r="DE362" s="348">
        <f t="shared" ca="1" si="391"/>
        <v>0</v>
      </c>
      <c r="DF362" s="348">
        <f t="shared" ca="1" si="391"/>
        <v>0</v>
      </c>
      <c r="DG362" s="348">
        <f t="shared" ca="1" si="391"/>
        <v>0</v>
      </c>
      <c r="DH362" s="348">
        <f t="shared" ca="1" si="391"/>
        <v>0</v>
      </c>
      <c r="DI362" s="348">
        <f t="shared" ca="1" si="391"/>
        <v>0</v>
      </c>
      <c r="DJ362" s="348">
        <f t="shared" ca="1" si="391"/>
        <v>0</v>
      </c>
      <c r="DK362" s="348">
        <f t="shared" ca="1" si="391"/>
        <v>0</v>
      </c>
      <c r="DL362" s="348">
        <f t="shared" ca="1" si="391"/>
        <v>0</v>
      </c>
      <c r="DM362" s="348">
        <f t="shared" ca="1" si="391"/>
        <v>0</v>
      </c>
      <c r="DN362" s="348">
        <f t="shared" ca="1" si="391"/>
        <v>0</v>
      </c>
      <c r="DO362" s="348">
        <f t="shared" ca="1" si="391"/>
        <v>0</v>
      </c>
      <c r="DP362" s="348">
        <f t="shared" ca="1" si="391"/>
        <v>0</v>
      </c>
      <c r="DQ362" s="348">
        <f t="shared" ca="1" si="391"/>
        <v>0</v>
      </c>
      <c r="DR362" s="348">
        <f t="shared" ca="1" si="391"/>
        <v>0</v>
      </c>
      <c r="DS362" s="348">
        <f t="shared" ca="1" si="391"/>
        <v>0</v>
      </c>
      <c r="DT362" s="348">
        <f t="shared" ca="1" si="391"/>
        <v>0</v>
      </c>
      <c r="DU362" s="348">
        <f t="shared" ca="1" si="391"/>
        <v>0</v>
      </c>
      <c r="DV362" s="348">
        <f t="shared" ca="1" si="391"/>
        <v>0</v>
      </c>
      <c r="DW362" s="348">
        <f t="shared" ca="1" si="391"/>
        <v>0</v>
      </c>
      <c r="DX362" s="348">
        <f t="shared" ca="1" si="391"/>
        <v>0</v>
      </c>
      <c r="DY362" s="348">
        <f t="shared" ca="1" si="391"/>
        <v>0</v>
      </c>
      <c r="DZ362" s="348">
        <f t="shared" ca="1" si="391"/>
        <v>0</v>
      </c>
      <c r="EA362" s="348">
        <f t="shared" ca="1" si="391"/>
        <v>0</v>
      </c>
      <c r="EB362" s="348">
        <f t="shared" ca="1" si="391"/>
        <v>0</v>
      </c>
      <c r="EC362" s="348">
        <f t="shared" ca="1" si="391"/>
        <v>0</v>
      </c>
      <c r="ED362" s="348">
        <f t="shared" ca="1" si="391"/>
        <v>0</v>
      </c>
      <c r="EE362" s="348">
        <f t="shared" ca="1" si="391"/>
        <v>0</v>
      </c>
      <c r="EF362" s="348">
        <f t="shared" ca="1" si="391"/>
        <v>0</v>
      </c>
      <c r="EG362" s="348">
        <f t="shared" ref="EG362:GR362" ca="1" si="392">IF($D$295=4,IF(AND(EG6&gt;ROUNDUP($E$198-$J$2+1,0),EG6&lt;ROUNDUP($E$281-$J$2+1,0)),1000,0),0)</f>
        <v>0</v>
      </c>
      <c r="EH362" s="348">
        <f t="shared" ca="1" si="392"/>
        <v>0</v>
      </c>
      <c r="EI362" s="348">
        <f t="shared" ca="1" si="392"/>
        <v>0</v>
      </c>
      <c r="EJ362" s="348">
        <f t="shared" ca="1" si="392"/>
        <v>0</v>
      </c>
      <c r="EK362" s="348">
        <f t="shared" ca="1" si="392"/>
        <v>0</v>
      </c>
      <c r="EL362" s="348">
        <f t="shared" ca="1" si="392"/>
        <v>0</v>
      </c>
      <c r="EM362" s="348">
        <f t="shared" ca="1" si="392"/>
        <v>0</v>
      </c>
      <c r="EN362" s="348">
        <f t="shared" ca="1" si="392"/>
        <v>0</v>
      </c>
      <c r="EO362" s="348">
        <f t="shared" ca="1" si="392"/>
        <v>0</v>
      </c>
      <c r="EP362" s="348">
        <f t="shared" ca="1" si="392"/>
        <v>0</v>
      </c>
      <c r="EQ362" s="348">
        <f t="shared" ca="1" si="392"/>
        <v>0</v>
      </c>
      <c r="ER362" s="348">
        <f t="shared" ca="1" si="392"/>
        <v>0</v>
      </c>
      <c r="ES362" s="348">
        <f t="shared" ca="1" si="392"/>
        <v>0</v>
      </c>
      <c r="ET362" s="348">
        <f t="shared" ca="1" si="392"/>
        <v>0</v>
      </c>
      <c r="EU362" s="348">
        <f t="shared" ca="1" si="392"/>
        <v>0</v>
      </c>
      <c r="EV362" s="348">
        <f t="shared" ca="1" si="392"/>
        <v>0</v>
      </c>
      <c r="EW362" s="348">
        <f t="shared" ca="1" si="392"/>
        <v>0</v>
      </c>
      <c r="EX362" s="348">
        <f t="shared" ca="1" si="392"/>
        <v>0</v>
      </c>
      <c r="EY362" s="348">
        <f t="shared" ca="1" si="392"/>
        <v>0</v>
      </c>
      <c r="EZ362" s="348">
        <f t="shared" ca="1" si="392"/>
        <v>0</v>
      </c>
      <c r="FA362" s="348">
        <f t="shared" ca="1" si="392"/>
        <v>0</v>
      </c>
      <c r="FB362" s="348">
        <f t="shared" ca="1" si="392"/>
        <v>0</v>
      </c>
      <c r="FC362" s="348">
        <f t="shared" ca="1" si="392"/>
        <v>0</v>
      </c>
      <c r="FD362" s="348">
        <f t="shared" ca="1" si="392"/>
        <v>0</v>
      </c>
      <c r="FE362" s="348">
        <f t="shared" ca="1" si="392"/>
        <v>0</v>
      </c>
      <c r="FF362" s="348">
        <f t="shared" ca="1" si="392"/>
        <v>0</v>
      </c>
      <c r="FG362" s="348">
        <f t="shared" ca="1" si="392"/>
        <v>0</v>
      </c>
      <c r="FH362" s="348">
        <f t="shared" ca="1" si="392"/>
        <v>0</v>
      </c>
      <c r="FI362" s="348">
        <f t="shared" ca="1" si="392"/>
        <v>0</v>
      </c>
      <c r="FJ362" s="348">
        <f t="shared" ca="1" si="392"/>
        <v>0</v>
      </c>
      <c r="FK362" s="348">
        <f t="shared" ca="1" si="392"/>
        <v>0</v>
      </c>
      <c r="FL362" s="348">
        <f t="shared" ca="1" si="392"/>
        <v>0</v>
      </c>
      <c r="FM362" s="348">
        <f t="shared" ca="1" si="392"/>
        <v>0</v>
      </c>
      <c r="FN362" s="348">
        <f t="shared" ca="1" si="392"/>
        <v>0</v>
      </c>
      <c r="FO362" s="348">
        <f t="shared" ca="1" si="392"/>
        <v>0</v>
      </c>
      <c r="FP362" s="348">
        <f t="shared" ca="1" si="392"/>
        <v>0</v>
      </c>
      <c r="FQ362" s="348">
        <f t="shared" ca="1" si="392"/>
        <v>0</v>
      </c>
      <c r="FR362" s="348">
        <f t="shared" ca="1" si="392"/>
        <v>0</v>
      </c>
      <c r="FS362" s="348">
        <f t="shared" ca="1" si="392"/>
        <v>0</v>
      </c>
      <c r="FT362" s="348">
        <f t="shared" ca="1" si="392"/>
        <v>0</v>
      </c>
      <c r="FU362" s="348">
        <f t="shared" ca="1" si="392"/>
        <v>0</v>
      </c>
      <c r="FV362" s="348">
        <f t="shared" ca="1" si="392"/>
        <v>0</v>
      </c>
      <c r="FW362" s="348">
        <f t="shared" ca="1" si="392"/>
        <v>0</v>
      </c>
      <c r="FX362" s="348">
        <f t="shared" ca="1" si="392"/>
        <v>0</v>
      </c>
      <c r="FY362" s="348">
        <f t="shared" ca="1" si="392"/>
        <v>0</v>
      </c>
      <c r="FZ362" s="348">
        <f t="shared" ca="1" si="392"/>
        <v>0</v>
      </c>
      <c r="GA362" s="348">
        <f t="shared" ca="1" si="392"/>
        <v>0</v>
      </c>
      <c r="GB362" s="348">
        <f t="shared" ca="1" si="392"/>
        <v>0</v>
      </c>
      <c r="GC362" s="348">
        <f t="shared" ca="1" si="392"/>
        <v>0</v>
      </c>
      <c r="GD362" s="348">
        <f t="shared" ca="1" si="392"/>
        <v>0</v>
      </c>
      <c r="GE362" s="348">
        <f t="shared" ca="1" si="392"/>
        <v>0</v>
      </c>
      <c r="GF362" s="348">
        <f t="shared" ca="1" si="392"/>
        <v>0</v>
      </c>
      <c r="GG362" s="348">
        <f t="shared" ca="1" si="392"/>
        <v>0</v>
      </c>
      <c r="GH362" s="348">
        <f t="shared" ca="1" si="392"/>
        <v>0</v>
      </c>
      <c r="GI362" s="348">
        <f t="shared" ca="1" si="392"/>
        <v>0</v>
      </c>
      <c r="GJ362" s="348">
        <f t="shared" ca="1" si="392"/>
        <v>0</v>
      </c>
      <c r="GK362" s="348">
        <f t="shared" ca="1" si="392"/>
        <v>0</v>
      </c>
      <c r="GL362" s="348">
        <f t="shared" ca="1" si="392"/>
        <v>0</v>
      </c>
      <c r="GM362" s="348">
        <f t="shared" ca="1" si="392"/>
        <v>0</v>
      </c>
      <c r="GN362" s="348">
        <f t="shared" ca="1" si="392"/>
        <v>0</v>
      </c>
      <c r="GO362" s="348">
        <f t="shared" ca="1" si="392"/>
        <v>0</v>
      </c>
      <c r="GP362" s="348">
        <f t="shared" ca="1" si="392"/>
        <v>0</v>
      </c>
      <c r="GQ362" s="348">
        <f t="shared" ca="1" si="392"/>
        <v>0</v>
      </c>
      <c r="GR362" s="348">
        <f t="shared" ca="1" si="392"/>
        <v>0</v>
      </c>
      <c r="GS362" s="348">
        <f t="shared" ref="GS362:IK362" ca="1" si="393">IF($D$295=4,IF(AND(GS6&gt;ROUNDUP($E$198-$J$2+1,0),GS6&lt;ROUNDUP($E$281-$J$2+1,0)),1000,0),0)</f>
        <v>0</v>
      </c>
      <c r="GT362" s="348">
        <f t="shared" ca="1" si="393"/>
        <v>0</v>
      </c>
      <c r="GU362" s="348">
        <f t="shared" ca="1" si="393"/>
        <v>0</v>
      </c>
      <c r="GV362" s="348">
        <f t="shared" ca="1" si="393"/>
        <v>0</v>
      </c>
      <c r="GW362" s="348">
        <f t="shared" ca="1" si="393"/>
        <v>0</v>
      </c>
      <c r="GX362" s="348">
        <f t="shared" ca="1" si="393"/>
        <v>0</v>
      </c>
      <c r="GY362" s="348">
        <f t="shared" ca="1" si="393"/>
        <v>0</v>
      </c>
      <c r="GZ362" s="348">
        <f t="shared" ca="1" si="393"/>
        <v>0</v>
      </c>
      <c r="HA362" s="348">
        <f t="shared" ca="1" si="393"/>
        <v>0</v>
      </c>
      <c r="HB362" s="348">
        <f t="shared" ca="1" si="393"/>
        <v>0</v>
      </c>
      <c r="HC362" s="348">
        <f t="shared" ca="1" si="393"/>
        <v>0</v>
      </c>
      <c r="HD362" s="348">
        <f t="shared" ca="1" si="393"/>
        <v>0</v>
      </c>
      <c r="HE362" s="348">
        <f t="shared" ca="1" si="393"/>
        <v>0</v>
      </c>
      <c r="HF362" s="348">
        <f t="shared" ca="1" si="393"/>
        <v>0</v>
      </c>
      <c r="HG362" s="348">
        <f t="shared" ca="1" si="393"/>
        <v>0</v>
      </c>
      <c r="HH362" s="348">
        <f t="shared" ca="1" si="393"/>
        <v>0</v>
      </c>
      <c r="HI362" s="348">
        <f t="shared" ca="1" si="393"/>
        <v>0</v>
      </c>
      <c r="HJ362" s="348">
        <f t="shared" ca="1" si="393"/>
        <v>0</v>
      </c>
      <c r="HK362" s="348">
        <f t="shared" ca="1" si="393"/>
        <v>0</v>
      </c>
      <c r="HL362" s="348">
        <f t="shared" ca="1" si="393"/>
        <v>0</v>
      </c>
      <c r="HM362" s="348">
        <f t="shared" ca="1" si="393"/>
        <v>0</v>
      </c>
      <c r="HN362" s="348">
        <f t="shared" ca="1" si="393"/>
        <v>0</v>
      </c>
      <c r="HO362" s="348">
        <f t="shared" ca="1" si="393"/>
        <v>0</v>
      </c>
      <c r="HP362" s="348">
        <f t="shared" ca="1" si="393"/>
        <v>0</v>
      </c>
      <c r="HQ362" s="348">
        <f t="shared" ca="1" si="393"/>
        <v>0</v>
      </c>
      <c r="HR362" s="348">
        <f t="shared" ca="1" si="393"/>
        <v>0</v>
      </c>
      <c r="HS362" s="348">
        <f t="shared" ca="1" si="393"/>
        <v>0</v>
      </c>
      <c r="HT362" s="348">
        <f t="shared" ca="1" si="393"/>
        <v>0</v>
      </c>
      <c r="HU362" s="348">
        <f t="shared" ca="1" si="393"/>
        <v>0</v>
      </c>
      <c r="HV362" s="348">
        <f t="shared" ca="1" si="393"/>
        <v>0</v>
      </c>
      <c r="HW362" s="348">
        <f t="shared" ca="1" si="393"/>
        <v>0</v>
      </c>
      <c r="HX362" s="348">
        <f t="shared" ca="1" si="393"/>
        <v>0</v>
      </c>
      <c r="HY362" s="348">
        <f t="shared" ca="1" si="393"/>
        <v>0</v>
      </c>
      <c r="HZ362" s="348">
        <f t="shared" ca="1" si="393"/>
        <v>0</v>
      </c>
      <c r="IA362" s="348">
        <f t="shared" ca="1" si="393"/>
        <v>0</v>
      </c>
      <c r="IB362" s="348">
        <f t="shared" ca="1" si="393"/>
        <v>0</v>
      </c>
      <c r="IC362" s="348">
        <f t="shared" ca="1" si="393"/>
        <v>0</v>
      </c>
      <c r="ID362" s="348">
        <f t="shared" ca="1" si="393"/>
        <v>0</v>
      </c>
      <c r="IE362" s="348">
        <f t="shared" ca="1" si="393"/>
        <v>0</v>
      </c>
      <c r="IF362" s="348">
        <f t="shared" ca="1" si="393"/>
        <v>0</v>
      </c>
      <c r="IG362" s="348">
        <f t="shared" ca="1" si="393"/>
        <v>0</v>
      </c>
      <c r="IH362" s="348">
        <f t="shared" ca="1" si="393"/>
        <v>0</v>
      </c>
      <c r="II362" s="348">
        <f t="shared" ca="1" si="393"/>
        <v>0</v>
      </c>
      <c r="IJ362" s="348">
        <f t="shared" ca="1" si="393"/>
        <v>0</v>
      </c>
      <c r="IK362" s="348">
        <f t="shared" ca="1" si="393"/>
        <v>0</v>
      </c>
    </row>
    <row r="363" spans="1:245" hidden="1" x14ac:dyDescent="0.35">
      <c r="A363" s="195">
        <f t="shared" si="364"/>
        <v>0</v>
      </c>
      <c r="C363" s="2007" t="s">
        <v>1610</v>
      </c>
      <c r="D363" s="2007"/>
      <c r="E363" s="640">
        <f t="shared" ref="E363:E364" ca="1" si="394">COUNTIF(H363:IK363,1000)</f>
        <v>25</v>
      </c>
      <c r="F363" s="2007" t="s">
        <v>101</v>
      </c>
      <c r="G363" s="2007"/>
      <c r="H363" s="348">
        <f ca="1">IF($D$295=4,IF(AND(H6&gt;ROUNDUP($E$200-$J$2,0),H6&lt;ROUNDUP($E$283-$J$2,0)),1000,0),0)</f>
        <v>0</v>
      </c>
      <c r="I363" s="348">
        <f t="shared" ref="I363:BT363" ca="1" si="395">IF($D$295=4,IF(AND(I6&gt;ROUNDUP($E$200-$J$2,0),I6&lt;ROUNDUP($E$283-$J$2,0)),1000,0),0)</f>
        <v>0</v>
      </c>
      <c r="J363" s="348">
        <f t="shared" ca="1" si="395"/>
        <v>0</v>
      </c>
      <c r="K363" s="348">
        <f t="shared" ca="1" si="395"/>
        <v>0</v>
      </c>
      <c r="L363" s="348">
        <f t="shared" ca="1" si="395"/>
        <v>0</v>
      </c>
      <c r="M363" s="348">
        <f t="shared" ca="1" si="395"/>
        <v>0</v>
      </c>
      <c r="N363" s="348">
        <f t="shared" ca="1" si="395"/>
        <v>0</v>
      </c>
      <c r="O363" s="348">
        <f t="shared" ca="1" si="395"/>
        <v>0</v>
      </c>
      <c r="P363" s="348">
        <f t="shared" ca="1" si="395"/>
        <v>0</v>
      </c>
      <c r="Q363" s="348">
        <f t="shared" ca="1" si="395"/>
        <v>0</v>
      </c>
      <c r="R363" s="348">
        <f t="shared" ca="1" si="395"/>
        <v>0</v>
      </c>
      <c r="S363" s="348">
        <f t="shared" ca="1" si="395"/>
        <v>0</v>
      </c>
      <c r="T363" s="348">
        <f t="shared" ca="1" si="395"/>
        <v>0</v>
      </c>
      <c r="U363" s="348">
        <f t="shared" ca="1" si="395"/>
        <v>0</v>
      </c>
      <c r="V363" s="348">
        <f t="shared" ca="1" si="395"/>
        <v>0</v>
      </c>
      <c r="W363" s="348">
        <f t="shared" ca="1" si="395"/>
        <v>0</v>
      </c>
      <c r="X363" s="348">
        <f t="shared" ca="1" si="395"/>
        <v>0</v>
      </c>
      <c r="Y363" s="348">
        <f t="shared" ca="1" si="395"/>
        <v>0</v>
      </c>
      <c r="Z363" s="348">
        <f t="shared" ca="1" si="395"/>
        <v>0</v>
      </c>
      <c r="AA363" s="348">
        <f t="shared" ca="1" si="395"/>
        <v>0</v>
      </c>
      <c r="AB363" s="348">
        <f t="shared" ca="1" si="395"/>
        <v>0</v>
      </c>
      <c r="AC363" s="348">
        <f t="shared" ca="1" si="395"/>
        <v>0</v>
      </c>
      <c r="AD363" s="348">
        <f t="shared" ca="1" si="395"/>
        <v>0</v>
      </c>
      <c r="AE363" s="348">
        <f t="shared" ca="1" si="395"/>
        <v>0</v>
      </c>
      <c r="AF363" s="348">
        <f t="shared" ca="1" si="395"/>
        <v>0</v>
      </c>
      <c r="AG363" s="348">
        <f t="shared" ca="1" si="395"/>
        <v>0</v>
      </c>
      <c r="AH363" s="348">
        <f t="shared" ca="1" si="395"/>
        <v>0</v>
      </c>
      <c r="AI363" s="348">
        <f t="shared" ca="1" si="395"/>
        <v>0</v>
      </c>
      <c r="AJ363" s="348">
        <f t="shared" ca="1" si="395"/>
        <v>0</v>
      </c>
      <c r="AK363" s="348">
        <f t="shared" ca="1" si="395"/>
        <v>0</v>
      </c>
      <c r="AL363" s="348">
        <f t="shared" ca="1" si="395"/>
        <v>0</v>
      </c>
      <c r="AM363" s="348">
        <f t="shared" ca="1" si="395"/>
        <v>0</v>
      </c>
      <c r="AN363" s="348">
        <f t="shared" ca="1" si="395"/>
        <v>0</v>
      </c>
      <c r="AO363" s="348">
        <f t="shared" ca="1" si="395"/>
        <v>0</v>
      </c>
      <c r="AP363" s="348">
        <f t="shared" ca="1" si="395"/>
        <v>0</v>
      </c>
      <c r="AQ363" s="348">
        <f t="shared" ca="1" si="395"/>
        <v>0</v>
      </c>
      <c r="AR363" s="348">
        <f t="shared" ca="1" si="395"/>
        <v>0</v>
      </c>
      <c r="AS363" s="348">
        <f t="shared" ca="1" si="395"/>
        <v>0</v>
      </c>
      <c r="AT363" s="348">
        <f t="shared" ca="1" si="395"/>
        <v>0</v>
      </c>
      <c r="AU363" s="348">
        <f t="shared" ca="1" si="395"/>
        <v>0</v>
      </c>
      <c r="AV363" s="348">
        <f t="shared" ca="1" si="395"/>
        <v>0</v>
      </c>
      <c r="AW363" s="348">
        <f t="shared" ca="1" si="395"/>
        <v>0</v>
      </c>
      <c r="AX363" s="348">
        <f t="shared" ca="1" si="395"/>
        <v>0</v>
      </c>
      <c r="AY363" s="348">
        <f t="shared" ca="1" si="395"/>
        <v>0</v>
      </c>
      <c r="AZ363" s="348">
        <f t="shared" ca="1" si="395"/>
        <v>0</v>
      </c>
      <c r="BA363" s="348">
        <f t="shared" ca="1" si="395"/>
        <v>0</v>
      </c>
      <c r="BB363" s="348">
        <f t="shared" ca="1" si="395"/>
        <v>0</v>
      </c>
      <c r="BC363" s="348">
        <f t="shared" ca="1" si="395"/>
        <v>0</v>
      </c>
      <c r="BD363" s="348">
        <f t="shared" ca="1" si="395"/>
        <v>0</v>
      </c>
      <c r="BE363" s="348">
        <f t="shared" ca="1" si="395"/>
        <v>0</v>
      </c>
      <c r="BF363" s="348">
        <f t="shared" ca="1" si="395"/>
        <v>0</v>
      </c>
      <c r="BG363" s="348">
        <f t="shared" ca="1" si="395"/>
        <v>0</v>
      </c>
      <c r="BH363" s="348">
        <f t="shared" ca="1" si="395"/>
        <v>0</v>
      </c>
      <c r="BI363" s="348">
        <f t="shared" ca="1" si="395"/>
        <v>0</v>
      </c>
      <c r="BJ363" s="348">
        <f t="shared" ca="1" si="395"/>
        <v>0</v>
      </c>
      <c r="BK363" s="348">
        <f t="shared" ca="1" si="395"/>
        <v>0</v>
      </c>
      <c r="BL363" s="348">
        <f t="shared" ca="1" si="395"/>
        <v>0</v>
      </c>
      <c r="BM363" s="348">
        <f t="shared" ca="1" si="395"/>
        <v>0</v>
      </c>
      <c r="BN363" s="348">
        <f t="shared" ca="1" si="395"/>
        <v>0</v>
      </c>
      <c r="BO363" s="348">
        <f t="shared" ca="1" si="395"/>
        <v>0</v>
      </c>
      <c r="BP363" s="348">
        <f t="shared" ca="1" si="395"/>
        <v>0</v>
      </c>
      <c r="BQ363" s="348">
        <f t="shared" ca="1" si="395"/>
        <v>0</v>
      </c>
      <c r="BR363" s="348">
        <f t="shared" ca="1" si="395"/>
        <v>0</v>
      </c>
      <c r="BS363" s="348">
        <f t="shared" ca="1" si="395"/>
        <v>0</v>
      </c>
      <c r="BT363" s="348">
        <f t="shared" ca="1" si="395"/>
        <v>0</v>
      </c>
      <c r="BU363" s="348">
        <f t="shared" ref="BU363:EF363" ca="1" si="396">IF($D$295=4,IF(AND(BU6&gt;ROUNDUP($E$200-$J$2,0),BU6&lt;ROUNDUP($E$283-$J$2,0)),1000,0),0)</f>
        <v>0</v>
      </c>
      <c r="BV363" s="348">
        <f t="shared" ca="1" si="396"/>
        <v>0</v>
      </c>
      <c r="BW363" s="348">
        <f t="shared" ca="1" si="396"/>
        <v>0</v>
      </c>
      <c r="BX363" s="348">
        <f t="shared" ca="1" si="396"/>
        <v>0</v>
      </c>
      <c r="BY363" s="348">
        <f t="shared" ca="1" si="396"/>
        <v>0</v>
      </c>
      <c r="BZ363" s="348">
        <f t="shared" ca="1" si="396"/>
        <v>0</v>
      </c>
      <c r="CA363" s="348">
        <f t="shared" ca="1" si="396"/>
        <v>0</v>
      </c>
      <c r="CB363" s="348">
        <f t="shared" ca="1" si="396"/>
        <v>0</v>
      </c>
      <c r="CC363" s="348">
        <f t="shared" ca="1" si="396"/>
        <v>0</v>
      </c>
      <c r="CD363" s="348">
        <f t="shared" ca="1" si="396"/>
        <v>0</v>
      </c>
      <c r="CE363" s="348">
        <f t="shared" ca="1" si="396"/>
        <v>0</v>
      </c>
      <c r="CF363" s="348">
        <f t="shared" ca="1" si="396"/>
        <v>0</v>
      </c>
      <c r="CG363" s="348">
        <f t="shared" ca="1" si="396"/>
        <v>0</v>
      </c>
      <c r="CH363" s="348">
        <f t="shared" ca="1" si="396"/>
        <v>0</v>
      </c>
      <c r="CI363" s="348">
        <f t="shared" ca="1" si="396"/>
        <v>0</v>
      </c>
      <c r="CJ363" s="348">
        <f t="shared" ca="1" si="396"/>
        <v>0</v>
      </c>
      <c r="CK363" s="348">
        <f t="shared" ca="1" si="396"/>
        <v>0</v>
      </c>
      <c r="CL363" s="348">
        <f t="shared" ca="1" si="396"/>
        <v>0</v>
      </c>
      <c r="CM363" s="348">
        <f t="shared" ca="1" si="396"/>
        <v>0</v>
      </c>
      <c r="CN363" s="348">
        <f t="shared" ca="1" si="396"/>
        <v>0</v>
      </c>
      <c r="CO363" s="348">
        <f t="shared" ca="1" si="396"/>
        <v>0</v>
      </c>
      <c r="CP363" s="348">
        <f t="shared" ca="1" si="396"/>
        <v>0</v>
      </c>
      <c r="CQ363" s="348">
        <f t="shared" ca="1" si="396"/>
        <v>0</v>
      </c>
      <c r="CR363" s="348">
        <f t="shared" ca="1" si="396"/>
        <v>0</v>
      </c>
      <c r="CS363" s="348">
        <f t="shared" ca="1" si="396"/>
        <v>0</v>
      </c>
      <c r="CT363" s="348">
        <f t="shared" ca="1" si="396"/>
        <v>0</v>
      </c>
      <c r="CU363" s="348">
        <f t="shared" ca="1" si="396"/>
        <v>0</v>
      </c>
      <c r="CV363" s="348">
        <f t="shared" ca="1" si="396"/>
        <v>0</v>
      </c>
      <c r="CW363" s="348">
        <f t="shared" ca="1" si="396"/>
        <v>0</v>
      </c>
      <c r="CX363" s="348">
        <f t="shared" ca="1" si="396"/>
        <v>0</v>
      </c>
      <c r="CY363" s="348">
        <f t="shared" ca="1" si="396"/>
        <v>0</v>
      </c>
      <c r="CZ363" s="348">
        <f t="shared" ca="1" si="396"/>
        <v>0</v>
      </c>
      <c r="DA363" s="348">
        <f t="shared" ca="1" si="396"/>
        <v>0</v>
      </c>
      <c r="DB363" s="348">
        <f t="shared" ca="1" si="396"/>
        <v>0</v>
      </c>
      <c r="DC363" s="348">
        <f t="shared" ca="1" si="396"/>
        <v>0</v>
      </c>
      <c r="DD363" s="348">
        <f t="shared" ca="1" si="396"/>
        <v>0</v>
      </c>
      <c r="DE363" s="348">
        <f t="shared" ca="1" si="396"/>
        <v>0</v>
      </c>
      <c r="DF363" s="348">
        <f t="shared" ca="1" si="396"/>
        <v>0</v>
      </c>
      <c r="DG363" s="348">
        <f t="shared" ca="1" si="396"/>
        <v>0</v>
      </c>
      <c r="DH363" s="348">
        <f t="shared" ca="1" si="396"/>
        <v>0</v>
      </c>
      <c r="DI363" s="348">
        <f t="shared" ca="1" si="396"/>
        <v>0</v>
      </c>
      <c r="DJ363" s="348">
        <f t="shared" ca="1" si="396"/>
        <v>0</v>
      </c>
      <c r="DK363" s="348">
        <f t="shared" ca="1" si="396"/>
        <v>0</v>
      </c>
      <c r="DL363" s="348">
        <f t="shared" ca="1" si="396"/>
        <v>1000</v>
      </c>
      <c r="DM363" s="348">
        <f t="shared" ca="1" si="396"/>
        <v>1000</v>
      </c>
      <c r="DN363" s="348">
        <f t="shared" ca="1" si="396"/>
        <v>1000</v>
      </c>
      <c r="DO363" s="348">
        <f t="shared" ca="1" si="396"/>
        <v>1000</v>
      </c>
      <c r="DP363" s="348">
        <f t="shared" ca="1" si="396"/>
        <v>1000</v>
      </c>
      <c r="DQ363" s="348">
        <f t="shared" ca="1" si="396"/>
        <v>1000</v>
      </c>
      <c r="DR363" s="348">
        <f t="shared" ca="1" si="396"/>
        <v>1000</v>
      </c>
      <c r="DS363" s="348">
        <f t="shared" ca="1" si="396"/>
        <v>1000</v>
      </c>
      <c r="DT363" s="348">
        <f t="shared" ca="1" si="396"/>
        <v>1000</v>
      </c>
      <c r="DU363" s="348">
        <f t="shared" ca="1" si="396"/>
        <v>1000</v>
      </c>
      <c r="DV363" s="348">
        <f t="shared" ca="1" si="396"/>
        <v>1000</v>
      </c>
      <c r="DW363" s="348">
        <f t="shared" ca="1" si="396"/>
        <v>1000</v>
      </c>
      <c r="DX363" s="348">
        <f t="shared" ca="1" si="396"/>
        <v>1000</v>
      </c>
      <c r="DY363" s="348">
        <f t="shared" ca="1" si="396"/>
        <v>1000</v>
      </c>
      <c r="DZ363" s="348">
        <f t="shared" ca="1" si="396"/>
        <v>1000</v>
      </c>
      <c r="EA363" s="348">
        <f t="shared" ca="1" si="396"/>
        <v>1000</v>
      </c>
      <c r="EB363" s="348">
        <f t="shared" ca="1" si="396"/>
        <v>1000</v>
      </c>
      <c r="EC363" s="348">
        <f t="shared" ca="1" si="396"/>
        <v>1000</v>
      </c>
      <c r="ED363" s="348">
        <f t="shared" ca="1" si="396"/>
        <v>1000</v>
      </c>
      <c r="EE363" s="348">
        <f t="shared" ca="1" si="396"/>
        <v>1000</v>
      </c>
      <c r="EF363" s="348">
        <f t="shared" ca="1" si="396"/>
        <v>1000</v>
      </c>
      <c r="EG363" s="348">
        <f t="shared" ref="EG363:GR363" ca="1" si="397">IF($D$295=4,IF(AND(EG6&gt;ROUNDUP($E$200-$J$2,0),EG6&lt;ROUNDUP($E$283-$J$2,0)),1000,0),0)</f>
        <v>1000</v>
      </c>
      <c r="EH363" s="348">
        <f t="shared" ca="1" si="397"/>
        <v>1000</v>
      </c>
      <c r="EI363" s="348">
        <f t="shared" ca="1" si="397"/>
        <v>1000</v>
      </c>
      <c r="EJ363" s="348">
        <f t="shared" ca="1" si="397"/>
        <v>1000</v>
      </c>
      <c r="EK363" s="348">
        <f t="shared" ca="1" si="397"/>
        <v>0</v>
      </c>
      <c r="EL363" s="348">
        <f t="shared" ca="1" si="397"/>
        <v>0</v>
      </c>
      <c r="EM363" s="348">
        <f t="shared" ca="1" si="397"/>
        <v>0</v>
      </c>
      <c r="EN363" s="348">
        <f t="shared" ca="1" si="397"/>
        <v>0</v>
      </c>
      <c r="EO363" s="348">
        <f t="shared" ca="1" si="397"/>
        <v>0</v>
      </c>
      <c r="EP363" s="348">
        <f t="shared" ca="1" si="397"/>
        <v>0</v>
      </c>
      <c r="EQ363" s="348">
        <f t="shared" ca="1" si="397"/>
        <v>0</v>
      </c>
      <c r="ER363" s="348">
        <f t="shared" ca="1" si="397"/>
        <v>0</v>
      </c>
      <c r="ES363" s="348">
        <f t="shared" ca="1" si="397"/>
        <v>0</v>
      </c>
      <c r="ET363" s="348">
        <f t="shared" ca="1" si="397"/>
        <v>0</v>
      </c>
      <c r="EU363" s="348">
        <f t="shared" ca="1" si="397"/>
        <v>0</v>
      </c>
      <c r="EV363" s="348">
        <f t="shared" ca="1" si="397"/>
        <v>0</v>
      </c>
      <c r="EW363" s="348">
        <f t="shared" ca="1" si="397"/>
        <v>0</v>
      </c>
      <c r="EX363" s="348">
        <f t="shared" ca="1" si="397"/>
        <v>0</v>
      </c>
      <c r="EY363" s="348">
        <f t="shared" ca="1" si="397"/>
        <v>0</v>
      </c>
      <c r="EZ363" s="348">
        <f t="shared" ca="1" si="397"/>
        <v>0</v>
      </c>
      <c r="FA363" s="348">
        <f t="shared" ca="1" si="397"/>
        <v>0</v>
      </c>
      <c r="FB363" s="348">
        <f t="shared" ca="1" si="397"/>
        <v>0</v>
      </c>
      <c r="FC363" s="348">
        <f t="shared" ca="1" si="397"/>
        <v>0</v>
      </c>
      <c r="FD363" s="348">
        <f t="shared" ca="1" si="397"/>
        <v>0</v>
      </c>
      <c r="FE363" s="348">
        <f t="shared" ca="1" si="397"/>
        <v>0</v>
      </c>
      <c r="FF363" s="348">
        <f t="shared" ca="1" si="397"/>
        <v>0</v>
      </c>
      <c r="FG363" s="348">
        <f t="shared" ca="1" si="397"/>
        <v>0</v>
      </c>
      <c r="FH363" s="348">
        <f t="shared" ca="1" si="397"/>
        <v>0</v>
      </c>
      <c r="FI363" s="348">
        <f t="shared" ca="1" si="397"/>
        <v>0</v>
      </c>
      <c r="FJ363" s="348">
        <f t="shared" ca="1" si="397"/>
        <v>0</v>
      </c>
      <c r="FK363" s="348">
        <f t="shared" ca="1" si="397"/>
        <v>0</v>
      </c>
      <c r="FL363" s="348">
        <f t="shared" ca="1" si="397"/>
        <v>0</v>
      </c>
      <c r="FM363" s="348">
        <f t="shared" ca="1" si="397"/>
        <v>0</v>
      </c>
      <c r="FN363" s="348">
        <f t="shared" ca="1" si="397"/>
        <v>0</v>
      </c>
      <c r="FO363" s="348">
        <f t="shared" ca="1" si="397"/>
        <v>0</v>
      </c>
      <c r="FP363" s="348">
        <f t="shared" ca="1" si="397"/>
        <v>0</v>
      </c>
      <c r="FQ363" s="348">
        <f t="shared" ca="1" si="397"/>
        <v>0</v>
      </c>
      <c r="FR363" s="348">
        <f t="shared" ca="1" si="397"/>
        <v>0</v>
      </c>
      <c r="FS363" s="348">
        <f t="shared" ca="1" si="397"/>
        <v>0</v>
      </c>
      <c r="FT363" s="348">
        <f t="shared" ca="1" si="397"/>
        <v>0</v>
      </c>
      <c r="FU363" s="348">
        <f t="shared" ca="1" si="397"/>
        <v>0</v>
      </c>
      <c r="FV363" s="348">
        <f t="shared" ca="1" si="397"/>
        <v>0</v>
      </c>
      <c r="FW363" s="348">
        <f t="shared" ca="1" si="397"/>
        <v>0</v>
      </c>
      <c r="FX363" s="348">
        <f t="shared" ca="1" si="397"/>
        <v>0</v>
      </c>
      <c r="FY363" s="348">
        <f t="shared" ca="1" si="397"/>
        <v>0</v>
      </c>
      <c r="FZ363" s="348">
        <f t="shared" ca="1" si="397"/>
        <v>0</v>
      </c>
      <c r="GA363" s="348">
        <f t="shared" ca="1" si="397"/>
        <v>0</v>
      </c>
      <c r="GB363" s="348">
        <f t="shared" ca="1" si="397"/>
        <v>0</v>
      </c>
      <c r="GC363" s="348">
        <f t="shared" ca="1" si="397"/>
        <v>0</v>
      </c>
      <c r="GD363" s="348">
        <f t="shared" ca="1" si="397"/>
        <v>0</v>
      </c>
      <c r="GE363" s="348">
        <f t="shared" ca="1" si="397"/>
        <v>0</v>
      </c>
      <c r="GF363" s="348">
        <f t="shared" ca="1" si="397"/>
        <v>0</v>
      </c>
      <c r="GG363" s="348">
        <f t="shared" ca="1" si="397"/>
        <v>0</v>
      </c>
      <c r="GH363" s="348">
        <f t="shared" ca="1" si="397"/>
        <v>0</v>
      </c>
      <c r="GI363" s="348">
        <f t="shared" ca="1" si="397"/>
        <v>0</v>
      </c>
      <c r="GJ363" s="348">
        <f t="shared" ca="1" si="397"/>
        <v>0</v>
      </c>
      <c r="GK363" s="348">
        <f t="shared" ca="1" si="397"/>
        <v>0</v>
      </c>
      <c r="GL363" s="348">
        <f t="shared" ca="1" si="397"/>
        <v>0</v>
      </c>
      <c r="GM363" s="348">
        <f t="shared" ca="1" si="397"/>
        <v>0</v>
      </c>
      <c r="GN363" s="348">
        <f t="shared" ca="1" si="397"/>
        <v>0</v>
      </c>
      <c r="GO363" s="348">
        <f t="shared" ca="1" si="397"/>
        <v>0</v>
      </c>
      <c r="GP363" s="348">
        <f t="shared" ca="1" si="397"/>
        <v>0</v>
      </c>
      <c r="GQ363" s="348">
        <f t="shared" ca="1" si="397"/>
        <v>0</v>
      </c>
      <c r="GR363" s="348">
        <f t="shared" ca="1" si="397"/>
        <v>0</v>
      </c>
      <c r="GS363" s="348">
        <f t="shared" ref="GS363:IK363" ca="1" si="398">IF($D$295=4,IF(AND(GS6&gt;ROUNDUP($E$200-$J$2,0),GS6&lt;ROUNDUP($E$283-$J$2,0)),1000,0),0)</f>
        <v>0</v>
      </c>
      <c r="GT363" s="348">
        <f t="shared" ca="1" si="398"/>
        <v>0</v>
      </c>
      <c r="GU363" s="348">
        <f t="shared" ca="1" si="398"/>
        <v>0</v>
      </c>
      <c r="GV363" s="348">
        <f t="shared" ca="1" si="398"/>
        <v>0</v>
      </c>
      <c r="GW363" s="348">
        <f t="shared" ca="1" si="398"/>
        <v>0</v>
      </c>
      <c r="GX363" s="348">
        <f t="shared" ca="1" si="398"/>
        <v>0</v>
      </c>
      <c r="GY363" s="348">
        <f t="shared" ca="1" si="398"/>
        <v>0</v>
      </c>
      <c r="GZ363" s="348">
        <f t="shared" ca="1" si="398"/>
        <v>0</v>
      </c>
      <c r="HA363" s="348">
        <f t="shared" ca="1" si="398"/>
        <v>0</v>
      </c>
      <c r="HB363" s="348">
        <f t="shared" ca="1" si="398"/>
        <v>0</v>
      </c>
      <c r="HC363" s="348">
        <f t="shared" ca="1" si="398"/>
        <v>0</v>
      </c>
      <c r="HD363" s="348">
        <f t="shared" ca="1" si="398"/>
        <v>0</v>
      </c>
      <c r="HE363" s="348">
        <f t="shared" ca="1" si="398"/>
        <v>0</v>
      </c>
      <c r="HF363" s="348">
        <f t="shared" ca="1" si="398"/>
        <v>0</v>
      </c>
      <c r="HG363" s="348">
        <f t="shared" ca="1" si="398"/>
        <v>0</v>
      </c>
      <c r="HH363" s="348">
        <f t="shared" ca="1" si="398"/>
        <v>0</v>
      </c>
      <c r="HI363" s="348">
        <f t="shared" ca="1" si="398"/>
        <v>0</v>
      </c>
      <c r="HJ363" s="348">
        <f t="shared" ca="1" si="398"/>
        <v>0</v>
      </c>
      <c r="HK363" s="348">
        <f t="shared" ca="1" si="398"/>
        <v>0</v>
      </c>
      <c r="HL363" s="348">
        <f t="shared" ca="1" si="398"/>
        <v>0</v>
      </c>
      <c r="HM363" s="348">
        <f t="shared" ca="1" si="398"/>
        <v>0</v>
      </c>
      <c r="HN363" s="348">
        <f t="shared" ca="1" si="398"/>
        <v>0</v>
      </c>
      <c r="HO363" s="348">
        <f t="shared" ca="1" si="398"/>
        <v>0</v>
      </c>
      <c r="HP363" s="348">
        <f t="shared" ca="1" si="398"/>
        <v>0</v>
      </c>
      <c r="HQ363" s="348">
        <f t="shared" ca="1" si="398"/>
        <v>0</v>
      </c>
      <c r="HR363" s="348">
        <f t="shared" ca="1" si="398"/>
        <v>0</v>
      </c>
      <c r="HS363" s="348">
        <f t="shared" ca="1" si="398"/>
        <v>0</v>
      </c>
      <c r="HT363" s="348">
        <f t="shared" ca="1" si="398"/>
        <v>0</v>
      </c>
      <c r="HU363" s="348">
        <f t="shared" ca="1" si="398"/>
        <v>0</v>
      </c>
      <c r="HV363" s="348">
        <f t="shared" ca="1" si="398"/>
        <v>0</v>
      </c>
      <c r="HW363" s="348">
        <f t="shared" ca="1" si="398"/>
        <v>0</v>
      </c>
      <c r="HX363" s="348">
        <f t="shared" ca="1" si="398"/>
        <v>0</v>
      </c>
      <c r="HY363" s="348">
        <f t="shared" ca="1" si="398"/>
        <v>0</v>
      </c>
      <c r="HZ363" s="348">
        <f t="shared" ca="1" si="398"/>
        <v>0</v>
      </c>
      <c r="IA363" s="348">
        <f t="shared" ca="1" si="398"/>
        <v>0</v>
      </c>
      <c r="IB363" s="348">
        <f t="shared" ca="1" si="398"/>
        <v>0</v>
      </c>
      <c r="IC363" s="348">
        <f t="shared" ca="1" si="398"/>
        <v>0</v>
      </c>
      <c r="ID363" s="348">
        <f t="shared" ca="1" si="398"/>
        <v>0</v>
      </c>
      <c r="IE363" s="348">
        <f t="shared" ca="1" si="398"/>
        <v>0</v>
      </c>
      <c r="IF363" s="348">
        <f t="shared" ca="1" si="398"/>
        <v>0</v>
      </c>
      <c r="IG363" s="348">
        <f t="shared" ca="1" si="398"/>
        <v>0</v>
      </c>
      <c r="IH363" s="348">
        <f t="shared" ca="1" si="398"/>
        <v>0</v>
      </c>
      <c r="II363" s="348">
        <f t="shared" ca="1" si="398"/>
        <v>0</v>
      </c>
      <c r="IJ363" s="348">
        <f t="shared" ca="1" si="398"/>
        <v>0</v>
      </c>
      <c r="IK363" s="348">
        <f t="shared" ca="1" si="398"/>
        <v>0</v>
      </c>
    </row>
    <row r="364" spans="1:245" hidden="1" x14ac:dyDescent="0.35">
      <c r="A364" s="195">
        <f t="shared" si="364"/>
        <v>0</v>
      </c>
      <c r="C364" s="2007" t="s">
        <v>1611</v>
      </c>
      <c r="D364" s="2007"/>
      <c r="E364" s="640">
        <f t="shared" ca="1" si="394"/>
        <v>1</v>
      </c>
      <c r="F364" s="2007" t="s">
        <v>101</v>
      </c>
      <c r="G364" s="2007"/>
      <c r="H364" s="348">
        <f ca="1">IF($D$295=4,IF(AND(H6&gt;ROUNDUP($E$200-$J$2,0),H6&lt;ROUNDUP($E$281-$J$2+1,0)),1000,0),0)</f>
        <v>0</v>
      </c>
      <c r="I364" s="348">
        <f t="shared" ref="I364:BT364" ca="1" si="399">IF($D$295=4,IF(AND(I6&gt;ROUNDUP($E$200-$J$2,0),I6&lt;ROUNDUP($E$281-$J$2+1,0)),1000,0),0)</f>
        <v>0</v>
      </c>
      <c r="J364" s="348">
        <f t="shared" ca="1" si="399"/>
        <v>0</v>
      </c>
      <c r="K364" s="348">
        <f t="shared" ca="1" si="399"/>
        <v>0</v>
      </c>
      <c r="L364" s="348">
        <f t="shared" ca="1" si="399"/>
        <v>0</v>
      </c>
      <c r="M364" s="348">
        <f t="shared" ca="1" si="399"/>
        <v>0</v>
      </c>
      <c r="N364" s="348">
        <f t="shared" ca="1" si="399"/>
        <v>0</v>
      </c>
      <c r="O364" s="348">
        <f t="shared" ca="1" si="399"/>
        <v>0</v>
      </c>
      <c r="P364" s="348">
        <f t="shared" ca="1" si="399"/>
        <v>0</v>
      </c>
      <c r="Q364" s="348">
        <f t="shared" ca="1" si="399"/>
        <v>0</v>
      </c>
      <c r="R364" s="348">
        <f t="shared" ca="1" si="399"/>
        <v>0</v>
      </c>
      <c r="S364" s="348">
        <f t="shared" ca="1" si="399"/>
        <v>0</v>
      </c>
      <c r="T364" s="348">
        <f t="shared" ca="1" si="399"/>
        <v>0</v>
      </c>
      <c r="U364" s="348">
        <f t="shared" ca="1" si="399"/>
        <v>0</v>
      </c>
      <c r="V364" s="348">
        <f t="shared" ca="1" si="399"/>
        <v>0</v>
      </c>
      <c r="W364" s="348">
        <f t="shared" ca="1" si="399"/>
        <v>0</v>
      </c>
      <c r="X364" s="348">
        <f t="shared" ca="1" si="399"/>
        <v>0</v>
      </c>
      <c r="Y364" s="348">
        <f t="shared" ca="1" si="399"/>
        <v>0</v>
      </c>
      <c r="Z364" s="348">
        <f t="shared" ca="1" si="399"/>
        <v>0</v>
      </c>
      <c r="AA364" s="348">
        <f t="shared" ca="1" si="399"/>
        <v>0</v>
      </c>
      <c r="AB364" s="348">
        <f t="shared" ca="1" si="399"/>
        <v>0</v>
      </c>
      <c r="AC364" s="348">
        <f t="shared" ca="1" si="399"/>
        <v>0</v>
      </c>
      <c r="AD364" s="348">
        <f t="shared" ca="1" si="399"/>
        <v>0</v>
      </c>
      <c r="AE364" s="348">
        <f t="shared" ca="1" si="399"/>
        <v>0</v>
      </c>
      <c r="AF364" s="348">
        <f t="shared" ca="1" si="399"/>
        <v>0</v>
      </c>
      <c r="AG364" s="348">
        <f t="shared" ca="1" si="399"/>
        <v>0</v>
      </c>
      <c r="AH364" s="348">
        <f t="shared" ca="1" si="399"/>
        <v>0</v>
      </c>
      <c r="AI364" s="348">
        <f t="shared" ca="1" si="399"/>
        <v>0</v>
      </c>
      <c r="AJ364" s="348">
        <f t="shared" ca="1" si="399"/>
        <v>0</v>
      </c>
      <c r="AK364" s="348">
        <f t="shared" ca="1" si="399"/>
        <v>0</v>
      </c>
      <c r="AL364" s="348">
        <f t="shared" ca="1" si="399"/>
        <v>0</v>
      </c>
      <c r="AM364" s="348">
        <f t="shared" ca="1" si="399"/>
        <v>0</v>
      </c>
      <c r="AN364" s="348">
        <f t="shared" ca="1" si="399"/>
        <v>0</v>
      </c>
      <c r="AO364" s="348">
        <f t="shared" ca="1" si="399"/>
        <v>0</v>
      </c>
      <c r="AP364" s="348">
        <f t="shared" ca="1" si="399"/>
        <v>0</v>
      </c>
      <c r="AQ364" s="348">
        <f t="shared" ca="1" si="399"/>
        <v>0</v>
      </c>
      <c r="AR364" s="348">
        <f t="shared" ca="1" si="399"/>
        <v>0</v>
      </c>
      <c r="AS364" s="348">
        <f t="shared" ca="1" si="399"/>
        <v>0</v>
      </c>
      <c r="AT364" s="348">
        <f t="shared" ca="1" si="399"/>
        <v>0</v>
      </c>
      <c r="AU364" s="348">
        <f t="shared" ca="1" si="399"/>
        <v>0</v>
      </c>
      <c r="AV364" s="348">
        <f t="shared" ca="1" si="399"/>
        <v>0</v>
      </c>
      <c r="AW364" s="348">
        <f t="shared" ca="1" si="399"/>
        <v>0</v>
      </c>
      <c r="AX364" s="348">
        <f t="shared" ca="1" si="399"/>
        <v>0</v>
      </c>
      <c r="AY364" s="348">
        <f t="shared" ca="1" si="399"/>
        <v>0</v>
      </c>
      <c r="AZ364" s="348">
        <f t="shared" ca="1" si="399"/>
        <v>0</v>
      </c>
      <c r="BA364" s="348">
        <f t="shared" ca="1" si="399"/>
        <v>0</v>
      </c>
      <c r="BB364" s="348">
        <f t="shared" ca="1" si="399"/>
        <v>0</v>
      </c>
      <c r="BC364" s="348">
        <f t="shared" ca="1" si="399"/>
        <v>0</v>
      </c>
      <c r="BD364" s="348">
        <f t="shared" ca="1" si="399"/>
        <v>0</v>
      </c>
      <c r="BE364" s="348">
        <f t="shared" ca="1" si="399"/>
        <v>0</v>
      </c>
      <c r="BF364" s="348">
        <f t="shared" ca="1" si="399"/>
        <v>0</v>
      </c>
      <c r="BG364" s="348">
        <f t="shared" ca="1" si="399"/>
        <v>0</v>
      </c>
      <c r="BH364" s="348">
        <f t="shared" ca="1" si="399"/>
        <v>0</v>
      </c>
      <c r="BI364" s="348">
        <f t="shared" ca="1" si="399"/>
        <v>0</v>
      </c>
      <c r="BJ364" s="348">
        <f t="shared" ca="1" si="399"/>
        <v>0</v>
      </c>
      <c r="BK364" s="348">
        <f t="shared" ca="1" si="399"/>
        <v>0</v>
      </c>
      <c r="BL364" s="348">
        <f t="shared" ca="1" si="399"/>
        <v>0</v>
      </c>
      <c r="BM364" s="348">
        <f t="shared" ca="1" si="399"/>
        <v>0</v>
      </c>
      <c r="BN364" s="348">
        <f t="shared" ca="1" si="399"/>
        <v>0</v>
      </c>
      <c r="BO364" s="348">
        <f t="shared" ca="1" si="399"/>
        <v>0</v>
      </c>
      <c r="BP364" s="348">
        <f t="shared" ca="1" si="399"/>
        <v>0</v>
      </c>
      <c r="BQ364" s="348">
        <f t="shared" ca="1" si="399"/>
        <v>0</v>
      </c>
      <c r="BR364" s="348">
        <f t="shared" ca="1" si="399"/>
        <v>0</v>
      </c>
      <c r="BS364" s="348">
        <f t="shared" ca="1" si="399"/>
        <v>0</v>
      </c>
      <c r="BT364" s="348">
        <f t="shared" ca="1" si="399"/>
        <v>0</v>
      </c>
      <c r="BU364" s="348">
        <f t="shared" ref="BU364:EF364" ca="1" si="400">IF($D$295=4,IF(AND(BU6&gt;ROUNDUP($E$200-$J$2,0),BU6&lt;ROUNDUP($E$281-$J$2+1,0)),1000,0),0)</f>
        <v>0</v>
      </c>
      <c r="BV364" s="348">
        <f t="shared" ca="1" si="400"/>
        <v>0</v>
      </c>
      <c r="BW364" s="348">
        <f t="shared" ca="1" si="400"/>
        <v>0</v>
      </c>
      <c r="BX364" s="348">
        <f t="shared" ca="1" si="400"/>
        <v>0</v>
      </c>
      <c r="BY364" s="348">
        <f t="shared" ca="1" si="400"/>
        <v>0</v>
      </c>
      <c r="BZ364" s="348">
        <f t="shared" ca="1" si="400"/>
        <v>0</v>
      </c>
      <c r="CA364" s="348">
        <f t="shared" ca="1" si="400"/>
        <v>0</v>
      </c>
      <c r="CB364" s="348">
        <f t="shared" ca="1" si="400"/>
        <v>0</v>
      </c>
      <c r="CC364" s="348">
        <f t="shared" ca="1" si="400"/>
        <v>0</v>
      </c>
      <c r="CD364" s="348">
        <f t="shared" ca="1" si="400"/>
        <v>0</v>
      </c>
      <c r="CE364" s="348">
        <f t="shared" ca="1" si="400"/>
        <v>0</v>
      </c>
      <c r="CF364" s="348">
        <f t="shared" ca="1" si="400"/>
        <v>0</v>
      </c>
      <c r="CG364" s="348">
        <f t="shared" ca="1" si="400"/>
        <v>0</v>
      </c>
      <c r="CH364" s="348">
        <f t="shared" ca="1" si="400"/>
        <v>0</v>
      </c>
      <c r="CI364" s="348">
        <f t="shared" ca="1" si="400"/>
        <v>0</v>
      </c>
      <c r="CJ364" s="348">
        <f t="shared" ca="1" si="400"/>
        <v>0</v>
      </c>
      <c r="CK364" s="348">
        <f t="shared" ca="1" si="400"/>
        <v>0</v>
      </c>
      <c r="CL364" s="348">
        <f t="shared" ca="1" si="400"/>
        <v>0</v>
      </c>
      <c r="CM364" s="348">
        <f t="shared" ca="1" si="400"/>
        <v>0</v>
      </c>
      <c r="CN364" s="348">
        <f t="shared" ca="1" si="400"/>
        <v>0</v>
      </c>
      <c r="CO364" s="348">
        <f t="shared" ca="1" si="400"/>
        <v>0</v>
      </c>
      <c r="CP364" s="348">
        <f t="shared" ca="1" si="400"/>
        <v>0</v>
      </c>
      <c r="CQ364" s="348">
        <f t="shared" ca="1" si="400"/>
        <v>0</v>
      </c>
      <c r="CR364" s="348">
        <f t="shared" ca="1" si="400"/>
        <v>0</v>
      </c>
      <c r="CS364" s="348">
        <f t="shared" ca="1" si="400"/>
        <v>0</v>
      </c>
      <c r="CT364" s="348">
        <f t="shared" ca="1" si="400"/>
        <v>0</v>
      </c>
      <c r="CU364" s="348">
        <f t="shared" ca="1" si="400"/>
        <v>0</v>
      </c>
      <c r="CV364" s="348">
        <f t="shared" ca="1" si="400"/>
        <v>0</v>
      </c>
      <c r="CW364" s="348">
        <f t="shared" ca="1" si="400"/>
        <v>0</v>
      </c>
      <c r="CX364" s="348">
        <f t="shared" ca="1" si="400"/>
        <v>0</v>
      </c>
      <c r="CY364" s="348">
        <f t="shared" ca="1" si="400"/>
        <v>0</v>
      </c>
      <c r="CZ364" s="348">
        <f t="shared" ca="1" si="400"/>
        <v>0</v>
      </c>
      <c r="DA364" s="348">
        <f t="shared" ca="1" si="400"/>
        <v>0</v>
      </c>
      <c r="DB364" s="348">
        <f t="shared" ca="1" si="400"/>
        <v>0</v>
      </c>
      <c r="DC364" s="348">
        <f t="shared" ca="1" si="400"/>
        <v>0</v>
      </c>
      <c r="DD364" s="348">
        <f t="shared" ca="1" si="400"/>
        <v>0</v>
      </c>
      <c r="DE364" s="348">
        <f t="shared" ca="1" si="400"/>
        <v>0</v>
      </c>
      <c r="DF364" s="348">
        <f t="shared" ca="1" si="400"/>
        <v>0</v>
      </c>
      <c r="DG364" s="348">
        <f t="shared" ca="1" si="400"/>
        <v>0</v>
      </c>
      <c r="DH364" s="348">
        <f t="shared" ca="1" si="400"/>
        <v>0</v>
      </c>
      <c r="DI364" s="348">
        <f t="shared" ca="1" si="400"/>
        <v>0</v>
      </c>
      <c r="DJ364" s="348">
        <f t="shared" ca="1" si="400"/>
        <v>0</v>
      </c>
      <c r="DK364" s="348">
        <f t="shared" ca="1" si="400"/>
        <v>0</v>
      </c>
      <c r="DL364" s="348">
        <f t="shared" ca="1" si="400"/>
        <v>1000</v>
      </c>
      <c r="DM364" s="348">
        <f t="shared" ca="1" si="400"/>
        <v>0</v>
      </c>
      <c r="DN364" s="348">
        <f t="shared" ca="1" si="400"/>
        <v>0</v>
      </c>
      <c r="DO364" s="348">
        <f t="shared" ca="1" si="400"/>
        <v>0</v>
      </c>
      <c r="DP364" s="348">
        <f t="shared" ca="1" si="400"/>
        <v>0</v>
      </c>
      <c r="DQ364" s="348">
        <f t="shared" ca="1" si="400"/>
        <v>0</v>
      </c>
      <c r="DR364" s="348">
        <f t="shared" ca="1" si="400"/>
        <v>0</v>
      </c>
      <c r="DS364" s="348">
        <f t="shared" ca="1" si="400"/>
        <v>0</v>
      </c>
      <c r="DT364" s="348">
        <f t="shared" ca="1" si="400"/>
        <v>0</v>
      </c>
      <c r="DU364" s="348">
        <f t="shared" ca="1" si="400"/>
        <v>0</v>
      </c>
      <c r="DV364" s="348">
        <f t="shared" ca="1" si="400"/>
        <v>0</v>
      </c>
      <c r="DW364" s="348">
        <f t="shared" ca="1" si="400"/>
        <v>0</v>
      </c>
      <c r="DX364" s="348">
        <f t="shared" ca="1" si="400"/>
        <v>0</v>
      </c>
      <c r="DY364" s="348">
        <f t="shared" ca="1" si="400"/>
        <v>0</v>
      </c>
      <c r="DZ364" s="348">
        <f t="shared" ca="1" si="400"/>
        <v>0</v>
      </c>
      <c r="EA364" s="348">
        <f t="shared" ca="1" si="400"/>
        <v>0</v>
      </c>
      <c r="EB364" s="348">
        <f t="shared" ca="1" si="400"/>
        <v>0</v>
      </c>
      <c r="EC364" s="348">
        <f t="shared" ca="1" si="400"/>
        <v>0</v>
      </c>
      <c r="ED364" s="348">
        <f t="shared" ca="1" si="400"/>
        <v>0</v>
      </c>
      <c r="EE364" s="348">
        <f t="shared" ca="1" si="400"/>
        <v>0</v>
      </c>
      <c r="EF364" s="348">
        <f t="shared" ca="1" si="400"/>
        <v>0</v>
      </c>
      <c r="EG364" s="348">
        <f t="shared" ref="EG364:GR364" ca="1" si="401">IF($D$295=4,IF(AND(EG6&gt;ROUNDUP($E$200-$J$2,0),EG6&lt;ROUNDUP($E$281-$J$2+1,0)),1000,0),0)</f>
        <v>0</v>
      </c>
      <c r="EH364" s="348">
        <f t="shared" ca="1" si="401"/>
        <v>0</v>
      </c>
      <c r="EI364" s="348">
        <f t="shared" ca="1" si="401"/>
        <v>0</v>
      </c>
      <c r="EJ364" s="348">
        <f t="shared" ca="1" si="401"/>
        <v>0</v>
      </c>
      <c r="EK364" s="348">
        <f t="shared" ca="1" si="401"/>
        <v>0</v>
      </c>
      <c r="EL364" s="348">
        <f t="shared" ca="1" si="401"/>
        <v>0</v>
      </c>
      <c r="EM364" s="348">
        <f t="shared" ca="1" si="401"/>
        <v>0</v>
      </c>
      <c r="EN364" s="348">
        <f t="shared" ca="1" si="401"/>
        <v>0</v>
      </c>
      <c r="EO364" s="348">
        <f t="shared" ca="1" si="401"/>
        <v>0</v>
      </c>
      <c r="EP364" s="348">
        <f t="shared" ca="1" si="401"/>
        <v>0</v>
      </c>
      <c r="EQ364" s="348">
        <f t="shared" ca="1" si="401"/>
        <v>0</v>
      </c>
      <c r="ER364" s="348">
        <f t="shared" ca="1" si="401"/>
        <v>0</v>
      </c>
      <c r="ES364" s="348">
        <f t="shared" ca="1" si="401"/>
        <v>0</v>
      </c>
      <c r="ET364" s="348">
        <f t="shared" ca="1" si="401"/>
        <v>0</v>
      </c>
      <c r="EU364" s="348">
        <f t="shared" ca="1" si="401"/>
        <v>0</v>
      </c>
      <c r="EV364" s="348">
        <f t="shared" ca="1" si="401"/>
        <v>0</v>
      </c>
      <c r="EW364" s="348">
        <f t="shared" ca="1" si="401"/>
        <v>0</v>
      </c>
      <c r="EX364" s="348">
        <f t="shared" ca="1" si="401"/>
        <v>0</v>
      </c>
      <c r="EY364" s="348">
        <f t="shared" ca="1" si="401"/>
        <v>0</v>
      </c>
      <c r="EZ364" s="348">
        <f t="shared" ca="1" si="401"/>
        <v>0</v>
      </c>
      <c r="FA364" s="348">
        <f t="shared" ca="1" si="401"/>
        <v>0</v>
      </c>
      <c r="FB364" s="348">
        <f t="shared" ca="1" si="401"/>
        <v>0</v>
      </c>
      <c r="FC364" s="348">
        <f t="shared" ca="1" si="401"/>
        <v>0</v>
      </c>
      <c r="FD364" s="348">
        <f t="shared" ca="1" si="401"/>
        <v>0</v>
      </c>
      <c r="FE364" s="348">
        <f t="shared" ca="1" si="401"/>
        <v>0</v>
      </c>
      <c r="FF364" s="348">
        <f t="shared" ca="1" si="401"/>
        <v>0</v>
      </c>
      <c r="FG364" s="348">
        <f t="shared" ca="1" si="401"/>
        <v>0</v>
      </c>
      <c r="FH364" s="348">
        <f t="shared" ca="1" si="401"/>
        <v>0</v>
      </c>
      <c r="FI364" s="348">
        <f t="shared" ca="1" si="401"/>
        <v>0</v>
      </c>
      <c r="FJ364" s="348">
        <f t="shared" ca="1" si="401"/>
        <v>0</v>
      </c>
      <c r="FK364" s="348">
        <f t="shared" ca="1" si="401"/>
        <v>0</v>
      </c>
      <c r="FL364" s="348">
        <f t="shared" ca="1" si="401"/>
        <v>0</v>
      </c>
      <c r="FM364" s="348">
        <f t="shared" ca="1" si="401"/>
        <v>0</v>
      </c>
      <c r="FN364" s="348">
        <f t="shared" ca="1" si="401"/>
        <v>0</v>
      </c>
      <c r="FO364" s="348">
        <f t="shared" ca="1" si="401"/>
        <v>0</v>
      </c>
      <c r="FP364" s="348">
        <f t="shared" ca="1" si="401"/>
        <v>0</v>
      </c>
      <c r="FQ364" s="348">
        <f t="shared" ca="1" si="401"/>
        <v>0</v>
      </c>
      <c r="FR364" s="348">
        <f t="shared" ca="1" si="401"/>
        <v>0</v>
      </c>
      <c r="FS364" s="348">
        <f t="shared" ca="1" si="401"/>
        <v>0</v>
      </c>
      <c r="FT364" s="348">
        <f t="shared" ca="1" si="401"/>
        <v>0</v>
      </c>
      <c r="FU364" s="348">
        <f t="shared" ca="1" si="401"/>
        <v>0</v>
      </c>
      <c r="FV364" s="348">
        <f t="shared" ca="1" si="401"/>
        <v>0</v>
      </c>
      <c r="FW364" s="348">
        <f t="shared" ca="1" si="401"/>
        <v>0</v>
      </c>
      <c r="FX364" s="348">
        <f t="shared" ca="1" si="401"/>
        <v>0</v>
      </c>
      <c r="FY364" s="348">
        <f t="shared" ca="1" si="401"/>
        <v>0</v>
      </c>
      <c r="FZ364" s="348">
        <f t="shared" ca="1" si="401"/>
        <v>0</v>
      </c>
      <c r="GA364" s="348">
        <f t="shared" ca="1" si="401"/>
        <v>0</v>
      </c>
      <c r="GB364" s="348">
        <f t="shared" ca="1" si="401"/>
        <v>0</v>
      </c>
      <c r="GC364" s="348">
        <f t="shared" ca="1" si="401"/>
        <v>0</v>
      </c>
      <c r="GD364" s="348">
        <f t="shared" ca="1" si="401"/>
        <v>0</v>
      </c>
      <c r="GE364" s="348">
        <f t="shared" ca="1" si="401"/>
        <v>0</v>
      </c>
      <c r="GF364" s="348">
        <f t="shared" ca="1" si="401"/>
        <v>0</v>
      </c>
      <c r="GG364" s="348">
        <f t="shared" ca="1" si="401"/>
        <v>0</v>
      </c>
      <c r="GH364" s="348">
        <f t="shared" ca="1" si="401"/>
        <v>0</v>
      </c>
      <c r="GI364" s="348">
        <f t="shared" ca="1" si="401"/>
        <v>0</v>
      </c>
      <c r="GJ364" s="348">
        <f t="shared" ca="1" si="401"/>
        <v>0</v>
      </c>
      <c r="GK364" s="348">
        <f t="shared" ca="1" si="401"/>
        <v>0</v>
      </c>
      <c r="GL364" s="348">
        <f t="shared" ca="1" si="401"/>
        <v>0</v>
      </c>
      <c r="GM364" s="348">
        <f t="shared" ca="1" si="401"/>
        <v>0</v>
      </c>
      <c r="GN364" s="348">
        <f t="shared" ca="1" si="401"/>
        <v>0</v>
      </c>
      <c r="GO364" s="348">
        <f t="shared" ca="1" si="401"/>
        <v>0</v>
      </c>
      <c r="GP364" s="348">
        <f t="shared" ca="1" si="401"/>
        <v>0</v>
      </c>
      <c r="GQ364" s="348">
        <f t="shared" ca="1" si="401"/>
        <v>0</v>
      </c>
      <c r="GR364" s="348">
        <f t="shared" ca="1" si="401"/>
        <v>0</v>
      </c>
      <c r="GS364" s="348">
        <f t="shared" ref="GS364:IK364" ca="1" si="402">IF($D$295=4,IF(AND(GS6&gt;ROUNDUP($E$200-$J$2,0),GS6&lt;ROUNDUP($E$281-$J$2+1,0)),1000,0),0)</f>
        <v>0</v>
      </c>
      <c r="GT364" s="348">
        <f t="shared" ca="1" si="402"/>
        <v>0</v>
      </c>
      <c r="GU364" s="348">
        <f t="shared" ca="1" si="402"/>
        <v>0</v>
      </c>
      <c r="GV364" s="348">
        <f t="shared" ca="1" si="402"/>
        <v>0</v>
      </c>
      <c r="GW364" s="348">
        <f t="shared" ca="1" si="402"/>
        <v>0</v>
      </c>
      <c r="GX364" s="348">
        <f t="shared" ca="1" si="402"/>
        <v>0</v>
      </c>
      <c r="GY364" s="348">
        <f t="shared" ca="1" si="402"/>
        <v>0</v>
      </c>
      <c r="GZ364" s="348">
        <f t="shared" ca="1" si="402"/>
        <v>0</v>
      </c>
      <c r="HA364" s="348">
        <f t="shared" ca="1" si="402"/>
        <v>0</v>
      </c>
      <c r="HB364" s="348">
        <f t="shared" ca="1" si="402"/>
        <v>0</v>
      </c>
      <c r="HC364" s="348">
        <f t="shared" ca="1" si="402"/>
        <v>0</v>
      </c>
      <c r="HD364" s="348">
        <f t="shared" ca="1" si="402"/>
        <v>0</v>
      </c>
      <c r="HE364" s="348">
        <f t="shared" ca="1" si="402"/>
        <v>0</v>
      </c>
      <c r="HF364" s="348">
        <f t="shared" ca="1" si="402"/>
        <v>0</v>
      </c>
      <c r="HG364" s="348">
        <f t="shared" ca="1" si="402"/>
        <v>0</v>
      </c>
      <c r="HH364" s="348">
        <f t="shared" ca="1" si="402"/>
        <v>0</v>
      </c>
      <c r="HI364" s="348">
        <f t="shared" ca="1" si="402"/>
        <v>0</v>
      </c>
      <c r="HJ364" s="348">
        <f t="shared" ca="1" si="402"/>
        <v>0</v>
      </c>
      <c r="HK364" s="348">
        <f t="shared" ca="1" si="402"/>
        <v>0</v>
      </c>
      <c r="HL364" s="348">
        <f t="shared" ca="1" si="402"/>
        <v>0</v>
      </c>
      <c r="HM364" s="348">
        <f t="shared" ca="1" si="402"/>
        <v>0</v>
      </c>
      <c r="HN364" s="348">
        <f t="shared" ca="1" si="402"/>
        <v>0</v>
      </c>
      <c r="HO364" s="348">
        <f t="shared" ca="1" si="402"/>
        <v>0</v>
      </c>
      <c r="HP364" s="348">
        <f t="shared" ca="1" si="402"/>
        <v>0</v>
      </c>
      <c r="HQ364" s="348">
        <f t="shared" ca="1" si="402"/>
        <v>0</v>
      </c>
      <c r="HR364" s="348">
        <f t="shared" ca="1" si="402"/>
        <v>0</v>
      </c>
      <c r="HS364" s="348">
        <f t="shared" ca="1" si="402"/>
        <v>0</v>
      </c>
      <c r="HT364" s="348">
        <f t="shared" ca="1" si="402"/>
        <v>0</v>
      </c>
      <c r="HU364" s="348">
        <f t="shared" ca="1" si="402"/>
        <v>0</v>
      </c>
      <c r="HV364" s="348">
        <f t="shared" ca="1" si="402"/>
        <v>0</v>
      </c>
      <c r="HW364" s="348">
        <f t="shared" ca="1" si="402"/>
        <v>0</v>
      </c>
      <c r="HX364" s="348">
        <f t="shared" ca="1" si="402"/>
        <v>0</v>
      </c>
      <c r="HY364" s="348">
        <f t="shared" ca="1" si="402"/>
        <v>0</v>
      </c>
      <c r="HZ364" s="348">
        <f t="shared" ca="1" si="402"/>
        <v>0</v>
      </c>
      <c r="IA364" s="348">
        <f t="shared" ca="1" si="402"/>
        <v>0</v>
      </c>
      <c r="IB364" s="348">
        <f t="shared" ca="1" si="402"/>
        <v>0</v>
      </c>
      <c r="IC364" s="348">
        <f t="shared" ca="1" si="402"/>
        <v>0</v>
      </c>
      <c r="ID364" s="348">
        <f t="shared" ca="1" si="402"/>
        <v>0</v>
      </c>
      <c r="IE364" s="348">
        <f t="shared" ca="1" si="402"/>
        <v>0</v>
      </c>
      <c r="IF364" s="348">
        <f t="shared" ca="1" si="402"/>
        <v>0</v>
      </c>
      <c r="IG364" s="348">
        <f t="shared" ca="1" si="402"/>
        <v>0</v>
      </c>
      <c r="IH364" s="348">
        <f t="shared" ca="1" si="402"/>
        <v>0</v>
      </c>
      <c r="II364" s="348">
        <f t="shared" ca="1" si="402"/>
        <v>0</v>
      </c>
      <c r="IJ364" s="348">
        <f t="shared" ca="1" si="402"/>
        <v>0</v>
      </c>
      <c r="IK364" s="348">
        <f t="shared" ca="1" si="402"/>
        <v>0</v>
      </c>
    </row>
    <row r="365" spans="1:245" hidden="1" x14ac:dyDescent="0.35">
      <c r="A365" s="195">
        <f t="shared" si="364"/>
        <v>0</v>
      </c>
    </row>
    <row r="366" spans="1:245" hidden="1" x14ac:dyDescent="0.35">
      <c r="A366" s="195">
        <f t="shared" si="364"/>
        <v>0</v>
      </c>
      <c r="C366" s="638" t="s">
        <v>1616</v>
      </c>
      <c r="D366" s="636" t="s">
        <v>1606</v>
      </c>
      <c r="E366" s="14"/>
      <c r="F366" s="6"/>
      <c r="H366" s="32">
        <f ca="1">IF(ENTRADAS!$F$22&gt;=4,IF(H281=10,1000,1),0)</f>
        <v>1</v>
      </c>
      <c r="I366" s="32">
        <f ca="1">IF(ENTRADAS!$F$22&gt;=4,IF(I281=10,1000,1),0)</f>
        <v>1</v>
      </c>
      <c r="J366" s="32">
        <f ca="1">IF(ENTRADAS!$F$22&gt;=4,IF(J281=10,1000,1),0)</f>
        <v>1</v>
      </c>
      <c r="K366" s="32">
        <f ca="1">IF(ENTRADAS!$F$22&gt;=4,IF(K281=10,1000,1),0)</f>
        <v>1</v>
      </c>
      <c r="L366" s="32">
        <f ca="1">IF(ENTRADAS!$F$22&gt;=4,IF(L281=10,1000,1),0)</f>
        <v>1</v>
      </c>
      <c r="M366" s="32">
        <f ca="1">IF(ENTRADAS!$F$22&gt;=4,IF(M281=10,1000,1),0)</f>
        <v>1</v>
      </c>
      <c r="N366" s="32">
        <f ca="1">IF(ENTRADAS!$F$22&gt;=4,IF(N281=10,1000,1),0)</f>
        <v>1</v>
      </c>
      <c r="O366" s="32">
        <f ca="1">IF(ENTRADAS!$F$22&gt;=4,IF(O281=10,1000,1),0)</f>
        <v>1</v>
      </c>
      <c r="P366" s="32">
        <f ca="1">IF(ENTRADAS!$F$22&gt;=4,IF(P281=10,1000,1),0)</f>
        <v>1</v>
      </c>
      <c r="Q366" s="32">
        <f ca="1">IF(ENTRADAS!$F$22&gt;=4,IF(Q281=10,1000,1),0)</f>
        <v>1</v>
      </c>
      <c r="R366" s="32">
        <f ca="1">IF(ENTRADAS!$F$22&gt;=4,IF(R281=10,1000,1),0)</f>
        <v>1</v>
      </c>
      <c r="S366" s="32">
        <f ca="1">IF(ENTRADAS!$F$22&gt;=4,IF(S281=10,1000,1),0)</f>
        <v>1</v>
      </c>
      <c r="T366" s="32">
        <f ca="1">IF(ENTRADAS!$F$22&gt;=4,IF(T281=10,1000,1),0)</f>
        <v>1</v>
      </c>
      <c r="U366" s="32">
        <f ca="1">IF(ENTRADAS!$F$22&gt;=4,IF(U281=10,1000,1),0)</f>
        <v>1</v>
      </c>
      <c r="V366" s="32">
        <f ca="1">IF(ENTRADAS!$F$22&gt;=4,IF(V281=10,1000,1),0)</f>
        <v>1</v>
      </c>
      <c r="W366" s="32">
        <f ca="1">IF(ENTRADAS!$F$22&gt;=4,IF(W281=10,1000,1),0)</f>
        <v>1</v>
      </c>
      <c r="X366" s="32">
        <f ca="1">IF(ENTRADAS!$F$22&gt;=4,IF(X281=10,1000,1),0)</f>
        <v>1</v>
      </c>
      <c r="Y366" s="32">
        <f ca="1">IF(ENTRADAS!$F$22&gt;=4,IF(Y281=10,1000,1),0)</f>
        <v>1</v>
      </c>
      <c r="Z366" s="32">
        <f ca="1">IF(ENTRADAS!$F$22&gt;=4,IF(Z281=10,1000,1),0)</f>
        <v>1</v>
      </c>
      <c r="AA366" s="32">
        <f ca="1">IF(ENTRADAS!$F$22&gt;=4,IF(AA281=10,1000,1),0)</f>
        <v>1</v>
      </c>
      <c r="AB366" s="32">
        <f ca="1">IF(ENTRADAS!$F$22&gt;=4,IF(AB281=10,1000,1),0)</f>
        <v>1</v>
      </c>
      <c r="AC366" s="32">
        <f ca="1">IF(ENTRADAS!$F$22&gt;=4,IF(AC281=10,1000,1),0)</f>
        <v>1</v>
      </c>
      <c r="AD366" s="32">
        <f ca="1">IF(ENTRADAS!$F$22&gt;=4,IF(AD281=10,1000,1),0)</f>
        <v>1</v>
      </c>
      <c r="AE366" s="32">
        <f ca="1">IF(ENTRADAS!$F$22&gt;=4,IF(AE281=10,1000,1),0)</f>
        <v>1</v>
      </c>
      <c r="AF366" s="32">
        <f ca="1">IF(ENTRADAS!$F$22&gt;=4,IF(AF281=10,1000,1),0)</f>
        <v>1</v>
      </c>
      <c r="AG366" s="32">
        <f ca="1">IF(ENTRADAS!$F$22&gt;=4,IF(AG281=10,1000,1),0)</f>
        <v>1</v>
      </c>
      <c r="AH366" s="32">
        <f ca="1">IF(ENTRADAS!$F$22&gt;=4,IF(AH281=10,1000,1),0)</f>
        <v>1</v>
      </c>
      <c r="AI366" s="32">
        <f ca="1">IF(ENTRADAS!$F$22&gt;=4,IF(AI281=10,1000,1),0)</f>
        <v>1</v>
      </c>
      <c r="AJ366" s="32">
        <f ca="1">IF(ENTRADAS!$F$22&gt;=4,IF(AJ281=10,1000,1),0)</f>
        <v>1</v>
      </c>
      <c r="AK366" s="32">
        <f ca="1">IF(ENTRADAS!$F$22&gt;=4,IF(AK281=10,1000,1),0)</f>
        <v>1</v>
      </c>
      <c r="AL366" s="32">
        <f ca="1">IF(ENTRADAS!$F$22&gt;=4,IF(AL281=10,1000,1),0)</f>
        <v>1</v>
      </c>
      <c r="AM366" s="32">
        <f ca="1">IF(ENTRADAS!$F$22&gt;=4,IF(AM281=10,1000,1),0)</f>
        <v>1</v>
      </c>
      <c r="AN366" s="32">
        <f ca="1">IF(ENTRADAS!$F$22&gt;=4,IF(AN281=10,1000,1),0)</f>
        <v>1</v>
      </c>
      <c r="AO366" s="32">
        <f ca="1">IF(ENTRADAS!$F$22&gt;=4,IF(AO281=10,1000,1),0)</f>
        <v>1</v>
      </c>
      <c r="AP366" s="32">
        <f ca="1">IF(ENTRADAS!$F$22&gt;=4,IF(AP281=10,1000,1),0)</f>
        <v>1</v>
      </c>
      <c r="AQ366" s="32">
        <f ca="1">IF(ENTRADAS!$F$22&gt;=4,IF(AQ281=10,1000,1),0)</f>
        <v>1</v>
      </c>
      <c r="AR366" s="32">
        <f ca="1">IF(ENTRADAS!$F$22&gt;=4,IF(AR281=10,1000,1),0)</f>
        <v>1</v>
      </c>
      <c r="AS366" s="32">
        <f ca="1">IF(ENTRADAS!$F$22&gt;=4,IF(AS281=10,1000,1),0)</f>
        <v>1</v>
      </c>
      <c r="AT366" s="32">
        <f ca="1">IF(ENTRADAS!$F$22&gt;=4,IF(AT281=10,1000,1),0)</f>
        <v>1</v>
      </c>
      <c r="AU366" s="32">
        <f ca="1">IF(ENTRADAS!$F$22&gt;=4,IF(AU281=10,1000,1),0)</f>
        <v>1</v>
      </c>
      <c r="AV366" s="32">
        <f ca="1">IF(ENTRADAS!$F$22&gt;=4,IF(AV281=10,1000,1),0)</f>
        <v>1</v>
      </c>
      <c r="AW366" s="32">
        <f ca="1">IF(ENTRADAS!$F$22&gt;=4,IF(AW281=10,1000,1),0)</f>
        <v>1</v>
      </c>
      <c r="AX366" s="32">
        <f ca="1">IF(ENTRADAS!$F$22&gt;=4,IF(AX281=10,1000,1),0)</f>
        <v>1</v>
      </c>
      <c r="AY366" s="32">
        <f ca="1">IF(ENTRADAS!$F$22&gt;=4,IF(AY281=10,1000,1),0)</f>
        <v>1</v>
      </c>
      <c r="AZ366" s="32">
        <f ca="1">IF(ENTRADAS!$F$22&gt;=4,IF(AZ281=10,1000,1),0)</f>
        <v>1</v>
      </c>
      <c r="BA366" s="32">
        <f ca="1">IF(ENTRADAS!$F$22&gt;=4,IF(BA281=10,1000,1),0)</f>
        <v>1</v>
      </c>
      <c r="BB366" s="32">
        <f ca="1">IF(ENTRADAS!$F$22&gt;=4,IF(BB281=10,1000,1),0)</f>
        <v>1</v>
      </c>
      <c r="BC366" s="32">
        <f ca="1">IF(ENTRADAS!$F$22&gt;=4,IF(BC281=10,1000,1),0)</f>
        <v>1</v>
      </c>
      <c r="BD366" s="32">
        <f ca="1">IF(ENTRADAS!$F$22&gt;=4,IF(BD281=10,1000,1),0)</f>
        <v>1</v>
      </c>
      <c r="BE366" s="32">
        <f ca="1">IF(ENTRADAS!$F$22&gt;=4,IF(BE281=10,1000,1),0)</f>
        <v>1</v>
      </c>
      <c r="BF366" s="32">
        <f ca="1">IF(ENTRADAS!$F$22&gt;=4,IF(BF281=10,1000,1),0)</f>
        <v>1</v>
      </c>
      <c r="BG366" s="32">
        <f ca="1">IF(ENTRADAS!$F$22&gt;=4,IF(BG281=10,1000,1),0)</f>
        <v>1</v>
      </c>
      <c r="BH366" s="32">
        <f ca="1">IF(ENTRADAS!$F$22&gt;=4,IF(BH281=10,1000,1),0)</f>
        <v>1</v>
      </c>
      <c r="BI366" s="32">
        <f ca="1">IF(ENTRADAS!$F$22&gt;=4,IF(BI281=10,1000,1),0)</f>
        <v>1</v>
      </c>
      <c r="BJ366" s="32">
        <f ca="1">IF(ENTRADAS!$F$22&gt;=4,IF(BJ281=10,1000,1),0)</f>
        <v>1</v>
      </c>
      <c r="BK366" s="32">
        <f ca="1">IF(ENTRADAS!$F$22&gt;=4,IF(BK281=10,1000,1),0)</f>
        <v>1</v>
      </c>
      <c r="BL366" s="32">
        <f ca="1">IF(ENTRADAS!$F$22&gt;=4,IF(BL281=10,1000,1),0)</f>
        <v>1</v>
      </c>
      <c r="BM366" s="32">
        <f ca="1">IF(ENTRADAS!$F$22&gt;=4,IF(BM281=10,1000,1),0)</f>
        <v>1</v>
      </c>
      <c r="BN366" s="32">
        <f ca="1">IF(ENTRADAS!$F$22&gt;=4,IF(BN281=10,1000,1),0)</f>
        <v>1</v>
      </c>
      <c r="BO366" s="32">
        <f ca="1">IF(ENTRADAS!$F$22&gt;=4,IF(BO281=10,1000,1),0)</f>
        <v>1</v>
      </c>
      <c r="BP366" s="32">
        <f ca="1">IF(ENTRADAS!$F$22&gt;=4,IF(BP281=10,1000,1),0)</f>
        <v>1</v>
      </c>
      <c r="BQ366" s="32">
        <f ca="1">IF(ENTRADAS!$F$22&gt;=4,IF(BQ281=10,1000,1),0)</f>
        <v>1</v>
      </c>
      <c r="BR366" s="32">
        <f ca="1">IF(ENTRADAS!$F$22&gt;=4,IF(BR281=10,1000,1),0)</f>
        <v>1</v>
      </c>
      <c r="BS366" s="32">
        <f ca="1">IF(ENTRADAS!$F$22&gt;=4,IF(BS281=10,1000,1),0)</f>
        <v>1</v>
      </c>
      <c r="BT366" s="32">
        <f ca="1">IF(ENTRADAS!$F$22&gt;=4,IF(BT281=10,1000,1),0)</f>
        <v>1</v>
      </c>
      <c r="BU366" s="32">
        <f ca="1">IF(ENTRADAS!$F$22&gt;=4,IF(BU281=10,1000,1),0)</f>
        <v>1</v>
      </c>
      <c r="BV366" s="32">
        <f ca="1">IF(ENTRADAS!$F$22&gt;=4,IF(BV281=10,1000,1),0)</f>
        <v>1</v>
      </c>
      <c r="BW366" s="32">
        <f ca="1">IF(ENTRADAS!$F$22&gt;=4,IF(BW281=10,1000,1),0)</f>
        <v>1</v>
      </c>
      <c r="BX366" s="32">
        <f ca="1">IF(ENTRADAS!$F$22&gt;=4,IF(BX281=10,1000,1),0)</f>
        <v>1</v>
      </c>
      <c r="BY366" s="32">
        <f ca="1">IF(ENTRADAS!$F$22&gt;=4,IF(BY281=10,1000,1),0)</f>
        <v>1</v>
      </c>
      <c r="BZ366" s="32">
        <f ca="1">IF(ENTRADAS!$F$22&gt;=4,IF(BZ281=10,1000,1),0)</f>
        <v>1</v>
      </c>
      <c r="CA366" s="32">
        <f ca="1">IF(ENTRADAS!$F$22&gt;=4,IF(CA281=10,1000,1),0)</f>
        <v>1</v>
      </c>
      <c r="CB366" s="32">
        <f ca="1">IF(ENTRADAS!$F$22&gt;=4,IF(CB281=10,1000,1),0)</f>
        <v>1</v>
      </c>
      <c r="CC366" s="32">
        <f ca="1">IF(ENTRADAS!$F$22&gt;=4,IF(CC281=10,1000,1),0)</f>
        <v>1</v>
      </c>
      <c r="CD366" s="32">
        <f ca="1">IF(ENTRADAS!$F$22&gt;=4,IF(CD281=10,1000,1),0)</f>
        <v>1</v>
      </c>
      <c r="CE366" s="32">
        <f ca="1">IF(ENTRADAS!$F$22&gt;=4,IF(CE281=10,1000,1),0)</f>
        <v>1</v>
      </c>
      <c r="CF366" s="32">
        <f ca="1">IF(ENTRADAS!$F$22&gt;=4,IF(CF281=10,1000,1),0)</f>
        <v>1</v>
      </c>
      <c r="CG366" s="32">
        <f ca="1">IF(ENTRADAS!$F$22&gt;=4,IF(CG281=10,1000,1),0)</f>
        <v>1</v>
      </c>
      <c r="CH366" s="32">
        <f ca="1">IF(ENTRADAS!$F$22&gt;=4,IF(CH281=10,1000,1),0)</f>
        <v>1</v>
      </c>
      <c r="CI366" s="32">
        <f ca="1">IF(ENTRADAS!$F$22&gt;=4,IF(CI281=10,1000,1),0)</f>
        <v>1</v>
      </c>
      <c r="CJ366" s="32">
        <f ca="1">IF(ENTRADAS!$F$22&gt;=4,IF(CJ281=10,1000,1),0)</f>
        <v>1</v>
      </c>
      <c r="CK366" s="32">
        <f ca="1">IF(ENTRADAS!$F$22&gt;=4,IF(CK281=10,1000,1),0)</f>
        <v>1</v>
      </c>
      <c r="CL366" s="32">
        <f ca="1">IF(ENTRADAS!$F$22&gt;=4,IF(CL281=10,1000,1),0)</f>
        <v>1</v>
      </c>
      <c r="CM366" s="32">
        <f ca="1">IF(ENTRADAS!$F$22&gt;=4,IF(CM281=10,1000,1),0)</f>
        <v>1</v>
      </c>
      <c r="CN366" s="32">
        <f ca="1">IF(ENTRADAS!$F$22&gt;=4,IF(CN281=10,1000,1),0)</f>
        <v>1</v>
      </c>
      <c r="CO366" s="32">
        <f ca="1">IF(ENTRADAS!$F$22&gt;=4,IF(CO281=10,1000,1),0)</f>
        <v>1</v>
      </c>
      <c r="CP366" s="32">
        <f ca="1">IF(ENTRADAS!$F$22&gt;=4,IF(CP281=10,1000,1),0)</f>
        <v>1</v>
      </c>
      <c r="CQ366" s="32">
        <f ca="1">IF(ENTRADAS!$F$22&gt;=4,IF(CQ281=10,1000,1),0)</f>
        <v>1</v>
      </c>
      <c r="CR366" s="32">
        <f ca="1">IF(ENTRADAS!$F$22&gt;=4,IF(CR281=10,1000,1),0)</f>
        <v>1</v>
      </c>
      <c r="CS366" s="32">
        <f ca="1">IF(ENTRADAS!$F$22&gt;=4,IF(CS281=10,1000,1),0)</f>
        <v>1</v>
      </c>
      <c r="CT366" s="32">
        <f ca="1">IF(ENTRADAS!$F$22&gt;=4,IF(CT281=10,1000,1),0)</f>
        <v>1</v>
      </c>
      <c r="CU366" s="32">
        <f ca="1">IF(ENTRADAS!$F$22&gt;=4,IF(CU281=10,1000,1),0)</f>
        <v>1</v>
      </c>
      <c r="CV366" s="32">
        <f ca="1">IF(ENTRADAS!$F$22&gt;=4,IF(CV281=10,1000,1),0)</f>
        <v>1</v>
      </c>
      <c r="CW366" s="32">
        <f ca="1">IF(ENTRADAS!$F$22&gt;=4,IF(CW281=10,1000,1),0)</f>
        <v>1</v>
      </c>
      <c r="CX366" s="32">
        <f ca="1">IF(ENTRADAS!$F$22&gt;=4,IF(CX281=10,1000,1),0)</f>
        <v>1</v>
      </c>
      <c r="CY366" s="32">
        <f ca="1">IF(ENTRADAS!$F$22&gt;=4,IF(CY281=10,1000,1),0)</f>
        <v>1</v>
      </c>
      <c r="CZ366" s="32">
        <f ca="1">IF(ENTRADAS!$F$22&gt;=4,IF(CZ281=10,1000,1),0)</f>
        <v>1</v>
      </c>
      <c r="DA366" s="32">
        <f ca="1">IF(ENTRADAS!$F$22&gt;=4,IF(DA281=10,1000,1),0)</f>
        <v>1</v>
      </c>
      <c r="DB366" s="32">
        <f ca="1">IF(ENTRADAS!$F$22&gt;=4,IF(DB281=10,1000,1),0)</f>
        <v>1</v>
      </c>
      <c r="DC366" s="32">
        <f ca="1">IF(ENTRADAS!$F$22&gt;=4,IF(DC281=10,1000,1),0)</f>
        <v>1</v>
      </c>
      <c r="DD366" s="32">
        <f ca="1">IF(ENTRADAS!$F$22&gt;=4,IF(DD281=10,1000,1),0)</f>
        <v>1</v>
      </c>
      <c r="DE366" s="32">
        <f ca="1">IF(ENTRADAS!$F$22&gt;=4,IF(DE281=10,1000,1),0)</f>
        <v>1</v>
      </c>
      <c r="DF366" s="32">
        <f ca="1">IF(ENTRADAS!$F$22&gt;=4,IF(DF281=10,1000,1),0)</f>
        <v>1</v>
      </c>
      <c r="DG366" s="32">
        <f ca="1">IF(ENTRADAS!$F$22&gt;=4,IF(DG281=10,1000,1),0)</f>
        <v>1</v>
      </c>
      <c r="DH366" s="32">
        <f ca="1">IF(ENTRADAS!$F$22&gt;=4,IF(DH281=10,1000,1),0)</f>
        <v>1000</v>
      </c>
      <c r="DI366" s="32">
        <f ca="1">IF(ENTRADAS!$F$22&gt;=4,IF(DI281=10,1000,1),0)</f>
        <v>1000</v>
      </c>
      <c r="DJ366" s="32">
        <f ca="1">IF(ENTRADAS!$F$22&gt;=4,IF(DJ281=10,1000,1),0)</f>
        <v>1000</v>
      </c>
      <c r="DK366" s="32">
        <f ca="1">IF(ENTRADAS!$F$22&gt;=4,IF(DK281=10,1000,1),0)</f>
        <v>1000</v>
      </c>
      <c r="DL366" s="32">
        <f ca="1">IF(ENTRADAS!$F$22&gt;=4,IF(DL281=10,1000,1),0)</f>
        <v>1000</v>
      </c>
      <c r="DM366" s="32">
        <f ca="1">IF(ENTRADAS!$F$22&gt;=4,IF(DM281=10,1000,1),0)</f>
        <v>1000</v>
      </c>
      <c r="DN366" s="32">
        <f ca="1">IF(ENTRADAS!$F$22&gt;=4,IF(DN281=10,1000,1),0)</f>
        <v>1000</v>
      </c>
      <c r="DO366" s="32">
        <f ca="1">IF(ENTRADAS!$F$22&gt;=4,IF(DO281=10,1000,1),0)</f>
        <v>1000</v>
      </c>
      <c r="DP366" s="32">
        <f ca="1">IF(ENTRADAS!$F$22&gt;=4,IF(DP281=10,1000,1),0)</f>
        <v>1000</v>
      </c>
      <c r="DQ366" s="32">
        <f ca="1">IF(ENTRADAS!$F$22&gt;=4,IF(DQ281=10,1000,1),0)</f>
        <v>1000</v>
      </c>
      <c r="DR366" s="32">
        <f ca="1">IF(ENTRADAS!$F$22&gt;=4,IF(DR281=10,1000,1),0)</f>
        <v>1000</v>
      </c>
      <c r="DS366" s="32">
        <f ca="1">IF(ENTRADAS!$F$22&gt;=4,IF(DS281=10,1000,1),0)</f>
        <v>1000</v>
      </c>
      <c r="DT366" s="32">
        <f ca="1">IF(ENTRADAS!$F$22&gt;=4,IF(DT281=10,1000,1),0)</f>
        <v>1000</v>
      </c>
      <c r="DU366" s="32">
        <f ca="1">IF(ENTRADAS!$F$22&gt;=4,IF(DU281=10,1000,1),0)</f>
        <v>1000</v>
      </c>
      <c r="DV366" s="32">
        <f ca="1">IF(ENTRADAS!$F$22&gt;=4,IF(DV281=10,1000,1),0)</f>
        <v>1000</v>
      </c>
      <c r="DW366" s="32">
        <f ca="1">IF(ENTRADAS!$F$22&gt;=4,IF(DW281=10,1000,1),0)</f>
        <v>1000</v>
      </c>
      <c r="DX366" s="32">
        <f ca="1">IF(ENTRADAS!$F$22&gt;=4,IF(DX281=10,1000,1),0)</f>
        <v>1000</v>
      </c>
      <c r="DY366" s="32">
        <f ca="1">IF(ENTRADAS!$F$22&gt;=4,IF(DY281=10,1000,1),0)</f>
        <v>1000</v>
      </c>
      <c r="DZ366" s="32">
        <f ca="1">IF(ENTRADAS!$F$22&gt;=4,IF(DZ281=10,1000,1),0)</f>
        <v>1000</v>
      </c>
      <c r="EA366" s="32">
        <f ca="1">IF(ENTRADAS!$F$22&gt;=4,IF(EA281=10,1000,1),0)</f>
        <v>1000</v>
      </c>
      <c r="EB366" s="32">
        <f ca="1">IF(ENTRADAS!$F$22&gt;=4,IF(EB281=10,1000,1),0)</f>
        <v>1000</v>
      </c>
      <c r="EC366" s="32">
        <f ca="1">IF(ENTRADAS!$F$22&gt;=4,IF(EC281=10,1000,1),0)</f>
        <v>1000</v>
      </c>
      <c r="ED366" s="32">
        <f ca="1">IF(ENTRADAS!$F$22&gt;=4,IF(ED281=10,1000,1),0)</f>
        <v>1000</v>
      </c>
      <c r="EE366" s="32">
        <f ca="1">IF(ENTRADAS!$F$22&gt;=4,IF(EE281=10,1000,1),0)</f>
        <v>1000</v>
      </c>
      <c r="EF366" s="32">
        <f ca="1">IF(ENTRADAS!$F$22&gt;=4,IF(EF281=10,1000,1),0)</f>
        <v>1000</v>
      </c>
      <c r="EG366" s="32">
        <f ca="1">IF(ENTRADAS!$F$22&gt;=4,IF(EG281=10,1000,1),0)</f>
        <v>1000</v>
      </c>
      <c r="EH366" s="32">
        <f ca="1">IF(ENTRADAS!$F$22&gt;=4,IF(EH281=10,1000,1),0)</f>
        <v>1000</v>
      </c>
      <c r="EI366" s="32">
        <f ca="1">IF(ENTRADAS!$F$22&gt;=4,IF(EI281=10,1000,1),0)</f>
        <v>1000</v>
      </c>
      <c r="EJ366" s="32">
        <f ca="1">IF(ENTRADAS!$F$22&gt;=4,IF(EJ281=10,1000,1),0)</f>
        <v>1000</v>
      </c>
      <c r="EK366" s="32">
        <f ca="1">IF(ENTRADAS!$F$22&gt;=4,IF(EK281=10,1000,1),0)</f>
        <v>1</v>
      </c>
      <c r="EL366" s="32">
        <f ca="1">IF(ENTRADAS!$F$22&gt;=4,IF(EL281=10,1000,1),0)</f>
        <v>1</v>
      </c>
      <c r="EM366" s="32">
        <f ca="1">IF(ENTRADAS!$F$22&gt;=4,IF(EM281=10,1000,1),0)</f>
        <v>1</v>
      </c>
      <c r="EN366" s="32">
        <f ca="1">IF(ENTRADAS!$F$22&gt;=4,IF(EN281=10,1000,1),0)</f>
        <v>1</v>
      </c>
      <c r="EO366" s="32">
        <f ca="1">IF(ENTRADAS!$F$22&gt;=4,IF(EO281=10,1000,1),0)</f>
        <v>1</v>
      </c>
      <c r="EP366" s="32">
        <f ca="1">IF(ENTRADAS!$F$22&gt;=4,IF(EP281=10,1000,1),0)</f>
        <v>1</v>
      </c>
      <c r="EQ366" s="32">
        <f ca="1">IF(ENTRADAS!$F$22&gt;=4,IF(EQ281=10,1000,1),0)</f>
        <v>1</v>
      </c>
      <c r="ER366" s="32">
        <f ca="1">IF(ENTRADAS!$F$22&gt;=4,IF(ER281=10,1000,1),0)</f>
        <v>1</v>
      </c>
      <c r="ES366" s="32">
        <f ca="1">IF(ENTRADAS!$F$22&gt;=4,IF(ES281=10,1000,1),0)</f>
        <v>1</v>
      </c>
      <c r="ET366" s="32">
        <f ca="1">IF(ENTRADAS!$F$22&gt;=4,IF(ET281=10,1000,1),0)</f>
        <v>1</v>
      </c>
      <c r="EU366" s="32">
        <f ca="1">IF(ENTRADAS!$F$22&gt;=4,IF(EU281=10,1000,1),0)</f>
        <v>1</v>
      </c>
      <c r="EV366" s="32">
        <f ca="1">IF(ENTRADAS!$F$22&gt;=4,IF(EV281=10,1000,1),0)</f>
        <v>1</v>
      </c>
      <c r="EW366" s="32">
        <f ca="1">IF(ENTRADAS!$F$22&gt;=4,IF(EW281=10,1000,1),0)</f>
        <v>1</v>
      </c>
      <c r="EX366" s="32">
        <f ca="1">IF(ENTRADAS!$F$22&gt;=4,IF(EX281=10,1000,1),0)</f>
        <v>1</v>
      </c>
      <c r="EY366" s="32">
        <f ca="1">IF(ENTRADAS!$F$22&gt;=4,IF(EY281=10,1000,1),0)</f>
        <v>1</v>
      </c>
      <c r="EZ366" s="32">
        <f ca="1">IF(ENTRADAS!$F$22&gt;=4,IF(EZ281=10,1000,1),0)</f>
        <v>1</v>
      </c>
      <c r="FA366" s="32">
        <f ca="1">IF(ENTRADAS!$F$22&gt;=4,IF(FA281=10,1000,1),0)</f>
        <v>1</v>
      </c>
      <c r="FB366" s="32">
        <f ca="1">IF(ENTRADAS!$F$22&gt;=4,IF(FB281=10,1000,1),0)</f>
        <v>1</v>
      </c>
      <c r="FC366" s="32">
        <f ca="1">IF(ENTRADAS!$F$22&gt;=4,IF(FC281=10,1000,1),0)</f>
        <v>1</v>
      </c>
      <c r="FD366" s="32">
        <f ca="1">IF(ENTRADAS!$F$22&gt;=4,IF(FD281=10,1000,1),0)</f>
        <v>1</v>
      </c>
      <c r="FE366" s="32">
        <f ca="1">IF(ENTRADAS!$F$22&gt;=4,IF(FE281=10,1000,1),0)</f>
        <v>1</v>
      </c>
      <c r="FF366" s="32">
        <f ca="1">IF(ENTRADAS!$F$22&gt;=4,IF(FF281=10,1000,1),0)</f>
        <v>1</v>
      </c>
      <c r="FG366" s="32">
        <f ca="1">IF(ENTRADAS!$F$22&gt;=4,IF(FG281=10,1000,1),0)</f>
        <v>1</v>
      </c>
      <c r="FH366" s="32">
        <f ca="1">IF(ENTRADAS!$F$22&gt;=4,IF(FH281=10,1000,1),0)</f>
        <v>1</v>
      </c>
      <c r="FI366" s="32">
        <f ca="1">IF(ENTRADAS!$F$22&gt;=4,IF(FI281=10,1000,1),0)</f>
        <v>1</v>
      </c>
      <c r="FJ366" s="32">
        <f ca="1">IF(ENTRADAS!$F$22&gt;=4,IF(FJ281=10,1000,1),0)</f>
        <v>1</v>
      </c>
      <c r="FK366" s="32">
        <f ca="1">IF(ENTRADAS!$F$22&gt;=4,IF(FK281=10,1000,1),0)</f>
        <v>1</v>
      </c>
      <c r="FL366" s="32">
        <f ca="1">IF(ENTRADAS!$F$22&gt;=4,IF(FL281=10,1000,1),0)</f>
        <v>1</v>
      </c>
      <c r="FM366" s="32">
        <f ca="1">IF(ENTRADAS!$F$22&gt;=4,IF(FM281=10,1000,1),0)</f>
        <v>1</v>
      </c>
      <c r="FN366" s="32">
        <f ca="1">IF(ENTRADAS!$F$22&gt;=4,IF(FN281=10,1000,1),0)</f>
        <v>1</v>
      </c>
      <c r="FO366" s="32">
        <f ca="1">IF(ENTRADAS!$F$22&gt;=4,IF(FO281=10,1000,1),0)</f>
        <v>1</v>
      </c>
      <c r="FP366" s="32">
        <f ca="1">IF(ENTRADAS!$F$22&gt;=4,IF(FP281=10,1000,1),0)</f>
        <v>1</v>
      </c>
      <c r="FQ366" s="32">
        <f ca="1">IF(ENTRADAS!$F$22&gt;=4,IF(FQ281=10,1000,1),0)</f>
        <v>1</v>
      </c>
      <c r="FR366" s="32">
        <f ca="1">IF(ENTRADAS!$F$22&gt;=4,IF(FR281=10,1000,1),0)</f>
        <v>1</v>
      </c>
      <c r="FS366" s="32">
        <f ca="1">IF(ENTRADAS!$F$22&gt;=4,IF(FS281=10,1000,1),0)</f>
        <v>1</v>
      </c>
      <c r="FT366" s="32">
        <f ca="1">IF(ENTRADAS!$F$22&gt;=4,IF(FT281=10,1000,1),0)</f>
        <v>1</v>
      </c>
      <c r="FU366" s="32">
        <f ca="1">IF(ENTRADAS!$F$22&gt;=4,IF(FU281=10,1000,1),0)</f>
        <v>1</v>
      </c>
      <c r="FV366" s="32">
        <f ca="1">IF(ENTRADAS!$F$22&gt;=4,IF(FV281=10,1000,1),0)</f>
        <v>1</v>
      </c>
      <c r="FW366" s="32">
        <f ca="1">IF(ENTRADAS!$F$22&gt;=4,IF(FW281=10,1000,1),0)</f>
        <v>1</v>
      </c>
      <c r="FX366" s="32">
        <f ca="1">IF(ENTRADAS!$F$22&gt;=4,IF(FX281=10,1000,1),0)</f>
        <v>1</v>
      </c>
      <c r="FY366" s="32">
        <f ca="1">IF(ENTRADAS!$F$22&gt;=4,IF(FY281=10,1000,1),0)</f>
        <v>1</v>
      </c>
      <c r="FZ366" s="32">
        <f ca="1">IF(ENTRADAS!$F$22&gt;=4,IF(FZ281=10,1000,1),0)</f>
        <v>1</v>
      </c>
      <c r="GA366" s="32">
        <f ca="1">IF(ENTRADAS!$F$22&gt;=4,IF(GA281=10,1000,1),0)</f>
        <v>1</v>
      </c>
      <c r="GB366" s="32">
        <f ca="1">IF(ENTRADAS!$F$22&gt;=4,IF(GB281=10,1000,1),0)</f>
        <v>1</v>
      </c>
      <c r="GC366" s="32">
        <f ca="1">IF(ENTRADAS!$F$22&gt;=4,IF(GC281=10,1000,1),0)</f>
        <v>1</v>
      </c>
      <c r="GD366" s="32">
        <f ca="1">IF(ENTRADAS!$F$22&gt;=4,IF(GD281=10,1000,1),0)</f>
        <v>1</v>
      </c>
      <c r="GE366" s="32">
        <f ca="1">IF(ENTRADAS!$F$22&gt;=4,IF(GE281=10,1000,1),0)</f>
        <v>1</v>
      </c>
      <c r="GF366" s="32">
        <f ca="1">IF(ENTRADAS!$F$22&gt;=4,IF(GF281=10,1000,1),0)</f>
        <v>1</v>
      </c>
      <c r="GG366" s="32">
        <f ca="1">IF(ENTRADAS!$F$22&gt;=4,IF(GG281=10,1000,1),0)</f>
        <v>1</v>
      </c>
      <c r="GH366" s="32">
        <f ca="1">IF(ENTRADAS!$F$22&gt;=4,IF(GH281=10,1000,1),0)</f>
        <v>1</v>
      </c>
      <c r="GI366" s="32">
        <f ca="1">IF(ENTRADAS!$F$22&gt;=4,IF(GI281=10,1000,1),0)</f>
        <v>1</v>
      </c>
      <c r="GJ366" s="32">
        <f ca="1">IF(ENTRADAS!$F$22&gt;=4,IF(GJ281=10,1000,1),0)</f>
        <v>1</v>
      </c>
      <c r="GK366" s="32">
        <f ca="1">IF(ENTRADAS!$F$22&gt;=4,IF(GK281=10,1000,1),0)</f>
        <v>1</v>
      </c>
      <c r="GL366" s="32">
        <f ca="1">IF(ENTRADAS!$F$22&gt;=4,IF(GL281=10,1000,1),0)</f>
        <v>1</v>
      </c>
      <c r="GM366" s="32">
        <f ca="1">IF(ENTRADAS!$F$22&gt;=4,IF(GM281=10,1000,1),0)</f>
        <v>1</v>
      </c>
      <c r="GN366" s="32">
        <f ca="1">IF(ENTRADAS!$F$22&gt;=4,IF(GN281=10,1000,1),0)</f>
        <v>1</v>
      </c>
      <c r="GO366" s="32">
        <f ca="1">IF(ENTRADAS!$F$22&gt;=4,IF(GO281=10,1000,1),0)</f>
        <v>1</v>
      </c>
      <c r="GP366" s="32">
        <f ca="1">IF(ENTRADAS!$F$22&gt;=4,IF(GP281=10,1000,1),0)</f>
        <v>1</v>
      </c>
      <c r="GQ366" s="32">
        <f ca="1">IF(ENTRADAS!$F$22&gt;=4,IF(GQ281=10,1000,1),0)</f>
        <v>1</v>
      </c>
      <c r="GR366" s="32">
        <f ca="1">IF(ENTRADAS!$F$22&gt;=4,IF(GR281=10,1000,1),0)</f>
        <v>1</v>
      </c>
      <c r="GS366" s="32">
        <f ca="1">IF(ENTRADAS!$F$22&gt;=4,IF(GS281=10,1000,1),0)</f>
        <v>1</v>
      </c>
      <c r="GT366" s="32">
        <f ca="1">IF(ENTRADAS!$F$22&gt;=4,IF(GT281=10,1000,1),0)</f>
        <v>1</v>
      </c>
      <c r="GU366" s="32">
        <f ca="1">IF(ENTRADAS!$F$22&gt;=4,IF(GU281=10,1000,1),0)</f>
        <v>1</v>
      </c>
      <c r="GV366" s="32">
        <f ca="1">IF(ENTRADAS!$F$22&gt;=4,IF(GV281=10,1000,1),0)</f>
        <v>1</v>
      </c>
      <c r="GW366" s="32">
        <f ca="1">IF(ENTRADAS!$F$22&gt;=4,IF(GW281=10,1000,1),0)</f>
        <v>1</v>
      </c>
      <c r="GX366" s="32">
        <f ca="1">IF(ENTRADAS!$F$22&gt;=4,IF(GX281=10,1000,1),0)</f>
        <v>1</v>
      </c>
      <c r="GY366" s="32">
        <f ca="1">IF(ENTRADAS!$F$22&gt;=4,IF(GY281=10,1000,1),0)</f>
        <v>1</v>
      </c>
      <c r="GZ366" s="32">
        <f ca="1">IF(ENTRADAS!$F$22&gt;=4,IF(GZ281=10,1000,1),0)</f>
        <v>1</v>
      </c>
      <c r="HA366" s="32">
        <f ca="1">IF(ENTRADAS!$F$22&gt;=4,IF(HA281=10,1000,1),0)</f>
        <v>1</v>
      </c>
      <c r="HB366" s="32">
        <f ca="1">IF(ENTRADAS!$F$22&gt;=4,IF(HB281=10,1000,1),0)</f>
        <v>1</v>
      </c>
      <c r="HC366" s="32">
        <f ca="1">IF(ENTRADAS!$F$22&gt;=4,IF(HC281=10,1000,1),0)</f>
        <v>1</v>
      </c>
      <c r="HD366" s="32">
        <f ca="1">IF(ENTRADAS!$F$22&gt;=4,IF(HD281=10,1000,1),0)</f>
        <v>1</v>
      </c>
      <c r="HE366" s="32">
        <f ca="1">IF(ENTRADAS!$F$22&gt;=4,IF(HE281=10,1000,1),0)</f>
        <v>1</v>
      </c>
      <c r="HF366" s="32">
        <f ca="1">IF(ENTRADAS!$F$22&gt;=4,IF(HF281=10,1000,1),0)</f>
        <v>1</v>
      </c>
      <c r="HG366" s="32">
        <f ca="1">IF(ENTRADAS!$F$22&gt;=4,IF(HG281=10,1000,1),0)</f>
        <v>1</v>
      </c>
      <c r="HH366" s="32">
        <f ca="1">IF(ENTRADAS!$F$22&gt;=4,IF(HH281=10,1000,1),0)</f>
        <v>1</v>
      </c>
      <c r="HI366" s="32">
        <f ca="1">IF(ENTRADAS!$F$22&gt;=4,IF(HI281=10,1000,1),0)</f>
        <v>1</v>
      </c>
      <c r="HJ366" s="32">
        <f ca="1">IF(ENTRADAS!$F$22&gt;=4,IF(HJ281=10,1000,1),0)</f>
        <v>1</v>
      </c>
      <c r="HK366" s="32">
        <f ca="1">IF(ENTRADAS!$F$22&gt;=4,IF(HK281=10,1000,1),0)</f>
        <v>1</v>
      </c>
      <c r="HL366" s="32">
        <f ca="1">IF(ENTRADAS!$F$22&gt;=4,IF(HL281=10,1000,1),0)</f>
        <v>1</v>
      </c>
      <c r="HM366" s="32">
        <f ca="1">IF(ENTRADAS!$F$22&gt;=4,IF(HM281=10,1000,1),0)</f>
        <v>1</v>
      </c>
      <c r="HN366" s="32">
        <f ca="1">IF(ENTRADAS!$F$22&gt;=4,IF(HN281=10,1000,1),0)</f>
        <v>1</v>
      </c>
      <c r="HO366" s="32">
        <f ca="1">IF(ENTRADAS!$F$22&gt;=4,IF(HO281=10,1000,1),0)</f>
        <v>1</v>
      </c>
      <c r="HP366" s="32">
        <f ca="1">IF(ENTRADAS!$F$22&gt;=4,IF(HP281=10,1000,1),0)</f>
        <v>1</v>
      </c>
      <c r="HQ366" s="32">
        <f ca="1">IF(ENTRADAS!$F$22&gt;=4,IF(HQ281=10,1000,1),0)</f>
        <v>1</v>
      </c>
      <c r="HR366" s="32">
        <f ca="1">IF(ENTRADAS!$F$22&gt;=4,IF(HR281=10,1000,1),0)</f>
        <v>1</v>
      </c>
      <c r="HS366" s="32">
        <f ca="1">IF(ENTRADAS!$F$22&gt;=4,IF(HS281=10,1000,1),0)</f>
        <v>1</v>
      </c>
      <c r="HT366" s="32">
        <f ca="1">IF(ENTRADAS!$F$22&gt;=4,IF(HT281=10,1000,1),0)</f>
        <v>1</v>
      </c>
      <c r="HU366" s="32">
        <f ca="1">IF(ENTRADAS!$F$22&gt;=4,IF(HU281=10,1000,1),0)</f>
        <v>1</v>
      </c>
      <c r="HV366" s="32">
        <f ca="1">IF(ENTRADAS!$F$22&gt;=4,IF(HV281=10,1000,1),0)</f>
        <v>1</v>
      </c>
      <c r="HW366" s="32">
        <f ca="1">IF(ENTRADAS!$F$22&gt;=4,IF(HW281=10,1000,1),0)</f>
        <v>1</v>
      </c>
      <c r="HX366" s="32">
        <f ca="1">IF(ENTRADAS!$F$22&gt;=4,IF(HX281=10,1000,1),0)</f>
        <v>1</v>
      </c>
      <c r="HY366" s="32">
        <f ca="1">IF(ENTRADAS!$F$22&gt;=4,IF(HY281=10,1000,1),0)</f>
        <v>1</v>
      </c>
      <c r="HZ366" s="32">
        <f ca="1">IF(ENTRADAS!$F$22&gt;=4,IF(HZ281=10,1000,1),0)</f>
        <v>1</v>
      </c>
      <c r="IA366" s="32">
        <f ca="1">IF(ENTRADAS!$F$22&gt;=4,IF(IA281=10,1000,1),0)</f>
        <v>1</v>
      </c>
      <c r="IB366" s="32">
        <f ca="1">IF(ENTRADAS!$F$22&gt;=4,IF(IB281=10,1000,1),0)</f>
        <v>1</v>
      </c>
      <c r="IC366" s="32">
        <f ca="1">IF(ENTRADAS!$F$22&gt;=4,IF(IC281=10,1000,1),0)</f>
        <v>1</v>
      </c>
      <c r="ID366" s="32">
        <f ca="1">IF(ENTRADAS!$F$22&gt;=4,IF(ID281=10,1000,1),0)</f>
        <v>1</v>
      </c>
      <c r="IE366" s="32">
        <f ca="1">IF(ENTRADAS!$F$22&gt;=4,IF(IE281=10,1000,1),0)</f>
        <v>1</v>
      </c>
      <c r="IF366" s="32">
        <f ca="1">IF(ENTRADAS!$F$22&gt;=4,IF(IF281=10,1000,1),0)</f>
        <v>1</v>
      </c>
      <c r="IG366" s="32">
        <f ca="1">IF(ENTRADAS!$F$22&gt;=4,IF(IG281=10,1000,1),0)</f>
        <v>1</v>
      </c>
      <c r="IH366" s="32">
        <f ca="1">IF(ENTRADAS!$F$22&gt;=4,IF(IH281=10,1000,1),0)</f>
        <v>1</v>
      </c>
      <c r="II366" s="32">
        <f ca="1">IF(ENTRADAS!$F$22&gt;=4,IF(II281=10,1000,1),0)</f>
        <v>1</v>
      </c>
      <c r="IJ366" s="32">
        <f ca="1">IF(ENTRADAS!$F$22&gt;=4,IF(IJ281=10,1000,1),0)</f>
        <v>1</v>
      </c>
      <c r="IK366" s="32">
        <f ca="1">IF(ENTRADAS!$F$22&gt;=4,IF(IK281=10,1000,1),0)</f>
        <v>1</v>
      </c>
    </row>
    <row r="367" spans="1:245" hidden="1" x14ac:dyDescent="0.35">
      <c r="A367" s="195">
        <f t="shared" si="364"/>
        <v>0</v>
      </c>
      <c r="C367" s="639" t="s">
        <v>1617</v>
      </c>
      <c r="D367" s="637" t="s">
        <v>1608</v>
      </c>
      <c r="E367" s="17"/>
      <c r="F367" s="626"/>
      <c r="H367" s="32">
        <f ca="1">IF($F$367="X",0,IF(ENTRADAS!$F$22&gt;=4,IF(H283=10,1000,1),0))</f>
        <v>1</v>
      </c>
      <c r="I367" s="32">
        <f ca="1">IF($F$367="X",0,IF(ENTRADAS!$F$22&gt;=4,IF(I283=10,1000,1),0))</f>
        <v>1</v>
      </c>
      <c r="J367" s="32">
        <f ca="1">IF($F$367="X",0,IF(ENTRADAS!$F$22&gt;=4,IF(J283=10,1000,1),0))</f>
        <v>1</v>
      </c>
      <c r="K367" s="32">
        <f ca="1">IF($F$367="X",0,IF(ENTRADAS!$F$22&gt;=4,IF(K283=10,1000,1),0))</f>
        <v>1</v>
      </c>
      <c r="L367" s="32">
        <f ca="1">IF($F$367="X",0,IF(ENTRADAS!$F$22&gt;=4,IF(L283=10,1000,1),0))</f>
        <v>1</v>
      </c>
      <c r="M367" s="32">
        <f ca="1">IF($F$367="X",0,IF(ENTRADAS!$F$22&gt;=4,IF(M283=10,1000,1),0))</f>
        <v>1</v>
      </c>
      <c r="N367" s="32">
        <f ca="1">IF($F$367="X",0,IF(ENTRADAS!$F$22&gt;=4,IF(N283=10,1000,1),0))</f>
        <v>1</v>
      </c>
      <c r="O367" s="32">
        <f ca="1">IF($F$367="X",0,IF(ENTRADAS!$F$22&gt;=4,IF(O283=10,1000,1),0))</f>
        <v>1</v>
      </c>
      <c r="P367" s="32">
        <f ca="1">IF($F$367="X",0,IF(ENTRADAS!$F$22&gt;=4,IF(P283=10,1000,1),0))</f>
        <v>1</v>
      </c>
      <c r="Q367" s="32">
        <f ca="1">IF($F$367="X",0,IF(ENTRADAS!$F$22&gt;=4,IF(Q283=10,1000,1),0))</f>
        <v>1</v>
      </c>
      <c r="R367" s="32">
        <f ca="1">IF($F$367="X",0,IF(ENTRADAS!$F$22&gt;=4,IF(R283=10,1000,1),0))</f>
        <v>1</v>
      </c>
      <c r="S367" s="32">
        <f ca="1">IF($F$367="X",0,IF(ENTRADAS!$F$22&gt;=4,IF(S283=10,1000,1),0))</f>
        <v>1</v>
      </c>
      <c r="T367" s="32">
        <f ca="1">IF($F$367="X",0,IF(ENTRADAS!$F$22&gt;=4,IF(T283=10,1000,1),0))</f>
        <v>1</v>
      </c>
      <c r="U367" s="32">
        <f ca="1">IF($F$367="X",0,IF(ENTRADAS!$F$22&gt;=4,IF(U283=10,1000,1),0))</f>
        <v>1</v>
      </c>
      <c r="V367" s="32">
        <f ca="1">IF($F$367="X",0,IF(ENTRADAS!$F$22&gt;=4,IF(V283=10,1000,1),0))</f>
        <v>1</v>
      </c>
      <c r="W367" s="32">
        <f ca="1">IF($F$367="X",0,IF(ENTRADAS!$F$22&gt;=4,IF(W283=10,1000,1),0))</f>
        <v>1</v>
      </c>
      <c r="X367" s="32">
        <f ca="1">IF($F$367="X",0,IF(ENTRADAS!$F$22&gt;=4,IF(X283=10,1000,1),0))</f>
        <v>1</v>
      </c>
      <c r="Y367" s="32">
        <f ca="1">IF($F$367="X",0,IF(ENTRADAS!$F$22&gt;=4,IF(Y283=10,1000,1),0))</f>
        <v>1</v>
      </c>
      <c r="Z367" s="32">
        <f ca="1">IF($F$367="X",0,IF(ENTRADAS!$F$22&gt;=4,IF(Z283=10,1000,1),0))</f>
        <v>1</v>
      </c>
      <c r="AA367" s="32">
        <f ca="1">IF($F$367="X",0,IF(ENTRADAS!$F$22&gt;=4,IF(AA283=10,1000,1),0))</f>
        <v>1</v>
      </c>
      <c r="AB367" s="32">
        <f ca="1">IF($F$367="X",0,IF(ENTRADAS!$F$22&gt;=4,IF(AB283=10,1000,1),0))</f>
        <v>1</v>
      </c>
      <c r="AC367" s="32">
        <f ca="1">IF($F$367="X",0,IF(ENTRADAS!$F$22&gt;=4,IF(AC283=10,1000,1),0))</f>
        <v>1</v>
      </c>
      <c r="AD367" s="32">
        <f ca="1">IF($F$367="X",0,IF(ENTRADAS!$F$22&gt;=4,IF(AD283=10,1000,1),0))</f>
        <v>1</v>
      </c>
      <c r="AE367" s="32">
        <f ca="1">IF($F$367="X",0,IF(ENTRADAS!$F$22&gt;=4,IF(AE283=10,1000,1),0))</f>
        <v>1</v>
      </c>
      <c r="AF367" s="32">
        <f ca="1">IF($F$367="X",0,IF(ENTRADAS!$F$22&gt;=4,IF(AF283=10,1000,1),0))</f>
        <v>1</v>
      </c>
      <c r="AG367" s="32">
        <f ca="1">IF($F$367="X",0,IF(ENTRADAS!$F$22&gt;=4,IF(AG283=10,1000,1),0))</f>
        <v>1</v>
      </c>
      <c r="AH367" s="32">
        <f ca="1">IF($F$367="X",0,IF(ENTRADAS!$F$22&gt;=4,IF(AH283=10,1000,1),0))</f>
        <v>1</v>
      </c>
      <c r="AI367" s="32">
        <f ca="1">IF($F$367="X",0,IF(ENTRADAS!$F$22&gt;=4,IF(AI283=10,1000,1),0))</f>
        <v>1</v>
      </c>
      <c r="AJ367" s="32">
        <f ca="1">IF($F$367="X",0,IF(ENTRADAS!$F$22&gt;=4,IF(AJ283=10,1000,1),0))</f>
        <v>1</v>
      </c>
      <c r="AK367" s="32">
        <f ca="1">IF($F$367="X",0,IF(ENTRADAS!$F$22&gt;=4,IF(AK283=10,1000,1),0))</f>
        <v>1</v>
      </c>
      <c r="AL367" s="32">
        <f ca="1">IF($F$367="X",0,IF(ENTRADAS!$F$22&gt;=4,IF(AL283=10,1000,1),0))</f>
        <v>1</v>
      </c>
      <c r="AM367" s="32">
        <f ca="1">IF($F$367="X",0,IF(ENTRADAS!$F$22&gt;=4,IF(AM283=10,1000,1),0))</f>
        <v>1</v>
      </c>
      <c r="AN367" s="32">
        <f ca="1">IF($F$367="X",0,IF(ENTRADAS!$F$22&gt;=4,IF(AN283=10,1000,1),0))</f>
        <v>1</v>
      </c>
      <c r="AO367" s="32">
        <f ca="1">IF($F$367="X",0,IF(ENTRADAS!$F$22&gt;=4,IF(AO283=10,1000,1),0))</f>
        <v>1</v>
      </c>
      <c r="AP367" s="32">
        <f ca="1">IF($F$367="X",0,IF(ENTRADAS!$F$22&gt;=4,IF(AP283=10,1000,1),0))</f>
        <v>1</v>
      </c>
      <c r="AQ367" s="32">
        <f ca="1">IF($F$367="X",0,IF(ENTRADAS!$F$22&gt;=4,IF(AQ283=10,1000,1),0))</f>
        <v>1</v>
      </c>
      <c r="AR367" s="32">
        <f ca="1">IF($F$367="X",0,IF(ENTRADAS!$F$22&gt;=4,IF(AR283=10,1000,1),0))</f>
        <v>1</v>
      </c>
      <c r="AS367" s="32">
        <f ca="1">IF($F$367="X",0,IF(ENTRADAS!$F$22&gt;=4,IF(AS283=10,1000,1),0))</f>
        <v>1</v>
      </c>
      <c r="AT367" s="32">
        <f ca="1">IF($F$367="X",0,IF(ENTRADAS!$F$22&gt;=4,IF(AT283=10,1000,1),0))</f>
        <v>1</v>
      </c>
      <c r="AU367" s="32">
        <f ca="1">IF($F$367="X",0,IF(ENTRADAS!$F$22&gt;=4,IF(AU283=10,1000,1),0))</f>
        <v>1</v>
      </c>
      <c r="AV367" s="32">
        <f ca="1">IF($F$367="X",0,IF(ENTRADAS!$F$22&gt;=4,IF(AV283=10,1000,1),0))</f>
        <v>1</v>
      </c>
      <c r="AW367" s="32">
        <f ca="1">IF($F$367="X",0,IF(ENTRADAS!$F$22&gt;=4,IF(AW283=10,1000,1),0))</f>
        <v>1</v>
      </c>
      <c r="AX367" s="32">
        <f ca="1">IF($F$367="X",0,IF(ENTRADAS!$F$22&gt;=4,IF(AX283=10,1000,1),0))</f>
        <v>1</v>
      </c>
      <c r="AY367" s="32">
        <f ca="1">IF($F$367="X",0,IF(ENTRADAS!$F$22&gt;=4,IF(AY283=10,1000,1),0))</f>
        <v>1</v>
      </c>
      <c r="AZ367" s="32">
        <f ca="1">IF($F$367="X",0,IF(ENTRADAS!$F$22&gt;=4,IF(AZ283=10,1000,1),0))</f>
        <v>1</v>
      </c>
      <c r="BA367" s="32">
        <f ca="1">IF($F$367="X",0,IF(ENTRADAS!$F$22&gt;=4,IF(BA283=10,1000,1),0))</f>
        <v>1</v>
      </c>
      <c r="BB367" s="32">
        <f ca="1">IF($F$367="X",0,IF(ENTRADAS!$F$22&gt;=4,IF(BB283=10,1000,1),0))</f>
        <v>1</v>
      </c>
      <c r="BC367" s="32">
        <f ca="1">IF($F$367="X",0,IF(ENTRADAS!$F$22&gt;=4,IF(BC283=10,1000,1),0))</f>
        <v>1</v>
      </c>
      <c r="BD367" s="32">
        <f ca="1">IF($F$367="X",0,IF(ENTRADAS!$F$22&gt;=4,IF(BD283=10,1000,1),0))</f>
        <v>1</v>
      </c>
      <c r="BE367" s="32">
        <f ca="1">IF($F$367="X",0,IF(ENTRADAS!$F$22&gt;=4,IF(BE283=10,1000,1),0))</f>
        <v>1</v>
      </c>
      <c r="BF367" s="32">
        <f ca="1">IF($F$367="X",0,IF(ENTRADAS!$F$22&gt;=4,IF(BF283=10,1000,1),0))</f>
        <v>1</v>
      </c>
      <c r="BG367" s="32">
        <f ca="1">IF($F$367="X",0,IF(ENTRADAS!$F$22&gt;=4,IF(BG283=10,1000,1),0))</f>
        <v>1</v>
      </c>
      <c r="BH367" s="32">
        <f ca="1">IF($F$367="X",0,IF(ENTRADAS!$F$22&gt;=4,IF(BH283=10,1000,1),0))</f>
        <v>1</v>
      </c>
      <c r="BI367" s="32">
        <f ca="1">IF($F$367="X",0,IF(ENTRADAS!$F$22&gt;=4,IF(BI283=10,1000,1),0))</f>
        <v>1</v>
      </c>
      <c r="BJ367" s="32">
        <f ca="1">IF($F$367="X",0,IF(ENTRADAS!$F$22&gt;=4,IF(BJ283=10,1000,1),0))</f>
        <v>1</v>
      </c>
      <c r="BK367" s="32">
        <f ca="1">IF($F$367="X",0,IF(ENTRADAS!$F$22&gt;=4,IF(BK283=10,1000,1),0))</f>
        <v>1</v>
      </c>
      <c r="BL367" s="32">
        <f ca="1">IF($F$367="X",0,IF(ENTRADAS!$F$22&gt;=4,IF(BL283=10,1000,1),0))</f>
        <v>1</v>
      </c>
      <c r="BM367" s="32">
        <f ca="1">IF($F$367="X",0,IF(ENTRADAS!$F$22&gt;=4,IF(BM283=10,1000,1),0))</f>
        <v>1</v>
      </c>
      <c r="BN367" s="32">
        <f ca="1">IF($F$367="X",0,IF(ENTRADAS!$F$22&gt;=4,IF(BN283=10,1000,1),0))</f>
        <v>1</v>
      </c>
      <c r="BO367" s="32">
        <f ca="1">IF($F$367="X",0,IF(ENTRADAS!$F$22&gt;=4,IF(BO283=10,1000,1),0))</f>
        <v>1</v>
      </c>
      <c r="BP367" s="32">
        <f ca="1">IF($F$367="X",0,IF(ENTRADAS!$F$22&gt;=4,IF(BP283=10,1000,1),0))</f>
        <v>1</v>
      </c>
      <c r="BQ367" s="32">
        <f ca="1">IF($F$367="X",0,IF(ENTRADAS!$F$22&gt;=4,IF(BQ283=10,1000,1),0))</f>
        <v>1</v>
      </c>
      <c r="BR367" s="32">
        <f ca="1">IF($F$367="X",0,IF(ENTRADAS!$F$22&gt;=4,IF(BR283=10,1000,1),0))</f>
        <v>1</v>
      </c>
      <c r="BS367" s="32">
        <f ca="1">IF($F$367="X",0,IF(ENTRADAS!$F$22&gt;=4,IF(BS283=10,1000,1),0))</f>
        <v>1</v>
      </c>
      <c r="BT367" s="32">
        <f ca="1">IF($F$367="X",0,IF(ENTRADAS!$F$22&gt;=4,IF(BT283=10,1000,1),0))</f>
        <v>1</v>
      </c>
      <c r="BU367" s="32">
        <f ca="1">IF($F$367="X",0,IF(ENTRADAS!$F$22&gt;=4,IF(BU283=10,1000,1),0))</f>
        <v>1</v>
      </c>
      <c r="BV367" s="32">
        <f ca="1">IF($F$367="X",0,IF(ENTRADAS!$F$22&gt;=4,IF(BV283=10,1000,1),0))</f>
        <v>1</v>
      </c>
      <c r="BW367" s="32">
        <f ca="1">IF($F$367="X",0,IF(ENTRADAS!$F$22&gt;=4,IF(BW283=10,1000,1),0))</f>
        <v>1</v>
      </c>
      <c r="BX367" s="32">
        <f ca="1">IF($F$367="X",0,IF(ENTRADAS!$F$22&gt;=4,IF(BX283=10,1000,1),0))</f>
        <v>1</v>
      </c>
      <c r="BY367" s="32">
        <f ca="1">IF($F$367="X",0,IF(ENTRADAS!$F$22&gt;=4,IF(BY283=10,1000,1),0))</f>
        <v>1</v>
      </c>
      <c r="BZ367" s="32">
        <f ca="1">IF($F$367="X",0,IF(ENTRADAS!$F$22&gt;=4,IF(BZ283=10,1000,1),0))</f>
        <v>1</v>
      </c>
      <c r="CA367" s="32">
        <f ca="1">IF($F$367="X",0,IF(ENTRADAS!$F$22&gt;=4,IF(CA283=10,1000,1),0))</f>
        <v>1</v>
      </c>
      <c r="CB367" s="32">
        <f ca="1">IF($F$367="X",0,IF(ENTRADAS!$F$22&gt;=4,IF(CB283=10,1000,1),0))</f>
        <v>1</v>
      </c>
      <c r="CC367" s="32">
        <f ca="1">IF($F$367="X",0,IF(ENTRADAS!$F$22&gt;=4,IF(CC283=10,1000,1),0))</f>
        <v>1</v>
      </c>
      <c r="CD367" s="32">
        <f ca="1">IF($F$367="X",0,IF(ENTRADAS!$F$22&gt;=4,IF(CD283=10,1000,1),0))</f>
        <v>1</v>
      </c>
      <c r="CE367" s="32">
        <f ca="1">IF($F$367="X",0,IF(ENTRADAS!$F$22&gt;=4,IF(CE283=10,1000,1),0))</f>
        <v>1</v>
      </c>
      <c r="CF367" s="32">
        <f ca="1">IF($F$367="X",0,IF(ENTRADAS!$F$22&gt;=4,IF(CF283=10,1000,1),0))</f>
        <v>1</v>
      </c>
      <c r="CG367" s="32">
        <f ca="1">IF($F$367="X",0,IF(ENTRADAS!$F$22&gt;=4,IF(CG283=10,1000,1),0))</f>
        <v>1</v>
      </c>
      <c r="CH367" s="32">
        <f ca="1">IF($F$367="X",0,IF(ENTRADAS!$F$22&gt;=4,IF(CH283=10,1000,1),0))</f>
        <v>1</v>
      </c>
      <c r="CI367" s="32">
        <f ca="1">IF($F$367="X",0,IF(ENTRADAS!$F$22&gt;=4,IF(CI283=10,1000,1),0))</f>
        <v>1</v>
      </c>
      <c r="CJ367" s="32">
        <f ca="1">IF($F$367="X",0,IF(ENTRADAS!$F$22&gt;=4,IF(CJ283=10,1000,1),0))</f>
        <v>1</v>
      </c>
      <c r="CK367" s="32">
        <f ca="1">IF($F$367="X",0,IF(ENTRADAS!$F$22&gt;=4,IF(CK283=10,1000,1),0))</f>
        <v>1</v>
      </c>
      <c r="CL367" s="32">
        <f ca="1">IF($F$367="X",0,IF(ENTRADAS!$F$22&gt;=4,IF(CL283=10,1000,1),0))</f>
        <v>1</v>
      </c>
      <c r="CM367" s="32">
        <f ca="1">IF($F$367="X",0,IF(ENTRADAS!$F$22&gt;=4,IF(CM283=10,1000,1),0))</f>
        <v>1</v>
      </c>
      <c r="CN367" s="32">
        <f ca="1">IF($F$367="X",0,IF(ENTRADAS!$F$22&gt;=4,IF(CN283=10,1000,1),0))</f>
        <v>1</v>
      </c>
      <c r="CO367" s="32">
        <f ca="1">IF($F$367="X",0,IF(ENTRADAS!$F$22&gt;=4,IF(CO283=10,1000,1),0))</f>
        <v>1</v>
      </c>
      <c r="CP367" s="32">
        <f ca="1">IF($F$367="X",0,IF(ENTRADAS!$F$22&gt;=4,IF(CP283=10,1000,1),0))</f>
        <v>1</v>
      </c>
      <c r="CQ367" s="32">
        <f ca="1">IF($F$367="X",0,IF(ENTRADAS!$F$22&gt;=4,IF(CQ283=10,1000,1),0))</f>
        <v>1</v>
      </c>
      <c r="CR367" s="32">
        <f ca="1">IF($F$367="X",0,IF(ENTRADAS!$F$22&gt;=4,IF(CR283=10,1000,1),0))</f>
        <v>1</v>
      </c>
      <c r="CS367" s="32">
        <f ca="1">IF($F$367="X",0,IF(ENTRADAS!$F$22&gt;=4,IF(CS283=10,1000,1),0))</f>
        <v>1</v>
      </c>
      <c r="CT367" s="32">
        <f ca="1">IF($F$367="X",0,IF(ENTRADAS!$F$22&gt;=4,IF(CT283=10,1000,1),0))</f>
        <v>1</v>
      </c>
      <c r="CU367" s="32">
        <f ca="1">IF($F$367="X",0,IF(ENTRADAS!$F$22&gt;=4,IF(CU283=10,1000,1),0))</f>
        <v>1</v>
      </c>
      <c r="CV367" s="32">
        <f ca="1">IF($F$367="X",0,IF(ENTRADAS!$F$22&gt;=4,IF(CV283=10,1000,1),0))</f>
        <v>1</v>
      </c>
      <c r="CW367" s="32">
        <f ca="1">IF($F$367="X",0,IF(ENTRADAS!$F$22&gt;=4,IF(CW283=10,1000,1),0))</f>
        <v>1</v>
      </c>
      <c r="CX367" s="32">
        <f ca="1">IF($F$367="X",0,IF(ENTRADAS!$F$22&gt;=4,IF(CX283=10,1000,1),0))</f>
        <v>1</v>
      </c>
      <c r="CY367" s="32">
        <f ca="1">IF($F$367="X",0,IF(ENTRADAS!$F$22&gt;=4,IF(CY283=10,1000,1),0))</f>
        <v>1</v>
      </c>
      <c r="CZ367" s="32">
        <f ca="1">IF($F$367="X",0,IF(ENTRADAS!$F$22&gt;=4,IF(CZ283=10,1000,1),0))</f>
        <v>1</v>
      </c>
      <c r="DA367" s="32">
        <f ca="1">IF($F$367="X",0,IF(ENTRADAS!$F$22&gt;=4,IF(DA283=10,1000,1),0))</f>
        <v>1</v>
      </c>
      <c r="DB367" s="32">
        <f ca="1">IF($F$367="X",0,IF(ENTRADAS!$F$22&gt;=4,IF(DB283=10,1000,1),0))</f>
        <v>1</v>
      </c>
      <c r="DC367" s="32">
        <f ca="1">IF($F$367="X",0,IF(ENTRADAS!$F$22&gt;=4,IF(DC283=10,1000,1),0))</f>
        <v>1</v>
      </c>
      <c r="DD367" s="32">
        <f ca="1">IF($F$367="X",0,IF(ENTRADAS!$F$22&gt;=4,IF(DD283=10,1000,1),0))</f>
        <v>1</v>
      </c>
      <c r="DE367" s="32">
        <f ca="1">IF($F$367="X",0,IF(ENTRADAS!$F$22&gt;=4,IF(DE283=10,1000,1),0))</f>
        <v>1</v>
      </c>
      <c r="DF367" s="32">
        <f ca="1">IF($F$367="X",0,IF(ENTRADAS!$F$22&gt;=4,IF(DF283=10,1000,1),0))</f>
        <v>1</v>
      </c>
      <c r="DG367" s="32">
        <f ca="1">IF($F$367="X",0,IF(ENTRADAS!$F$22&gt;=4,IF(DG283=10,1000,1),0))</f>
        <v>1</v>
      </c>
      <c r="DH367" s="32">
        <f ca="1">IF($F$367="X",0,IF(ENTRADAS!$F$22&gt;=4,IF(DH283=10,1000,1),0))</f>
        <v>1</v>
      </c>
      <c r="DI367" s="32">
        <f ca="1">IF($F$367="X",0,IF(ENTRADAS!$F$22&gt;=4,IF(DI283=10,1000,1),0))</f>
        <v>1</v>
      </c>
      <c r="DJ367" s="32">
        <f ca="1">IF($F$367="X",0,IF(ENTRADAS!$F$22&gt;=4,IF(DJ283=10,1000,1),0))</f>
        <v>1</v>
      </c>
      <c r="DK367" s="32">
        <f ca="1">IF($F$367="X",0,IF(ENTRADAS!$F$22&gt;=4,IF(DK283=10,1000,1),0))</f>
        <v>1</v>
      </c>
      <c r="DL367" s="32">
        <f ca="1">IF($F$367="X",0,IF(ENTRADAS!$F$22&gt;=4,IF(DL283=10,1000,1),0))</f>
        <v>1</v>
      </c>
      <c r="DM367" s="32">
        <f ca="1">IF($F$367="X",0,IF(ENTRADAS!$F$22&gt;=4,IF(DM283=10,1000,1),0))</f>
        <v>1</v>
      </c>
      <c r="DN367" s="32">
        <f ca="1">IF($F$367="X",0,IF(ENTRADAS!$F$22&gt;=4,IF(DN283=10,1000,1),0))</f>
        <v>1</v>
      </c>
      <c r="DO367" s="32">
        <f ca="1">IF($F$367="X",0,IF(ENTRADAS!$F$22&gt;=4,IF(DO283=10,1000,1),0))</f>
        <v>1</v>
      </c>
      <c r="DP367" s="32">
        <f ca="1">IF($F$367="X",0,IF(ENTRADAS!$F$22&gt;=4,IF(DP283=10,1000,1),0))</f>
        <v>1</v>
      </c>
      <c r="DQ367" s="32">
        <f ca="1">IF($F$367="X",0,IF(ENTRADAS!$F$22&gt;=4,IF(DQ283=10,1000,1),0))</f>
        <v>1</v>
      </c>
      <c r="DR367" s="32">
        <f ca="1">IF($F$367="X",0,IF(ENTRADAS!$F$22&gt;=4,IF(DR283=10,1000,1),0))</f>
        <v>1</v>
      </c>
      <c r="DS367" s="32">
        <f ca="1">IF($F$367="X",0,IF(ENTRADAS!$F$22&gt;=4,IF(DS283=10,1000,1),0))</f>
        <v>1</v>
      </c>
      <c r="DT367" s="32">
        <f ca="1">IF($F$367="X",0,IF(ENTRADAS!$F$22&gt;=4,IF(DT283=10,1000,1),0))</f>
        <v>1</v>
      </c>
      <c r="DU367" s="32">
        <f ca="1">IF($F$367="X",0,IF(ENTRADAS!$F$22&gt;=4,IF(DU283=10,1000,1),0))</f>
        <v>1</v>
      </c>
      <c r="DV367" s="32">
        <f ca="1">IF($F$367="X",0,IF(ENTRADAS!$F$22&gt;=4,IF(DV283=10,1000,1),0))</f>
        <v>1</v>
      </c>
      <c r="DW367" s="32">
        <f ca="1">IF($F$367="X",0,IF(ENTRADAS!$F$22&gt;=4,IF(DW283=10,1000,1),0))</f>
        <v>1</v>
      </c>
      <c r="DX367" s="32">
        <f ca="1">IF($F$367="X",0,IF(ENTRADAS!$F$22&gt;=4,IF(DX283=10,1000,1),0))</f>
        <v>1</v>
      </c>
      <c r="DY367" s="32">
        <f ca="1">IF($F$367="X",0,IF(ENTRADAS!$F$22&gt;=4,IF(DY283=10,1000,1),0))</f>
        <v>1</v>
      </c>
      <c r="DZ367" s="32">
        <f ca="1">IF($F$367="X",0,IF(ENTRADAS!$F$22&gt;=4,IF(DZ283=10,1000,1),0))</f>
        <v>1</v>
      </c>
      <c r="EA367" s="32">
        <f ca="1">IF($F$367="X",0,IF(ENTRADAS!$F$22&gt;=4,IF(EA283=10,1000,1),0))</f>
        <v>1</v>
      </c>
      <c r="EB367" s="32">
        <f ca="1">IF($F$367="X",0,IF(ENTRADAS!$F$22&gt;=4,IF(EB283=10,1000,1),0))</f>
        <v>1</v>
      </c>
      <c r="EC367" s="32">
        <f ca="1">IF($F$367="X",0,IF(ENTRADAS!$F$22&gt;=4,IF(EC283=10,1000,1),0))</f>
        <v>1</v>
      </c>
      <c r="ED367" s="32">
        <f ca="1">IF($F$367="X",0,IF(ENTRADAS!$F$22&gt;=4,IF(ED283=10,1000,1),0))</f>
        <v>1</v>
      </c>
      <c r="EE367" s="32">
        <f ca="1">IF($F$367="X",0,IF(ENTRADAS!$F$22&gt;=4,IF(EE283=10,1000,1),0))</f>
        <v>1</v>
      </c>
      <c r="EF367" s="32">
        <f ca="1">IF($F$367="X",0,IF(ENTRADAS!$F$22&gt;=4,IF(EF283=10,1000,1),0))</f>
        <v>1</v>
      </c>
      <c r="EG367" s="32">
        <f ca="1">IF($F$367="X",0,IF(ENTRADAS!$F$22&gt;=4,IF(EG283=10,1000,1),0))</f>
        <v>1</v>
      </c>
      <c r="EH367" s="32">
        <f ca="1">IF($F$367="X",0,IF(ENTRADAS!$F$22&gt;=4,IF(EH283=10,1000,1),0))</f>
        <v>1</v>
      </c>
      <c r="EI367" s="32">
        <f ca="1">IF($F$367="X",0,IF(ENTRADAS!$F$22&gt;=4,IF(EI283=10,1000,1),0))</f>
        <v>1</v>
      </c>
      <c r="EJ367" s="32">
        <f ca="1">IF($F$367="X",0,IF(ENTRADAS!$F$22&gt;=4,IF(EJ283=10,1000,1),0))</f>
        <v>1</v>
      </c>
      <c r="EK367" s="32">
        <f ca="1">IF($F$367="X",0,IF(ENTRADAS!$F$22&gt;=4,IF(EK283=10,1000,1),0))</f>
        <v>1</v>
      </c>
      <c r="EL367" s="32">
        <f ca="1">IF($F$367="X",0,IF(ENTRADAS!$F$22&gt;=4,IF(EL283=10,1000,1),0))</f>
        <v>1</v>
      </c>
      <c r="EM367" s="32">
        <f ca="1">IF($F$367="X",0,IF(ENTRADAS!$F$22&gt;=4,IF(EM283=10,1000,1),0))</f>
        <v>1</v>
      </c>
      <c r="EN367" s="32">
        <f ca="1">IF($F$367="X",0,IF(ENTRADAS!$F$22&gt;=4,IF(EN283=10,1000,1),0))</f>
        <v>1</v>
      </c>
      <c r="EO367" s="32">
        <f ca="1">IF($F$367="X",0,IF(ENTRADAS!$F$22&gt;=4,IF(EO283=10,1000,1),0))</f>
        <v>1</v>
      </c>
      <c r="EP367" s="32">
        <f ca="1">IF($F$367="X",0,IF(ENTRADAS!$F$22&gt;=4,IF(EP283=10,1000,1),0))</f>
        <v>1</v>
      </c>
      <c r="EQ367" s="32">
        <f ca="1">IF($F$367="X",0,IF(ENTRADAS!$F$22&gt;=4,IF(EQ283=10,1000,1),0))</f>
        <v>1</v>
      </c>
      <c r="ER367" s="32">
        <f ca="1">IF($F$367="X",0,IF(ENTRADAS!$F$22&gt;=4,IF(ER283=10,1000,1),0))</f>
        <v>1</v>
      </c>
      <c r="ES367" s="32">
        <f ca="1">IF($F$367="X",0,IF(ENTRADAS!$F$22&gt;=4,IF(ES283=10,1000,1),0))</f>
        <v>1</v>
      </c>
      <c r="ET367" s="32">
        <f ca="1">IF($F$367="X",0,IF(ENTRADAS!$F$22&gt;=4,IF(ET283=10,1000,1),0))</f>
        <v>1</v>
      </c>
      <c r="EU367" s="32">
        <f ca="1">IF($F$367="X",0,IF(ENTRADAS!$F$22&gt;=4,IF(EU283=10,1000,1),0))</f>
        <v>1</v>
      </c>
      <c r="EV367" s="32">
        <f ca="1">IF($F$367="X",0,IF(ENTRADAS!$F$22&gt;=4,IF(EV283=10,1000,1),0))</f>
        <v>1</v>
      </c>
      <c r="EW367" s="32">
        <f ca="1">IF($F$367="X",0,IF(ENTRADAS!$F$22&gt;=4,IF(EW283=10,1000,1),0))</f>
        <v>1</v>
      </c>
      <c r="EX367" s="32">
        <f ca="1">IF($F$367="X",0,IF(ENTRADAS!$F$22&gt;=4,IF(EX283=10,1000,1),0))</f>
        <v>1</v>
      </c>
      <c r="EY367" s="32">
        <f ca="1">IF($F$367="X",0,IF(ENTRADAS!$F$22&gt;=4,IF(EY283=10,1000,1),0))</f>
        <v>1</v>
      </c>
      <c r="EZ367" s="32">
        <f ca="1">IF($F$367="X",0,IF(ENTRADAS!$F$22&gt;=4,IF(EZ283=10,1000,1),0))</f>
        <v>1</v>
      </c>
      <c r="FA367" s="32">
        <f ca="1">IF($F$367="X",0,IF(ENTRADAS!$F$22&gt;=4,IF(FA283=10,1000,1),0))</f>
        <v>1</v>
      </c>
      <c r="FB367" s="32">
        <f ca="1">IF($F$367="X",0,IF(ENTRADAS!$F$22&gt;=4,IF(FB283=10,1000,1),0))</f>
        <v>1</v>
      </c>
      <c r="FC367" s="32">
        <f ca="1">IF($F$367="X",0,IF(ENTRADAS!$F$22&gt;=4,IF(FC283=10,1000,1),0))</f>
        <v>1</v>
      </c>
      <c r="FD367" s="32">
        <f ca="1">IF($F$367="X",0,IF(ENTRADAS!$F$22&gt;=4,IF(FD283=10,1000,1),0))</f>
        <v>1</v>
      </c>
      <c r="FE367" s="32">
        <f ca="1">IF($F$367="X",0,IF(ENTRADAS!$F$22&gt;=4,IF(FE283=10,1000,1),0))</f>
        <v>1</v>
      </c>
      <c r="FF367" s="32">
        <f ca="1">IF($F$367="X",0,IF(ENTRADAS!$F$22&gt;=4,IF(FF283=10,1000,1),0))</f>
        <v>1</v>
      </c>
      <c r="FG367" s="32">
        <f ca="1">IF($F$367="X",0,IF(ENTRADAS!$F$22&gt;=4,IF(FG283=10,1000,1),0))</f>
        <v>1</v>
      </c>
      <c r="FH367" s="32">
        <f ca="1">IF($F$367="X",0,IF(ENTRADAS!$F$22&gt;=4,IF(FH283=10,1000,1),0))</f>
        <v>1</v>
      </c>
      <c r="FI367" s="32">
        <f ca="1">IF($F$367="X",0,IF(ENTRADAS!$F$22&gt;=4,IF(FI283=10,1000,1),0))</f>
        <v>1</v>
      </c>
      <c r="FJ367" s="32">
        <f ca="1">IF($F$367="X",0,IF(ENTRADAS!$F$22&gt;=4,IF(FJ283=10,1000,1),0))</f>
        <v>1</v>
      </c>
      <c r="FK367" s="32">
        <f ca="1">IF($F$367="X",0,IF(ENTRADAS!$F$22&gt;=4,IF(FK283=10,1000,1),0))</f>
        <v>1</v>
      </c>
      <c r="FL367" s="32">
        <f ca="1">IF($F$367="X",0,IF(ENTRADAS!$F$22&gt;=4,IF(FL283=10,1000,1),0))</f>
        <v>1</v>
      </c>
      <c r="FM367" s="32">
        <f ca="1">IF($F$367="X",0,IF(ENTRADAS!$F$22&gt;=4,IF(FM283=10,1000,1),0))</f>
        <v>1</v>
      </c>
      <c r="FN367" s="32">
        <f ca="1">IF($F$367="X",0,IF(ENTRADAS!$F$22&gt;=4,IF(FN283=10,1000,1),0))</f>
        <v>1</v>
      </c>
      <c r="FO367" s="32">
        <f ca="1">IF($F$367="X",0,IF(ENTRADAS!$F$22&gt;=4,IF(FO283=10,1000,1),0))</f>
        <v>1</v>
      </c>
      <c r="FP367" s="32">
        <f ca="1">IF($F$367="X",0,IF(ENTRADAS!$F$22&gt;=4,IF(FP283=10,1000,1),0))</f>
        <v>1</v>
      </c>
      <c r="FQ367" s="32">
        <f ca="1">IF($F$367="X",0,IF(ENTRADAS!$F$22&gt;=4,IF(FQ283=10,1000,1),0))</f>
        <v>1</v>
      </c>
      <c r="FR367" s="32">
        <f ca="1">IF($F$367="X",0,IF(ENTRADAS!$F$22&gt;=4,IF(FR283=10,1000,1),0))</f>
        <v>1</v>
      </c>
      <c r="FS367" s="32">
        <f ca="1">IF($F$367="X",0,IF(ENTRADAS!$F$22&gt;=4,IF(FS283=10,1000,1),0))</f>
        <v>1</v>
      </c>
      <c r="FT367" s="32">
        <f ca="1">IF($F$367="X",0,IF(ENTRADAS!$F$22&gt;=4,IF(FT283=10,1000,1),0))</f>
        <v>1</v>
      </c>
      <c r="FU367" s="32">
        <f ca="1">IF($F$367="X",0,IF(ENTRADAS!$F$22&gt;=4,IF(FU283=10,1000,1),0))</f>
        <v>1</v>
      </c>
      <c r="FV367" s="32">
        <f ca="1">IF($F$367="X",0,IF(ENTRADAS!$F$22&gt;=4,IF(FV283=10,1000,1),0))</f>
        <v>1</v>
      </c>
      <c r="FW367" s="32">
        <f ca="1">IF($F$367="X",0,IF(ENTRADAS!$F$22&gt;=4,IF(FW283=10,1000,1),0))</f>
        <v>1</v>
      </c>
      <c r="FX367" s="32">
        <f ca="1">IF($F$367="X",0,IF(ENTRADAS!$F$22&gt;=4,IF(FX283=10,1000,1),0))</f>
        <v>1</v>
      </c>
      <c r="FY367" s="32">
        <f ca="1">IF($F$367="X",0,IF(ENTRADAS!$F$22&gt;=4,IF(FY283=10,1000,1),0))</f>
        <v>1</v>
      </c>
      <c r="FZ367" s="32">
        <f ca="1">IF($F$367="X",0,IF(ENTRADAS!$F$22&gt;=4,IF(FZ283=10,1000,1),0))</f>
        <v>1</v>
      </c>
      <c r="GA367" s="32">
        <f ca="1">IF($F$367="X",0,IF(ENTRADAS!$F$22&gt;=4,IF(GA283=10,1000,1),0))</f>
        <v>1</v>
      </c>
      <c r="GB367" s="32">
        <f ca="1">IF($F$367="X",0,IF(ENTRADAS!$F$22&gt;=4,IF(GB283=10,1000,1),0))</f>
        <v>1</v>
      </c>
      <c r="GC367" s="32">
        <f ca="1">IF($F$367="X",0,IF(ENTRADAS!$F$22&gt;=4,IF(GC283=10,1000,1),0))</f>
        <v>1</v>
      </c>
      <c r="GD367" s="32">
        <f ca="1">IF($F$367="X",0,IF(ENTRADAS!$F$22&gt;=4,IF(GD283=10,1000,1),0))</f>
        <v>1</v>
      </c>
      <c r="GE367" s="32">
        <f ca="1">IF($F$367="X",0,IF(ENTRADAS!$F$22&gt;=4,IF(GE283=10,1000,1),0))</f>
        <v>1</v>
      </c>
      <c r="GF367" s="32">
        <f ca="1">IF($F$367="X",0,IF(ENTRADAS!$F$22&gt;=4,IF(GF283=10,1000,1),0))</f>
        <v>1</v>
      </c>
      <c r="GG367" s="32">
        <f ca="1">IF($F$367="X",0,IF(ENTRADAS!$F$22&gt;=4,IF(GG283=10,1000,1),0))</f>
        <v>1</v>
      </c>
      <c r="GH367" s="32">
        <f ca="1">IF($F$367="X",0,IF(ENTRADAS!$F$22&gt;=4,IF(GH283=10,1000,1),0))</f>
        <v>1</v>
      </c>
      <c r="GI367" s="32">
        <f ca="1">IF($F$367="X",0,IF(ENTRADAS!$F$22&gt;=4,IF(GI283=10,1000,1),0))</f>
        <v>1</v>
      </c>
      <c r="GJ367" s="32">
        <f ca="1">IF($F$367="X",0,IF(ENTRADAS!$F$22&gt;=4,IF(GJ283=10,1000,1),0))</f>
        <v>1</v>
      </c>
      <c r="GK367" s="32">
        <f ca="1">IF($F$367="X",0,IF(ENTRADAS!$F$22&gt;=4,IF(GK283=10,1000,1),0))</f>
        <v>1</v>
      </c>
      <c r="GL367" s="32">
        <f ca="1">IF($F$367="X",0,IF(ENTRADAS!$F$22&gt;=4,IF(GL283=10,1000,1),0))</f>
        <v>1</v>
      </c>
      <c r="GM367" s="32">
        <f ca="1">IF($F$367="X",0,IF(ENTRADAS!$F$22&gt;=4,IF(GM283=10,1000,1),0))</f>
        <v>1</v>
      </c>
      <c r="GN367" s="32">
        <f ca="1">IF($F$367="X",0,IF(ENTRADAS!$F$22&gt;=4,IF(GN283=10,1000,1),0))</f>
        <v>1</v>
      </c>
      <c r="GO367" s="32">
        <f ca="1">IF($F$367="X",0,IF(ENTRADAS!$F$22&gt;=4,IF(GO283=10,1000,1),0))</f>
        <v>1</v>
      </c>
      <c r="GP367" s="32">
        <f ca="1">IF($F$367="X",0,IF(ENTRADAS!$F$22&gt;=4,IF(GP283=10,1000,1),0))</f>
        <v>1</v>
      </c>
      <c r="GQ367" s="32">
        <f ca="1">IF($F$367="X",0,IF(ENTRADAS!$F$22&gt;=4,IF(GQ283=10,1000,1),0))</f>
        <v>1</v>
      </c>
      <c r="GR367" s="32">
        <f ca="1">IF($F$367="X",0,IF(ENTRADAS!$F$22&gt;=4,IF(GR283=10,1000,1),0))</f>
        <v>1</v>
      </c>
      <c r="GS367" s="32">
        <f ca="1">IF($F$367="X",0,IF(ENTRADAS!$F$22&gt;=4,IF(GS283=10,1000,1),0))</f>
        <v>1</v>
      </c>
      <c r="GT367" s="32">
        <f ca="1">IF($F$367="X",0,IF(ENTRADAS!$F$22&gt;=4,IF(GT283=10,1000,1),0))</f>
        <v>1</v>
      </c>
      <c r="GU367" s="32">
        <f ca="1">IF($F$367="X",0,IF(ENTRADAS!$F$22&gt;=4,IF(GU283=10,1000,1),0))</f>
        <v>1</v>
      </c>
      <c r="GV367" s="32">
        <f ca="1">IF($F$367="X",0,IF(ENTRADAS!$F$22&gt;=4,IF(GV283=10,1000,1),0))</f>
        <v>1</v>
      </c>
      <c r="GW367" s="32">
        <f ca="1">IF($F$367="X",0,IF(ENTRADAS!$F$22&gt;=4,IF(GW283=10,1000,1),0))</f>
        <v>1</v>
      </c>
      <c r="GX367" s="32">
        <f ca="1">IF($F$367="X",0,IF(ENTRADAS!$F$22&gt;=4,IF(GX283=10,1000,1),0))</f>
        <v>1</v>
      </c>
      <c r="GY367" s="32">
        <f ca="1">IF($F$367="X",0,IF(ENTRADAS!$F$22&gt;=4,IF(GY283=10,1000,1),0))</f>
        <v>1</v>
      </c>
      <c r="GZ367" s="32">
        <f ca="1">IF($F$367="X",0,IF(ENTRADAS!$F$22&gt;=4,IF(GZ283=10,1000,1),0))</f>
        <v>1</v>
      </c>
      <c r="HA367" s="32">
        <f ca="1">IF($F$367="X",0,IF(ENTRADAS!$F$22&gt;=4,IF(HA283=10,1000,1),0))</f>
        <v>1</v>
      </c>
      <c r="HB367" s="32">
        <f ca="1">IF($F$367="X",0,IF(ENTRADAS!$F$22&gt;=4,IF(HB283=10,1000,1),0))</f>
        <v>1</v>
      </c>
      <c r="HC367" s="32">
        <f ca="1">IF($F$367="X",0,IF(ENTRADAS!$F$22&gt;=4,IF(HC283=10,1000,1),0))</f>
        <v>1</v>
      </c>
      <c r="HD367" s="32">
        <f ca="1">IF($F$367="X",0,IF(ENTRADAS!$F$22&gt;=4,IF(HD283=10,1000,1),0))</f>
        <v>1</v>
      </c>
      <c r="HE367" s="32">
        <f ca="1">IF($F$367="X",0,IF(ENTRADAS!$F$22&gt;=4,IF(HE283=10,1000,1),0))</f>
        <v>1</v>
      </c>
      <c r="HF367" s="32">
        <f ca="1">IF($F$367="X",0,IF(ENTRADAS!$F$22&gt;=4,IF(HF283=10,1000,1),0))</f>
        <v>1</v>
      </c>
      <c r="HG367" s="32">
        <f ca="1">IF($F$367="X",0,IF(ENTRADAS!$F$22&gt;=4,IF(HG283=10,1000,1),0))</f>
        <v>1</v>
      </c>
      <c r="HH367" s="32">
        <f ca="1">IF($F$367="X",0,IF(ENTRADAS!$F$22&gt;=4,IF(HH283=10,1000,1),0))</f>
        <v>1</v>
      </c>
      <c r="HI367" s="32">
        <f ca="1">IF($F$367="X",0,IF(ENTRADAS!$F$22&gt;=4,IF(HI283=10,1000,1),0))</f>
        <v>1</v>
      </c>
      <c r="HJ367" s="32">
        <f ca="1">IF($F$367="X",0,IF(ENTRADAS!$F$22&gt;=4,IF(HJ283=10,1000,1),0))</f>
        <v>1</v>
      </c>
      <c r="HK367" s="32">
        <f ca="1">IF($F$367="X",0,IF(ENTRADAS!$F$22&gt;=4,IF(HK283=10,1000,1),0))</f>
        <v>1</v>
      </c>
      <c r="HL367" s="32">
        <f ca="1">IF($F$367="X",0,IF(ENTRADAS!$F$22&gt;=4,IF(HL283=10,1000,1),0))</f>
        <v>1</v>
      </c>
      <c r="HM367" s="32">
        <f ca="1">IF($F$367="X",0,IF(ENTRADAS!$F$22&gt;=4,IF(HM283=10,1000,1),0))</f>
        <v>1</v>
      </c>
      <c r="HN367" s="32">
        <f ca="1">IF($F$367="X",0,IF(ENTRADAS!$F$22&gt;=4,IF(HN283=10,1000,1),0))</f>
        <v>1</v>
      </c>
      <c r="HO367" s="32">
        <f ca="1">IF($F$367="X",0,IF(ENTRADAS!$F$22&gt;=4,IF(HO283=10,1000,1),0))</f>
        <v>1</v>
      </c>
      <c r="HP367" s="32">
        <f ca="1">IF($F$367="X",0,IF(ENTRADAS!$F$22&gt;=4,IF(HP283=10,1000,1),0))</f>
        <v>1</v>
      </c>
      <c r="HQ367" s="32">
        <f ca="1">IF($F$367="X",0,IF(ENTRADAS!$F$22&gt;=4,IF(HQ283=10,1000,1),0))</f>
        <v>1</v>
      </c>
      <c r="HR367" s="32">
        <f ca="1">IF($F$367="X",0,IF(ENTRADAS!$F$22&gt;=4,IF(HR283=10,1000,1),0))</f>
        <v>1</v>
      </c>
      <c r="HS367" s="32">
        <f ca="1">IF($F$367="X",0,IF(ENTRADAS!$F$22&gt;=4,IF(HS283=10,1000,1),0))</f>
        <v>1</v>
      </c>
      <c r="HT367" s="32">
        <f ca="1">IF($F$367="X",0,IF(ENTRADAS!$F$22&gt;=4,IF(HT283=10,1000,1),0))</f>
        <v>1</v>
      </c>
      <c r="HU367" s="32">
        <f ca="1">IF($F$367="X",0,IF(ENTRADAS!$F$22&gt;=4,IF(HU283=10,1000,1),0))</f>
        <v>1</v>
      </c>
      <c r="HV367" s="32">
        <f ca="1">IF($F$367="X",0,IF(ENTRADAS!$F$22&gt;=4,IF(HV283=10,1000,1),0))</f>
        <v>1</v>
      </c>
      <c r="HW367" s="32">
        <f ca="1">IF($F$367="X",0,IF(ENTRADAS!$F$22&gt;=4,IF(HW283=10,1000,1),0))</f>
        <v>1</v>
      </c>
      <c r="HX367" s="32">
        <f ca="1">IF($F$367="X",0,IF(ENTRADAS!$F$22&gt;=4,IF(HX283=10,1000,1),0))</f>
        <v>1</v>
      </c>
      <c r="HY367" s="32">
        <f ca="1">IF($F$367="X",0,IF(ENTRADAS!$F$22&gt;=4,IF(HY283=10,1000,1),0))</f>
        <v>1</v>
      </c>
      <c r="HZ367" s="32">
        <f ca="1">IF($F$367="X",0,IF(ENTRADAS!$F$22&gt;=4,IF(HZ283=10,1000,1),0))</f>
        <v>1</v>
      </c>
      <c r="IA367" s="32">
        <f ca="1">IF($F$367="X",0,IF(ENTRADAS!$F$22&gt;=4,IF(IA283=10,1000,1),0))</f>
        <v>1</v>
      </c>
      <c r="IB367" s="32">
        <f ca="1">IF($F$367="X",0,IF(ENTRADAS!$F$22&gt;=4,IF(IB283=10,1000,1),0))</f>
        <v>1</v>
      </c>
      <c r="IC367" s="32">
        <f ca="1">IF($F$367="X",0,IF(ENTRADAS!$F$22&gt;=4,IF(IC283=10,1000,1),0))</f>
        <v>1</v>
      </c>
      <c r="ID367" s="32">
        <f ca="1">IF($F$367="X",0,IF(ENTRADAS!$F$22&gt;=4,IF(ID283=10,1000,1),0))</f>
        <v>1</v>
      </c>
      <c r="IE367" s="32">
        <f ca="1">IF($F$367="X",0,IF(ENTRADAS!$F$22&gt;=4,IF(IE283=10,1000,1),0))</f>
        <v>1</v>
      </c>
      <c r="IF367" s="32">
        <f ca="1">IF($F$367="X",0,IF(ENTRADAS!$F$22&gt;=4,IF(IF283=10,1000,1),0))</f>
        <v>1</v>
      </c>
      <c r="IG367" s="32">
        <f ca="1">IF($F$367="X",0,IF(ENTRADAS!$F$22&gt;=4,IF(IG283=10,1000,1),0))</f>
        <v>1</v>
      </c>
      <c r="IH367" s="32">
        <f ca="1">IF($F$367="X",0,IF(ENTRADAS!$F$22&gt;=4,IF(IH283=10,1000,1),0))</f>
        <v>1</v>
      </c>
      <c r="II367" s="32">
        <f ca="1">IF($F$367="X",0,IF(ENTRADAS!$F$22&gt;=4,IF(II283=10,1000,1),0))</f>
        <v>1</v>
      </c>
      <c r="IJ367" s="32">
        <f ca="1">IF($F$367="X",0,IF(ENTRADAS!$F$22&gt;=4,IF(IJ283=10,1000,1),0))</f>
        <v>1</v>
      </c>
      <c r="IK367" s="32">
        <f ca="1">IF($F$367="X",0,IF(ENTRADAS!$F$22&gt;=4,IF(IK283=10,1000,1),0))</f>
        <v>1</v>
      </c>
    </row>
    <row r="368" spans="1:245" hidden="1" x14ac:dyDescent="0.35">
      <c r="A368" s="195">
        <f t="shared" si="364"/>
        <v>0</v>
      </c>
    </row>
    <row r="369" spans="1:245" x14ac:dyDescent="0.35">
      <c r="A369" s="195" t="str">
        <f t="shared" si="364"/>
        <v>XXX</v>
      </c>
      <c r="B369" s="195">
        <f>IF(ENTRADAS!E15=0,0,1)</f>
        <v>1</v>
      </c>
      <c r="C369" s="627" t="s">
        <v>1618</v>
      </c>
    </row>
    <row r="370" spans="1:245" ht="9.75" hidden="1" customHeight="1" x14ac:dyDescent="0.35">
      <c r="A370" s="195"/>
      <c r="B370" s="195" t="s">
        <v>10</v>
      </c>
      <c r="C370" s="627"/>
    </row>
    <row r="371" spans="1:245" x14ac:dyDescent="0.35">
      <c r="A371" s="195" t="str">
        <f>IF(B371=0,0,"XXX")</f>
        <v>XXX</v>
      </c>
      <c r="B371" s="195">
        <f>IF(ENTRADAS!E15=0,0,1)</f>
        <v>1</v>
      </c>
      <c r="C371" s="1338" t="str">
        <f>"total geral da montagem p/ "&amp;ENTRADAS!F22&amp;" tq"</f>
        <v>total geral da montagem p/ 4 tq</v>
      </c>
      <c r="D371" s="1339"/>
      <c r="E371" s="633">
        <f ca="1">IF(ENTRADAS!F22&gt;4,E373+E375,LARGE(H396:IK396,1)-SMALL(H395:IK395,1)+1)</f>
        <v>102</v>
      </c>
      <c r="F371" s="1770" t="s">
        <v>101</v>
      </c>
      <c r="G371" s="1771"/>
      <c r="H371" s="32">
        <f ca="1">IF(OR(H373=1000,H375=1),1000,0)</f>
        <v>0</v>
      </c>
      <c r="I371" s="32">
        <f t="shared" ref="I371:BT371" ca="1" si="403">IF(OR(I373=1000,I375=1),1000,0)</f>
        <v>0</v>
      </c>
      <c r="J371" s="32">
        <f t="shared" ca="1" si="403"/>
        <v>0</v>
      </c>
      <c r="K371" s="32">
        <f t="shared" ca="1" si="403"/>
        <v>0</v>
      </c>
      <c r="L371" s="32">
        <f t="shared" ca="1" si="403"/>
        <v>0</v>
      </c>
      <c r="M371" s="32">
        <f t="shared" ca="1" si="403"/>
        <v>0</v>
      </c>
      <c r="N371" s="32">
        <f t="shared" ca="1" si="403"/>
        <v>0</v>
      </c>
      <c r="O371" s="32">
        <f t="shared" ca="1" si="403"/>
        <v>0</v>
      </c>
      <c r="P371" s="32">
        <f t="shared" ca="1" si="403"/>
        <v>0</v>
      </c>
      <c r="Q371" s="32">
        <f t="shared" ca="1" si="403"/>
        <v>0</v>
      </c>
      <c r="R371" s="32">
        <f t="shared" ca="1" si="403"/>
        <v>0</v>
      </c>
      <c r="S371" s="32">
        <f t="shared" ca="1" si="403"/>
        <v>0</v>
      </c>
      <c r="T371" s="32">
        <f t="shared" ca="1" si="403"/>
        <v>0</v>
      </c>
      <c r="U371" s="32">
        <f t="shared" ca="1" si="403"/>
        <v>0</v>
      </c>
      <c r="V371" s="32">
        <f t="shared" ca="1" si="403"/>
        <v>0</v>
      </c>
      <c r="W371" s="32">
        <f t="shared" ca="1" si="403"/>
        <v>0</v>
      </c>
      <c r="X371" s="32">
        <f t="shared" ca="1" si="403"/>
        <v>0</v>
      </c>
      <c r="Y371" s="32">
        <f t="shared" ca="1" si="403"/>
        <v>0</v>
      </c>
      <c r="Z371" s="32">
        <f t="shared" ca="1" si="403"/>
        <v>0</v>
      </c>
      <c r="AA371" s="32">
        <f t="shared" ca="1" si="403"/>
        <v>0</v>
      </c>
      <c r="AB371" s="32">
        <f t="shared" ca="1" si="403"/>
        <v>0</v>
      </c>
      <c r="AC371" s="32">
        <f t="shared" ca="1" si="403"/>
        <v>0</v>
      </c>
      <c r="AD371" s="32">
        <f t="shared" ca="1" si="403"/>
        <v>0</v>
      </c>
      <c r="AE371" s="32">
        <f t="shared" ca="1" si="403"/>
        <v>0</v>
      </c>
      <c r="AF371" s="32">
        <f t="shared" ca="1" si="403"/>
        <v>0</v>
      </c>
      <c r="AG371" s="32">
        <f t="shared" ca="1" si="403"/>
        <v>0</v>
      </c>
      <c r="AH371" s="32">
        <f t="shared" ca="1" si="403"/>
        <v>0</v>
      </c>
      <c r="AI371" s="32">
        <f t="shared" ca="1" si="403"/>
        <v>0</v>
      </c>
      <c r="AJ371" s="32">
        <f t="shared" ca="1" si="403"/>
        <v>0</v>
      </c>
      <c r="AK371" s="32">
        <f t="shared" ca="1" si="403"/>
        <v>0</v>
      </c>
      <c r="AL371" s="32">
        <f t="shared" ca="1" si="403"/>
        <v>0</v>
      </c>
      <c r="AM371" s="32">
        <f t="shared" ca="1" si="403"/>
        <v>1000</v>
      </c>
      <c r="AN371" s="32">
        <f t="shared" ca="1" si="403"/>
        <v>1000</v>
      </c>
      <c r="AO371" s="32">
        <f t="shared" ca="1" si="403"/>
        <v>1000</v>
      </c>
      <c r="AP371" s="32">
        <f t="shared" ca="1" si="403"/>
        <v>1000</v>
      </c>
      <c r="AQ371" s="32">
        <f t="shared" ca="1" si="403"/>
        <v>1000</v>
      </c>
      <c r="AR371" s="32">
        <f t="shared" ca="1" si="403"/>
        <v>1000</v>
      </c>
      <c r="AS371" s="32">
        <f t="shared" ca="1" si="403"/>
        <v>1000</v>
      </c>
      <c r="AT371" s="32">
        <f t="shared" ca="1" si="403"/>
        <v>1000</v>
      </c>
      <c r="AU371" s="32">
        <f t="shared" ca="1" si="403"/>
        <v>1000</v>
      </c>
      <c r="AV371" s="32">
        <f t="shared" ca="1" si="403"/>
        <v>1000</v>
      </c>
      <c r="AW371" s="32">
        <f t="shared" ca="1" si="403"/>
        <v>1000</v>
      </c>
      <c r="AX371" s="32">
        <f t="shared" ca="1" si="403"/>
        <v>1000</v>
      </c>
      <c r="AY371" s="32">
        <f t="shared" ca="1" si="403"/>
        <v>1000</v>
      </c>
      <c r="AZ371" s="32">
        <f t="shared" ca="1" si="403"/>
        <v>1000</v>
      </c>
      <c r="BA371" s="32">
        <f t="shared" ca="1" si="403"/>
        <v>1000</v>
      </c>
      <c r="BB371" s="32">
        <f t="shared" ca="1" si="403"/>
        <v>1000</v>
      </c>
      <c r="BC371" s="32">
        <f t="shared" ca="1" si="403"/>
        <v>1000</v>
      </c>
      <c r="BD371" s="32">
        <f t="shared" ca="1" si="403"/>
        <v>1000</v>
      </c>
      <c r="BE371" s="32">
        <f t="shared" ca="1" si="403"/>
        <v>1000</v>
      </c>
      <c r="BF371" s="32">
        <f t="shared" ca="1" si="403"/>
        <v>1000</v>
      </c>
      <c r="BG371" s="32">
        <f t="shared" ca="1" si="403"/>
        <v>1000</v>
      </c>
      <c r="BH371" s="32">
        <f t="shared" ca="1" si="403"/>
        <v>1000</v>
      </c>
      <c r="BI371" s="32">
        <f t="shared" ca="1" si="403"/>
        <v>1000</v>
      </c>
      <c r="BJ371" s="32">
        <f t="shared" ca="1" si="403"/>
        <v>1000</v>
      </c>
      <c r="BK371" s="32">
        <f t="shared" ca="1" si="403"/>
        <v>1000</v>
      </c>
      <c r="BL371" s="32">
        <f t="shared" ca="1" si="403"/>
        <v>1000</v>
      </c>
      <c r="BM371" s="32">
        <f t="shared" ca="1" si="403"/>
        <v>1000</v>
      </c>
      <c r="BN371" s="32">
        <f t="shared" ca="1" si="403"/>
        <v>1000</v>
      </c>
      <c r="BO371" s="32">
        <f t="shared" ca="1" si="403"/>
        <v>1000</v>
      </c>
      <c r="BP371" s="32">
        <f t="shared" ca="1" si="403"/>
        <v>1000</v>
      </c>
      <c r="BQ371" s="32">
        <f t="shared" ca="1" si="403"/>
        <v>1000</v>
      </c>
      <c r="BR371" s="32">
        <f t="shared" ca="1" si="403"/>
        <v>1000</v>
      </c>
      <c r="BS371" s="32">
        <f t="shared" ca="1" si="403"/>
        <v>1000</v>
      </c>
      <c r="BT371" s="32">
        <f t="shared" ca="1" si="403"/>
        <v>1000</v>
      </c>
      <c r="BU371" s="32">
        <f t="shared" ref="BU371:EF371" ca="1" si="404">IF(OR(BU373=1000,BU375=1),1000,0)</f>
        <v>1000</v>
      </c>
      <c r="BV371" s="32">
        <f t="shared" ca="1" si="404"/>
        <v>1000</v>
      </c>
      <c r="BW371" s="32">
        <f t="shared" ca="1" si="404"/>
        <v>1000</v>
      </c>
      <c r="BX371" s="32">
        <f t="shared" ca="1" si="404"/>
        <v>1000</v>
      </c>
      <c r="BY371" s="32">
        <f t="shared" ca="1" si="404"/>
        <v>1000</v>
      </c>
      <c r="BZ371" s="32">
        <f t="shared" ca="1" si="404"/>
        <v>1000</v>
      </c>
      <c r="CA371" s="32">
        <f t="shared" ca="1" si="404"/>
        <v>1000</v>
      </c>
      <c r="CB371" s="32">
        <f t="shared" ca="1" si="404"/>
        <v>1000</v>
      </c>
      <c r="CC371" s="32">
        <f t="shared" ca="1" si="404"/>
        <v>1000</v>
      </c>
      <c r="CD371" s="32">
        <f t="shared" ca="1" si="404"/>
        <v>1000</v>
      </c>
      <c r="CE371" s="32">
        <f t="shared" ca="1" si="404"/>
        <v>1000</v>
      </c>
      <c r="CF371" s="32">
        <f t="shared" ca="1" si="404"/>
        <v>1000</v>
      </c>
      <c r="CG371" s="32">
        <f t="shared" ca="1" si="404"/>
        <v>1000</v>
      </c>
      <c r="CH371" s="32">
        <f t="shared" ca="1" si="404"/>
        <v>1000</v>
      </c>
      <c r="CI371" s="32">
        <f t="shared" ca="1" si="404"/>
        <v>1000</v>
      </c>
      <c r="CJ371" s="32">
        <f t="shared" ca="1" si="404"/>
        <v>1000</v>
      </c>
      <c r="CK371" s="32">
        <f t="shared" ca="1" si="404"/>
        <v>1000</v>
      </c>
      <c r="CL371" s="32">
        <f t="shared" ca="1" si="404"/>
        <v>1000</v>
      </c>
      <c r="CM371" s="32">
        <f t="shared" ca="1" si="404"/>
        <v>1000</v>
      </c>
      <c r="CN371" s="32">
        <f t="shared" ca="1" si="404"/>
        <v>1000</v>
      </c>
      <c r="CO371" s="32">
        <f t="shared" ca="1" si="404"/>
        <v>1000</v>
      </c>
      <c r="CP371" s="32">
        <f t="shared" ca="1" si="404"/>
        <v>1000</v>
      </c>
      <c r="CQ371" s="32">
        <f t="shared" ca="1" si="404"/>
        <v>1000</v>
      </c>
      <c r="CR371" s="32">
        <f t="shared" ca="1" si="404"/>
        <v>1000</v>
      </c>
      <c r="CS371" s="32">
        <f t="shared" ca="1" si="404"/>
        <v>1000</v>
      </c>
      <c r="CT371" s="32">
        <f t="shared" ca="1" si="404"/>
        <v>1000</v>
      </c>
      <c r="CU371" s="32">
        <f t="shared" ca="1" si="404"/>
        <v>1000</v>
      </c>
      <c r="CV371" s="32">
        <f t="shared" ca="1" si="404"/>
        <v>1000</v>
      </c>
      <c r="CW371" s="32">
        <f t="shared" ca="1" si="404"/>
        <v>1000</v>
      </c>
      <c r="CX371" s="32">
        <f t="shared" ca="1" si="404"/>
        <v>1000</v>
      </c>
      <c r="CY371" s="32">
        <f t="shared" ca="1" si="404"/>
        <v>1000</v>
      </c>
      <c r="CZ371" s="32">
        <f t="shared" ca="1" si="404"/>
        <v>1000</v>
      </c>
      <c r="DA371" s="32">
        <f t="shared" ca="1" si="404"/>
        <v>1000</v>
      </c>
      <c r="DB371" s="32">
        <f t="shared" ca="1" si="404"/>
        <v>1000</v>
      </c>
      <c r="DC371" s="32">
        <f t="shared" ca="1" si="404"/>
        <v>1000</v>
      </c>
      <c r="DD371" s="32">
        <f t="shared" ca="1" si="404"/>
        <v>1000</v>
      </c>
      <c r="DE371" s="32">
        <f t="shared" ca="1" si="404"/>
        <v>1000</v>
      </c>
      <c r="DF371" s="32">
        <f t="shared" ca="1" si="404"/>
        <v>1000</v>
      </c>
      <c r="DG371" s="32">
        <f t="shared" ca="1" si="404"/>
        <v>1000</v>
      </c>
      <c r="DH371" s="32">
        <f t="shared" ca="1" si="404"/>
        <v>1000</v>
      </c>
      <c r="DI371" s="32">
        <f t="shared" ca="1" si="404"/>
        <v>1000</v>
      </c>
      <c r="DJ371" s="32">
        <f t="shared" ca="1" si="404"/>
        <v>1000</v>
      </c>
      <c r="DK371" s="32">
        <f t="shared" ca="1" si="404"/>
        <v>1000</v>
      </c>
      <c r="DL371" s="32">
        <f t="shared" ca="1" si="404"/>
        <v>1000</v>
      </c>
      <c r="DM371" s="32">
        <f t="shared" ca="1" si="404"/>
        <v>1000</v>
      </c>
      <c r="DN371" s="32">
        <f t="shared" ca="1" si="404"/>
        <v>1000</v>
      </c>
      <c r="DO371" s="32">
        <f t="shared" ca="1" si="404"/>
        <v>1000</v>
      </c>
      <c r="DP371" s="32">
        <f t="shared" ca="1" si="404"/>
        <v>1000</v>
      </c>
      <c r="DQ371" s="32">
        <f t="shared" ca="1" si="404"/>
        <v>1000</v>
      </c>
      <c r="DR371" s="32">
        <f t="shared" ca="1" si="404"/>
        <v>1000</v>
      </c>
      <c r="DS371" s="32">
        <f t="shared" ca="1" si="404"/>
        <v>1000</v>
      </c>
      <c r="DT371" s="32">
        <f t="shared" ca="1" si="404"/>
        <v>1000</v>
      </c>
      <c r="DU371" s="32">
        <f t="shared" ca="1" si="404"/>
        <v>1000</v>
      </c>
      <c r="DV371" s="32">
        <f t="shared" ca="1" si="404"/>
        <v>1000</v>
      </c>
      <c r="DW371" s="32">
        <f t="shared" ca="1" si="404"/>
        <v>1000</v>
      </c>
      <c r="DX371" s="32">
        <f t="shared" ca="1" si="404"/>
        <v>1000</v>
      </c>
      <c r="DY371" s="32">
        <f t="shared" ca="1" si="404"/>
        <v>1000</v>
      </c>
      <c r="DZ371" s="32">
        <f t="shared" ca="1" si="404"/>
        <v>1000</v>
      </c>
      <c r="EA371" s="32">
        <f t="shared" ca="1" si="404"/>
        <v>1000</v>
      </c>
      <c r="EB371" s="32">
        <f t="shared" ca="1" si="404"/>
        <v>1000</v>
      </c>
      <c r="EC371" s="32">
        <f t="shared" ca="1" si="404"/>
        <v>1000</v>
      </c>
      <c r="ED371" s="32">
        <f t="shared" ca="1" si="404"/>
        <v>1000</v>
      </c>
      <c r="EE371" s="32">
        <f t="shared" ca="1" si="404"/>
        <v>1000</v>
      </c>
      <c r="EF371" s="32">
        <f t="shared" ca="1" si="404"/>
        <v>1000</v>
      </c>
      <c r="EG371" s="32">
        <f t="shared" ref="EG371:GR371" ca="1" si="405">IF(OR(EG373=1000,EG375=1),1000,0)</f>
        <v>1000</v>
      </c>
      <c r="EH371" s="32">
        <f t="shared" ca="1" si="405"/>
        <v>1000</v>
      </c>
      <c r="EI371" s="32">
        <f t="shared" ca="1" si="405"/>
        <v>1000</v>
      </c>
      <c r="EJ371" s="32">
        <f t="shared" ca="1" si="405"/>
        <v>1000</v>
      </c>
      <c r="EK371" s="32">
        <f t="shared" ca="1" si="405"/>
        <v>0</v>
      </c>
      <c r="EL371" s="32">
        <f t="shared" ca="1" si="405"/>
        <v>0</v>
      </c>
      <c r="EM371" s="32">
        <f t="shared" ca="1" si="405"/>
        <v>0</v>
      </c>
      <c r="EN371" s="32">
        <f t="shared" ca="1" si="405"/>
        <v>0</v>
      </c>
      <c r="EO371" s="32">
        <f t="shared" ca="1" si="405"/>
        <v>0</v>
      </c>
      <c r="EP371" s="32">
        <f t="shared" ca="1" si="405"/>
        <v>0</v>
      </c>
      <c r="EQ371" s="32">
        <f t="shared" ca="1" si="405"/>
        <v>0</v>
      </c>
      <c r="ER371" s="32">
        <f t="shared" ca="1" si="405"/>
        <v>0</v>
      </c>
      <c r="ES371" s="32">
        <f t="shared" ca="1" si="405"/>
        <v>0</v>
      </c>
      <c r="ET371" s="32">
        <f t="shared" ca="1" si="405"/>
        <v>0</v>
      </c>
      <c r="EU371" s="32">
        <f t="shared" ca="1" si="405"/>
        <v>0</v>
      </c>
      <c r="EV371" s="32">
        <f t="shared" ca="1" si="405"/>
        <v>0</v>
      </c>
      <c r="EW371" s="32">
        <f t="shared" ca="1" si="405"/>
        <v>0</v>
      </c>
      <c r="EX371" s="32">
        <f t="shared" ca="1" si="405"/>
        <v>0</v>
      </c>
      <c r="EY371" s="32">
        <f t="shared" ca="1" si="405"/>
        <v>0</v>
      </c>
      <c r="EZ371" s="32">
        <f t="shared" ca="1" si="405"/>
        <v>0</v>
      </c>
      <c r="FA371" s="32">
        <f t="shared" ca="1" si="405"/>
        <v>0</v>
      </c>
      <c r="FB371" s="32">
        <f t="shared" ca="1" si="405"/>
        <v>0</v>
      </c>
      <c r="FC371" s="32">
        <f t="shared" ca="1" si="405"/>
        <v>0</v>
      </c>
      <c r="FD371" s="32">
        <f t="shared" ca="1" si="405"/>
        <v>0</v>
      </c>
      <c r="FE371" s="32">
        <f t="shared" ca="1" si="405"/>
        <v>0</v>
      </c>
      <c r="FF371" s="32">
        <f t="shared" ca="1" si="405"/>
        <v>0</v>
      </c>
      <c r="FG371" s="32">
        <f t="shared" ca="1" si="405"/>
        <v>0</v>
      </c>
      <c r="FH371" s="32">
        <f t="shared" ca="1" si="405"/>
        <v>0</v>
      </c>
      <c r="FI371" s="32">
        <f t="shared" ca="1" si="405"/>
        <v>0</v>
      </c>
      <c r="FJ371" s="32">
        <f t="shared" ca="1" si="405"/>
        <v>0</v>
      </c>
      <c r="FK371" s="32">
        <f t="shared" ca="1" si="405"/>
        <v>0</v>
      </c>
      <c r="FL371" s="32">
        <f t="shared" ca="1" si="405"/>
        <v>0</v>
      </c>
      <c r="FM371" s="32">
        <f t="shared" ca="1" si="405"/>
        <v>0</v>
      </c>
      <c r="FN371" s="32">
        <f t="shared" ca="1" si="405"/>
        <v>0</v>
      </c>
      <c r="FO371" s="32">
        <f t="shared" ca="1" si="405"/>
        <v>0</v>
      </c>
      <c r="FP371" s="32">
        <f t="shared" ca="1" si="405"/>
        <v>0</v>
      </c>
      <c r="FQ371" s="32">
        <f t="shared" ca="1" si="405"/>
        <v>0</v>
      </c>
      <c r="FR371" s="32">
        <f t="shared" ca="1" si="405"/>
        <v>0</v>
      </c>
      <c r="FS371" s="32">
        <f t="shared" ca="1" si="405"/>
        <v>0</v>
      </c>
      <c r="FT371" s="32">
        <f t="shared" ca="1" si="405"/>
        <v>0</v>
      </c>
      <c r="FU371" s="32">
        <f t="shared" ca="1" si="405"/>
        <v>0</v>
      </c>
      <c r="FV371" s="32">
        <f t="shared" ca="1" si="405"/>
        <v>0</v>
      </c>
      <c r="FW371" s="32">
        <f t="shared" ca="1" si="405"/>
        <v>0</v>
      </c>
      <c r="FX371" s="32">
        <f t="shared" ca="1" si="405"/>
        <v>0</v>
      </c>
      <c r="FY371" s="32">
        <f t="shared" ca="1" si="405"/>
        <v>0</v>
      </c>
      <c r="FZ371" s="32">
        <f t="shared" ca="1" si="405"/>
        <v>0</v>
      </c>
      <c r="GA371" s="32">
        <f t="shared" ca="1" si="405"/>
        <v>0</v>
      </c>
      <c r="GB371" s="32">
        <f t="shared" ca="1" si="405"/>
        <v>0</v>
      </c>
      <c r="GC371" s="32">
        <f t="shared" ca="1" si="405"/>
        <v>0</v>
      </c>
      <c r="GD371" s="32">
        <f t="shared" ca="1" si="405"/>
        <v>0</v>
      </c>
      <c r="GE371" s="32">
        <f t="shared" ca="1" si="405"/>
        <v>0</v>
      </c>
      <c r="GF371" s="32">
        <f t="shared" ca="1" si="405"/>
        <v>0</v>
      </c>
      <c r="GG371" s="32">
        <f t="shared" ca="1" si="405"/>
        <v>0</v>
      </c>
      <c r="GH371" s="32">
        <f t="shared" ca="1" si="405"/>
        <v>0</v>
      </c>
      <c r="GI371" s="32">
        <f t="shared" ca="1" si="405"/>
        <v>0</v>
      </c>
      <c r="GJ371" s="32">
        <f t="shared" ca="1" si="405"/>
        <v>0</v>
      </c>
      <c r="GK371" s="32">
        <f t="shared" ca="1" si="405"/>
        <v>0</v>
      </c>
      <c r="GL371" s="32">
        <f t="shared" ca="1" si="405"/>
        <v>0</v>
      </c>
      <c r="GM371" s="32">
        <f t="shared" ca="1" si="405"/>
        <v>0</v>
      </c>
      <c r="GN371" s="32">
        <f t="shared" ca="1" si="405"/>
        <v>0</v>
      </c>
      <c r="GO371" s="32">
        <f t="shared" ca="1" si="405"/>
        <v>0</v>
      </c>
      <c r="GP371" s="32">
        <f t="shared" ca="1" si="405"/>
        <v>0</v>
      </c>
      <c r="GQ371" s="32">
        <f t="shared" ca="1" si="405"/>
        <v>0</v>
      </c>
      <c r="GR371" s="32">
        <f t="shared" ca="1" si="405"/>
        <v>0</v>
      </c>
      <c r="GS371" s="32">
        <f t="shared" ref="GS371:IK371" ca="1" si="406">IF(OR(GS373=1000,GS375=1),1000,0)</f>
        <v>0</v>
      </c>
      <c r="GT371" s="32">
        <f t="shared" ca="1" si="406"/>
        <v>0</v>
      </c>
      <c r="GU371" s="32">
        <f t="shared" ca="1" si="406"/>
        <v>0</v>
      </c>
      <c r="GV371" s="32">
        <f t="shared" ca="1" si="406"/>
        <v>0</v>
      </c>
      <c r="GW371" s="32">
        <f t="shared" ca="1" si="406"/>
        <v>0</v>
      </c>
      <c r="GX371" s="32">
        <f t="shared" ca="1" si="406"/>
        <v>0</v>
      </c>
      <c r="GY371" s="32">
        <f t="shared" ca="1" si="406"/>
        <v>0</v>
      </c>
      <c r="GZ371" s="32">
        <f t="shared" ca="1" si="406"/>
        <v>0</v>
      </c>
      <c r="HA371" s="32">
        <f t="shared" ca="1" si="406"/>
        <v>0</v>
      </c>
      <c r="HB371" s="32">
        <f t="shared" ca="1" si="406"/>
        <v>0</v>
      </c>
      <c r="HC371" s="32">
        <f t="shared" ca="1" si="406"/>
        <v>0</v>
      </c>
      <c r="HD371" s="32">
        <f t="shared" ca="1" si="406"/>
        <v>0</v>
      </c>
      <c r="HE371" s="32">
        <f t="shared" ca="1" si="406"/>
        <v>0</v>
      </c>
      <c r="HF371" s="32">
        <f t="shared" ca="1" si="406"/>
        <v>0</v>
      </c>
      <c r="HG371" s="32">
        <f t="shared" ca="1" si="406"/>
        <v>0</v>
      </c>
      <c r="HH371" s="32">
        <f t="shared" ca="1" si="406"/>
        <v>0</v>
      </c>
      <c r="HI371" s="32">
        <f t="shared" ca="1" si="406"/>
        <v>0</v>
      </c>
      <c r="HJ371" s="32">
        <f t="shared" ca="1" si="406"/>
        <v>0</v>
      </c>
      <c r="HK371" s="32">
        <f t="shared" ca="1" si="406"/>
        <v>0</v>
      </c>
      <c r="HL371" s="32">
        <f t="shared" ca="1" si="406"/>
        <v>0</v>
      </c>
      <c r="HM371" s="32">
        <f t="shared" ca="1" si="406"/>
        <v>0</v>
      </c>
      <c r="HN371" s="32">
        <f t="shared" ca="1" si="406"/>
        <v>0</v>
      </c>
      <c r="HO371" s="32">
        <f t="shared" ca="1" si="406"/>
        <v>0</v>
      </c>
      <c r="HP371" s="32">
        <f t="shared" ca="1" si="406"/>
        <v>0</v>
      </c>
      <c r="HQ371" s="32">
        <f t="shared" ca="1" si="406"/>
        <v>0</v>
      </c>
      <c r="HR371" s="32">
        <f t="shared" ca="1" si="406"/>
        <v>0</v>
      </c>
      <c r="HS371" s="32">
        <f t="shared" ca="1" si="406"/>
        <v>0</v>
      </c>
      <c r="HT371" s="32">
        <f t="shared" ca="1" si="406"/>
        <v>0</v>
      </c>
      <c r="HU371" s="32">
        <f t="shared" ca="1" si="406"/>
        <v>0</v>
      </c>
      <c r="HV371" s="32">
        <f t="shared" ca="1" si="406"/>
        <v>0</v>
      </c>
      <c r="HW371" s="32">
        <f t="shared" ca="1" si="406"/>
        <v>0</v>
      </c>
      <c r="HX371" s="32">
        <f t="shared" ca="1" si="406"/>
        <v>0</v>
      </c>
      <c r="HY371" s="32">
        <f t="shared" ca="1" si="406"/>
        <v>0</v>
      </c>
      <c r="HZ371" s="32">
        <f t="shared" ca="1" si="406"/>
        <v>0</v>
      </c>
      <c r="IA371" s="32">
        <f t="shared" ca="1" si="406"/>
        <v>0</v>
      </c>
      <c r="IB371" s="32">
        <f t="shared" ca="1" si="406"/>
        <v>0</v>
      </c>
      <c r="IC371" s="32">
        <f t="shared" ca="1" si="406"/>
        <v>0</v>
      </c>
      <c r="ID371" s="32">
        <f t="shared" ca="1" si="406"/>
        <v>0</v>
      </c>
      <c r="IE371" s="32">
        <f t="shared" ca="1" si="406"/>
        <v>0</v>
      </c>
      <c r="IF371" s="32">
        <f t="shared" ca="1" si="406"/>
        <v>0</v>
      </c>
      <c r="IG371" s="32">
        <f t="shared" ca="1" si="406"/>
        <v>0</v>
      </c>
      <c r="IH371" s="32">
        <f t="shared" ca="1" si="406"/>
        <v>0</v>
      </c>
      <c r="II371" s="32">
        <f t="shared" ca="1" si="406"/>
        <v>0</v>
      </c>
      <c r="IJ371" s="32">
        <f t="shared" ca="1" si="406"/>
        <v>0</v>
      </c>
      <c r="IK371" s="32">
        <f t="shared" ca="1" si="406"/>
        <v>0</v>
      </c>
    </row>
    <row r="372" spans="1:245" x14ac:dyDescent="0.35">
      <c r="A372" s="195" t="str">
        <f t="shared" si="364"/>
        <v>XXX</v>
      </c>
      <c r="B372" s="195" t="s">
        <v>35</v>
      </c>
    </row>
    <row r="373" spans="1:245" x14ac:dyDescent="0.35">
      <c r="A373" s="195" t="str">
        <f t="shared" si="364"/>
        <v>XXX</v>
      </c>
      <c r="B373" s="195">
        <f>IF(ENTRADAS!E15=0,0,1)</f>
        <v>1</v>
      </c>
      <c r="C373" s="1338" t="s">
        <v>1619</v>
      </c>
      <c r="D373" s="1339"/>
      <c r="E373" s="633">
        <f ca="1">IF(ENTRADAS!$F$22&lt;=4,COUNTIF(H373:IK373,1000),ROUNDUP((COUNTIF(H373:IK373,1000)/4),0)*(ENTRADAS!$F$22))</f>
        <v>102</v>
      </c>
      <c r="F373" s="1770" t="s">
        <v>101</v>
      </c>
      <c r="G373" s="1771"/>
      <c r="H373" s="32">
        <f ca="1">IF(H345+H346+H352+H353+H359+H360+H366+H367&gt;=1000,1000,1)</f>
        <v>1</v>
      </c>
      <c r="I373" s="32">
        <f t="shared" ref="I373:BT373" ca="1" si="407">IF(I345+I346+I352+I353+I359+I360+I366+I367&gt;=1000,1000,1)</f>
        <v>1</v>
      </c>
      <c r="J373" s="32">
        <f t="shared" ca="1" si="407"/>
        <v>1</v>
      </c>
      <c r="K373" s="32">
        <f t="shared" ca="1" si="407"/>
        <v>1</v>
      </c>
      <c r="L373" s="32">
        <f t="shared" ca="1" si="407"/>
        <v>1</v>
      </c>
      <c r="M373" s="32">
        <f t="shared" ca="1" si="407"/>
        <v>1</v>
      </c>
      <c r="N373" s="32">
        <f t="shared" ca="1" si="407"/>
        <v>1</v>
      </c>
      <c r="O373" s="32">
        <f t="shared" ca="1" si="407"/>
        <v>1</v>
      </c>
      <c r="P373" s="32">
        <f t="shared" ca="1" si="407"/>
        <v>1</v>
      </c>
      <c r="Q373" s="32">
        <f t="shared" ca="1" si="407"/>
        <v>1</v>
      </c>
      <c r="R373" s="32">
        <f t="shared" ca="1" si="407"/>
        <v>1</v>
      </c>
      <c r="S373" s="32">
        <f t="shared" ca="1" si="407"/>
        <v>1</v>
      </c>
      <c r="T373" s="32">
        <f t="shared" ca="1" si="407"/>
        <v>1</v>
      </c>
      <c r="U373" s="32">
        <f t="shared" ca="1" si="407"/>
        <v>1</v>
      </c>
      <c r="V373" s="32">
        <f t="shared" ca="1" si="407"/>
        <v>1</v>
      </c>
      <c r="W373" s="32">
        <f t="shared" ca="1" si="407"/>
        <v>1</v>
      </c>
      <c r="X373" s="32">
        <f t="shared" ca="1" si="407"/>
        <v>1</v>
      </c>
      <c r="Y373" s="32">
        <f t="shared" ca="1" si="407"/>
        <v>1</v>
      </c>
      <c r="Z373" s="32">
        <f t="shared" ca="1" si="407"/>
        <v>1</v>
      </c>
      <c r="AA373" s="32">
        <f t="shared" ca="1" si="407"/>
        <v>1</v>
      </c>
      <c r="AB373" s="32">
        <f t="shared" ca="1" si="407"/>
        <v>1</v>
      </c>
      <c r="AC373" s="32">
        <f t="shared" ca="1" si="407"/>
        <v>1</v>
      </c>
      <c r="AD373" s="32">
        <f t="shared" ca="1" si="407"/>
        <v>1</v>
      </c>
      <c r="AE373" s="32">
        <f t="shared" ca="1" si="407"/>
        <v>1</v>
      </c>
      <c r="AF373" s="32">
        <f t="shared" ca="1" si="407"/>
        <v>1</v>
      </c>
      <c r="AG373" s="32">
        <f t="shared" ca="1" si="407"/>
        <v>1</v>
      </c>
      <c r="AH373" s="32">
        <f t="shared" ca="1" si="407"/>
        <v>1</v>
      </c>
      <c r="AI373" s="32">
        <f t="shared" ca="1" si="407"/>
        <v>1</v>
      </c>
      <c r="AJ373" s="32">
        <f t="shared" ca="1" si="407"/>
        <v>1</v>
      </c>
      <c r="AK373" s="32">
        <f t="shared" ca="1" si="407"/>
        <v>1</v>
      </c>
      <c r="AL373" s="32">
        <f t="shared" ca="1" si="407"/>
        <v>1</v>
      </c>
      <c r="AM373" s="32">
        <f t="shared" ca="1" si="407"/>
        <v>1000</v>
      </c>
      <c r="AN373" s="32">
        <f t="shared" ca="1" si="407"/>
        <v>1000</v>
      </c>
      <c r="AO373" s="32">
        <f t="shared" ca="1" si="407"/>
        <v>1000</v>
      </c>
      <c r="AP373" s="32">
        <f t="shared" ca="1" si="407"/>
        <v>1000</v>
      </c>
      <c r="AQ373" s="32">
        <f t="shared" ca="1" si="407"/>
        <v>1000</v>
      </c>
      <c r="AR373" s="32">
        <f t="shared" ca="1" si="407"/>
        <v>1000</v>
      </c>
      <c r="AS373" s="32">
        <f t="shared" ca="1" si="407"/>
        <v>1000</v>
      </c>
      <c r="AT373" s="32">
        <f t="shared" ca="1" si="407"/>
        <v>1000</v>
      </c>
      <c r="AU373" s="32">
        <f t="shared" ca="1" si="407"/>
        <v>1000</v>
      </c>
      <c r="AV373" s="32">
        <f t="shared" ca="1" si="407"/>
        <v>1000</v>
      </c>
      <c r="AW373" s="32">
        <f t="shared" ca="1" si="407"/>
        <v>1000</v>
      </c>
      <c r="AX373" s="32">
        <f t="shared" ca="1" si="407"/>
        <v>1000</v>
      </c>
      <c r="AY373" s="32">
        <f t="shared" ca="1" si="407"/>
        <v>1000</v>
      </c>
      <c r="AZ373" s="32">
        <f t="shared" ca="1" si="407"/>
        <v>1000</v>
      </c>
      <c r="BA373" s="32">
        <f t="shared" ca="1" si="407"/>
        <v>1000</v>
      </c>
      <c r="BB373" s="32">
        <f t="shared" ca="1" si="407"/>
        <v>1000</v>
      </c>
      <c r="BC373" s="32">
        <f t="shared" ca="1" si="407"/>
        <v>1000</v>
      </c>
      <c r="BD373" s="32">
        <f t="shared" ca="1" si="407"/>
        <v>1000</v>
      </c>
      <c r="BE373" s="32">
        <f t="shared" ca="1" si="407"/>
        <v>1000</v>
      </c>
      <c r="BF373" s="32">
        <f t="shared" ca="1" si="407"/>
        <v>1000</v>
      </c>
      <c r="BG373" s="32">
        <f t="shared" ca="1" si="407"/>
        <v>1000</v>
      </c>
      <c r="BH373" s="32">
        <f t="shared" ca="1" si="407"/>
        <v>1000</v>
      </c>
      <c r="BI373" s="32">
        <f t="shared" ca="1" si="407"/>
        <v>1000</v>
      </c>
      <c r="BJ373" s="32">
        <f t="shared" ca="1" si="407"/>
        <v>1000</v>
      </c>
      <c r="BK373" s="32">
        <f t="shared" ca="1" si="407"/>
        <v>1000</v>
      </c>
      <c r="BL373" s="32">
        <f t="shared" ca="1" si="407"/>
        <v>1000</v>
      </c>
      <c r="BM373" s="32">
        <f t="shared" ca="1" si="407"/>
        <v>1000</v>
      </c>
      <c r="BN373" s="32">
        <f t="shared" ca="1" si="407"/>
        <v>1000</v>
      </c>
      <c r="BO373" s="32">
        <f t="shared" ca="1" si="407"/>
        <v>1000</v>
      </c>
      <c r="BP373" s="32">
        <f t="shared" ca="1" si="407"/>
        <v>1000</v>
      </c>
      <c r="BQ373" s="32">
        <f t="shared" ca="1" si="407"/>
        <v>1000</v>
      </c>
      <c r="BR373" s="32">
        <f t="shared" ca="1" si="407"/>
        <v>1000</v>
      </c>
      <c r="BS373" s="32">
        <f t="shared" ca="1" si="407"/>
        <v>1000</v>
      </c>
      <c r="BT373" s="32">
        <f t="shared" ca="1" si="407"/>
        <v>1000</v>
      </c>
      <c r="BU373" s="32">
        <f t="shared" ref="BU373:EF373" ca="1" si="408">IF(BU345+BU346+BU352+BU353+BU359+BU360+BU366+BU367&gt;=1000,1000,1)</f>
        <v>1000</v>
      </c>
      <c r="BV373" s="32">
        <f t="shared" ca="1" si="408"/>
        <v>1000</v>
      </c>
      <c r="BW373" s="32">
        <f t="shared" ca="1" si="408"/>
        <v>1000</v>
      </c>
      <c r="BX373" s="32">
        <f t="shared" ca="1" si="408"/>
        <v>1000</v>
      </c>
      <c r="BY373" s="32">
        <f t="shared" ca="1" si="408"/>
        <v>1000</v>
      </c>
      <c r="BZ373" s="32">
        <f t="shared" ca="1" si="408"/>
        <v>1000</v>
      </c>
      <c r="CA373" s="32">
        <f t="shared" ca="1" si="408"/>
        <v>1000</v>
      </c>
      <c r="CB373" s="32">
        <f t="shared" ca="1" si="408"/>
        <v>1000</v>
      </c>
      <c r="CC373" s="32">
        <f t="shared" ca="1" si="408"/>
        <v>1000</v>
      </c>
      <c r="CD373" s="32">
        <f t="shared" ca="1" si="408"/>
        <v>1000</v>
      </c>
      <c r="CE373" s="32">
        <f t="shared" ca="1" si="408"/>
        <v>1000</v>
      </c>
      <c r="CF373" s="32">
        <f t="shared" ca="1" si="408"/>
        <v>1000</v>
      </c>
      <c r="CG373" s="32">
        <f t="shared" ca="1" si="408"/>
        <v>1000</v>
      </c>
      <c r="CH373" s="32">
        <f t="shared" ca="1" si="408"/>
        <v>1000</v>
      </c>
      <c r="CI373" s="32">
        <f t="shared" ca="1" si="408"/>
        <v>1000</v>
      </c>
      <c r="CJ373" s="32">
        <f t="shared" ca="1" si="408"/>
        <v>1000</v>
      </c>
      <c r="CK373" s="32">
        <f t="shared" ca="1" si="408"/>
        <v>1000</v>
      </c>
      <c r="CL373" s="32">
        <f t="shared" ca="1" si="408"/>
        <v>1000</v>
      </c>
      <c r="CM373" s="32">
        <f t="shared" ca="1" si="408"/>
        <v>1000</v>
      </c>
      <c r="CN373" s="32">
        <f t="shared" ca="1" si="408"/>
        <v>1000</v>
      </c>
      <c r="CO373" s="32">
        <f t="shared" ca="1" si="408"/>
        <v>1000</v>
      </c>
      <c r="CP373" s="32">
        <f t="shared" ca="1" si="408"/>
        <v>1000</v>
      </c>
      <c r="CQ373" s="32">
        <f t="shared" ca="1" si="408"/>
        <v>1000</v>
      </c>
      <c r="CR373" s="32">
        <f t="shared" ca="1" si="408"/>
        <v>1000</v>
      </c>
      <c r="CS373" s="32">
        <f t="shared" ca="1" si="408"/>
        <v>1000</v>
      </c>
      <c r="CT373" s="32">
        <f t="shared" ca="1" si="408"/>
        <v>1000</v>
      </c>
      <c r="CU373" s="32">
        <f t="shared" ca="1" si="408"/>
        <v>1000</v>
      </c>
      <c r="CV373" s="32">
        <f t="shared" ca="1" si="408"/>
        <v>1000</v>
      </c>
      <c r="CW373" s="32">
        <f t="shared" ca="1" si="408"/>
        <v>1000</v>
      </c>
      <c r="CX373" s="32">
        <f t="shared" ca="1" si="408"/>
        <v>1000</v>
      </c>
      <c r="CY373" s="32">
        <f t="shared" ca="1" si="408"/>
        <v>1000</v>
      </c>
      <c r="CZ373" s="32">
        <f t="shared" ca="1" si="408"/>
        <v>1000</v>
      </c>
      <c r="DA373" s="32">
        <f t="shared" ca="1" si="408"/>
        <v>1000</v>
      </c>
      <c r="DB373" s="32">
        <f t="shared" ca="1" si="408"/>
        <v>1000</v>
      </c>
      <c r="DC373" s="32">
        <f t="shared" ca="1" si="408"/>
        <v>1000</v>
      </c>
      <c r="DD373" s="32">
        <f t="shared" ca="1" si="408"/>
        <v>1000</v>
      </c>
      <c r="DE373" s="32">
        <f t="shared" ca="1" si="408"/>
        <v>1000</v>
      </c>
      <c r="DF373" s="32">
        <f t="shared" ca="1" si="408"/>
        <v>1000</v>
      </c>
      <c r="DG373" s="32">
        <f t="shared" ca="1" si="408"/>
        <v>1000</v>
      </c>
      <c r="DH373" s="32">
        <f t="shared" ca="1" si="408"/>
        <v>1000</v>
      </c>
      <c r="DI373" s="32">
        <f t="shared" ca="1" si="408"/>
        <v>1000</v>
      </c>
      <c r="DJ373" s="32">
        <f t="shared" ca="1" si="408"/>
        <v>1000</v>
      </c>
      <c r="DK373" s="32">
        <f t="shared" ca="1" si="408"/>
        <v>1000</v>
      </c>
      <c r="DL373" s="32">
        <f t="shared" ca="1" si="408"/>
        <v>1000</v>
      </c>
      <c r="DM373" s="32">
        <f t="shared" ca="1" si="408"/>
        <v>1000</v>
      </c>
      <c r="DN373" s="32">
        <f t="shared" ca="1" si="408"/>
        <v>1000</v>
      </c>
      <c r="DO373" s="32">
        <f t="shared" ca="1" si="408"/>
        <v>1000</v>
      </c>
      <c r="DP373" s="32">
        <f t="shared" ca="1" si="408"/>
        <v>1000</v>
      </c>
      <c r="DQ373" s="32">
        <f t="shared" ca="1" si="408"/>
        <v>1000</v>
      </c>
      <c r="DR373" s="32">
        <f t="shared" ca="1" si="408"/>
        <v>1000</v>
      </c>
      <c r="DS373" s="32">
        <f t="shared" ca="1" si="408"/>
        <v>1000</v>
      </c>
      <c r="DT373" s="32">
        <f t="shared" ca="1" si="408"/>
        <v>1000</v>
      </c>
      <c r="DU373" s="32">
        <f t="shared" ca="1" si="408"/>
        <v>1000</v>
      </c>
      <c r="DV373" s="32">
        <f t="shared" ca="1" si="408"/>
        <v>1000</v>
      </c>
      <c r="DW373" s="32">
        <f t="shared" ca="1" si="408"/>
        <v>1000</v>
      </c>
      <c r="DX373" s="32">
        <f t="shared" ca="1" si="408"/>
        <v>1000</v>
      </c>
      <c r="DY373" s="32">
        <f t="shared" ca="1" si="408"/>
        <v>1000</v>
      </c>
      <c r="DZ373" s="32">
        <f t="shared" ca="1" si="408"/>
        <v>1000</v>
      </c>
      <c r="EA373" s="32">
        <f t="shared" ca="1" si="408"/>
        <v>1000</v>
      </c>
      <c r="EB373" s="32">
        <f t="shared" ca="1" si="408"/>
        <v>1000</v>
      </c>
      <c r="EC373" s="32">
        <f t="shared" ca="1" si="408"/>
        <v>1000</v>
      </c>
      <c r="ED373" s="32">
        <f t="shared" ca="1" si="408"/>
        <v>1000</v>
      </c>
      <c r="EE373" s="32">
        <f t="shared" ca="1" si="408"/>
        <v>1000</v>
      </c>
      <c r="EF373" s="32">
        <f t="shared" ca="1" si="408"/>
        <v>1000</v>
      </c>
      <c r="EG373" s="32">
        <f t="shared" ref="EG373:GR373" ca="1" si="409">IF(EG345+EG346+EG352+EG353+EG359+EG360+EG366+EG367&gt;=1000,1000,1)</f>
        <v>1000</v>
      </c>
      <c r="EH373" s="32">
        <f t="shared" ca="1" si="409"/>
        <v>1000</v>
      </c>
      <c r="EI373" s="32">
        <f t="shared" ca="1" si="409"/>
        <v>1000</v>
      </c>
      <c r="EJ373" s="32">
        <f t="shared" ca="1" si="409"/>
        <v>1000</v>
      </c>
      <c r="EK373" s="32">
        <f t="shared" ca="1" si="409"/>
        <v>1</v>
      </c>
      <c r="EL373" s="32">
        <f t="shared" ca="1" si="409"/>
        <v>1</v>
      </c>
      <c r="EM373" s="32">
        <f t="shared" ca="1" si="409"/>
        <v>1</v>
      </c>
      <c r="EN373" s="32">
        <f t="shared" ca="1" si="409"/>
        <v>1</v>
      </c>
      <c r="EO373" s="32">
        <f t="shared" ca="1" si="409"/>
        <v>1</v>
      </c>
      <c r="EP373" s="32">
        <f t="shared" ca="1" si="409"/>
        <v>1</v>
      </c>
      <c r="EQ373" s="32">
        <f t="shared" ca="1" si="409"/>
        <v>1</v>
      </c>
      <c r="ER373" s="32">
        <f t="shared" ca="1" si="409"/>
        <v>1</v>
      </c>
      <c r="ES373" s="32">
        <f t="shared" ca="1" si="409"/>
        <v>1</v>
      </c>
      <c r="ET373" s="32">
        <f t="shared" ca="1" si="409"/>
        <v>1</v>
      </c>
      <c r="EU373" s="32">
        <f t="shared" ca="1" si="409"/>
        <v>1</v>
      </c>
      <c r="EV373" s="32">
        <f t="shared" ca="1" si="409"/>
        <v>1</v>
      </c>
      <c r="EW373" s="32">
        <f t="shared" ca="1" si="409"/>
        <v>1</v>
      </c>
      <c r="EX373" s="32">
        <f t="shared" ca="1" si="409"/>
        <v>1</v>
      </c>
      <c r="EY373" s="32">
        <f t="shared" ca="1" si="409"/>
        <v>1</v>
      </c>
      <c r="EZ373" s="32">
        <f t="shared" ca="1" si="409"/>
        <v>1</v>
      </c>
      <c r="FA373" s="32">
        <f t="shared" ca="1" si="409"/>
        <v>1</v>
      </c>
      <c r="FB373" s="32">
        <f t="shared" ca="1" si="409"/>
        <v>1</v>
      </c>
      <c r="FC373" s="32">
        <f t="shared" ca="1" si="409"/>
        <v>1</v>
      </c>
      <c r="FD373" s="32">
        <f t="shared" ca="1" si="409"/>
        <v>1</v>
      </c>
      <c r="FE373" s="32">
        <f t="shared" ca="1" si="409"/>
        <v>1</v>
      </c>
      <c r="FF373" s="32">
        <f t="shared" ca="1" si="409"/>
        <v>1</v>
      </c>
      <c r="FG373" s="32">
        <f t="shared" ca="1" si="409"/>
        <v>1</v>
      </c>
      <c r="FH373" s="32">
        <f t="shared" ca="1" si="409"/>
        <v>1</v>
      </c>
      <c r="FI373" s="32">
        <f t="shared" ca="1" si="409"/>
        <v>1</v>
      </c>
      <c r="FJ373" s="32">
        <f t="shared" ca="1" si="409"/>
        <v>1</v>
      </c>
      <c r="FK373" s="32">
        <f t="shared" ca="1" si="409"/>
        <v>1</v>
      </c>
      <c r="FL373" s="32">
        <f t="shared" ca="1" si="409"/>
        <v>1</v>
      </c>
      <c r="FM373" s="32">
        <f t="shared" ca="1" si="409"/>
        <v>1</v>
      </c>
      <c r="FN373" s="32">
        <f t="shared" ca="1" si="409"/>
        <v>1</v>
      </c>
      <c r="FO373" s="32">
        <f t="shared" ca="1" si="409"/>
        <v>1</v>
      </c>
      <c r="FP373" s="32">
        <f t="shared" ca="1" si="409"/>
        <v>1</v>
      </c>
      <c r="FQ373" s="32">
        <f t="shared" ca="1" si="409"/>
        <v>1</v>
      </c>
      <c r="FR373" s="32">
        <f t="shared" ca="1" si="409"/>
        <v>1</v>
      </c>
      <c r="FS373" s="32">
        <f t="shared" ca="1" si="409"/>
        <v>1</v>
      </c>
      <c r="FT373" s="32">
        <f t="shared" ca="1" si="409"/>
        <v>1</v>
      </c>
      <c r="FU373" s="32">
        <f t="shared" ca="1" si="409"/>
        <v>1</v>
      </c>
      <c r="FV373" s="32">
        <f t="shared" ca="1" si="409"/>
        <v>1</v>
      </c>
      <c r="FW373" s="32">
        <f t="shared" ca="1" si="409"/>
        <v>1</v>
      </c>
      <c r="FX373" s="32">
        <f t="shared" ca="1" si="409"/>
        <v>1</v>
      </c>
      <c r="FY373" s="32">
        <f t="shared" ca="1" si="409"/>
        <v>1</v>
      </c>
      <c r="FZ373" s="32">
        <f t="shared" ca="1" si="409"/>
        <v>1</v>
      </c>
      <c r="GA373" s="32">
        <f t="shared" ca="1" si="409"/>
        <v>1</v>
      </c>
      <c r="GB373" s="32">
        <f t="shared" ca="1" si="409"/>
        <v>1</v>
      </c>
      <c r="GC373" s="32">
        <f t="shared" ca="1" si="409"/>
        <v>1</v>
      </c>
      <c r="GD373" s="32">
        <f t="shared" ca="1" si="409"/>
        <v>1</v>
      </c>
      <c r="GE373" s="32">
        <f t="shared" ca="1" si="409"/>
        <v>1</v>
      </c>
      <c r="GF373" s="32">
        <f t="shared" ca="1" si="409"/>
        <v>1</v>
      </c>
      <c r="GG373" s="32">
        <f t="shared" ca="1" si="409"/>
        <v>1</v>
      </c>
      <c r="GH373" s="32">
        <f t="shared" ca="1" si="409"/>
        <v>1</v>
      </c>
      <c r="GI373" s="32">
        <f t="shared" ca="1" si="409"/>
        <v>1</v>
      </c>
      <c r="GJ373" s="32">
        <f t="shared" ca="1" si="409"/>
        <v>1</v>
      </c>
      <c r="GK373" s="32">
        <f t="shared" ca="1" si="409"/>
        <v>1</v>
      </c>
      <c r="GL373" s="32">
        <f t="shared" ca="1" si="409"/>
        <v>1</v>
      </c>
      <c r="GM373" s="32">
        <f t="shared" ca="1" si="409"/>
        <v>1</v>
      </c>
      <c r="GN373" s="32">
        <f t="shared" ca="1" si="409"/>
        <v>1</v>
      </c>
      <c r="GO373" s="32">
        <f t="shared" ca="1" si="409"/>
        <v>1</v>
      </c>
      <c r="GP373" s="32">
        <f t="shared" ca="1" si="409"/>
        <v>1</v>
      </c>
      <c r="GQ373" s="32">
        <f t="shared" ca="1" si="409"/>
        <v>1</v>
      </c>
      <c r="GR373" s="32">
        <f t="shared" ca="1" si="409"/>
        <v>1</v>
      </c>
      <c r="GS373" s="32">
        <f t="shared" ref="GS373:IK373" ca="1" si="410">IF(GS345+GS346+GS352+GS353+GS359+GS360+GS366+GS367&gt;=1000,1000,1)</f>
        <v>1</v>
      </c>
      <c r="GT373" s="32">
        <f t="shared" ca="1" si="410"/>
        <v>1</v>
      </c>
      <c r="GU373" s="32">
        <f t="shared" ca="1" si="410"/>
        <v>1</v>
      </c>
      <c r="GV373" s="32">
        <f t="shared" ca="1" si="410"/>
        <v>1</v>
      </c>
      <c r="GW373" s="32">
        <f t="shared" ca="1" si="410"/>
        <v>1</v>
      </c>
      <c r="GX373" s="32">
        <f t="shared" ca="1" si="410"/>
        <v>1</v>
      </c>
      <c r="GY373" s="32">
        <f t="shared" ca="1" si="410"/>
        <v>1</v>
      </c>
      <c r="GZ373" s="32">
        <f t="shared" ca="1" si="410"/>
        <v>1</v>
      </c>
      <c r="HA373" s="32">
        <f t="shared" ca="1" si="410"/>
        <v>1</v>
      </c>
      <c r="HB373" s="32">
        <f t="shared" ca="1" si="410"/>
        <v>1</v>
      </c>
      <c r="HC373" s="32">
        <f t="shared" ca="1" si="410"/>
        <v>1</v>
      </c>
      <c r="HD373" s="32">
        <f t="shared" ca="1" si="410"/>
        <v>1</v>
      </c>
      <c r="HE373" s="32">
        <f t="shared" ca="1" si="410"/>
        <v>1</v>
      </c>
      <c r="HF373" s="32">
        <f t="shared" ca="1" si="410"/>
        <v>1</v>
      </c>
      <c r="HG373" s="32">
        <f t="shared" ca="1" si="410"/>
        <v>1</v>
      </c>
      <c r="HH373" s="32">
        <f t="shared" ca="1" si="410"/>
        <v>1</v>
      </c>
      <c r="HI373" s="32">
        <f t="shared" ca="1" si="410"/>
        <v>1</v>
      </c>
      <c r="HJ373" s="32">
        <f t="shared" ca="1" si="410"/>
        <v>1</v>
      </c>
      <c r="HK373" s="32">
        <f t="shared" ca="1" si="410"/>
        <v>1</v>
      </c>
      <c r="HL373" s="32">
        <f t="shared" ca="1" si="410"/>
        <v>1</v>
      </c>
      <c r="HM373" s="32">
        <f t="shared" ca="1" si="410"/>
        <v>1</v>
      </c>
      <c r="HN373" s="32">
        <f t="shared" ca="1" si="410"/>
        <v>1</v>
      </c>
      <c r="HO373" s="32">
        <f t="shared" ca="1" si="410"/>
        <v>1</v>
      </c>
      <c r="HP373" s="32">
        <f t="shared" ca="1" si="410"/>
        <v>1</v>
      </c>
      <c r="HQ373" s="32">
        <f t="shared" ca="1" si="410"/>
        <v>1</v>
      </c>
      <c r="HR373" s="32">
        <f t="shared" ca="1" si="410"/>
        <v>1</v>
      </c>
      <c r="HS373" s="32">
        <f t="shared" ca="1" si="410"/>
        <v>1</v>
      </c>
      <c r="HT373" s="32">
        <f t="shared" ca="1" si="410"/>
        <v>1</v>
      </c>
      <c r="HU373" s="32">
        <f t="shared" ca="1" si="410"/>
        <v>1</v>
      </c>
      <c r="HV373" s="32">
        <f t="shared" ca="1" si="410"/>
        <v>1</v>
      </c>
      <c r="HW373" s="32">
        <f t="shared" ca="1" si="410"/>
        <v>1</v>
      </c>
      <c r="HX373" s="32">
        <f t="shared" ca="1" si="410"/>
        <v>1</v>
      </c>
      <c r="HY373" s="32">
        <f t="shared" ca="1" si="410"/>
        <v>1</v>
      </c>
      <c r="HZ373" s="32">
        <f t="shared" ca="1" si="410"/>
        <v>1</v>
      </c>
      <c r="IA373" s="32">
        <f t="shared" ca="1" si="410"/>
        <v>1</v>
      </c>
      <c r="IB373" s="32">
        <f t="shared" ca="1" si="410"/>
        <v>1</v>
      </c>
      <c r="IC373" s="32">
        <f t="shared" ca="1" si="410"/>
        <v>1</v>
      </c>
      <c r="ID373" s="32">
        <f t="shared" ca="1" si="410"/>
        <v>1</v>
      </c>
      <c r="IE373" s="32">
        <f t="shared" ca="1" si="410"/>
        <v>1</v>
      </c>
      <c r="IF373" s="32">
        <f t="shared" ca="1" si="410"/>
        <v>1</v>
      </c>
      <c r="IG373" s="32">
        <f t="shared" ca="1" si="410"/>
        <v>1</v>
      </c>
      <c r="IH373" s="32">
        <f t="shared" ca="1" si="410"/>
        <v>1</v>
      </c>
      <c r="II373" s="32">
        <f t="shared" ca="1" si="410"/>
        <v>1</v>
      </c>
      <c r="IJ373" s="32">
        <f t="shared" ca="1" si="410"/>
        <v>1</v>
      </c>
      <c r="IK373" s="32">
        <f t="shared" ca="1" si="410"/>
        <v>1</v>
      </c>
    </row>
    <row r="374" spans="1:245" ht="4.5" customHeight="1" x14ac:dyDescent="0.35">
      <c r="A374" s="195" t="str">
        <f t="shared" si="364"/>
        <v>XXX</v>
      </c>
      <c r="B374" s="195" t="s">
        <v>35</v>
      </c>
      <c r="C374" s="634"/>
      <c r="D374" s="634"/>
      <c r="E374" s="627"/>
      <c r="F374" s="635"/>
      <c r="G374" s="635"/>
    </row>
    <row r="375" spans="1:245" x14ac:dyDescent="0.35">
      <c r="A375" s="195" t="str">
        <f t="shared" si="364"/>
        <v>XXX</v>
      </c>
      <c r="B375" s="195">
        <f>IF(ENTRADAS!E15=0,0,1)</f>
        <v>1</v>
      </c>
      <c r="C375" s="1338" t="s">
        <v>1620</v>
      </c>
      <c r="D375" s="1339"/>
      <c r="E375" s="633">
        <f ca="1">IF(ENTRADAS!$F$22&lt;=4,COUNTIF(H375:IK375,1),ROUNDUP((COUNTIF(H375:IK375,1)/3),0)*(ENTRADAS!$F$22-1))</f>
        <v>0</v>
      </c>
      <c r="F375" s="1770" t="s">
        <v>101</v>
      </c>
      <c r="G375" s="1771"/>
      <c r="H375" s="32">
        <f t="shared" ref="H375:BS375" ca="1" si="411">IF(AND(H373=1,H392&gt;1,H392&lt;LARGE($H$396:$IK$396,1),H394&lt;LARGE($H$396:$IK$396,1)),1,0)</f>
        <v>0</v>
      </c>
      <c r="I375" s="32">
        <f t="shared" ca="1" si="411"/>
        <v>0</v>
      </c>
      <c r="J375" s="32">
        <f t="shared" ca="1" si="411"/>
        <v>0</v>
      </c>
      <c r="K375" s="32">
        <f t="shared" ca="1" si="411"/>
        <v>0</v>
      </c>
      <c r="L375" s="32">
        <f t="shared" ca="1" si="411"/>
        <v>0</v>
      </c>
      <c r="M375" s="32">
        <f t="shared" ca="1" si="411"/>
        <v>0</v>
      </c>
      <c r="N375" s="32">
        <f t="shared" ca="1" si="411"/>
        <v>0</v>
      </c>
      <c r="O375" s="32">
        <f t="shared" ca="1" si="411"/>
        <v>0</v>
      </c>
      <c r="P375" s="32">
        <f t="shared" ca="1" si="411"/>
        <v>0</v>
      </c>
      <c r="Q375" s="32">
        <f t="shared" ca="1" si="411"/>
        <v>0</v>
      </c>
      <c r="R375" s="32">
        <f t="shared" ca="1" si="411"/>
        <v>0</v>
      </c>
      <c r="S375" s="32">
        <f t="shared" ca="1" si="411"/>
        <v>0</v>
      </c>
      <c r="T375" s="32">
        <f t="shared" ca="1" si="411"/>
        <v>0</v>
      </c>
      <c r="U375" s="32">
        <f t="shared" ca="1" si="411"/>
        <v>0</v>
      </c>
      <c r="V375" s="32">
        <f t="shared" ca="1" si="411"/>
        <v>0</v>
      </c>
      <c r="W375" s="32">
        <f t="shared" ca="1" si="411"/>
        <v>0</v>
      </c>
      <c r="X375" s="32">
        <f t="shared" ca="1" si="411"/>
        <v>0</v>
      </c>
      <c r="Y375" s="32">
        <f t="shared" ca="1" si="411"/>
        <v>0</v>
      </c>
      <c r="Z375" s="32">
        <f t="shared" ca="1" si="411"/>
        <v>0</v>
      </c>
      <c r="AA375" s="32">
        <f t="shared" ca="1" si="411"/>
        <v>0</v>
      </c>
      <c r="AB375" s="32">
        <f t="shared" ca="1" si="411"/>
        <v>0</v>
      </c>
      <c r="AC375" s="32">
        <f t="shared" ca="1" si="411"/>
        <v>0</v>
      </c>
      <c r="AD375" s="32">
        <f t="shared" ca="1" si="411"/>
        <v>0</v>
      </c>
      <c r="AE375" s="32">
        <f t="shared" ca="1" si="411"/>
        <v>0</v>
      </c>
      <c r="AF375" s="32">
        <f t="shared" ca="1" si="411"/>
        <v>0</v>
      </c>
      <c r="AG375" s="32">
        <f t="shared" ca="1" si="411"/>
        <v>0</v>
      </c>
      <c r="AH375" s="32">
        <f t="shared" ca="1" si="411"/>
        <v>0</v>
      </c>
      <c r="AI375" s="32">
        <f t="shared" ca="1" si="411"/>
        <v>0</v>
      </c>
      <c r="AJ375" s="32">
        <f t="shared" ca="1" si="411"/>
        <v>0</v>
      </c>
      <c r="AK375" s="32">
        <f t="shared" ca="1" si="411"/>
        <v>0</v>
      </c>
      <c r="AL375" s="32">
        <f t="shared" ca="1" si="411"/>
        <v>0</v>
      </c>
      <c r="AM375" s="32">
        <f t="shared" ca="1" si="411"/>
        <v>0</v>
      </c>
      <c r="AN375" s="32">
        <f t="shared" ca="1" si="411"/>
        <v>0</v>
      </c>
      <c r="AO375" s="32">
        <f t="shared" ca="1" si="411"/>
        <v>0</v>
      </c>
      <c r="AP375" s="32">
        <f t="shared" ca="1" si="411"/>
        <v>0</v>
      </c>
      <c r="AQ375" s="32">
        <f t="shared" ca="1" si="411"/>
        <v>0</v>
      </c>
      <c r="AR375" s="32">
        <f t="shared" ca="1" si="411"/>
        <v>0</v>
      </c>
      <c r="AS375" s="32">
        <f t="shared" ca="1" si="411"/>
        <v>0</v>
      </c>
      <c r="AT375" s="32">
        <f t="shared" ca="1" si="411"/>
        <v>0</v>
      </c>
      <c r="AU375" s="32">
        <f t="shared" ca="1" si="411"/>
        <v>0</v>
      </c>
      <c r="AV375" s="32">
        <f t="shared" ca="1" si="411"/>
        <v>0</v>
      </c>
      <c r="AW375" s="32">
        <f t="shared" ca="1" si="411"/>
        <v>0</v>
      </c>
      <c r="AX375" s="32">
        <f t="shared" ca="1" si="411"/>
        <v>0</v>
      </c>
      <c r="AY375" s="32">
        <f t="shared" ca="1" si="411"/>
        <v>0</v>
      </c>
      <c r="AZ375" s="32">
        <f t="shared" ca="1" si="411"/>
        <v>0</v>
      </c>
      <c r="BA375" s="32">
        <f t="shared" ca="1" si="411"/>
        <v>0</v>
      </c>
      <c r="BB375" s="32">
        <f t="shared" ca="1" si="411"/>
        <v>0</v>
      </c>
      <c r="BC375" s="32">
        <f t="shared" ca="1" si="411"/>
        <v>0</v>
      </c>
      <c r="BD375" s="32">
        <f t="shared" ca="1" si="411"/>
        <v>0</v>
      </c>
      <c r="BE375" s="32">
        <f t="shared" ca="1" si="411"/>
        <v>0</v>
      </c>
      <c r="BF375" s="32">
        <f t="shared" ca="1" si="411"/>
        <v>0</v>
      </c>
      <c r="BG375" s="32">
        <f t="shared" ca="1" si="411"/>
        <v>0</v>
      </c>
      <c r="BH375" s="32">
        <f t="shared" ca="1" si="411"/>
        <v>0</v>
      </c>
      <c r="BI375" s="32">
        <f t="shared" ca="1" si="411"/>
        <v>0</v>
      </c>
      <c r="BJ375" s="32">
        <f t="shared" ca="1" si="411"/>
        <v>0</v>
      </c>
      <c r="BK375" s="32">
        <f t="shared" ca="1" si="411"/>
        <v>0</v>
      </c>
      <c r="BL375" s="32">
        <f t="shared" ca="1" si="411"/>
        <v>0</v>
      </c>
      <c r="BM375" s="32">
        <f t="shared" ca="1" si="411"/>
        <v>0</v>
      </c>
      <c r="BN375" s="32">
        <f t="shared" ca="1" si="411"/>
        <v>0</v>
      </c>
      <c r="BO375" s="32">
        <f t="shared" ca="1" si="411"/>
        <v>0</v>
      </c>
      <c r="BP375" s="32">
        <f t="shared" ca="1" si="411"/>
        <v>0</v>
      </c>
      <c r="BQ375" s="32">
        <f t="shared" ca="1" si="411"/>
        <v>0</v>
      </c>
      <c r="BR375" s="32">
        <f t="shared" ca="1" si="411"/>
        <v>0</v>
      </c>
      <c r="BS375" s="32">
        <f t="shared" ca="1" si="411"/>
        <v>0</v>
      </c>
      <c r="BT375" s="32">
        <f t="shared" ref="BT375:EE375" ca="1" si="412">IF(AND(BT373=1,BT392&gt;1,BT392&lt;LARGE($H$396:$IK$396,1),BT394&lt;LARGE($H$396:$IK$396,1)),1,0)</f>
        <v>0</v>
      </c>
      <c r="BU375" s="32">
        <f t="shared" ca="1" si="412"/>
        <v>0</v>
      </c>
      <c r="BV375" s="32">
        <f t="shared" ca="1" si="412"/>
        <v>0</v>
      </c>
      <c r="BW375" s="32">
        <f t="shared" ca="1" si="412"/>
        <v>0</v>
      </c>
      <c r="BX375" s="32">
        <f t="shared" ca="1" si="412"/>
        <v>0</v>
      </c>
      <c r="BY375" s="32">
        <f t="shared" ca="1" si="412"/>
        <v>0</v>
      </c>
      <c r="BZ375" s="32">
        <f t="shared" ca="1" si="412"/>
        <v>0</v>
      </c>
      <c r="CA375" s="32">
        <f t="shared" ca="1" si="412"/>
        <v>0</v>
      </c>
      <c r="CB375" s="32">
        <f t="shared" ca="1" si="412"/>
        <v>0</v>
      </c>
      <c r="CC375" s="32">
        <f t="shared" ca="1" si="412"/>
        <v>0</v>
      </c>
      <c r="CD375" s="32">
        <f t="shared" ca="1" si="412"/>
        <v>0</v>
      </c>
      <c r="CE375" s="32">
        <f t="shared" ca="1" si="412"/>
        <v>0</v>
      </c>
      <c r="CF375" s="32">
        <f t="shared" ca="1" si="412"/>
        <v>0</v>
      </c>
      <c r="CG375" s="32">
        <f t="shared" ca="1" si="412"/>
        <v>0</v>
      </c>
      <c r="CH375" s="32">
        <f t="shared" ca="1" si="412"/>
        <v>0</v>
      </c>
      <c r="CI375" s="32">
        <f t="shared" ca="1" si="412"/>
        <v>0</v>
      </c>
      <c r="CJ375" s="32">
        <f t="shared" ca="1" si="412"/>
        <v>0</v>
      </c>
      <c r="CK375" s="32">
        <f t="shared" ca="1" si="412"/>
        <v>0</v>
      </c>
      <c r="CL375" s="32">
        <f t="shared" ca="1" si="412"/>
        <v>0</v>
      </c>
      <c r="CM375" s="32">
        <f t="shared" ca="1" si="412"/>
        <v>0</v>
      </c>
      <c r="CN375" s="32">
        <f t="shared" ca="1" si="412"/>
        <v>0</v>
      </c>
      <c r="CO375" s="32">
        <f t="shared" ca="1" si="412"/>
        <v>0</v>
      </c>
      <c r="CP375" s="32">
        <f t="shared" ca="1" si="412"/>
        <v>0</v>
      </c>
      <c r="CQ375" s="32">
        <f t="shared" ca="1" si="412"/>
        <v>0</v>
      </c>
      <c r="CR375" s="32">
        <f t="shared" ca="1" si="412"/>
        <v>0</v>
      </c>
      <c r="CS375" s="32">
        <f t="shared" ca="1" si="412"/>
        <v>0</v>
      </c>
      <c r="CT375" s="32">
        <f t="shared" ca="1" si="412"/>
        <v>0</v>
      </c>
      <c r="CU375" s="32">
        <f t="shared" ca="1" si="412"/>
        <v>0</v>
      </c>
      <c r="CV375" s="32">
        <f t="shared" ca="1" si="412"/>
        <v>0</v>
      </c>
      <c r="CW375" s="32">
        <f t="shared" ca="1" si="412"/>
        <v>0</v>
      </c>
      <c r="CX375" s="32">
        <f t="shared" ca="1" si="412"/>
        <v>0</v>
      </c>
      <c r="CY375" s="32">
        <f t="shared" ca="1" si="412"/>
        <v>0</v>
      </c>
      <c r="CZ375" s="32">
        <f t="shared" ca="1" si="412"/>
        <v>0</v>
      </c>
      <c r="DA375" s="32">
        <f t="shared" ca="1" si="412"/>
        <v>0</v>
      </c>
      <c r="DB375" s="32">
        <f t="shared" ca="1" si="412"/>
        <v>0</v>
      </c>
      <c r="DC375" s="32">
        <f t="shared" ca="1" si="412"/>
        <v>0</v>
      </c>
      <c r="DD375" s="32">
        <f t="shared" ca="1" si="412"/>
        <v>0</v>
      </c>
      <c r="DE375" s="32">
        <f t="shared" ca="1" si="412"/>
        <v>0</v>
      </c>
      <c r="DF375" s="32">
        <f t="shared" ca="1" si="412"/>
        <v>0</v>
      </c>
      <c r="DG375" s="32">
        <f t="shared" ca="1" si="412"/>
        <v>0</v>
      </c>
      <c r="DH375" s="32">
        <f t="shared" ca="1" si="412"/>
        <v>0</v>
      </c>
      <c r="DI375" s="32">
        <f t="shared" ca="1" si="412"/>
        <v>0</v>
      </c>
      <c r="DJ375" s="32">
        <f t="shared" ca="1" si="412"/>
        <v>0</v>
      </c>
      <c r="DK375" s="32">
        <f t="shared" ca="1" si="412"/>
        <v>0</v>
      </c>
      <c r="DL375" s="32">
        <f t="shared" ca="1" si="412"/>
        <v>0</v>
      </c>
      <c r="DM375" s="32">
        <f t="shared" ca="1" si="412"/>
        <v>0</v>
      </c>
      <c r="DN375" s="32">
        <f t="shared" ca="1" si="412"/>
        <v>0</v>
      </c>
      <c r="DO375" s="32">
        <f t="shared" ca="1" si="412"/>
        <v>0</v>
      </c>
      <c r="DP375" s="32">
        <f t="shared" ca="1" si="412"/>
        <v>0</v>
      </c>
      <c r="DQ375" s="32">
        <f t="shared" ca="1" si="412"/>
        <v>0</v>
      </c>
      <c r="DR375" s="32">
        <f t="shared" ca="1" si="412"/>
        <v>0</v>
      </c>
      <c r="DS375" s="32">
        <f t="shared" ca="1" si="412"/>
        <v>0</v>
      </c>
      <c r="DT375" s="32">
        <f t="shared" ca="1" si="412"/>
        <v>0</v>
      </c>
      <c r="DU375" s="32">
        <f t="shared" ca="1" si="412"/>
        <v>0</v>
      </c>
      <c r="DV375" s="32">
        <f t="shared" ca="1" si="412"/>
        <v>0</v>
      </c>
      <c r="DW375" s="32">
        <f t="shared" ca="1" si="412"/>
        <v>0</v>
      </c>
      <c r="DX375" s="32">
        <f t="shared" ca="1" si="412"/>
        <v>0</v>
      </c>
      <c r="DY375" s="32">
        <f t="shared" ca="1" si="412"/>
        <v>0</v>
      </c>
      <c r="DZ375" s="32">
        <f t="shared" ca="1" si="412"/>
        <v>0</v>
      </c>
      <c r="EA375" s="32">
        <f t="shared" ca="1" si="412"/>
        <v>0</v>
      </c>
      <c r="EB375" s="32">
        <f t="shared" ca="1" si="412"/>
        <v>0</v>
      </c>
      <c r="EC375" s="32">
        <f t="shared" ca="1" si="412"/>
        <v>0</v>
      </c>
      <c r="ED375" s="32">
        <f t="shared" ca="1" si="412"/>
        <v>0</v>
      </c>
      <c r="EE375" s="32">
        <f t="shared" ca="1" si="412"/>
        <v>0</v>
      </c>
      <c r="EF375" s="32">
        <f t="shared" ref="EF375:GQ375" ca="1" si="413">IF(AND(EF373=1,EF392&gt;1,EF392&lt;LARGE($H$396:$IK$396,1),EF394&lt;LARGE($H$396:$IK$396,1)),1,0)</f>
        <v>0</v>
      </c>
      <c r="EG375" s="32">
        <f t="shared" ca="1" si="413"/>
        <v>0</v>
      </c>
      <c r="EH375" s="32">
        <f t="shared" ca="1" si="413"/>
        <v>0</v>
      </c>
      <c r="EI375" s="32">
        <f t="shared" ca="1" si="413"/>
        <v>0</v>
      </c>
      <c r="EJ375" s="32">
        <f t="shared" ca="1" si="413"/>
        <v>0</v>
      </c>
      <c r="EK375" s="32">
        <f t="shared" ca="1" si="413"/>
        <v>0</v>
      </c>
      <c r="EL375" s="32">
        <f t="shared" ca="1" si="413"/>
        <v>0</v>
      </c>
      <c r="EM375" s="32">
        <f t="shared" ca="1" si="413"/>
        <v>0</v>
      </c>
      <c r="EN375" s="32">
        <f t="shared" ca="1" si="413"/>
        <v>0</v>
      </c>
      <c r="EO375" s="32">
        <f t="shared" ca="1" si="413"/>
        <v>0</v>
      </c>
      <c r="EP375" s="32">
        <f t="shared" ca="1" si="413"/>
        <v>0</v>
      </c>
      <c r="EQ375" s="32">
        <f t="shared" ca="1" si="413"/>
        <v>0</v>
      </c>
      <c r="ER375" s="32">
        <f t="shared" ca="1" si="413"/>
        <v>0</v>
      </c>
      <c r="ES375" s="32">
        <f t="shared" ca="1" si="413"/>
        <v>0</v>
      </c>
      <c r="ET375" s="32">
        <f t="shared" ca="1" si="413"/>
        <v>0</v>
      </c>
      <c r="EU375" s="32">
        <f t="shared" ca="1" si="413"/>
        <v>0</v>
      </c>
      <c r="EV375" s="32">
        <f t="shared" ca="1" si="413"/>
        <v>0</v>
      </c>
      <c r="EW375" s="32">
        <f t="shared" ca="1" si="413"/>
        <v>0</v>
      </c>
      <c r="EX375" s="32">
        <f t="shared" ca="1" si="413"/>
        <v>0</v>
      </c>
      <c r="EY375" s="32">
        <f t="shared" ca="1" si="413"/>
        <v>0</v>
      </c>
      <c r="EZ375" s="32">
        <f t="shared" ca="1" si="413"/>
        <v>0</v>
      </c>
      <c r="FA375" s="32">
        <f t="shared" ca="1" si="413"/>
        <v>0</v>
      </c>
      <c r="FB375" s="32">
        <f t="shared" ca="1" si="413"/>
        <v>0</v>
      </c>
      <c r="FC375" s="32">
        <f t="shared" ca="1" si="413"/>
        <v>0</v>
      </c>
      <c r="FD375" s="32">
        <f t="shared" ca="1" si="413"/>
        <v>0</v>
      </c>
      <c r="FE375" s="32">
        <f t="shared" ca="1" si="413"/>
        <v>0</v>
      </c>
      <c r="FF375" s="32">
        <f t="shared" ca="1" si="413"/>
        <v>0</v>
      </c>
      <c r="FG375" s="32">
        <f t="shared" ca="1" si="413"/>
        <v>0</v>
      </c>
      <c r="FH375" s="32">
        <f t="shared" ca="1" si="413"/>
        <v>0</v>
      </c>
      <c r="FI375" s="32">
        <f t="shared" ca="1" si="413"/>
        <v>0</v>
      </c>
      <c r="FJ375" s="32">
        <f t="shared" ca="1" si="413"/>
        <v>0</v>
      </c>
      <c r="FK375" s="32">
        <f t="shared" ca="1" si="413"/>
        <v>0</v>
      </c>
      <c r="FL375" s="32">
        <f t="shared" ca="1" si="413"/>
        <v>0</v>
      </c>
      <c r="FM375" s="32">
        <f t="shared" ca="1" si="413"/>
        <v>0</v>
      </c>
      <c r="FN375" s="32">
        <f t="shared" ca="1" si="413"/>
        <v>0</v>
      </c>
      <c r="FO375" s="32">
        <f t="shared" ca="1" si="413"/>
        <v>0</v>
      </c>
      <c r="FP375" s="32">
        <f t="shared" ca="1" si="413"/>
        <v>0</v>
      </c>
      <c r="FQ375" s="32">
        <f t="shared" ca="1" si="413"/>
        <v>0</v>
      </c>
      <c r="FR375" s="32">
        <f t="shared" ca="1" si="413"/>
        <v>0</v>
      </c>
      <c r="FS375" s="32">
        <f t="shared" ca="1" si="413"/>
        <v>0</v>
      </c>
      <c r="FT375" s="32">
        <f t="shared" ca="1" si="413"/>
        <v>0</v>
      </c>
      <c r="FU375" s="32">
        <f t="shared" ca="1" si="413"/>
        <v>0</v>
      </c>
      <c r="FV375" s="32">
        <f t="shared" ca="1" si="413"/>
        <v>0</v>
      </c>
      <c r="FW375" s="32">
        <f t="shared" ca="1" si="413"/>
        <v>0</v>
      </c>
      <c r="FX375" s="32">
        <f t="shared" ca="1" si="413"/>
        <v>0</v>
      </c>
      <c r="FY375" s="32">
        <f t="shared" ca="1" si="413"/>
        <v>0</v>
      </c>
      <c r="FZ375" s="32">
        <f t="shared" ca="1" si="413"/>
        <v>0</v>
      </c>
      <c r="GA375" s="32">
        <f t="shared" ca="1" si="413"/>
        <v>0</v>
      </c>
      <c r="GB375" s="32">
        <f t="shared" ca="1" si="413"/>
        <v>0</v>
      </c>
      <c r="GC375" s="32">
        <f t="shared" ca="1" si="413"/>
        <v>0</v>
      </c>
      <c r="GD375" s="32">
        <f t="shared" ca="1" si="413"/>
        <v>0</v>
      </c>
      <c r="GE375" s="32">
        <f t="shared" ca="1" si="413"/>
        <v>0</v>
      </c>
      <c r="GF375" s="32">
        <f t="shared" ca="1" si="413"/>
        <v>0</v>
      </c>
      <c r="GG375" s="32">
        <f t="shared" ca="1" si="413"/>
        <v>0</v>
      </c>
      <c r="GH375" s="32">
        <f t="shared" ca="1" si="413"/>
        <v>0</v>
      </c>
      <c r="GI375" s="32">
        <f t="shared" ca="1" si="413"/>
        <v>0</v>
      </c>
      <c r="GJ375" s="32">
        <f t="shared" ca="1" si="413"/>
        <v>0</v>
      </c>
      <c r="GK375" s="32">
        <f t="shared" ca="1" si="413"/>
        <v>0</v>
      </c>
      <c r="GL375" s="32">
        <f t="shared" ca="1" si="413"/>
        <v>0</v>
      </c>
      <c r="GM375" s="32">
        <f t="shared" ca="1" si="413"/>
        <v>0</v>
      </c>
      <c r="GN375" s="32">
        <f t="shared" ca="1" si="413"/>
        <v>0</v>
      </c>
      <c r="GO375" s="32">
        <f t="shared" ca="1" si="413"/>
        <v>0</v>
      </c>
      <c r="GP375" s="32">
        <f t="shared" ca="1" si="413"/>
        <v>0</v>
      </c>
      <c r="GQ375" s="32">
        <f t="shared" ca="1" si="413"/>
        <v>0</v>
      </c>
      <c r="GR375" s="32">
        <f t="shared" ref="GR375:IK375" ca="1" si="414">IF(AND(GR373=1,GR392&gt;1,GR392&lt;LARGE($H$396:$IK$396,1),GR394&lt;LARGE($H$396:$IK$396,1)),1,0)</f>
        <v>0</v>
      </c>
      <c r="GS375" s="32">
        <f t="shared" ca="1" si="414"/>
        <v>0</v>
      </c>
      <c r="GT375" s="32">
        <f t="shared" ca="1" si="414"/>
        <v>0</v>
      </c>
      <c r="GU375" s="32">
        <f t="shared" ca="1" si="414"/>
        <v>0</v>
      </c>
      <c r="GV375" s="32">
        <f t="shared" ca="1" si="414"/>
        <v>0</v>
      </c>
      <c r="GW375" s="32">
        <f t="shared" ca="1" si="414"/>
        <v>0</v>
      </c>
      <c r="GX375" s="32">
        <f t="shared" ca="1" si="414"/>
        <v>0</v>
      </c>
      <c r="GY375" s="32">
        <f t="shared" ca="1" si="414"/>
        <v>0</v>
      </c>
      <c r="GZ375" s="32">
        <f t="shared" ca="1" si="414"/>
        <v>0</v>
      </c>
      <c r="HA375" s="32">
        <f t="shared" ca="1" si="414"/>
        <v>0</v>
      </c>
      <c r="HB375" s="32">
        <f t="shared" ca="1" si="414"/>
        <v>0</v>
      </c>
      <c r="HC375" s="32">
        <f t="shared" ca="1" si="414"/>
        <v>0</v>
      </c>
      <c r="HD375" s="32">
        <f t="shared" ca="1" si="414"/>
        <v>0</v>
      </c>
      <c r="HE375" s="32">
        <f t="shared" ca="1" si="414"/>
        <v>0</v>
      </c>
      <c r="HF375" s="32">
        <f t="shared" ca="1" si="414"/>
        <v>0</v>
      </c>
      <c r="HG375" s="32">
        <f t="shared" ca="1" si="414"/>
        <v>0</v>
      </c>
      <c r="HH375" s="32">
        <f t="shared" ca="1" si="414"/>
        <v>0</v>
      </c>
      <c r="HI375" s="32">
        <f t="shared" ca="1" si="414"/>
        <v>0</v>
      </c>
      <c r="HJ375" s="32">
        <f t="shared" ca="1" si="414"/>
        <v>0</v>
      </c>
      <c r="HK375" s="32">
        <f t="shared" ca="1" si="414"/>
        <v>0</v>
      </c>
      <c r="HL375" s="32">
        <f t="shared" ca="1" si="414"/>
        <v>0</v>
      </c>
      <c r="HM375" s="32">
        <f t="shared" ca="1" si="414"/>
        <v>0</v>
      </c>
      <c r="HN375" s="32">
        <f t="shared" ca="1" si="414"/>
        <v>0</v>
      </c>
      <c r="HO375" s="32">
        <f t="shared" ca="1" si="414"/>
        <v>0</v>
      </c>
      <c r="HP375" s="32">
        <f t="shared" ca="1" si="414"/>
        <v>0</v>
      </c>
      <c r="HQ375" s="32">
        <f t="shared" ca="1" si="414"/>
        <v>0</v>
      </c>
      <c r="HR375" s="32">
        <f t="shared" ca="1" si="414"/>
        <v>0</v>
      </c>
      <c r="HS375" s="32">
        <f t="shared" ca="1" si="414"/>
        <v>0</v>
      </c>
      <c r="HT375" s="32">
        <f t="shared" ca="1" si="414"/>
        <v>0</v>
      </c>
      <c r="HU375" s="32">
        <f t="shared" ca="1" si="414"/>
        <v>0</v>
      </c>
      <c r="HV375" s="32">
        <f t="shared" ca="1" si="414"/>
        <v>0</v>
      </c>
      <c r="HW375" s="32">
        <f t="shared" ca="1" si="414"/>
        <v>0</v>
      </c>
      <c r="HX375" s="32">
        <f t="shared" ca="1" si="414"/>
        <v>0</v>
      </c>
      <c r="HY375" s="32">
        <f t="shared" ca="1" si="414"/>
        <v>0</v>
      </c>
      <c r="HZ375" s="32">
        <f t="shared" ca="1" si="414"/>
        <v>0</v>
      </c>
      <c r="IA375" s="32">
        <f t="shared" ca="1" si="414"/>
        <v>0</v>
      </c>
      <c r="IB375" s="32">
        <f t="shared" ca="1" si="414"/>
        <v>0</v>
      </c>
      <c r="IC375" s="32">
        <f t="shared" ca="1" si="414"/>
        <v>0</v>
      </c>
      <c r="ID375" s="32">
        <f t="shared" ca="1" si="414"/>
        <v>0</v>
      </c>
      <c r="IE375" s="32">
        <f t="shared" ca="1" si="414"/>
        <v>0</v>
      </c>
      <c r="IF375" s="32">
        <f t="shared" ca="1" si="414"/>
        <v>0</v>
      </c>
      <c r="IG375" s="32">
        <f t="shared" ca="1" si="414"/>
        <v>0</v>
      </c>
      <c r="IH375" s="32">
        <f t="shared" ca="1" si="414"/>
        <v>0</v>
      </c>
      <c r="II375" s="32">
        <f t="shared" ca="1" si="414"/>
        <v>0</v>
      </c>
      <c r="IJ375" s="32">
        <f t="shared" ca="1" si="414"/>
        <v>0</v>
      </c>
      <c r="IK375" s="32">
        <f t="shared" ca="1" si="414"/>
        <v>0</v>
      </c>
    </row>
    <row r="376" spans="1:245" x14ac:dyDescent="0.35">
      <c r="A376" s="195" t="str">
        <f t="shared" si="364"/>
        <v>XXX</v>
      </c>
      <c r="B376" s="195">
        <f>IF(ENTRADAS!E15=0,0,1)</f>
        <v>1</v>
      </c>
      <c r="C376" s="1338" t="str">
        <f>IF(ENTRADAS!F22&lt;=4,"quantidade de intervalos: "&amp;ENTRADAS!F22&amp;" tq ","quant. de intervalo previsto: "&amp;ENTRADAS!F22&amp;" tq ")</f>
        <v xml:space="preserve">quantidade de intervalos: 4 tq </v>
      </c>
      <c r="D376" s="1339"/>
      <c r="E376" s="633">
        <f ca="1">IF(ENTRADAS!$B$411&gt;0,IF(AND(ENTRADAS!$B$411&lt;=3,ENTRADAS!$B$411&gt;0),IF(ENTRADAS!$F$22&lt;=4,COUNTIF(H376:IK376,1),ENTRADAS!$B$411-1),IF(ENTRADAS!$F$22&gt;4,ENTRADAS!$B$411-1,0)),IF(ENTRADAS!$F$22&lt;=4,COUNTIF(H376:IK376,1),ROUNDUP(COUNTIF(H376:IK376,1)/4*(ENTRADAS!$F$22),0)))</f>
        <v>0</v>
      </c>
      <c r="F376" s="1770" t="s">
        <v>1621</v>
      </c>
      <c r="G376" s="1771"/>
      <c r="H376">
        <f ca="1">IF(I375-H375=-1,1,0)</f>
        <v>0</v>
      </c>
      <c r="I376">
        <f t="shared" ref="I376:BT376" ca="1" si="415">IF(J375-I375=-1,1,0)</f>
        <v>0</v>
      </c>
      <c r="J376">
        <f t="shared" ca="1" si="415"/>
        <v>0</v>
      </c>
      <c r="K376">
        <f t="shared" ca="1" si="415"/>
        <v>0</v>
      </c>
      <c r="L376">
        <f t="shared" ca="1" si="415"/>
        <v>0</v>
      </c>
      <c r="M376">
        <f t="shared" ca="1" si="415"/>
        <v>0</v>
      </c>
      <c r="N376">
        <f t="shared" ca="1" si="415"/>
        <v>0</v>
      </c>
      <c r="O376">
        <f t="shared" ca="1" si="415"/>
        <v>0</v>
      </c>
      <c r="P376">
        <f t="shared" ca="1" si="415"/>
        <v>0</v>
      </c>
      <c r="Q376">
        <f t="shared" ca="1" si="415"/>
        <v>0</v>
      </c>
      <c r="R376">
        <f t="shared" ca="1" si="415"/>
        <v>0</v>
      </c>
      <c r="S376">
        <f t="shared" ca="1" si="415"/>
        <v>0</v>
      </c>
      <c r="T376">
        <f t="shared" ca="1" si="415"/>
        <v>0</v>
      </c>
      <c r="U376">
        <f t="shared" ca="1" si="415"/>
        <v>0</v>
      </c>
      <c r="V376">
        <f t="shared" ca="1" si="415"/>
        <v>0</v>
      </c>
      <c r="W376">
        <f t="shared" ca="1" si="415"/>
        <v>0</v>
      </c>
      <c r="X376">
        <f t="shared" ca="1" si="415"/>
        <v>0</v>
      </c>
      <c r="Y376">
        <f t="shared" ca="1" si="415"/>
        <v>0</v>
      </c>
      <c r="Z376">
        <f t="shared" ca="1" si="415"/>
        <v>0</v>
      </c>
      <c r="AA376">
        <f t="shared" ca="1" si="415"/>
        <v>0</v>
      </c>
      <c r="AB376">
        <f t="shared" ca="1" si="415"/>
        <v>0</v>
      </c>
      <c r="AC376">
        <f t="shared" ca="1" si="415"/>
        <v>0</v>
      </c>
      <c r="AD376">
        <f t="shared" ca="1" si="415"/>
        <v>0</v>
      </c>
      <c r="AE376">
        <f t="shared" ca="1" si="415"/>
        <v>0</v>
      </c>
      <c r="AF376">
        <f t="shared" ca="1" si="415"/>
        <v>0</v>
      </c>
      <c r="AG376">
        <f t="shared" ca="1" si="415"/>
        <v>0</v>
      </c>
      <c r="AH376">
        <f t="shared" ca="1" si="415"/>
        <v>0</v>
      </c>
      <c r="AI376">
        <f t="shared" ca="1" si="415"/>
        <v>0</v>
      </c>
      <c r="AJ376">
        <f t="shared" ca="1" si="415"/>
        <v>0</v>
      </c>
      <c r="AK376">
        <f t="shared" ca="1" si="415"/>
        <v>0</v>
      </c>
      <c r="AL376">
        <f t="shared" ca="1" si="415"/>
        <v>0</v>
      </c>
      <c r="AM376">
        <f t="shared" ca="1" si="415"/>
        <v>0</v>
      </c>
      <c r="AN376">
        <f t="shared" ca="1" si="415"/>
        <v>0</v>
      </c>
      <c r="AO376">
        <f t="shared" ca="1" si="415"/>
        <v>0</v>
      </c>
      <c r="AP376">
        <f t="shared" ca="1" si="415"/>
        <v>0</v>
      </c>
      <c r="AQ376">
        <f t="shared" ca="1" si="415"/>
        <v>0</v>
      </c>
      <c r="AR376">
        <f t="shared" ca="1" si="415"/>
        <v>0</v>
      </c>
      <c r="AS376">
        <f t="shared" ca="1" si="415"/>
        <v>0</v>
      </c>
      <c r="AT376">
        <f t="shared" ca="1" si="415"/>
        <v>0</v>
      </c>
      <c r="AU376">
        <f t="shared" ca="1" si="415"/>
        <v>0</v>
      </c>
      <c r="AV376">
        <f t="shared" ca="1" si="415"/>
        <v>0</v>
      </c>
      <c r="AW376">
        <f t="shared" ca="1" si="415"/>
        <v>0</v>
      </c>
      <c r="AX376">
        <f t="shared" ca="1" si="415"/>
        <v>0</v>
      </c>
      <c r="AY376">
        <f t="shared" ca="1" si="415"/>
        <v>0</v>
      </c>
      <c r="AZ376">
        <f t="shared" ca="1" si="415"/>
        <v>0</v>
      </c>
      <c r="BA376">
        <f t="shared" ca="1" si="415"/>
        <v>0</v>
      </c>
      <c r="BB376">
        <f t="shared" ca="1" si="415"/>
        <v>0</v>
      </c>
      <c r="BC376">
        <f t="shared" ca="1" si="415"/>
        <v>0</v>
      </c>
      <c r="BD376">
        <f t="shared" ca="1" si="415"/>
        <v>0</v>
      </c>
      <c r="BE376">
        <f t="shared" ca="1" si="415"/>
        <v>0</v>
      </c>
      <c r="BF376">
        <f t="shared" ca="1" si="415"/>
        <v>0</v>
      </c>
      <c r="BG376">
        <f t="shared" ca="1" si="415"/>
        <v>0</v>
      </c>
      <c r="BH376">
        <f t="shared" ca="1" si="415"/>
        <v>0</v>
      </c>
      <c r="BI376">
        <f t="shared" ca="1" si="415"/>
        <v>0</v>
      </c>
      <c r="BJ376">
        <f t="shared" ca="1" si="415"/>
        <v>0</v>
      </c>
      <c r="BK376">
        <f t="shared" ca="1" si="415"/>
        <v>0</v>
      </c>
      <c r="BL376">
        <f t="shared" ca="1" si="415"/>
        <v>0</v>
      </c>
      <c r="BM376">
        <f t="shared" ca="1" si="415"/>
        <v>0</v>
      </c>
      <c r="BN376">
        <f t="shared" ca="1" si="415"/>
        <v>0</v>
      </c>
      <c r="BO376">
        <f t="shared" ca="1" si="415"/>
        <v>0</v>
      </c>
      <c r="BP376">
        <f t="shared" ca="1" si="415"/>
        <v>0</v>
      </c>
      <c r="BQ376">
        <f t="shared" ca="1" si="415"/>
        <v>0</v>
      </c>
      <c r="BR376">
        <f t="shared" ca="1" si="415"/>
        <v>0</v>
      </c>
      <c r="BS376">
        <f t="shared" ca="1" si="415"/>
        <v>0</v>
      </c>
      <c r="BT376">
        <f t="shared" ca="1" si="415"/>
        <v>0</v>
      </c>
      <c r="BU376">
        <f t="shared" ref="BU376:EF376" ca="1" si="416">IF(BV375-BU375=-1,1,0)</f>
        <v>0</v>
      </c>
      <c r="BV376">
        <f t="shared" ca="1" si="416"/>
        <v>0</v>
      </c>
      <c r="BW376">
        <f t="shared" ca="1" si="416"/>
        <v>0</v>
      </c>
      <c r="BX376">
        <f t="shared" ca="1" si="416"/>
        <v>0</v>
      </c>
      <c r="BY376">
        <f t="shared" ca="1" si="416"/>
        <v>0</v>
      </c>
      <c r="BZ376">
        <f t="shared" ca="1" si="416"/>
        <v>0</v>
      </c>
      <c r="CA376">
        <f t="shared" ca="1" si="416"/>
        <v>0</v>
      </c>
      <c r="CB376">
        <f t="shared" ca="1" si="416"/>
        <v>0</v>
      </c>
      <c r="CC376">
        <f t="shared" ca="1" si="416"/>
        <v>0</v>
      </c>
      <c r="CD376">
        <f t="shared" ca="1" si="416"/>
        <v>0</v>
      </c>
      <c r="CE376">
        <f t="shared" ca="1" si="416"/>
        <v>0</v>
      </c>
      <c r="CF376">
        <f t="shared" ca="1" si="416"/>
        <v>0</v>
      </c>
      <c r="CG376">
        <f t="shared" ca="1" si="416"/>
        <v>0</v>
      </c>
      <c r="CH376">
        <f t="shared" ca="1" si="416"/>
        <v>0</v>
      </c>
      <c r="CI376">
        <f t="shared" ca="1" si="416"/>
        <v>0</v>
      </c>
      <c r="CJ376">
        <f t="shared" ca="1" si="416"/>
        <v>0</v>
      </c>
      <c r="CK376">
        <f t="shared" ca="1" si="416"/>
        <v>0</v>
      </c>
      <c r="CL376">
        <f t="shared" ca="1" si="416"/>
        <v>0</v>
      </c>
      <c r="CM376">
        <f t="shared" ca="1" si="416"/>
        <v>0</v>
      </c>
      <c r="CN376">
        <f t="shared" ca="1" si="416"/>
        <v>0</v>
      </c>
      <c r="CO376">
        <f t="shared" ca="1" si="416"/>
        <v>0</v>
      </c>
      <c r="CP376">
        <f t="shared" ca="1" si="416"/>
        <v>0</v>
      </c>
      <c r="CQ376">
        <f t="shared" ca="1" si="416"/>
        <v>0</v>
      </c>
      <c r="CR376">
        <f t="shared" ca="1" si="416"/>
        <v>0</v>
      </c>
      <c r="CS376">
        <f t="shared" ca="1" si="416"/>
        <v>0</v>
      </c>
      <c r="CT376">
        <f t="shared" ca="1" si="416"/>
        <v>0</v>
      </c>
      <c r="CU376">
        <f t="shared" ca="1" si="416"/>
        <v>0</v>
      </c>
      <c r="CV376">
        <f t="shared" ca="1" si="416"/>
        <v>0</v>
      </c>
      <c r="CW376">
        <f t="shared" ca="1" si="416"/>
        <v>0</v>
      </c>
      <c r="CX376">
        <f t="shared" ca="1" si="416"/>
        <v>0</v>
      </c>
      <c r="CY376">
        <f t="shared" ca="1" si="416"/>
        <v>0</v>
      </c>
      <c r="CZ376">
        <f t="shared" ca="1" si="416"/>
        <v>0</v>
      </c>
      <c r="DA376">
        <f t="shared" ca="1" si="416"/>
        <v>0</v>
      </c>
      <c r="DB376">
        <f t="shared" ca="1" si="416"/>
        <v>0</v>
      </c>
      <c r="DC376">
        <f t="shared" ca="1" si="416"/>
        <v>0</v>
      </c>
      <c r="DD376">
        <f t="shared" ca="1" si="416"/>
        <v>0</v>
      </c>
      <c r="DE376">
        <f t="shared" ca="1" si="416"/>
        <v>0</v>
      </c>
      <c r="DF376">
        <f t="shared" ca="1" si="416"/>
        <v>0</v>
      </c>
      <c r="DG376">
        <f t="shared" ca="1" si="416"/>
        <v>0</v>
      </c>
      <c r="DH376">
        <f t="shared" ca="1" si="416"/>
        <v>0</v>
      </c>
      <c r="DI376">
        <f t="shared" ca="1" si="416"/>
        <v>0</v>
      </c>
      <c r="DJ376">
        <f t="shared" ca="1" si="416"/>
        <v>0</v>
      </c>
      <c r="DK376">
        <f t="shared" ca="1" si="416"/>
        <v>0</v>
      </c>
      <c r="DL376">
        <f t="shared" ca="1" si="416"/>
        <v>0</v>
      </c>
      <c r="DM376">
        <f t="shared" ca="1" si="416"/>
        <v>0</v>
      </c>
      <c r="DN376">
        <f t="shared" ca="1" si="416"/>
        <v>0</v>
      </c>
      <c r="DO376">
        <f t="shared" ca="1" si="416"/>
        <v>0</v>
      </c>
      <c r="DP376">
        <f t="shared" ca="1" si="416"/>
        <v>0</v>
      </c>
      <c r="DQ376">
        <f t="shared" ca="1" si="416"/>
        <v>0</v>
      </c>
      <c r="DR376">
        <f t="shared" ca="1" si="416"/>
        <v>0</v>
      </c>
      <c r="DS376">
        <f t="shared" ca="1" si="416"/>
        <v>0</v>
      </c>
      <c r="DT376">
        <f t="shared" ca="1" si="416"/>
        <v>0</v>
      </c>
      <c r="DU376">
        <f t="shared" ca="1" si="416"/>
        <v>0</v>
      </c>
      <c r="DV376">
        <f t="shared" ca="1" si="416"/>
        <v>0</v>
      </c>
      <c r="DW376">
        <f t="shared" ca="1" si="416"/>
        <v>0</v>
      </c>
      <c r="DX376">
        <f t="shared" ca="1" si="416"/>
        <v>0</v>
      </c>
      <c r="DY376">
        <f t="shared" ca="1" si="416"/>
        <v>0</v>
      </c>
      <c r="DZ376">
        <f t="shared" ca="1" si="416"/>
        <v>0</v>
      </c>
      <c r="EA376">
        <f t="shared" ca="1" si="416"/>
        <v>0</v>
      </c>
      <c r="EB376">
        <f t="shared" ca="1" si="416"/>
        <v>0</v>
      </c>
      <c r="EC376">
        <f t="shared" ca="1" si="416"/>
        <v>0</v>
      </c>
      <c r="ED376">
        <f t="shared" ca="1" si="416"/>
        <v>0</v>
      </c>
      <c r="EE376">
        <f t="shared" ca="1" si="416"/>
        <v>0</v>
      </c>
      <c r="EF376">
        <f t="shared" ca="1" si="416"/>
        <v>0</v>
      </c>
      <c r="EG376">
        <f t="shared" ref="EG376:GR376" ca="1" si="417">IF(EH375-EG375=-1,1,0)</f>
        <v>0</v>
      </c>
      <c r="EH376">
        <f t="shared" ca="1" si="417"/>
        <v>0</v>
      </c>
      <c r="EI376">
        <f t="shared" ca="1" si="417"/>
        <v>0</v>
      </c>
      <c r="EJ376">
        <f t="shared" ca="1" si="417"/>
        <v>0</v>
      </c>
      <c r="EK376">
        <f t="shared" ca="1" si="417"/>
        <v>0</v>
      </c>
      <c r="EL376">
        <f t="shared" ca="1" si="417"/>
        <v>0</v>
      </c>
      <c r="EM376">
        <f t="shared" ca="1" si="417"/>
        <v>0</v>
      </c>
      <c r="EN376">
        <f t="shared" ca="1" si="417"/>
        <v>0</v>
      </c>
      <c r="EO376">
        <f t="shared" ca="1" si="417"/>
        <v>0</v>
      </c>
      <c r="EP376">
        <f t="shared" ca="1" si="417"/>
        <v>0</v>
      </c>
      <c r="EQ376">
        <f t="shared" ca="1" si="417"/>
        <v>0</v>
      </c>
      <c r="ER376">
        <f t="shared" ca="1" si="417"/>
        <v>0</v>
      </c>
      <c r="ES376">
        <f t="shared" ca="1" si="417"/>
        <v>0</v>
      </c>
      <c r="ET376">
        <f t="shared" ca="1" si="417"/>
        <v>0</v>
      </c>
      <c r="EU376">
        <f t="shared" ca="1" si="417"/>
        <v>0</v>
      </c>
      <c r="EV376">
        <f t="shared" ca="1" si="417"/>
        <v>0</v>
      </c>
      <c r="EW376">
        <f t="shared" ca="1" si="417"/>
        <v>0</v>
      </c>
      <c r="EX376">
        <f t="shared" ca="1" si="417"/>
        <v>0</v>
      </c>
      <c r="EY376">
        <f t="shared" ca="1" si="417"/>
        <v>0</v>
      </c>
      <c r="EZ376">
        <f t="shared" ca="1" si="417"/>
        <v>0</v>
      </c>
      <c r="FA376">
        <f t="shared" ca="1" si="417"/>
        <v>0</v>
      </c>
      <c r="FB376">
        <f t="shared" ca="1" si="417"/>
        <v>0</v>
      </c>
      <c r="FC376">
        <f t="shared" ca="1" si="417"/>
        <v>0</v>
      </c>
      <c r="FD376">
        <f t="shared" ca="1" si="417"/>
        <v>0</v>
      </c>
      <c r="FE376">
        <f t="shared" ca="1" si="417"/>
        <v>0</v>
      </c>
      <c r="FF376">
        <f t="shared" ca="1" si="417"/>
        <v>0</v>
      </c>
      <c r="FG376">
        <f t="shared" ca="1" si="417"/>
        <v>0</v>
      </c>
      <c r="FH376">
        <f t="shared" ca="1" si="417"/>
        <v>0</v>
      </c>
      <c r="FI376">
        <f t="shared" ca="1" si="417"/>
        <v>0</v>
      </c>
      <c r="FJ376">
        <f t="shared" ca="1" si="417"/>
        <v>0</v>
      </c>
      <c r="FK376">
        <f t="shared" ca="1" si="417"/>
        <v>0</v>
      </c>
      <c r="FL376">
        <f t="shared" ca="1" si="417"/>
        <v>0</v>
      </c>
      <c r="FM376">
        <f t="shared" ca="1" si="417"/>
        <v>0</v>
      </c>
      <c r="FN376">
        <f t="shared" ca="1" si="417"/>
        <v>0</v>
      </c>
      <c r="FO376">
        <f t="shared" ca="1" si="417"/>
        <v>0</v>
      </c>
      <c r="FP376">
        <f t="shared" ca="1" si="417"/>
        <v>0</v>
      </c>
      <c r="FQ376">
        <f t="shared" ca="1" si="417"/>
        <v>0</v>
      </c>
      <c r="FR376">
        <f t="shared" ca="1" si="417"/>
        <v>0</v>
      </c>
      <c r="FS376">
        <f t="shared" ca="1" si="417"/>
        <v>0</v>
      </c>
      <c r="FT376">
        <f t="shared" ca="1" si="417"/>
        <v>0</v>
      </c>
      <c r="FU376">
        <f t="shared" ca="1" si="417"/>
        <v>0</v>
      </c>
      <c r="FV376">
        <f t="shared" ca="1" si="417"/>
        <v>0</v>
      </c>
      <c r="FW376">
        <f t="shared" ca="1" si="417"/>
        <v>0</v>
      </c>
      <c r="FX376">
        <f t="shared" ca="1" si="417"/>
        <v>0</v>
      </c>
      <c r="FY376">
        <f t="shared" ca="1" si="417"/>
        <v>0</v>
      </c>
      <c r="FZ376">
        <f t="shared" ca="1" si="417"/>
        <v>0</v>
      </c>
      <c r="GA376">
        <f t="shared" ca="1" si="417"/>
        <v>0</v>
      </c>
      <c r="GB376">
        <f t="shared" ca="1" si="417"/>
        <v>0</v>
      </c>
      <c r="GC376">
        <f t="shared" ca="1" si="417"/>
        <v>0</v>
      </c>
      <c r="GD376">
        <f t="shared" ca="1" si="417"/>
        <v>0</v>
      </c>
      <c r="GE376">
        <f t="shared" ca="1" si="417"/>
        <v>0</v>
      </c>
      <c r="GF376">
        <f t="shared" ca="1" si="417"/>
        <v>0</v>
      </c>
      <c r="GG376">
        <f t="shared" ca="1" si="417"/>
        <v>0</v>
      </c>
      <c r="GH376">
        <f t="shared" ca="1" si="417"/>
        <v>0</v>
      </c>
      <c r="GI376">
        <f t="shared" ca="1" si="417"/>
        <v>0</v>
      </c>
      <c r="GJ376">
        <f t="shared" ca="1" si="417"/>
        <v>0</v>
      </c>
      <c r="GK376">
        <f t="shared" ca="1" si="417"/>
        <v>0</v>
      </c>
      <c r="GL376">
        <f t="shared" ca="1" si="417"/>
        <v>0</v>
      </c>
      <c r="GM376">
        <f t="shared" ca="1" si="417"/>
        <v>0</v>
      </c>
      <c r="GN376">
        <f t="shared" ca="1" si="417"/>
        <v>0</v>
      </c>
      <c r="GO376">
        <f t="shared" ca="1" si="417"/>
        <v>0</v>
      </c>
      <c r="GP376">
        <f t="shared" ca="1" si="417"/>
        <v>0</v>
      </c>
      <c r="GQ376">
        <f t="shared" ca="1" si="417"/>
        <v>0</v>
      </c>
      <c r="GR376">
        <f t="shared" ca="1" si="417"/>
        <v>0</v>
      </c>
      <c r="GS376">
        <f t="shared" ref="GS376:IK376" ca="1" si="418">IF(GT375-GS375=-1,1,0)</f>
        <v>0</v>
      </c>
      <c r="GT376">
        <f t="shared" ca="1" si="418"/>
        <v>0</v>
      </c>
      <c r="GU376">
        <f t="shared" ca="1" si="418"/>
        <v>0</v>
      </c>
      <c r="GV376">
        <f t="shared" ca="1" si="418"/>
        <v>0</v>
      </c>
      <c r="GW376">
        <f t="shared" ca="1" si="418"/>
        <v>0</v>
      </c>
      <c r="GX376">
        <f t="shared" ca="1" si="418"/>
        <v>0</v>
      </c>
      <c r="GY376">
        <f t="shared" ca="1" si="418"/>
        <v>0</v>
      </c>
      <c r="GZ376">
        <f t="shared" ca="1" si="418"/>
        <v>0</v>
      </c>
      <c r="HA376">
        <f t="shared" ca="1" si="418"/>
        <v>0</v>
      </c>
      <c r="HB376">
        <f t="shared" ca="1" si="418"/>
        <v>0</v>
      </c>
      <c r="HC376">
        <f t="shared" ca="1" si="418"/>
        <v>0</v>
      </c>
      <c r="HD376">
        <f t="shared" ca="1" si="418"/>
        <v>0</v>
      </c>
      <c r="HE376">
        <f t="shared" ca="1" si="418"/>
        <v>0</v>
      </c>
      <c r="HF376">
        <f t="shared" ca="1" si="418"/>
        <v>0</v>
      </c>
      <c r="HG376">
        <f t="shared" ca="1" si="418"/>
        <v>0</v>
      </c>
      <c r="HH376">
        <f t="shared" ca="1" si="418"/>
        <v>0</v>
      </c>
      <c r="HI376">
        <f t="shared" ca="1" si="418"/>
        <v>0</v>
      </c>
      <c r="HJ376">
        <f t="shared" ca="1" si="418"/>
        <v>0</v>
      </c>
      <c r="HK376">
        <f t="shared" ca="1" si="418"/>
        <v>0</v>
      </c>
      <c r="HL376">
        <f t="shared" ca="1" si="418"/>
        <v>0</v>
      </c>
      <c r="HM376">
        <f t="shared" ca="1" si="418"/>
        <v>0</v>
      </c>
      <c r="HN376">
        <f t="shared" ca="1" si="418"/>
        <v>0</v>
      </c>
      <c r="HO376">
        <f t="shared" ca="1" si="418"/>
        <v>0</v>
      </c>
      <c r="HP376">
        <f t="shared" ca="1" si="418"/>
        <v>0</v>
      </c>
      <c r="HQ376">
        <f t="shared" ca="1" si="418"/>
        <v>0</v>
      </c>
      <c r="HR376">
        <f t="shared" ca="1" si="418"/>
        <v>0</v>
      </c>
      <c r="HS376">
        <f t="shared" ca="1" si="418"/>
        <v>0</v>
      </c>
      <c r="HT376">
        <f t="shared" ca="1" si="418"/>
        <v>0</v>
      </c>
      <c r="HU376">
        <f t="shared" ca="1" si="418"/>
        <v>0</v>
      </c>
      <c r="HV376">
        <f t="shared" ca="1" si="418"/>
        <v>0</v>
      </c>
      <c r="HW376">
        <f t="shared" ca="1" si="418"/>
        <v>0</v>
      </c>
      <c r="HX376">
        <f t="shared" ca="1" si="418"/>
        <v>0</v>
      </c>
      <c r="HY376">
        <f t="shared" ca="1" si="418"/>
        <v>0</v>
      </c>
      <c r="HZ376">
        <f t="shared" ca="1" si="418"/>
        <v>0</v>
      </c>
      <c r="IA376">
        <f t="shared" ca="1" si="418"/>
        <v>0</v>
      </c>
      <c r="IB376">
        <f t="shared" ca="1" si="418"/>
        <v>0</v>
      </c>
      <c r="IC376">
        <f t="shared" ca="1" si="418"/>
        <v>0</v>
      </c>
      <c r="ID376">
        <f t="shared" ca="1" si="418"/>
        <v>0</v>
      </c>
      <c r="IE376">
        <f t="shared" ca="1" si="418"/>
        <v>0</v>
      </c>
      <c r="IF376">
        <f t="shared" ca="1" si="418"/>
        <v>0</v>
      </c>
      <c r="IG376">
        <f t="shared" ca="1" si="418"/>
        <v>0</v>
      </c>
      <c r="IH376">
        <f t="shared" ca="1" si="418"/>
        <v>0</v>
      </c>
      <c r="II376">
        <f t="shared" ca="1" si="418"/>
        <v>0</v>
      </c>
      <c r="IJ376">
        <f t="shared" ca="1" si="418"/>
        <v>0</v>
      </c>
      <c r="IK376">
        <f t="shared" ca="1" si="418"/>
        <v>0</v>
      </c>
    </row>
    <row r="377" spans="1:245" x14ac:dyDescent="0.35">
      <c r="A377" s="195" t="str">
        <f t="shared" si="364"/>
        <v>XXX</v>
      </c>
      <c r="B377" s="195" t="s">
        <v>35</v>
      </c>
      <c r="C377" s="647"/>
      <c r="D377" s="647"/>
      <c r="E377" s="647">
        <f>IF(AND(ENTRADAS!B411&lt;=3,ENTRADAS!B411&gt;0),IF(ENTRADAS!$F$22&lt;=4,COUNTIF(H376:IK376,1),ENTRADAS!B411-1),IF(AND(ENTRADAS!$F$22&gt;4,ENTRADAS!B411&gt;0),ENTRADAS!B411-1,0))</f>
        <v>0</v>
      </c>
      <c r="F377" s="647"/>
      <c r="G377" s="647"/>
    </row>
    <row r="378" spans="1:245" x14ac:dyDescent="0.35">
      <c r="A378" s="195" t="str">
        <f t="shared" si="364"/>
        <v>XXX</v>
      </c>
      <c r="B378" s="195">
        <f>IF(ENTRADAS!E15=0,0,1)</f>
        <v>1</v>
      </c>
      <c r="C378" s="1338" t="s">
        <v>1622</v>
      </c>
      <c r="D378" s="1339"/>
      <c r="E378" s="633">
        <f ca="1">IF(ENTRADAS!$F$22&lt;=4,COUNTIF(H378:IK378,1000),ROUNDUP((COUNTIF(H378:IK378,1000)/4),0)*(ENTRADAS!$F$22))</f>
        <v>102</v>
      </c>
      <c r="F378" s="1770" t="s">
        <v>101</v>
      </c>
      <c r="G378" s="1771"/>
      <c r="H378" s="32">
        <f ca="1">IF(H345+H352+H359+H366&gt;=1000,1000,1)</f>
        <v>1</v>
      </c>
      <c r="I378" s="32">
        <f t="shared" ref="I378:BT378" ca="1" si="419">IF(I345+I352+I359+I366&gt;=1000,1000,1)</f>
        <v>1</v>
      </c>
      <c r="J378" s="32">
        <f ca="1">IF(J345+J352+J359+J366&gt;=1000,1000,1)</f>
        <v>1</v>
      </c>
      <c r="K378" s="32">
        <f t="shared" ca="1" si="419"/>
        <v>1</v>
      </c>
      <c r="L378" s="32">
        <f t="shared" ca="1" si="419"/>
        <v>1</v>
      </c>
      <c r="M378" s="32">
        <f t="shared" ca="1" si="419"/>
        <v>1</v>
      </c>
      <c r="N378" s="32">
        <f t="shared" ca="1" si="419"/>
        <v>1</v>
      </c>
      <c r="O378" s="32">
        <f t="shared" ca="1" si="419"/>
        <v>1</v>
      </c>
      <c r="P378" s="32">
        <f t="shared" ca="1" si="419"/>
        <v>1</v>
      </c>
      <c r="Q378" s="32">
        <f t="shared" ca="1" si="419"/>
        <v>1</v>
      </c>
      <c r="R378" s="32">
        <f t="shared" ca="1" si="419"/>
        <v>1</v>
      </c>
      <c r="S378" s="32">
        <f t="shared" ca="1" si="419"/>
        <v>1</v>
      </c>
      <c r="T378" s="32">
        <f t="shared" ca="1" si="419"/>
        <v>1</v>
      </c>
      <c r="U378" s="32">
        <f t="shared" ca="1" si="419"/>
        <v>1</v>
      </c>
      <c r="V378" s="32">
        <f t="shared" ca="1" si="419"/>
        <v>1</v>
      </c>
      <c r="W378" s="32">
        <f t="shared" ca="1" si="419"/>
        <v>1</v>
      </c>
      <c r="X378" s="32">
        <f t="shared" ca="1" si="419"/>
        <v>1</v>
      </c>
      <c r="Y378" s="32">
        <f t="shared" ca="1" si="419"/>
        <v>1</v>
      </c>
      <c r="Z378" s="32">
        <f t="shared" ca="1" si="419"/>
        <v>1</v>
      </c>
      <c r="AA378" s="32">
        <f t="shared" ca="1" si="419"/>
        <v>1</v>
      </c>
      <c r="AB378" s="32">
        <f t="shared" ca="1" si="419"/>
        <v>1</v>
      </c>
      <c r="AC378" s="32">
        <f t="shared" ca="1" si="419"/>
        <v>1</v>
      </c>
      <c r="AD378" s="32">
        <f t="shared" ca="1" si="419"/>
        <v>1</v>
      </c>
      <c r="AE378" s="32">
        <f t="shared" ca="1" si="419"/>
        <v>1</v>
      </c>
      <c r="AF378" s="32">
        <f t="shared" ca="1" si="419"/>
        <v>1</v>
      </c>
      <c r="AG378" s="32">
        <f t="shared" ca="1" si="419"/>
        <v>1</v>
      </c>
      <c r="AH378" s="32">
        <f t="shared" ca="1" si="419"/>
        <v>1</v>
      </c>
      <c r="AI378" s="32">
        <f t="shared" ca="1" si="419"/>
        <v>1</v>
      </c>
      <c r="AJ378" s="32">
        <f t="shared" ca="1" si="419"/>
        <v>1</v>
      </c>
      <c r="AK378" s="32">
        <f t="shared" ca="1" si="419"/>
        <v>1</v>
      </c>
      <c r="AL378" s="32">
        <f t="shared" ca="1" si="419"/>
        <v>1</v>
      </c>
      <c r="AM378" s="32">
        <f t="shared" ca="1" si="419"/>
        <v>1000</v>
      </c>
      <c r="AN378" s="32">
        <f t="shared" ca="1" si="419"/>
        <v>1000</v>
      </c>
      <c r="AO378" s="32">
        <f t="shared" ca="1" si="419"/>
        <v>1000</v>
      </c>
      <c r="AP378" s="32">
        <f t="shared" ca="1" si="419"/>
        <v>1000</v>
      </c>
      <c r="AQ378" s="32">
        <f t="shared" ca="1" si="419"/>
        <v>1000</v>
      </c>
      <c r="AR378" s="32">
        <f t="shared" ca="1" si="419"/>
        <v>1000</v>
      </c>
      <c r="AS378" s="32">
        <f t="shared" ca="1" si="419"/>
        <v>1000</v>
      </c>
      <c r="AT378" s="32">
        <f t="shared" ca="1" si="419"/>
        <v>1000</v>
      </c>
      <c r="AU378" s="32">
        <f t="shared" ca="1" si="419"/>
        <v>1000</v>
      </c>
      <c r="AV378" s="32">
        <f t="shared" ca="1" si="419"/>
        <v>1000</v>
      </c>
      <c r="AW378" s="32">
        <f t="shared" ca="1" si="419"/>
        <v>1000</v>
      </c>
      <c r="AX378" s="32">
        <f t="shared" ca="1" si="419"/>
        <v>1000</v>
      </c>
      <c r="AY378" s="32">
        <f t="shared" ca="1" si="419"/>
        <v>1000</v>
      </c>
      <c r="AZ378" s="32">
        <f t="shared" ca="1" si="419"/>
        <v>1000</v>
      </c>
      <c r="BA378" s="32">
        <f t="shared" ca="1" si="419"/>
        <v>1000</v>
      </c>
      <c r="BB378" s="32">
        <f t="shared" ca="1" si="419"/>
        <v>1000</v>
      </c>
      <c r="BC378" s="32">
        <f t="shared" ca="1" si="419"/>
        <v>1000</v>
      </c>
      <c r="BD378" s="32">
        <f t="shared" ca="1" si="419"/>
        <v>1000</v>
      </c>
      <c r="BE378" s="32">
        <f t="shared" ca="1" si="419"/>
        <v>1000</v>
      </c>
      <c r="BF378" s="32">
        <f t="shared" ca="1" si="419"/>
        <v>1000</v>
      </c>
      <c r="BG378" s="32">
        <f t="shared" ca="1" si="419"/>
        <v>1000</v>
      </c>
      <c r="BH378" s="32">
        <f t="shared" ca="1" si="419"/>
        <v>1000</v>
      </c>
      <c r="BI378" s="32">
        <f t="shared" ca="1" si="419"/>
        <v>1000</v>
      </c>
      <c r="BJ378" s="32">
        <f t="shared" ca="1" si="419"/>
        <v>1000</v>
      </c>
      <c r="BK378" s="32">
        <f t="shared" ca="1" si="419"/>
        <v>1000</v>
      </c>
      <c r="BL378" s="32">
        <f t="shared" ca="1" si="419"/>
        <v>1000</v>
      </c>
      <c r="BM378" s="32">
        <f t="shared" ca="1" si="419"/>
        <v>1000</v>
      </c>
      <c r="BN378" s="32">
        <f t="shared" ca="1" si="419"/>
        <v>1000</v>
      </c>
      <c r="BO378" s="32">
        <f t="shared" ca="1" si="419"/>
        <v>1000</v>
      </c>
      <c r="BP378" s="32">
        <f t="shared" ca="1" si="419"/>
        <v>1000</v>
      </c>
      <c r="BQ378" s="32">
        <f t="shared" ca="1" si="419"/>
        <v>1000</v>
      </c>
      <c r="BR378" s="32">
        <f t="shared" ca="1" si="419"/>
        <v>1000</v>
      </c>
      <c r="BS378" s="32">
        <f t="shared" ca="1" si="419"/>
        <v>1000</v>
      </c>
      <c r="BT378" s="32">
        <f t="shared" ca="1" si="419"/>
        <v>1000</v>
      </c>
      <c r="BU378" s="32">
        <f t="shared" ref="BU378:EF378" ca="1" si="420">IF(BU345+BU352+BU359+BU366&gt;=1000,1000,1)</f>
        <v>1000</v>
      </c>
      <c r="BV378" s="32">
        <f t="shared" ca="1" si="420"/>
        <v>1000</v>
      </c>
      <c r="BW378" s="32">
        <f t="shared" ca="1" si="420"/>
        <v>1000</v>
      </c>
      <c r="BX378" s="32">
        <f t="shared" ca="1" si="420"/>
        <v>1000</v>
      </c>
      <c r="BY378" s="32">
        <f t="shared" ca="1" si="420"/>
        <v>1000</v>
      </c>
      <c r="BZ378" s="32">
        <f t="shared" ca="1" si="420"/>
        <v>1000</v>
      </c>
      <c r="CA378" s="32">
        <f t="shared" ca="1" si="420"/>
        <v>1000</v>
      </c>
      <c r="CB378" s="32">
        <f t="shared" ca="1" si="420"/>
        <v>1000</v>
      </c>
      <c r="CC378" s="32">
        <f t="shared" ca="1" si="420"/>
        <v>1000</v>
      </c>
      <c r="CD378" s="32">
        <f t="shared" ca="1" si="420"/>
        <v>1000</v>
      </c>
      <c r="CE378" s="32">
        <f t="shared" ca="1" si="420"/>
        <v>1000</v>
      </c>
      <c r="CF378" s="32">
        <f t="shared" ca="1" si="420"/>
        <v>1000</v>
      </c>
      <c r="CG378" s="32">
        <f t="shared" ca="1" si="420"/>
        <v>1000</v>
      </c>
      <c r="CH378" s="32">
        <f t="shared" ca="1" si="420"/>
        <v>1000</v>
      </c>
      <c r="CI378" s="32">
        <f t="shared" ca="1" si="420"/>
        <v>1000</v>
      </c>
      <c r="CJ378" s="32">
        <f t="shared" ca="1" si="420"/>
        <v>1000</v>
      </c>
      <c r="CK378" s="32">
        <f t="shared" ca="1" si="420"/>
        <v>1000</v>
      </c>
      <c r="CL378" s="32">
        <f t="shared" ca="1" si="420"/>
        <v>1000</v>
      </c>
      <c r="CM378" s="32">
        <f t="shared" ca="1" si="420"/>
        <v>1000</v>
      </c>
      <c r="CN378" s="32">
        <f t="shared" ca="1" si="420"/>
        <v>1000</v>
      </c>
      <c r="CO378" s="32">
        <f t="shared" ca="1" si="420"/>
        <v>1000</v>
      </c>
      <c r="CP378" s="32">
        <f t="shared" ca="1" si="420"/>
        <v>1000</v>
      </c>
      <c r="CQ378" s="32">
        <f t="shared" ca="1" si="420"/>
        <v>1000</v>
      </c>
      <c r="CR378" s="32">
        <f t="shared" ca="1" si="420"/>
        <v>1000</v>
      </c>
      <c r="CS378" s="32">
        <f t="shared" ca="1" si="420"/>
        <v>1000</v>
      </c>
      <c r="CT378" s="32">
        <f t="shared" ca="1" si="420"/>
        <v>1000</v>
      </c>
      <c r="CU378" s="32">
        <f t="shared" ca="1" si="420"/>
        <v>1000</v>
      </c>
      <c r="CV378" s="32">
        <f t="shared" ca="1" si="420"/>
        <v>1000</v>
      </c>
      <c r="CW378" s="32">
        <f t="shared" ca="1" si="420"/>
        <v>1000</v>
      </c>
      <c r="CX378" s="32">
        <f t="shared" ca="1" si="420"/>
        <v>1000</v>
      </c>
      <c r="CY378" s="32">
        <f t="shared" ca="1" si="420"/>
        <v>1000</v>
      </c>
      <c r="CZ378" s="32">
        <f t="shared" ca="1" si="420"/>
        <v>1000</v>
      </c>
      <c r="DA378" s="32">
        <f t="shared" ca="1" si="420"/>
        <v>1000</v>
      </c>
      <c r="DB378" s="32">
        <f t="shared" ca="1" si="420"/>
        <v>1000</v>
      </c>
      <c r="DC378" s="32">
        <f t="shared" ca="1" si="420"/>
        <v>1000</v>
      </c>
      <c r="DD378" s="32">
        <f t="shared" ca="1" si="420"/>
        <v>1000</v>
      </c>
      <c r="DE378" s="32">
        <f t="shared" ca="1" si="420"/>
        <v>1000</v>
      </c>
      <c r="DF378" s="32">
        <f t="shared" ca="1" si="420"/>
        <v>1000</v>
      </c>
      <c r="DG378" s="32">
        <f t="shared" ca="1" si="420"/>
        <v>1000</v>
      </c>
      <c r="DH378" s="32">
        <f t="shared" ca="1" si="420"/>
        <v>1000</v>
      </c>
      <c r="DI378" s="32">
        <f t="shared" ca="1" si="420"/>
        <v>1000</v>
      </c>
      <c r="DJ378" s="32">
        <f t="shared" ca="1" si="420"/>
        <v>1000</v>
      </c>
      <c r="DK378" s="32">
        <f t="shared" ca="1" si="420"/>
        <v>1000</v>
      </c>
      <c r="DL378" s="32">
        <f t="shared" ca="1" si="420"/>
        <v>1000</v>
      </c>
      <c r="DM378" s="32">
        <f t="shared" ca="1" si="420"/>
        <v>1000</v>
      </c>
      <c r="DN378" s="32">
        <f t="shared" ca="1" si="420"/>
        <v>1000</v>
      </c>
      <c r="DO378" s="32">
        <f t="shared" ca="1" si="420"/>
        <v>1000</v>
      </c>
      <c r="DP378" s="32">
        <f t="shared" ca="1" si="420"/>
        <v>1000</v>
      </c>
      <c r="DQ378" s="32">
        <f t="shared" ca="1" si="420"/>
        <v>1000</v>
      </c>
      <c r="DR378" s="32">
        <f t="shared" ca="1" si="420"/>
        <v>1000</v>
      </c>
      <c r="DS378" s="32">
        <f t="shared" ca="1" si="420"/>
        <v>1000</v>
      </c>
      <c r="DT378" s="32">
        <f t="shared" ca="1" si="420"/>
        <v>1000</v>
      </c>
      <c r="DU378" s="32">
        <f t="shared" ca="1" si="420"/>
        <v>1000</v>
      </c>
      <c r="DV378" s="32">
        <f t="shared" ca="1" si="420"/>
        <v>1000</v>
      </c>
      <c r="DW378" s="32">
        <f t="shared" ca="1" si="420"/>
        <v>1000</v>
      </c>
      <c r="DX378" s="32">
        <f t="shared" ca="1" si="420"/>
        <v>1000</v>
      </c>
      <c r="DY378" s="32">
        <f t="shared" ca="1" si="420"/>
        <v>1000</v>
      </c>
      <c r="DZ378" s="32">
        <f t="shared" ca="1" si="420"/>
        <v>1000</v>
      </c>
      <c r="EA378" s="32">
        <f t="shared" ca="1" si="420"/>
        <v>1000</v>
      </c>
      <c r="EB378" s="32">
        <f t="shared" ca="1" si="420"/>
        <v>1000</v>
      </c>
      <c r="EC378" s="32">
        <f t="shared" ca="1" si="420"/>
        <v>1000</v>
      </c>
      <c r="ED378" s="32">
        <f t="shared" ca="1" si="420"/>
        <v>1000</v>
      </c>
      <c r="EE378" s="32">
        <f t="shared" ca="1" si="420"/>
        <v>1000</v>
      </c>
      <c r="EF378" s="32">
        <f t="shared" ca="1" si="420"/>
        <v>1000</v>
      </c>
      <c r="EG378" s="32">
        <f t="shared" ref="EG378:GR378" ca="1" si="421">IF(EG345+EG352+EG359+EG366&gt;=1000,1000,1)</f>
        <v>1000</v>
      </c>
      <c r="EH378" s="32">
        <f t="shared" ca="1" si="421"/>
        <v>1000</v>
      </c>
      <c r="EI378" s="32">
        <f t="shared" ca="1" si="421"/>
        <v>1000</v>
      </c>
      <c r="EJ378" s="32">
        <f t="shared" ca="1" si="421"/>
        <v>1000</v>
      </c>
      <c r="EK378" s="32">
        <f t="shared" ca="1" si="421"/>
        <v>1</v>
      </c>
      <c r="EL378" s="32">
        <f t="shared" ca="1" si="421"/>
        <v>1</v>
      </c>
      <c r="EM378" s="32">
        <f t="shared" ca="1" si="421"/>
        <v>1</v>
      </c>
      <c r="EN378" s="32">
        <f t="shared" ca="1" si="421"/>
        <v>1</v>
      </c>
      <c r="EO378" s="32">
        <f t="shared" ca="1" si="421"/>
        <v>1</v>
      </c>
      <c r="EP378" s="32">
        <f t="shared" ca="1" si="421"/>
        <v>1</v>
      </c>
      <c r="EQ378" s="32">
        <f t="shared" ca="1" si="421"/>
        <v>1</v>
      </c>
      <c r="ER378" s="32">
        <f t="shared" ca="1" si="421"/>
        <v>1</v>
      </c>
      <c r="ES378" s="32">
        <f t="shared" ca="1" si="421"/>
        <v>1</v>
      </c>
      <c r="ET378" s="32">
        <f t="shared" ca="1" si="421"/>
        <v>1</v>
      </c>
      <c r="EU378" s="32">
        <f t="shared" ca="1" si="421"/>
        <v>1</v>
      </c>
      <c r="EV378" s="32">
        <f t="shared" ca="1" si="421"/>
        <v>1</v>
      </c>
      <c r="EW378" s="32">
        <f t="shared" ca="1" si="421"/>
        <v>1</v>
      </c>
      <c r="EX378" s="32">
        <f t="shared" ca="1" si="421"/>
        <v>1</v>
      </c>
      <c r="EY378" s="32">
        <f t="shared" ca="1" si="421"/>
        <v>1</v>
      </c>
      <c r="EZ378" s="32">
        <f t="shared" ca="1" si="421"/>
        <v>1</v>
      </c>
      <c r="FA378" s="32">
        <f t="shared" ca="1" si="421"/>
        <v>1</v>
      </c>
      <c r="FB378" s="32">
        <f t="shared" ca="1" si="421"/>
        <v>1</v>
      </c>
      <c r="FC378" s="32">
        <f t="shared" ca="1" si="421"/>
        <v>1</v>
      </c>
      <c r="FD378" s="32">
        <f t="shared" ca="1" si="421"/>
        <v>1</v>
      </c>
      <c r="FE378" s="32">
        <f t="shared" ca="1" si="421"/>
        <v>1</v>
      </c>
      <c r="FF378" s="32">
        <f t="shared" ca="1" si="421"/>
        <v>1</v>
      </c>
      <c r="FG378" s="32">
        <f t="shared" ca="1" si="421"/>
        <v>1</v>
      </c>
      <c r="FH378" s="32">
        <f t="shared" ca="1" si="421"/>
        <v>1</v>
      </c>
      <c r="FI378" s="32">
        <f t="shared" ca="1" si="421"/>
        <v>1</v>
      </c>
      <c r="FJ378" s="32">
        <f t="shared" ca="1" si="421"/>
        <v>1</v>
      </c>
      <c r="FK378" s="32">
        <f t="shared" ca="1" si="421"/>
        <v>1</v>
      </c>
      <c r="FL378" s="32">
        <f t="shared" ca="1" si="421"/>
        <v>1</v>
      </c>
      <c r="FM378" s="32">
        <f t="shared" ca="1" si="421"/>
        <v>1</v>
      </c>
      <c r="FN378" s="32">
        <f t="shared" ca="1" si="421"/>
        <v>1</v>
      </c>
      <c r="FO378" s="32">
        <f t="shared" ca="1" si="421"/>
        <v>1</v>
      </c>
      <c r="FP378" s="32">
        <f t="shared" ca="1" si="421"/>
        <v>1</v>
      </c>
      <c r="FQ378" s="32">
        <f t="shared" ca="1" si="421"/>
        <v>1</v>
      </c>
      <c r="FR378" s="32">
        <f t="shared" ca="1" si="421"/>
        <v>1</v>
      </c>
      <c r="FS378" s="32">
        <f t="shared" ca="1" si="421"/>
        <v>1</v>
      </c>
      <c r="FT378" s="32">
        <f t="shared" ca="1" si="421"/>
        <v>1</v>
      </c>
      <c r="FU378" s="32">
        <f t="shared" ca="1" si="421"/>
        <v>1</v>
      </c>
      <c r="FV378" s="32">
        <f t="shared" ca="1" si="421"/>
        <v>1</v>
      </c>
      <c r="FW378" s="32">
        <f t="shared" ca="1" si="421"/>
        <v>1</v>
      </c>
      <c r="FX378" s="32">
        <f t="shared" ca="1" si="421"/>
        <v>1</v>
      </c>
      <c r="FY378" s="32">
        <f t="shared" ca="1" si="421"/>
        <v>1</v>
      </c>
      <c r="FZ378" s="32">
        <f t="shared" ca="1" si="421"/>
        <v>1</v>
      </c>
      <c r="GA378" s="32">
        <f t="shared" ca="1" si="421"/>
        <v>1</v>
      </c>
      <c r="GB378" s="32">
        <f t="shared" ca="1" si="421"/>
        <v>1</v>
      </c>
      <c r="GC378" s="32">
        <f t="shared" ca="1" si="421"/>
        <v>1</v>
      </c>
      <c r="GD378" s="32">
        <f t="shared" ca="1" si="421"/>
        <v>1</v>
      </c>
      <c r="GE378" s="32">
        <f t="shared" ca="1" si="421"/>
        <v>1</v>
      </c>
      <c r="GF378" s="32">
        <f t="shared" ca="1" si="421"/>
        <v>1</v>
      </c>
      <c r="GG378" s="32">
        <f t="shared" ca="1" si="421"/>
        <v>1</v>
      </c>
      <c r="GH378" s="32">
        <f t="shared" ca="1" si="421"/>
        <v>1</v>
      </c>
      <c r="GI378" s="32">
        <f t="shared" ca="1" si="421"/>
        <v>1</v>
      </c>
      <c r="GJ378" s="32">
        <f t="shared" ca="1" si="421"/>
        <v>1</v>
      </c>
      <c r="GK378" s="32">
        <f t="shared" ca="1" si="421"/>
        <v>1</v>
      </c>
      <c r="GL378" s="32">
        <f t="shared" ca="1" si="421"/>
        <v>1</v>
      </c>
      <c r="GM378" s="32">
        <f t="shared" ca="1" si="421"/>
        <v>1</v>
      </c>
      <c r="GN378" s="32">
        <f t="shared" ca="1" si="421"/>
        <v>1</v>
      </c>
      <c r="GO378" s="32">
        <f t="shared" ca="1" si="421"/>
        <v>1</v>
      </c>
      <c r="GP378" s="32">
        <f t="shared" ca="1" si="421"/>
        <v>1</v>
      </c>
      <c r="GQ378" s="32">
        <f t="shared" ca="1" si="421"/>
        <v>1</v>
      </c>
      <c r="GR378" s="32">
        <f t="shared" ca="1" si="421"/>
        <v>1</v>
      </c>
      <c r="GS378" s="32">
        <f t="shared" ref="GS378:IK378" ca="1" si="422">IF(GS345+GS352+GS359+GS366&gt;=1000,1000,1)</f>
        <v>1</v>
      </c>
      <c r="GT378" s="32">
        <f t="shared" ca="1" si="422"/>
        <v>1</v>
      </c>
      <c r="GU378" s="32">
        <f t="shared" ca="1" si="422"/>
        <v>1</v>
      </c>
      <c r="GV378" s="32">
        <f t="shared" ca="1" si="422"/>
        <v>1</v>
      </c>
      <c r="GW378" s="32">
        <f t="shared" ca="1" si="422"/>
        <v>1</v>
      </c>
      <c r="GX378" s="32">
        <f t="shared" ca="1" si="422"/>
        <v>1</v>
      </c>
      <c r="GY378" s="32">
        <f t="shared" ca="1" si="422"/>
        <v>1</v>
      </c>
      <c r="GZ378" s="32">
        <f t="shared" ca="1" si="422"/>
        <v>1</v>
      </c>
      <c r="HA378" s="32">
        <f t="shared" ca="1" si="422"/>
        <v>1</v>
      </c>
      <c r="HB378" s="32">
        <f t="shared" ca="1" si="422"/>
        <v>1</v>
      </c>
      <c r="HC378" s="32">
        <f t="shared" ca="1" si="422"/>
        <v>1</v>
      </c>
      <c r="HD378" s="32">
        <f t="shared" ca="1" si="422"/>
        <v>1</v>
      </c>
      <c r="HE378" s="32">
        <f t="shared" ca="1" si="422"/>
        <v>1</v>
      </c>
      <c r="HF378" s="32">
        <f t="shared" ca="1" si="422"/>
        <v>1</v>
      </c>
      <c r="HG378" s="32">
        <f t="shared" ca="1" si="422"/>
        <v>1</v>
      </c>
      <c r="HH378" s="32">
        <f t="shared" ca="1" si="422"/>
        <v>1</v>
      </c>
      <c r="HI378" s="32">
        <f t="shared" ca="1" si="422"/>
        <v>1</v>
      </c>
      <c r="HJ378" s="32">
        <f t="shared" ca="1" si="422"/>
        <v>1</v>
      </c>
      <c r="HK378" s="32">
        <f t="shared" ca="1" si="422"/>
        <v>1</v>
      </c>
      <c r="HL378" s="32">
        <f t="shared" ca="1" si="422"/>
        <v>1</v>
      </c>
      <c r="HM378" s="32">
        <f t="shared" ca="1" si="422"/>
        <v>1</v>
      </c>
      <c r="HN378" s="32">
        <f t="shared" ca="1" si="422"/>
        <v>1</v>
      </c>
      <c r="HO378" s="32">
        <f t="shared" ca="1" si="422"/>
        <v>1</v>
      </c>
      <c r="HP378" s="32">
        <f t="shared" ca="1" si="422"/>
        <v>1</v>
      </c>
      <c r="HQ378" s="32">
        <f t="shared" ca="1" si="422"/>
        <v>1</v>
      </c>
      <c r="HR378" s="32">
        <f t="shared" ca="1" si="422"/>
        <v>1</v>
      </c>
      <c r="HS378" s="32">
        <f t="shared" ca="1" si="422"/>
        <v>1</v>
      </c>
      <c r="HT378" s="32">
        <f t="shared" ca="1" si="422"/>
        <v>1</v>
      </c>
      <c r="HU378" s="32">
        <f t="shared" ca="1" si="422"/>
        <v>1</v>
      </c>
      <c r="HV378" s="32">
        <f t="shared" ca="1" si="422"/>
        <v>1</v>
      </c>
      <c r="HW378" s="32">
        <f t="shared" ca="1" si="422"/>
        <v>1</v>
      </c>
      <c r="HX378" s="32">
        <f t="shared" ca="1" si="422"/>
        <v>1</v>
      </c>
      <c r="HY378" s="32">
        <f t="shared" ca="1" si="422"/>
        <v>1</v>
      </c>
      <c r="HZ378" s="32">
        <f t="shared" ca="1" si="422"/>
        <v>1</v>
      </c>
      <c r="IA378" s="32">
        <f t="shared" ca="1" si="422"/>
        <v>1</v>
      </c>
      <c r="IB378" s="32">
        <f t="shared" ca="1" si="422"/>
        <v>1</v>
      </c>
      <c r="IC378" s="32">
        <f t="shared" ca="1" si="422"/>
        <v>1</v>
      </c>
      <c r="ID378" s="32">
        <f t="shared" ca="1" si="422"/>
        <v>1</v>
      </c>
      <c r="IE378" s="32">
        <f t="shared" ca="1" si="422"/>
        <v>1</v>
      </c>
      <c r="IF378" s="32">
        <f t="shared" ca="1" si="422"/>
        <v>1</v>
      </c>
      <c r="IG378" s="32">
        <f t="shared" ca="1" si="422"/>
        <v>1</v>
      </c>
      <c r="IH378" s="32">
        <f t="shared" ca="1" si="422"/>
        <v>1</v>
      </c>
      <c r="II378" s="32">
        <f t="shared" ca="1" si="422"/>
        <v>1</v>
      </c>
      <c r="IJ378" s="32">
        <f t="shared" ca="1" si="422"/>
        <v>1</v>
      </c>
      <c r="IK378" s="32">
        <f t="shared" ca="1" si="422"/>
        <v>1</v>
      </c>
    </row>
    <row r="379" spans="1:245" ht="3.75" customHeight="1" x14ac:dyDescent="0.35">
      <c r="A379" s="195" t="str">
        <f t="shared" si="364"/>
        <v>XXX</v>
      </c>
      <c r="B379" s="195" t="s">
        <v>35</v>
      </c>
      <c r="C379" s="634"/>
      <c r="D379" s="634"/>
      <c r="E379" s="627"/>
      <c r="F379" s="635"/>
      <c r="G379" s="635"/>
    </row>
    <row r="380" spans="1:245" x14ac:dyDescent="0.35">
      <c r="A380" s="195" t="str">
        <f t="shared" si="364"/>
        <v>XXX</v>
      </c>
      <c r="B380" s="195">
        <f>IF(ENTRADAS!E15=0,0,1)</f>
        <v>1</v>
      </c>
      <c r="C380" s="1338" t="s">
        <v>1623</v>
      </c>
      <c r="D380" s="1339"/>
      <c r="E380" s="633">
        <f ca="1">IF(ENTRADAS!$F$22&lt;=4,COUNTIF(H380:IK380,1),ROUNDUP((COUNTIF(H380:IK380,1)/3),0)*(ENTRADAS!$F$22-1))</f>
        <v>0</v>
      </c>
      <c r="F380" s="1770" t="s">
        <v>101</v>
      </c>
      <c r="G380" s="1771"/>
      <c r="H380" s="32">
        <f t="shared" ref="H380:BS380" ca="1" si="423">IF(AND(H378=1,H400&gt;1,H400&lt;LARGE($H$404:$IK$404,1),H402&lt;LARGE($H$404:$IK$404,1)),1,0)</f>
        <v>0</v>
      </c>
      <c r="I380" s="32">
        <f t="shared" ca="1" si="423"/>
        <v>0</v>
      </c>
      <c r="J380" s="32">
        <f t="shared" ca="1" si="423"/>
        <v>0</v>
      </c>
      <c r="K380" s="32">
        <f t="shared" ca="1" si="423"/>
        <v>0</v>
      </c>
      <c r="L380" s="32">
        <f t="shared" ca="1" si="423"/>
        <v>0</v>
      </c>
      <c r="M380" s="32">
        <f t="shared" ca="1" si="423"/>
        <v>0</v>
      </c>
      <c r="N380" s="32">
        <f t="shared" ca="1" si="423"/>
        <v>0</v>
      </c>
      <c r="O380" s="32">
        <f t="shared" ca="1" si="423"/>
        <v>0</v>
      </c>
      <c r="P380" s="32">
        <f t="shared" ca="1" si="423"/>
        <v>0</v>
      </c>
      <c r="Q380" s="32">
        <f t="shared" ca="1" si="423"/>
        <v>0</v>
      </c>
      <c r="R380" s="32">
        <f t="shared" ca="1" si="423"/>
        <v>0</v>
      </c>
      <c r="S380" s="32">
        <f t="shared" ca="1" si="423"/>
        <v>0</v>
      </c>
      <c r="T380" s="32">
        <f t="shared" ca="1" si="423"/>
        <v>0</v>
      </c>
      <c r="U380" s="32">
        <f t="shared" ca="1" si="423"/>
        <v>0</v>
      </c>
      <c r="V380" s="32">
        <f t="shared" ca="1" si="423"/>
        <v>0</v>
      </c>
      <c r="W380" s="32">
        <f t="shared" ca="1" si="423"/>
        <v>0</v>
      </c>
      <c r="X380" s="32">
        <f t="shared" ca="1" si="423"/>
        <v>0</v>
      </c>
      <c r="Y380" s="32">
        <f t="shared" ca="1" si="423"/>
        <v>0</v>
      </c>
      <c r="Z380" s="32">
        <f t="shared" ca="1" si="423"/>
        <v>0</v>
      </c>
      <c r="AA380" s="32">
        <f t="shared" ca="1" si="423"/>
        <v>0</v>
      </c>
      <c r="AB380" s="32">
        <f t="shared" ca="1" si="423"/>
        <v>0</v>
      </c>
      <c r="AC380" s="32">
        <f t="shared" ca="1" si="423"/>
        <v>0</v>
      </c>
      <c r="AD380" s="32">
        <f t="shared" ca="1" si="423"/>
        <v>0</v>
      </c>
      <c r="AE380" s="32">
        <f t="shared" ca="1" si="423"/>
        <v>0</v>
      </c>
      <c r="AF380" s="32">
        <f t="shared" ca="1" si="423"/>
        <v>0</v>
      </c>
      <c r="AG380" s="32">
        <f t="shared" ca="1" si="423"/>
        <v>0</v>
      </c>
      <c r="AH380" s="32">
        <f t="shared" ca="1" si="423"/>
        <v>0</v>
      </c>
      <c r="AI380" s="32">
        <f t="shared" ca="1" si="423"/>
        <v>0</v>
      </c>
      <c r="AJ380" s="32">
        <f t="shared" ca="1" si="423"/>
        <v>0</v>
      </c>
      <c r="AK380" s="32">
        <f t="shared" ca="1" si="423"/>
        <v>0</v>
      </c>
      <c r="AL380" s="32">
        <f t="shared" ca="1" si="423"/>
        <v>0</v>
      </c>
      <c r="AM380" s="32">
        <f t="shared" ca="1" si="423"/>
        <v>0</v>
      </c>
      <c r="AN380" s="32">
        <f t="shared" ca="1" si="423"/>
        <v>0</v>
      </c>
      <c r="AO380" s="32">
        <f t="shared" ca="1" si="423"/>
        <v>0</v>
      </c>
      <c r="AP380" s="32">
        <f t="shared" ca="1" si="423"/>
        <v>0</v>
      </c>
      <c r="AQ380" s="32">
        <f t="shared" ca="1" si="423"/>
        <v>0</v>
      </c>
      <c r="AR380" s="32">
        <f t="shared" ca="1" si="423"/>
        <v>0</v>
      </c>
      <c r="AS380" s="32">
        <f t="shared" ca="1" si="423"/>
        <v>0</v>
      </c>
      <c r="AT380" s="32">
        <f t="shared" ca="1" si="423"/>
        <v>0</v>
      </c>
      <c r="AU380" s="32">
        <f t="shared" ca="1" si="423"/>
        <v>0</v>
      </c>
      <c r="AV380" s="32">
        <f t="shared" ca="1" si="423"/>
        <v>0</v>
      </c>
      <c r="AW380" s="32">
        <f t="shared" ca="1" si="423"/>
        <v>0</v>
      </c>
      <c r="AX380" s="32">
        <f t="shared" ca="1" si="423"/>
        <v>0</v>
      </c>
      <c r="AY380" s="32">
        <f t="shared" ca="1" si="423"/>
        <v>0</v>
      </c>
      <c r="AZ380" s="32">
        <f t="shared" ca="1" si="423"/>
        <v>0</v>
      </c>
      <c r="BA380" s="32">
        <f t="shared" ca="1" si="423"/>
        <v>0</v>
      </c>
      <c r="BB380" s="32">
        <f t="shared" ca="1" si="423"/>
        <v>0</v>
      </c>
      <c r="BC380" s="32">
        <f t="shared" ca="1" si="423"/>
        <v>0</v>
      </c>
      <c r="BD380" s="32">
        <f t="shared" ca="1" si="423"/>
        <v>0</v>
      </c>
      <c r="BE380" s="32">
        <f t="shared" ca="1" si="423"/>
        <v>0</v>
      </c>
      <c r="BF380" s="32">
        <f t="shared" ca="1" si="423"/>
        <v>0</v>
      </c>
      <c r="BG380" s="32">
        <f t="shared" ca="1" si="423"/>
        <v>0</v>
      </c>
      <c r="BH380" s="32">
        <f t="shared" ca="1" si="423"/>
        <v>0</v>
      </c>
      <c r="BI380" s="32">
        <f t="shared" ca="1" si="423"/>
        <v>0</v>
      </c>
      <c r="BJ380" s="32">
        <f t="shared" ca="1" si="423"/>
        <v>0</v>
      </c>
      <c r="BK380" s="32">
        <f t="shared" ca="1" si="423"/>
        <v>0</v>
      </c>
      <c r="BL380" s="32">
        <f t="shared" ca="1" si="423"/>
        <v>0</v>
      </c>
      <c r="BM380" s="32">
        <f t="shared" ca="1" si="423"/>
        <v>0</v>
      </c>
      <c r="BN380" s="32">
        <f t="shared" ca="1" si="423"/>
        <v>0</v>
      </c>
      <c r="BO380" s="32">
        <f t="shared" ca="1" si="423"/>
        <v>0</v>
      </c>
      <c r="BP380" s="32">
        <f t="shared" ca="1" si="423"/>
        <v>0</v>
      </c>
      <c r="BQ380" s="32">
        <f t="shared" ca="1" si="423"/>
        <v>0</v>
      </c>
      <c r="BR380" s="32">
        <f t="shared" ca="1" si="423"/>
        <v>0</v>
      </c>
      <c r="BS380" s="32">
        <f t="shared" ca="1" si="423"/>
        <v>0</v>
      </c>
      <c r="BT380" s="32">
        <f t="shared" ref="BT380:EE380" ca="1" si="424">IF(AND(BT378=1,BT400&gt;1,BT400&lt;LARGE($H$404:$IK$404,1),BT402&lt;LARGE($H$404:$IK$404,1)),1,0)</f>
        <v>0</v>
      </c>
      <c r="BU380" s="32">
        <f t="shared" ca="1" si="424"/>
        <v>0</v>
      </c>
      <c r="BV380" s="32">
        <f t="shared" ca="1" si="424"/>
        <v>0</v>
      </c>
      <c r="BW380" s="32">
        <f t="shared" ca="1" si="424"/>
        <v>0</v>
      </c>
      <c r="BX380" s="32">
        <f t="shared" ca="1" si="424"/>
        <v>0</v>
      </c>
      <c r="BY380" s="32">
        <f t="shared" ca="1" si="424"/>
        <v>0</v>
      </c>
      <c r="BZ380" s="32">
        <f t="shared" ca="1" si="424"/>
        <v>0</v>
      </c>
      <c r="CA380" s="32">
        <f t="shared" ca="1" si="424"/>
        <v>0</v>
      </c>
      <c r="CB380" s="32">
        <f t="shared" ca="1" si="424"/>
        <v>0</v>
      </c>
      <c r="CC380" s="32">
        <f t="shared" ca="1" si="424"/>
        <v>0</v>
      </c>
      <c r="CD380" s="32">
        <f t="shared" ca="1" si="424"/>
        <v>0</v>
      </c>
      <c r="CE380" s="32">
        <f t="shared" ca="1" si="424"/>
        <v>0</v>
      </c>
      <c r="CF380" s="32">
        <f t="shared" ca="1" si="424"/>
        <v>0</v>
      </c>
      <c r="CG380" s="32">
        <f t="shared" ca="1" si="424"/>
        <v>0</v>
      </c>
      <c r="CH380" s="32">
        <f t="shared" ca="1" si="424"/>
        <v>0</v>
      </c>
      <c r="CI380" s="32">
        <f t="shared" ca="1" si="424"/>
        <v>0</v>
      </c>
      <c r="CJ380" s="32">
        <f t="shared" ca="1" si="424"/>
        <v>0</v>
      </c>
      <c r="CK380" s="32">
        <f t="shared" ca="1" si="424"/>
        <v>0</v>
      </c>
      <c r="CL380" s="32">
        <f t="shared" ca="1" si="424"/>
        <v>0</v>
      </c>
      <c r="CM380" s="32">
        <f t="shared" ca="1" si="424"/>
        <v>0</v>
      </c>
      <c r="CN380" s="32">
        <f t="shared" ca="1" si="424"/>
        <v>0</v>
      </c>
      <c r="CO380" s="32">
        <f t="shared" ca="1" si="424"/>
        <v>0</v>
      </c>
      <c r="CP380" s="32">
        <f t="shared" ca="1" si="424"/>
        <v>0</v>
      </c>
      <c r="CQ380" s="32">
        <f t="shared" ca="1" si="424"/>
        <v>0</v>
      </c>
      <c r="CR380" s="32">
        <f t="shared" ca="1" si="424"/>
        <v>0</v>
      </c>
      <c r="CS380" s="32">
        <f t="shared" ca="1" si="424"/>
        <v>0</v>
      </c>
      <c r="CT380" s="32">
        <f t="shared" ca="1" si="424"/>
        <v>0</v>
      </c>
      <c r="CU380" s="32">
        <f t="shared" ca="1" si="424"/>
        <v>0</v>
      </c>
      <c r="CV380" s="32">
        <f t="shared" ca="1" si="424"/>
        <v>0</v>
      </c>
      <c r="CW380" s="32">
        <f t="shared" ca="1" si="424"/>
        <v>0</v>
      </c>
      <c r="CX380" s="32">
        <f t="shared" ca="1" si="424"/>
        <v>0</v>
      </c>
      <c r="CY380" s="32">
        <f t="shared" ca="1" si="424"/>
        <v>0</v>
      </c>
      <c r="CZ380" s="32">
        <f t="shared" ca="1" si="424"/>
        <v>0</v>
      </c>
      <c r="DA380" s="32">
        <f t="shared" ca="1" si="424"/>
        <v>0</v>
      </c>
      <c r="DB380" s="32">
        <f t="shared" ca="1" si="424"/>
        <v>0</v>
      </c>
      <c r="DC380" s="32">
        <f t="shared" ca="1" si="424"/>
        <v>0</v>
      </c>
      <c r="DD380" s="32">
        <f t="shared" ca="1" si="424"/>
        <v>0</v>
      </c>
      <c r="DE380" s="32">
        <f t="shared" ca="1" si="424"/>
        <v>0</v>
      </c>
      <c r="DF380" s="32">
        <f t="shared" ca="1" si="424"/>
        <v>0</v>
      </c>
      <c r="DG380" s="32">
        <f t="shared" ca="1" si="424"/>
        <v>0</v>
      </c>
      <c r="DH380" s="32">
        <f t="shared" ca="1" si="424"/>
        <v>0</v>
      </c>
      <c r="DI380" s="32">
        <f t="shared" ca="1" si="424"/>
        <v>0</v>
      </c>
      <c r="DJ380" s="32">
        <f t="shared" ca="1" si="424"/>
        <v>0</v>
      </c>
      <c r="DK380" s="32">
        <f t="shared" ca="1" si="424"/>
        <v>0</v>
      </c>
      <c r="DL380" s="32">
        <f t="shared" ca="1" si="424"/>
        <v>0</v>
      </c>
      <c r="DM380" s="32">
        <f t="shared" ca="1" si="424"/>
        <v>0</v>
      </c>
      <c r="DN380" s="32">
        <f t="shared" ca="1" si="424"/>
        <v>0</v>
      </c>
      <c r="DO380" s="32">
        <f t="shared" ca="1" si="424"/>
        <v>0</v>
      </c>
      <c r="DP380" s="32">
        <f t="shared" ca="1" si="424"/>
        <v>0</v>
      </c>
      <c r="DQ380" s="32">
        <f t="shared" ca="1" si="424"/>
        <v>0</v>
      </c>
      <c r="DR380" s="32">
        <f t="shared" ca="1" si="424"/>
        <v>0</v>
      </c>
      <c r="DS380" s="32">
        <f t="shared" ca="1" si="424"/>
        <v>0</v>
      </c>
      <c r="DT380" s="32">
        <f t="shared" ca="1" si="424"/>
        <v>0</v>
      </c>
      <c r="DU380" s="32">
        <f t="shared" ca="1" si="424"/>
        <v>0</v>
      </c>
      <c r="DV380" s="32">
        <f t="shared" ca="1" si="424"/>
        <v>0</v>
      </c>
      <c r="DW380" s="32">
        <f t="shared" ca="1" si="424"/>
        <v>0</v>
      </c>
      <c r="DX380" s="32">
        <f t="shared" ca="1" si="424"/>
        <v>0</v>
      </c>
      <c r="DY380" s="32">
        <f t="shared" ca="1" si="424"/>
        <v>0</v>
      </c>
      <c r="DZ380" s="32">
        <f t="shared" ca="1" si="424"/>
        <v>0</v>
      </c>
      <c r="EA380" s="32">
        <f t="shared" ca="1" si="424"/>
        <v>0</v>
      </c>
      <c r="EB380" s="32">
        <f t="shared" ca="1" si="424"/>
        <v>0</v>
      </c>
      <c r="EC380" s="32">
        <f t="shared" ca="1" si="424"/>
        <v>0</v>
      </c>
      <c r="ED380" s="32">
        <f t="shared" ca="1" si="424"/>
        <v>0</v>
      </c>
      <c r="EE380" s="32">
        <f t="shared" ca="1" si="424"/>
        <v>0</v>
      </c>
      <c r="EF380" s="32">
        <f t="shared" ref="EF380:GQ380" ca="1" si="425">IF(AND(EF378=1,EF400&gt;1,EF400&lt;LARGE($H$404:$IK$404,1),EF402&lt;LARGE($H$404:$IK$404,1)),1,0)</f>
        <v>0</v>
      </c>
      <c r="EG380" s="32">
        <f t="shared" ca="1" si="425"/>
        <v>0</v>
      </c>
      <c r="EH380" s="32">
        <f t="shared" ca="1" si="425"/>
        <v>0</v>
      </c>
      <c r="EI380" s="32">
        <f t="shared" ca="1" si="425"/>
        <v>0</v>
      </c>
      <c r="EJ380" s="32">
        <f t="shared" ca="1" si="425"/>
        <v>0</v>
      </c>
      <c r="EK380" s="32">
        <f t="shared" ca="1" si="425"/>
        <v>0</v>
      </c>
      <c r="EL380" s="32">
        <f t="shared" ca="1" si="425"/>
        <v>0</v>
      </c>
      <c r="EM380" s="32">
        <f t="shared" ca="1" si="425"/>
        <v>0</v>
      </c>
      <c r="EN380" s="32">
        <f t="shared" ca="1" si="425"/>
        <v>0</v>
      </c>
      <c r="EO380" s="32">
        <f t="shared" ca="1" si="425"/>
        <v>0</v>
      </c>
      <c r="EP380" s="32">
        <f t="shared" ca="1" si="425"/>
        <v>0</v>
      </c>
      <c r="EQ380" s="32">
        <f t="shared" ca="1" si="425"/>
        <v>0</v>
      </c>
      <c r="ER380" s="32">
        <f t="shared" ca="1" si="425"/>
        <v>0</v>
      </c>
      <c r="ES380" s="32">
        <f t="shared" ca="1" si="425"/>
        <v>0</v>
      </c>
      <c r="ET380" s="32">
        <f t="shared" ca="1" si="425"/>
        <v>0</v>
      </c>
      <c r="EU380" s="32">
        <f t="shared" ca="1" si="425"/>
        <v>0</v>
      </c>
      <c r="EV380" s="32">
        <f t="shared" ca="1" si="425"/>
        <v>0</v>
      </c>
      <c r="EW380" s="32">
        <f t="shared" ca="1" si="425"/>
        <v>0</v>
      </c>
      <c r="EX380" s="32">
        <f t="shared" ca="1" si="425"/>
        <v>0</v>
      </c>
      <c r="EY380" s="32">
        <f t="shared" ca="1" si="425"/>
        <v>0</v>
      </c>
      <c r="EZ380" s="32">
        <f t="shared" ca="1" si="425"/>
        <v>0</v>
      </c>
      <c r="FA380" s="32">
        <f t="shared" ca="1" si="425"/>
        <v>0</v>
      </c>
      <c r="FB380" s="32">
        <f t="shared" ca="1" si="425"/>
        <v>0</v>
      </c>
      <c r="FC380" s="32">
        <f t="shared" ca="1" si="425"/>
        <v>0</v>
      </c>
      <c r="FD380" s="32">
        <f t="shared" ca="1" si="425"/>
        <v>0</v>
      </c>
      <c r="FE380" s="32">
        <f t="shared" ca="1" si="425"/>
        <v>0</v>
      </c>
      <c r="FF380" s="32">
        <f t="shared" ca="1" si="425"/>
        <v>0</v>
      </c>
      <c r="FG380" s="32">
        <f t="shared" ca="1" si="425"/>
        <v>0</v>
      </c>
      <c r="FH380" s="32">
        <f t="shared" ca="1" si="425"/>
        <v>0</v>
      </c>
      <c r="FI380" s="32">
        <f t="shared" ca="1" si="425"/>
        <v>0</v>
      </c>
      <c r="FJ380" s="32">
        <f t="shared" ca="1" si="425"/>
        <v>0</v>
      </c>
      <c r="FK380" s="32">
        <f t="shared" ca="1" si="425"/>
        <v>0</v>
      </c>
      <c r="FL380" s="32">
        <f t="shared" ca="1" si="425"/>
        <v>0</v>
      </c>
      <c r="FM380" s="32">
        <f t="shared" ca="1" si="425"/>
        <v>0</v>
      </c>
      <c r="FN380" s="32">
        <f t="shared" ca="1" si="425"/>
        <v>0</v>
      </c>
      <c r="FO380" s="32">
        <f t="shared" ca="1" si="425"/>
        <v>0</v>
      </c>
      <c r="FP380" s="32">
        <f t="shared" ca="1" si="425"/>
        <v>0</v>
      </c>
      <c r="FQ380" s="32">
        <f t="shared" ca="1" si="425"/>
        <v>0</v>
      </c>
      <c r="FR380" s="32">
        <f t="shared" ca="1" si="425"/>
        <v>0</v>
      </c>
      <c r="FS380" s="32">
        <f t="shared" ca="1" si="425"/>
        <v>0</v>
      </c>
      <c r="FT380" s="32">
        <f t="shared" ca="1" si="425"/>
        <v>0</v>
      </c>
      <c r="FU380" s="32">
        <f t="shared" ca="1" si="425"/>
        <v>0</v>
      </c>
      <c r="FV380" s="32">
        <f t="shared" ca="1" si="425"/>
        <v>0</v>
      </c>
      <c r="FW380" s="32">
        <f t="shared" ca="1" si="425"/>
        <v>0</v>
      </c>
      <c r="FX380" s="32">
        <f t="shared" ca="1" si="425"/>
        <v>0</v>
      </c>
      <c r="FY380" s="32">
        <f t="shared" ca="1" si="425"/>
        <v>0</v>
      </c>
      <c r="FZ380" s="32">
        <f t="shared" ca="1" si="425"/>
        <v>0</v>
      </c>
      <c r="GA380" s="32">
        <f t="shared" ca="1" si="425"/>
        <v>0</v>
      </c>
      <c r="GB380" s="32">
        <f t="shared" ca="1" si="425"/>
        <v>0</v>
      </c>
      <c r="GC380" s="32">
        <f t="shared" ca="1" si="425"/>
        <v>0</v>
      </c>
      <c r="GD380" s="32">
        <f t="shared" ca="1" si="425"/>
        <v>0</v>
      </c>
      <c r="GE380" s="32">
        <f t="shared" ca="1" si="425"/>
        <v>0</v>
      </c>
      <c r="GF380" s="32">
        <f t="shared" ca="1" si="425"/>
        <v>0</v>
      </c>
      <c r="GG380" s="32">
        <f t="shared" ca="1" si="425"/>
        <v>0</v>
      </c>
      <c r="GH380" s="32">
        <f t="shared" ca="1" si="425"/>
        <v>0</v>
      </c>
      <c r="GI380" s="32">
        <f t="shared" ca="1" si="425"/>
        <v>0</v>
      </c>
      <c r="GJ380" s="32">
        <f t="shared" ca="1" si="425"/>
        <v>0</v>
      </c>
      <c r="GK380" s="32">
        <f t="shared" ca="1" si="425"/>
        <v>0</v>
      </c>
      <c r="GL380" s="32">
        <f t="shared" ca="1" si="425"/>
        <v>0</v>
      </c>
      <c r="GM380" s="32">
        <f t="shared" ca="1" si="425"/>
        <v>0</v>
      </c>
      <c r="GN380" s="32">
        <f t="shared" ca="1" si="425"/>
        <v>0</v>
      </c>
      <c r="GO380" s="32">
        <f t="shared" ca="1" si="425"/>
        <v>0</v>
      </c>
      <c r="GP380" s="32">
        <f t="shared" ca="1" si="425"/>
        <v>0</v>
      </c>
      <c r="GQ380" s="32">
        <f t="shared" ca="1" si="425"/>
        <v>0</v>
      </c>
      <c r="GR380" s="32">
        <f t="shared" ref="GR380:IK380" ca="1" si="426">IF(AND(GR378=1,GR400&gt;1,GR400&lt;LARGE($H$404:$IK$404,1),GR402&lt;LARGE($H$404:$IK$404,1)),1,0)</f>
        <v>0</v>
      </c>
      <c r="GS380" s="32">
        <f t="shared" ca="1" si="426"/>
        <v>0</v>
      </c>
      <c r="GT380" s="32">
        <f t="shared" ca="1" si="426"/>
        <v>0</v>
      </c>
      <c r="GU380" s="32">
        <f t="shared" ca="1" si="426"/>
        <v>0</v>
      </c>
      <c r="GV380" s="32">
        <f t="shared" ca="1" si="426"/>
        <v>0</v>
      </c>
      <c r="GW380" s="32">
        <f t="shared" ca="1" si="426"/>
        <v>0</v>
      </c>
      <c r="GX380" s="32">
        <f t="shared" ca="1" si="426"/>
        <v>0</v>
      </c>
      <c r="GY380" s="32">
        <f t="shared" ca="1" si="426"/>
        <v>0</v>
      </c>
      <c r="GZ380" s="32">
        <f t="shared" ca="1" si="426"/>
        <v>0</v>
      </c>
      <c r="HA380" s="32">
        <f t="shared" ca="1" si="426"/>
        <v>0</v>
      </c>
      <c r="HB380" s="32">
        <f t="shared" ca="1" si="426"/>
        <v>0</v>
      </c>
      <c r="HC380" s="32">
        <f t="shared" ca="1" si="426"/>
        <v>0</v>
      </c>
      <c r="HD380" s="32">
        <f t="shared" ca="1" si="426"/>
        <v>0</v>
      </c>
      <c r="HE380" s="32">
        <f t="shared" ca="1" si="426"/>
        <v>0</v>
      </c>
      <c r="HF380" s="32">
        <f t="shared" ca="1" si="426"/>
        <v>0</v>
      </c>
      <c r="HG380" s="32">
        <f t="shared" ca="1" si="426"/>
        <v>0</v>
      </c>
      <c r="HH380" s="32">
        <f t="shared" ca="1" si="426"/>
        <v>0</v>
      </c>
      <c r="HI380" s="32">
        <f t="shared" ca="1" si="426"/>
        <v>0</v>
      </c>
      <c r="HJ380" s="32">
        <f t="shared" ca="1" si="426"/>
        <v>0</v>
      </c>
      <c r="HK380" s="32">
        <f t="shared" ca="1" si="426"/>
        <v>0</v>
      </c>
      <c r="HL380" s="32">
        <f t="shared" ca="1" si="426"/>
        <v>0</v>
      </c>
      <c r="HM380" s="32">
        <f t="shared" ca="1" si="426"/>
        <v>0</v>
      </c>
      <c r="HN380" s="32">
        <f t="shared" ca="1" si="426"/>
        <v>0</v>
      </c>
      <c r="HO380" s="32">
        <f t="shared" ca="1" si="426"/>
        <v>0</v>
      </c>
      <c r="HP380" s="32">
        <f t="shared" ca="1" si="426"/>
        <v>0</v>
      </c>
      <c r="HQ380" s="32">
        <f t="shared" ca="1" si="426"/>
        <v>0</v>
      </c>
      <c r="HR380" s="32">
        <f t="shared" ca="1" si="426"/>
        <v>0</v>
      </c>
      <c r="HS380" s="32">
        <f t="shared" ca="1" si="426"/>
        <v>0</v>
      </c>
      <c r="HT380" s="32">
        <f t="shared" ca="1" si="426"/>
        <v>0</v>
      </c>
      <c r="HU380" s="32">
        <f t="shared" ca="1" si="426"/>
        <v>0</v>
      </c>
      <c r="HV380" s="32">
        <f t="shared" ca="1" si="426"/>
        <v>0</v>
      </c>
      <c r="HW380" s="32">
        <f t="shared" ca="1" si="426"/>
        <v>0</v>
      </c>
      <c r="HX380" s="32">
        <f t="shared" ca="1" si="426"/>
        <v>0</v>
      </c>
      <c r="HY380" s="32">
        <f t="shared" ca="1" si="426"/>
        <v>0</v>
      </c>
      <c r="HZ380" s="32">
        <f t="shared" ca="1" si="426"/>
        <v>0</v>
      </c>
      <c r="IA380" s="32">
        <f t="shared" ca="1" si="426"/>
        <v>0</v>
      </c>
      <c r="IB380" s="32">
        <f t="shared" ca="1" si="426"/>
        <v>0</v>
      </c>
      <c r="IC380" s="32">
        <f t="shared" ca="1" si="426"/>
        <v>0</v>
      </c>
      <c r="ID380" s="32">
        <f t="shared" ca="1" si="426"/>
        <v>0</v>
      </c>
      <c r="IE380" s="32">
        <f t="shared" ca="1" si="426"/>
        <v>0</v>
      </c>
      <c r="IF380" s="32">
        <f t="shared" ca="1" si="426"/>
        <v>0</v>
      </c>
      <c r="IG380" s="32">
        <f t="shared" ca="1" si="426"/>
        <v>0</v>
      </c>
      <c r="IH380" s="32">
        <f t="shared" ca="1" si="426"/>
        <v>0</v>
      </c>
      <c r="II380" s="32">
        <f t="shared" ca="1" si="426"/>
        <v>0</v>
      </c>
      <c r="IJ380" s="32">
        <f t="shared" ca="1" si="426"/>
        <v>0</v>
      </c>
      <c r="IK380" s="32">
        <f t="shared" ca="1" si="426"/>
        <v>0</v>
      </c>
    </row>
    <row r="381" spans="1:245" x14ac:dyDescent="0.35">
      <c r="A381" s="195" t="str">
        <f t="shared" si="364"/>
        <v>XXX</v>
      </c>
      <c r="B381" s="195">
        <f>IF(ENTRADAS!E15=0,0,1)</f>
        <v>1</v>
      </c>
      <c r="C381" s="1338" t="str">
        <f>IF(ENTRADAS!F22&lt;=4,"quantidade de intervalos: "&amp;ENTRADAS!F22&amp;" tq ","quant. de intervalo previsto: "&amp;ENTRADAS!F22&amp;" tq ")</f>
        <v xml:space="preserve">quantidade de intervalos: 4 tq </v>
      </c>
      <c r="D381" s="1339"/>
      <c r="E381" s="633">
        <f ca="1">IF(ENTRADAS!$B$411&gt;0,IF(AND(ENTRADAS!$B$411&lt;=3,ENTRADAS!$B$411&gt;0),IF(ENTRADAS!$F$22&lt;=4,COUNTIF(H381:IK381,1),ENTRADAS!$B$411-1),IF(ENTRADAS!$F$22&gt;4,ENTRADAS!$B$411-1,0)),IF(ENTRADAS!$F$22&lt;=4,COUNTIF(H381:IK381,1),ROUNDUP(COUNTIF(H381:IK381,1)/4*(ENTRADAS!$F$22),0)))</f>
        <v>0</v>
      </c>
      <c r="F381" s="1770" t="s">
        <v>1621</v>
      </c>
      <c r="G381" s="1771"/>
      <c r="H381">
        <f t="shared" ref="H381:BR381" ca="1" si="427">IF(I380-H380=-1,1,0)</f>
        <v>0</v>
      </c>
      <c r="I381">
        <f ca="1">IF(J380-I380=-1,1,0)</f>
        <v>0</v>
      </c>
      <c r="J381">
        <f t="shared" ca="1" si="427"/>
        <v>0</v>
      </c>
      <c r="K381">
        <f t="shared" ca="1" si="427"/>
        <v>0</v>
      </c>
      <c r="L381">
        <f t="shared" ca="1" si="427"/>
        <v>0</v>
      </c>
      <c r="M381">
        <f t="shared" ca="1" si="427"/>
        <v>0</v>
      </c>
      <c r="N381">
        <f t="shared" ca="1" si="427"/>
        <v>0</v>
      </c>
      <c r="O381">
        <f t="shared" ca="1" si="427"/>
        <v>0</v>
      </c>
      <c r="P381">
        <f t="shared" ca="1" si="427"/>
        <v>0</v>
      </c>
      <c r="Q381">
        <f t="shared" ca="1" si="427"/>
        <v>0</v>
      </c>
      <c r="R381">
        <f t="shared" ca="1" si="427"/>
        <v>0</v>
      </c>
      <c r="S381">
        <f t="shared" ca="1" si="427"/>
        <v>0</v>
      </c>
      <c r="T381">
        <f t="shared" ca="1" si="427"/>
        <v>0</v>
      </c>
      <c r="U381">
        <f t="shared" ca="1" si="427"/>
        <v>0</v>
      </c>
      <c r="V381">
        <f t="shared" ca="1" si="427"/>
        <v>0</v>
      </c>
      <c r="W381">
        <f t="shared" ca="1" si="427"/>
        <v>0</v>
      </c>
      <c r="X381">
        <f t="shared" ca="1" si="427"/>
        <v>0</v>
      </c>
      <c r="Y381">
        <f t="shared" ca="1" si="427"/>
        <v>0</v>
      </c>
      <c r="Z381">
        <f t="shared" ca="1" si="427"/>
        <v>0</v>
      </c>
      <c r="AA381">
        <f t="shared" ca="1" si="427"/>
        <v>0</v>
      </c>
      <c r="AB381">
        <f t="shared" ca="1" si="427"/>
        <v>0</v>
      </c>
      <c r="AC381">
        <f t="shared" ca="1" si="427"/>
        <v>0</v>
      </c>
      <c r="AD381">
        <f t="shared" ca="1" si="427"/>
        <v>0</v>
      </c>
      <c r="AE381">
        <f t="shared" ca="1" si="427"/>
        <v>0</v>
      </c>
      <c r="AF381">
        <f t="shared" ca="1" si="427"/>
        <v>0</v>
      </c>
      <c r="AG381">
        <f t="shared" ca="1" si="427"/>
        <v>0</v>
      </c>
      <c r="AH381">
        <f t="shared" ca="1" si="427"/>
        <v>0</v>
      </c>
      <c r="AI381">
        <f t="shared" ca="1" si="427"/>
        <v>0</v>
      </c>
      <c r="AJ381">
        <f t="shared" ca="1" si="427"/>
        <v>0</v>
      </c>
      <c r="AK381">
        <f t="shared" ca="1" si="427"/>
        <v>0</v>
      </c>
      <c r="AL381">
        <f t="shared" ca="1" si="427"/>
        <v>0</v>
      </c>
      <c r="AM381">
        <f t="shared" ca="1" si="427"/>
        <v>0</v>
      </c>
      <c r="AN381">
        <f t="shared" ca="1" si="427"/>
        <v>0</v>
      </c>
      <c r="AO381">
        <f t="shared" ca="1" si="427"/>
        <v>0</v>
      </c>
      <c r="AP381">
        <f t="shared" ca="1" si="427"/>
        <v>0</v>
      </c>
      <c r="AQ381">
        <f t="shared" ca="1" si="427"/>
        <v>0</v>
      </c>
      <c r="AR381">
        <f t="shared" ca="1" si="427"/>
        <v>0</v>
      </c>
      <c r="AS381">
        <f t="shared" ca="1" si="427"/>
        <v>0</v>
      </c>
      <c r="AT381">
        <f t="shared" ca="1" si="427"/>
        <v>0</v>
      </c>
      <c r="AU381">
        <f t="shared" ca="1" si="427"/>
        <v>0</v>
      </c>
      <c r="AV381">
        <f t="shared" ca="1" si="427"/>
        <v>0</v>
      </c>
      <c r="AW381">
        <f t="shared" ca="1" si="427"/>
        <v>0</v>
      </c>
      <c r="AX381">
        <f t="shared" ca="1" si="427"/>
        <v>0</v>
      </c>
      <c r="AY381">
        <f t="shared" ca="1" si="427"/>
        <v>0</v>
      </c>
      <c r="AZ381">
        <f t="shared" ca="1" si="427"/>
        <v>0</v>
      </c>
      <c r="BA381">
        <f t="shared" ca="1" si="427"/>
        <v>0</v>
      </c>
      <c r="BB381">
        <f t="shared" ca="1" si="427"/>
        <v>0</v>
      </c>
      <c r="BC381">
        <f t="shared" ca="1" si="427"/>
        <v>0</v>
      </c>
      <c r="BD381">
        <f t="shared" ca="1" si="427"/>
        <v>0</v>
      </c>
      <c r="BE381">
        <f t="shared" ca="1" si="427"/>
        <v>0</v>
      </c>
      <c r="BF381">
        <f t="shared" ca="1" si="427"/>
        <v>0</v>
      </c>
      <c r="BG381">
        <f t="shared" ca="1" si="427"/>
        <v>0</v>
      </c>
      <c r="BH381">
        <f t="shared" ca="1" si="427"/>
        <v>0</v>
      </c>
      <c r="BI381">
        <f t="shared" ca="1" si="427"/>
        <v>0</v>
      </c>
      <c r="BJ381">
        <f t="shared" ca="1" si="427"/>
        <v>0</v>
      </c>
      <c r="BK381">
        <f t="shared" ca="1" si="427"/>
        <v>0</v>
      </c>
      <c r="BL381">
        <f t="shared" ca="1" si="427"/>
        <v>0</v>
      </c>
      <c r="BM381">
        <f t="shared" ca="1" si="427"/>
        <v>0</v>
      </c>
      <c r="BN381">
        <f t="shared" ca="1" si="427"/>
        <v>0</v>
      </c>
      <c r="BO381">
        <f t="shared" ca="1" si="427"/>
        <v>0</v>
      </c>
      <c r="BP381">
        <f t="shared" ca="1" si="427"/>
        <v>0</v>
      </c>
      <c r="BQ381">
        <f t="shared" ca="1" si="427"/>
        <v>0</v>
      </c>
      <c r="BR381">
        <f t="shared" ca="1" si="427"/>
        <v>0</v>
      </c>
      <c r="BS381">
        <f ca="1">IF(BT380-BS380=-1,1,0)</f>
        <v>0</v>
      </c>
      <c r="BT381">
        <f t="shared" ref="BT381:EE381" ca="1" si="428">IF(BU380-BT380=-1,1,0)</f>
        <v>0</v>
      </c>
      <c r="BU381">
        <f t="shared" ca="1" si="428"/>
        <v>0</v>
      </c>
      <c r="BV381">
        <f t="shared" ca="1" si="428"/>
        <v>0</v>
      </c>
      <c r="BW381">
        <f t="shared" ca="1" si="428"/>
        <v>0</v>
      </c>
      <c r="BX381">
        <f t="shared" ca="1" si="428"/>
        <v>0</v>
      </c>
      <c r="BY381">
        <f t="shared" ca="1" si="428"/>
        <v>0</v>
      </c>
      <c r="BZ381">
        <f t="shared" ca="1" si="428"/>
        <v>0</v>
      </c>
      <c r="CA381">
        <f t="shared" ca="1" si="428"/>
        <v>0</v>
      </c>
      <c r="CB381">
        <f t="shared" ca="1" si="428"/>
        <v>0</v>
      </c>
      <c r="CC381">
        <f t="shared" ca="1" si="428"/>
        <v>0</v>
      </c>
      <c r="CD381">
        <f t="shared" ca="1" si="428"/>
        <v>0</v>
      </c>
      <c r="CE381">
        <f t="shared" ca="1" si="428"/>
        <v>0</v>
      </c>
      <c r="CF381">
        <f t="shared" ca="1" si="428"/>
        <v>0</v>
      </c>
      <c r="CG381">
        <f t="shared" ca="1" si="428"/>
        <v>0</v>
      </c>
      <c r="CH381">
        <f t="shared" ca="1" si="428"/>
        <v>0</v>
      </c>
      <c r="CI381">
        <f t="shared" ca="1" si="428"/>
        <v>0</v>
      </c>
      <c r="CJ381">
        <f t="shared" ca="1" si="428"/>
        <v>0</v>
      </c>
      <c r="CK381">
        <f t="shared" ca="1" si="428"/>
        <v>0</v>
      </c>
      <c r="CL381">
        <f t="shared" ca="1" si="428"/>
        <v>0</v>
      </c>
      <c r="CM381">
        <f t="shared" ca="1" si="428"/>
        <v>0</v>
      </c>
      <c r="CN381">
        <f t="shared" ca="1" si="428"/>
        <v>0</v>
      </c>
      <c r="CO381">
        <f t="shared" ca="1" si="428"/>
        <v>0</v>
      </c>
      <c r="CP381">
        <f t="shared" ca="1" si="428"/>
        <v>0</v>
      </c>
      <c r="CQ381">
        <f t="shared" ca="1" si="428"/>
        <v>0</v>
      </c>
      <c r="CR381">
        <f t="shared" ca="1" si="428"/>
        <v>0</v>
      </c>
      <c r="CS381">
        <f t="shared" ca="1" si="428"/>
        <v>0</v>
      </c>
      <c r="CT381">
        <f t="shared" ca="1" si="428"/>
        <v>0</v>
      </c>
      <c r="CU381">
        <f t="shared" ca="1" si="428"/>
        <v>0</v>
      </c>
      <c r="CV381">
        <f t="shared" ca="1" si="428"/>
        <v>0</v>
      </c>
      <c r="CW381">
        <f t="shared" ca="1" si="428"/>
        <v>0</v>
      </c>
      <c r="CX381">
        <f t="shared" ca="1" si="428"/>
        <v>0</v>
      </c>
      <c r="CY381">
        <f t="shared" ca="1" si="428"/>
        <v>0</v>
      </c>
      <c r="CZ381">
        <f t="shared" ca="1" si="428"/>
        <v>0</v>
      </c>
      <c r="DA381">
        <f t="shared" ca="1" si="428"/>
        <v>0</v>
      </c>
      <c r="DB381">
        <f t="shared" ca="1" si="428"/>
        <v>0</v>
      </c>
      <c r="DC381">
        <f t="shared" ca="1" si="428"/>
        <v>0</v>
      </c>
      <c r="DD381">
        <f t="shared" ca="1" si="428"/>
        <v>0</v>
      </c>
      <c r="DE381">
        <f t="shared" ca="1" si="428"/>
        <v>0</v>
      </c>
      <c r="DF381">
        <f t="shared" ca="1" si="428"/>
        <v>0</v>
      </c>
      <c r="DG381">
        <f t="shared" ca="1" si="428"/>
        <v>0</v>
      </c>
      <c r="DH381">
        <f t="shared" ca="1" si="428"/>
        <v>0</v>
      </c>
      <c r="DI381">
        <f t="shared" ca="1" si="428"/>
        <v>0</v>
      </c>
      <c r="DJ381">
        <f t="shared" ca="1" si="428"/>
        <v>0</v>
      </c>
      <c r="DK381">
        <f t="shared" ca="1" si="428"/>
        <v>0</v>
      </c>
      <c r="DL381">
        <f t="shared" ca="1" si="428"/>
        <v>0</v>
      </c>
      <c r="DM381">
        <f t="shared" ca="1" si="428"/>
        <v>0</v>
      </c>
      <c r="DN381">
        <f t="shared" ca="1" si="428"/>
        <v>0</v>
      </c>
      <c r="DO381">
        <f t="shared" ca="1" si="428"/>
        <v>0</v>
      </c>
      <c r="DP381">
        <f t="shared" ca="1" si="428"/>
        <v>0</v>
      </c>
      <c r="DQ381">
        <f t="shared" ca="1" si="428"/>
        <v>0</v>
      </c>
      <c r="DR381">
        <f t="shared" ca="1" si="428"/>
        <v>0</v>
      </c>
      <c r="DS381">
        <f t="shared" ca="1" si="428"/>
        <v>0</v>
      </c>
      <c r="DT381">
        <f t="shared" ca="1" si="428"/>
        <v>0</v>
      </c>
      <c r="DU381">
        <f t="shared" ca="1" si="428"/>
        <v>0</v>
      </c>
      <c r="DV381">
        <f t="shared" ca="1" si="428"/>
        <v>0</v>
      </c>
      <c r="DW381">
        <f t="shared" ca="1" si="428"/>
        <v>0</v>
      </c>
      <c r="DX381">
        <f t="shared" ca="1" si="428"/>
        <v>0</v>
      </c>
      <c r="DY381">
        <f t="shared" ca="1" si="428"/>
        <v>0</v>
      </c>
      <c r="DZ381">
        <f t="shared" ca="1" si="428"/>
        <v>0</v>
      </c>
      <c r="EA381">
        <f t="shared" ca="1" si="428"/>
        <v>0</v>
      </c>
      <c r="EB381">
        <f t="shared" ca="1" si="428"/>
        <v>0</v>
      </c>
      <c r="EC381">
        <f t="shared" ca="1" si="428"/>
        <v>0</v>
      </c>
      <c r="ED381">
        <f t="shared" ca="1" si="428"/>
        <v>0</v>
      </c>
      <c r="EE381">
        <f t="shared" ca="1" si="428"/>
        <v>0</v>
      </c>
      <c r="EF381">
        <f t="shared" ref="EF381:GQ381" ca="1" si="429">IF(EG380-EF380=-1,1,0)</f>
        <v>0</v>
      </c>
      <c r="EG381">
        <f t="shared" ca="1" si="429"/>
        <v>0</v>
      </c>
      <c r="EH381">
        <f t="shared" ca="1" si="429"/>
        <v>0</v>
      </c>
      <c r="EI381">
        <f t="shared" ca="1" si="429"/>
        <v>0</v>
      </c>
      <c r="EJ381">
        <f t="shared" ca="1" si="429"/>
        <v>0</v>
      </c>
      <c r="EK381">
        <f t="shared" ca="1" si="429"/>
        <v>0</v>
      </c>
      <c r="EL381">
        <f t="shared" ca="1" si="429"/>
        <v>0</v>
      </c>
      <c r="EM381">
        <f t="shared" ca="1" si="429"/>
        <v>0</v>
      </c>
      <c r="EN381">
        <f t="shared" ca="1" si="429"/>
        <v>0</v>
      </c>
      <c r="EO381">
        <f t="shared" ca="1" si="429"/>
        <v>0</v>
      </c>
      <c r="EP381">
        <f t="shared" ca="1" si="429"/>
        <v>0</v>
      </c>
      <c r="EQ381">
        <f t="shared" ca="1" si="429"/>
        <v>0</v>
      </c>
      <c r="ER381">
        <f t="shared" ca="1" si="429"/>
        <v>0</v>
      </c>
      <c r="ES381">
        <f t="shared" ca="1" si="429"/>
        <v>0</v>
      </c>
      <c r="ET381">
        <f t="shared" ca="1" si="429"/>
        <v>0</v>
      </c>
      <c r="EU381">
        <f t="shared" ca="1" si="429"/>
        <v>0</v>
      </c>
      <c r="EV381">
        <f t="shared" ca="1" si="429"/>
        <v>0</v>
      </c>
      <c r="EW381">
        <f t="shared" ca="1" si="429"/>
        <v>0</v>
      </c>
      <c r="EX381">
        <f t="shared" ca="1" si="429"/>
        <v>0</v>
      </c>
      <c r="EY381">
        <f t="shared" ca="1" si="429"/>
        <v>0</v>
      </c>
      <c r="EZ381">
        <f t="shared" ca="1" si="429"/>
        <v>0</v>
      </c>
      <c r="FA381">
        <f t="shared" ca="1" si="429"/>
        <v>0</v>
      </c>
      <c r="FB381">
        <f t="shared" ca="1" si="429"/>
        <v>0</v>
      </c>
      <c r="FC381">
        <f t="shared" ca="1" si="429"/>
        <v>0</v>
      </c>
      <c r="FD381">
        <f t="shared" ca="1" si="429"/>
        <v>0</v>
      </c>
      <c r="FE381">
        <f t="shared" ca="1" si="429"/>
        <v>0</v>
      </c>
      <c r="FF381">
        <f t="shared" ca="1" si="429"/>
        <v>0</v>
      </c>
      <c r="FG381">
        <f t="shared" ca="1" si="429"/>
        <v>0</v>
      </c>
      <c r="FH381">
        <f t="shared" ca="1" si="429"/>
        <v>0</v>
      </c>
      <c r="FI381">
        <f t="shared" ca="1" si="429"/>
        <v>0</v>
      </c>
      <c r="FJ381">
        <f t="shared" ca="1" si="429"/>
        <v>0</v>
      </c>
      <c r="FK381">
        <f t="shared" ca="1" si="429"/>
        <v>0</v>
      </c>
      <c r="FL381">
        <f t="shared" ca="1" si="429"/>
        <v>0</v>
      </c>
      <c r="FM381">
        <f t="shared" ca="1" si="429"/>
        <v>0</v>
      </c>
      <c r="FN381">
        <f t="shared" ca="1" si="429"/>
        <v>0</v>
      </c>
      <c r="FO381">
        <f t="shared" ca="1" si="429"/>
        <v>0</v>
      </c>
      <c r="FP381">
        <f t="shared" ca="1" si="429"/>
        <v>0</v>
      </c>
      <c r="FQ381">
        <f t="shared" ca="1" si="429"/>
        <v>0</v>
      </c>
      <c r="FR381">
        <f t="shared" ca="1" si="429"/>
        <v>0</v>
      </c>
      <c r="FS381">
        <f t="shared" ca="1" si="429"/>
        <v>0</v>
      </c>
      <c r="FT381">
        <f t="shared" ca="1" si="429"/>
        <v>0</v>
      </c>
      <c r="FU381">
        <f t="shared" ca="1" si="429"/>
        <v>0</v>
      </c>
      <c r="FV381">
        <f t="shared" ca="1" si="429"/>
        <v>0</v>
      </c>
      <c r="FW381">
        <f t="shared" ca="1" si="429"/>
        <v>0</v>
      </c>
      <c r="FX381">
        <f t="shared" ca="1" si="429"/>
        <v>0</v>
      </c>
      <c r="FY381">
        <f t="shared" ca="1" si="429"/>
        <v>0</v>
      </c>
      <c r="FZ381">
        <f t="shared" ca="1" si="429"/>
        <v>0</v>
      </c>
      <c r="GA381">
        <f t="shared" ca="1" si="429"/>
        <v>0</v>
      </c>
      <c r="GB381">
        <f t="shared" ca="1" si="429"/>
        <v>0</v>
      </c>
      <c r="GC381">
        <f t="shared" ca="1" si="429"/>
        <v>0</v>
      </c>
      <c r="GD381">
        <f t="shared" ca="1" si="429"/>
        <v>0</v>
      </c>
      <c r="GE381">
        <f t="shared" ca="1" si="429"/>
        <v>0</v>
      </c>
      <c r="GF381">
        <f t="shared" ca="1" si="429"/>
        <v>0</v>
      </c>
      <c r="GG381">
        <f t="shared" ca="1" si="429"/>
        <v>0</v>
      </c>
      <c r="GH381">
        <f t="shared" ca="1" si="429"/>
        <v>0</v>
      </c>
      <c r="GI381">
        <f t="shared" ca="1" si="429"/>
        <v>0</v>
      </c>
      <c r="GJ381">
        <f t="shared" ca="1" si="429"/>
        <v>0</v>
      </c>
      <c r="GK381">
        <f t="shared" ca="1" si="429"/>
        <v>0</v>
      </c>
      <c r="GL381">
        <f t="shared" ca="1" si="429"/>
        <v>0</v>
      </c>
      <c r="GM381">
        <f t="shared" ca="1" si="429"/>
        <v>0</v>
      </c>
      <c r="GN381">
        <f t="shared" ca="1" si="429"/>
        <v>0</v>
      </c>
      <c r="GO381">
        <f t="shared" ca="1" si="429"/>
        <v>0</v>
      </c>
      <c r="GP381">
        <f t="shared" ca="1" si="429"/>
        <v>0</v>
      </c>
      <c r="GQ381">
        <f t="shared" ca="1" si="429"/>
        <v>0</v>
      </c>
      <c r="GR381">
        <f t="shared" ref="GR381:IK381" ca="1" si="430">IF(GS380-GR380=-1,1,0)</f>
        <v>0</v>
      </c>
      <c r="GS381">
        <f t="shared" ca="1" si="430"/>
        <v>0</v>
      </c>
      <c r="GT381">
        <f t="shared" ca="1" si="430"/>
        <v>0</v>
      </c>
      <c r="GU381">
        <f t="shared" ca="1" si="430"/>
        <v>0</v>
      </c>
      <c r="GV381">
        <f t="shared" ca="1" si="430"/>
        <v>0</v>
      </c>
      <c r="GW381">
        <f t="shared" ca="1" si="430"/>
        <v>0</v>
      </c>
      <c r="GX381">
        <f t="shared" ca="1" si="430"/>
        <v>0</v>
      </c>
      <c r="GY381">
        <f t="shared" ca="1" si="430"/>
        <v>0</v>
      </c>
      <c r="GZ381">
        <f t="shared" ca="1" si="430"/>
        <v>0</v>
      </c>
      <c r="HA381">
        <f t="shared" ca="1" si="430"/>
        <v>0</v>
      </c>
      <c r="HB381">
        <f t="shared" ca="1" si="430"/>
        <v>0</v>
      </c>
      <c r="HC381">
        <f t="shared" ca="1" si="430"/>
        <v>0</v>
      </c>
      <c r="HD381">
        <f t="shared" ca="1" si="430"/>
        <v>0</v>
      </c>
      <c r="HE381">
        <f t="shared" ca="1" si="430"/>
        <v>0</v>
      </c>
      <c r="HF381">
        <f t="shared" ca="1" si="430"/>
        <v>0</v>
      </c>
      <c r="HG381">
        <f t="shared" ca="1" si="430"/>
        <v>0</v>
      </c>
      <c r="HH381">
        <f t="shared" ca="1" si="430"/>
        <v>0</v>
      </c>
      <c r="HI381">
        <f t="shared" ca="1" si="430"/>
        <v>0</v>
      </c>
      <c r="HJ381">
        <f t="shared" ca="1" si="430"/>
        <v>0</v>
      </c>
      <c r="HK381">
        <f t="shared" ca="1" si="430"/>
        <v>0</v>
      </c>
      <c r="HL381">
        <f t="shared" ca="1" si="430"/>
        <v>0</v>
      </c>
      <c r="HM381">
        <f t="shared" ca="1" si="430"/>
        <v>0</v>
      </c>
      <c r="HN381">
        <f t="shared" ca="1" si="430"/>
        <v>0</v>
      </c>
      <c r="HO381">
        <f t="shared" ca="1" si="430"/>
        <v>0</v>
      </c>
      <c r="HP381">
        <f t="shared" ca="1" si="430"/>
        <v>0</v>
      </c>
      <c r="HQ381">
        <f t="shared" ca="1" si="430"/>
        <v>0</v>
      </c>
      <c r="HR381">
        <f t="shared" ca="1" si="430"/>
        <v>0</v>
      </c>
      <c r="HS381">
        <f t="shared" ca="1" si="430"/>
        <v>0</v>
      </c>
      <c r="HT381">
        <f t="shared" ca="1" si="430"/>
        <v>0</v>
      </c>
      <c r="HU381">
        <f t="shared" ca="1" si="430"/>
        <v>0</v>
      </c>
      <c r="HV381">
        <f t="shared" ca="1" si="430"/>
        <v>0</v>
      </c>
      <c r="HW381">
        <f t="shared" ca="1" si="430"/>
        <v>0</v>
      </c>
      <c r="HX381">
        <f t="shared" ca="1" si="430"/>
        <v>0</v>
      </c>
      <c r="HY381">
        <f t="shared" ca="1" si="430"/>
        <v>0</v>
      </c>
      <c r="HZ381">
        <f t="shared" ca="1" si="430"/>
        <v>0</v>
      </c>
      <c r="IA381">
        <f t="shared" ca="1" si="430"/>
        <v>0</v>
      </c>
      <c r="IB381">
        <f t="shared" ca="1" si="430"/>
        <v>0</v>
      </c>
      <c r="IC381">
        <f t="shared" ca="1" si="430"/>
        <v>0</v>
      </c>
      <c r="ID381">
        <f t="shared" ca="1" si="430"/>
        <v>0</v>
      </c>
      <c r="IE381">
        <f t="shared" ca="1" si="430"/>
        <v>0</v>
      </c>
      <c r="IF381">
        <f t="shared" ca="1" si="430"/>
        <v>0</v>
      </c>
      <c r="IG381">
        <f t="shared" ca="1" si="430"/>
        <v>0</v>
      </c>
      <c r="IH381">
        <f t="shared" ca="1" si="430"/>
        <v>0</v>
      </c>
      <c r="II381">
        <f t="shared" ca="1" si="430"/>
        <v>0</v>
      </c>
      <c r="IJ381">
        <f t="shared" ca="1" si="430"/>
        <v>0</v>
      </c>
      <c r="IK381">
        <f t="shared" ca="1" si="430"/>
        <v>0</v>
      </c>
    </row>
    <row r="382" spans="1:245" x14ac:dyDescent="0.35">
      <c r="A382" s="195" t="str">
        <f t="shared" si="364"/>
        <v>XXX</v>
      </c>
      <c r="B382" s="195" t="s">
        <v>35</v>
      </c>
      <c r="C382" s="647"/>
      <c r="D382" s="647"/>
      <c r="E382" s="647"/>
      <c r="F382" s="647"/>
      <c r="G382" s="647"/>
    </row>
    <row r="383" spans="1:245" x14ac:dyDescent="0.35">
      <c r="A383" s="195" t="str">
        <f t="shared" si="364"/>
        <v>XXX</v>
      </c>
      <c r="B383" s="195">
        <f>IF(ENTRADAS!E15=0,0,1)</f>
        <v>1</v>
      </c>
      <c r="C383" s="1338" t="s">
        <v>1624</v>
      </c>
      <c r="D383" s="1339"/>
      <c r="E383" s="633">
        <f ca="1">IF(ENTRADAS!$F$22&lt;=4,COUNTIF(H383:IK383,1000),ROUNDUP((COUNTIF(H383:IK383,1000)/4),0)*(ENTRADAS!$F$22))</f>
        <v>0</v>
      </c>
      <c r="F383" s="1770" t="s">
        <v>101</v>
      </c>
      <c r="G383" s="1771"/>
      <c r="H383" s="32">
        <f ca="1">IF(H346+H353+H360+H367&gt;=1000,1000,1)</f>
        <v>1</v>
      </c>
      <c r="I383" s="32">
        <f t="shared" ref="I383:BT383" ca="1" si="431">IF(I346+I353+I360+I367&gt;=1000,1000,1)</f>
        <v>1</v>
      </c>
      <c r="J383" s="32">
        <f t="shared" ca="1" si="431"/>
        <v>1</v>
      </c>
      <c r="K383" s="32">
        <f t="shared" ca="1" si="431"/>
        <v>1</v>
      </c>
      <c r="L383" s="32">
        <f t="shared" ca="1" si="431"/>
        <v>1</v>
      </c>
      <c r="M383" s="32">
        <f t="shared" ca="1" si="431"/>
        <v>1</v>
      </c>
      <c r="N383" s="32">
        <f t="shared" ca="1" si="431"/>
        <v>1</v>
      </c>
      <c r="O383" s="32">
        <f t="shared" ca="1" si="431"/>
        <v>1</v>
      </c>
      <c r="P383" s="32">
        <f t="shared" ca="1" si="431"/>
        <v>1</v>
      </c>
      <c r="Q383" s="32">
        <f t="shared" ca="1" si="431"/>
        <v>1</v>
      </c>
      <c r="R383" s="32">
        <f t="shared" ca="1" si="431"/>
        <v>1</v>
      </c>
      <c r="S383" s="32">
        <f t="shared" ca="1" si="431"/>
        <v>1</v>
      </c>
      <c r="T383" s="32">
        <f t="shared" ca="1" si="431"/>
        <v>1</v>
      </c>
      <c r="U383" s="32">
        <f t="shared" ca="1" si="431"/>
        <v>1</v>
      </c>
      <c r="V383" s="32">
        <f t="shared" ca="1" si="431"/>
        <v>1</v>
      </c>
      <c r="W383" s="32">
        <f t="shared" ca="1" si="431"/>
        <v>1</v>
      </c>
      <c r="X383" s="32">
        <f t="shared" ca="1" si="431"/>
        <v>1</v>
      </c>
      <c r="Y383" s="32">
        <f t="shared" ca="1" si="431"/>
        <v>1</v>
      </c>
      <c r="Z383" s="32">
        <f t="shared" ca="1" si="431"/>
        <v>1</v>
      </c>
      <c r="AA383" s="32">
        <f t="shared" ca="1" si="431"/>
        <v>1</v>
      </c>
      <c r="AB383" s="32">
        <f t="shared" ca="1" si="431"/>
        <v>1</v>
      </c>
      <c r="AC383" s="32">
        <f t="shared" ca="1" si="431"/>
        <v>1</v>
      </c>
      <c r="AD383" s="32">
        <f t="shared" ca="1" si="431"/>
        <v>1</v>
      </c>
      <c r="AE383" s="32">
        <f t="shared" ca="1" si="431"/>
        <v>1</v>
      </c>
      <c r="AF383" s="32">
        <f t="shared" ca="1" si="431"/>
        <v>1</v>
      </c>
      <c r="AG383" s="32">
        <f t="shared" ca="1" si="431"/>
        <v>1</v>
      </c>
      <c r="AH383" s="32">
        <f t="shared" ca="1" si="431"/>
        <v>1</v>
      </c>
      <c r="AI383" s="32">
        <f t="shared" ca="1" si="431"/>
        <v>1</v>
      </c>
      <c r="AJ383" s="32">
        <f t="shared" ca="1" si="431"/>
        <v>1</v>
      </c>
      <c r="AK383" s="32">
        <f t="shared" ca="1" si="431"/>
        <v>1</v>
      </c>
      <c r="AL383" s="32">
        <f t="shared" ca="1" si="431"/>
        <v>1</v>
      </c>
      <c r="AM383" s="32">
        <f t="shared" ca="1" si="431"/>
        <v>1</v>
      </c>
      <c r="AN383" s="32">
        <f t="shared" ca="1" si="431"/>
        <v>1</v>
      </c>
      <c r="AO383" s="32">
        <f t="shared" ca="1" si="431"/>
        <v>1</v>
      </c>
      <c r="AP383" s="32">
        <f t="shared" ca="1" si="431"/>
        <v>1</v>
      </c>
      <c r="AQ383" s="32">
        <f t="shared" ca="1" si="431"/>
        <v>1</v>
      </c>
      <c r="AR383" s="32">
        <f t="shared" ca="1" si="431"/>
        <v>1</v>
      </c>
      <c r="AS383" s="32">
        <f t="shared" ca="1" si="431"/>
        <v>1</v>
      </c>
      <c r="AT383" s="32">
        <f t="shared" ca="1" si="431"/>
        <v>1</v>
      </c>
      <c r="AU383" s="32">
        <f t="shared" ca="1" si="431"/>
        <v>1</v>
      </c>
      <c r="AV383" s="32">
        <f t="shared" ca="1" si="431"/>
        <v>1</v>
      </c>
      <c r="AW383" s="32">
        <f t="shared" ca="1" si="431"/>
        <v>1</v>
      </c>
      <c r="AX383" s="32">
        <f t="shared" ca="1" si="431"/>
        <v>1</v>
      </c>
      <c r="AY383" s="32">
        <f t="shared" ca="1" si="431"/>
        <v>1</v>
      </c>
      <c r="AZ383" s="32">
        <f t="shared" ca="1" si="431"/>
        <v>1</v>
      </c>
      <c r="BA383" s="32">
        <f t="shared" ca="1" si="431"/>
        <v>1</v>
      </c>
      <c r="BB383" s="32">
        <f t="shared" ca="1" si="431"/>
        <v>1</v>
      </c>
      <c r="BC383" s="32">
        <f t="shared" ca="1" si="431"/>
        <v>1</v>
      </c>
      <c r="BD383" s="32">
        <f t="shared" ca="1" si="431"/>
        <v>1</v>
      </c>
      <c r="BE383" s="32">
        <f t="shared" ca="1" si="431"/>
        <v>1</v>
      </c>
      <c r="BF383" s="32">
        <f t="shared" ca="1" si="431"/>
        <v>1</v>
      </c>
      <c r="BG383" s="32">
        <f t="shared" ca="1" si="431"/>
        <v>1</v>
      </c>
      <c r="BH383" s="32">
        <f t="shared" ca="1" si="431"/>
        <v>1</v>
      </c>
      <c r="BI383" s="32">
        <f t="shared" ca="1" si="431"/>
        <v>1</v>
      </c>
      <c r="BJ383" s="32">
        <f t="shared" ca="1" si="431"/>
        <v>1</v>
      </c>
      <c r="BK383" s="32">
        <f t="shared" ca="1" si="431"/>
        <v>1</v>
      </c>
      <c r="BL383" s="32">
        <f t="shared" ca="1" si="431"/>
        <v>1</v>
      </c>
      <c r="BM383" s="32">
        <f t="shared" ca="1" si="431"/>
        <v>1</v>
      </c>
      <c r="BN383" s="32">
        <f t="shared" ca="1" si="431"/>
        <v>1</v>
      </c>
      <c r="BO383" s="32">
        <f t="shared" ca="1" si="431"/>
        <v>1</v>
      </c>
      <c r="BP383" s="32">
        <f t="shared" ca="1" si="431"/>
        <v>1</v>
      </c>
      <c r="BQ383" s="32">
        <f t="shared" ca="1" si="431"/>
        <v>1</v>
      </c>
      <c r="BR383" s="32">
        <f t="shared" ca="1" si="431"/>
        <v>1</v>
      </c>
      <c r="BS383" s="32">
        <f t="shared" ca="1" si="431"/>
        <v>1</v>
      </c>
      <c r="BT383" s="32">
        <f t="shared" ca="1" si="431"/>
        <v>1</v>
      </c>
      <c r="BU383" s="32">
        <f t="shared" ref="BU383:EF383" ca="1" si="432">IF(BU346+BU353+BU360+BU367&gt;=1000,1000,1)</f>
        <v>1</v>
      </c>
      <c r="BV383" s="32">
        <f t="shared" ca="1" si="432"/>
        <v>1</v>
      </c>
      <c r="BW383" s="32">
        <f t="shared" ca="1" si="432"/>
        <v>1</v>
      </c>
      <c r="BX383" s="32">
        <f t="shared" ca="1" si="432"/>
        <v>1</v>
      </c>
      <c r="BY383" s="32">
        <f t="shared" ca="1" si="432"/>
        <v>1</v>
      </c>
      <c r="BZ383" s="32">
        <f t="shared" ca="1" si="432"/>
        <v>1</v>
      </c>
      <c r="CA383" s="32">
        <f t="shared" ca="1" si="432"/>
        <v>1</v>
      </c>
      <c r="CB383" s="32">
        <f t="shared" ca="1" si="432"/>
        <v>1</v>
      </c>
      <c r="CC383" s="32">
        <f t="shared" ca="1" si="432"/>
        <v>1</v>
      </c>
      <c r="CD383" s="32">
        <f t="shared" ca="1" si="432"/>
        <v>1</v>
      </c>
      <c r="CE383" s="32">
        <f t="shared" ca="1" si="432"/>
        <v>1</v>
      </c>
      <c r="CF383" s="32">
        <f t="shared" ca="1" si="432"/>
        <v>1</v>
      </c>
      <c r="CG383" s="32">
        <f t="shared" ca="1" si="432"/>
        <v>1</v>
      </c>
      <c r="CH383" s="32">
        <f t="shared" ca="1" si="432"/>
        <v>1</v>
      </c>
      <c r="CI383" s="32">
        <f t="shared" ca="1" si="432"/>
        <v>1</v>
      </c>
      <c r="CJ383" s="32">
        <f t="shared" ca="1" si="432"/>
        <v>1</v>
      </c>
      <c r="CK383" s="32">
        <f t="shared" ca="1" si="432"/>
        <v>1</v>
      </c>
      <c r="CL383" s="32">
        <f t="shared" ca="1" si="432"/>
        <v>1</v>
      </c>
      <c r="CM383" s="32">
        <f t="shared" ca="1" si="432"/>
        <v>1</v>
      </c>
      <c r="CN383" s="32">
        <f t="shared" ca="1" si="432"/>
        <v>1</v>
      </c>
      <c r="CO383" s="32">
        <f t="shared" ca="1" si="432"/>
        <v>1</v>
      </c>
      <c r="CP383" s="32">
        <f t="shared" ca="1" si="432"/>
        <v>1</v>
      </c>
      <c r="CQ383" s="32">
        <f t="shared" ca="1" si="432"/>
        <v>1</v>
      </c>
      <c r="CR383" s="32">
        <f t="shared" ca="1" si="432"/>
        <v>1</v>
      </c>
      <c r="CS383" s="32">
        <f t="shared" ca="1" si="432"/>
        <v>1</v>
      </c>
      <c r="CT383" s="32">
        <f t="shared" ca="1" si="432"/>
        <v>1</v>
      </c>
      <c r="CU383" s="32">
        <f t="shared" ca="1" si="432"/>
        <v>1</v>
      </c>
      <c r="CV383" s="32">
        <f t="shared" ca="1" si="432"/>
        <v>1</v>
      </c>
      <c r="CW383" s="32">
        <f t="shared" ca="1" si="432"/>
        <v>1</v>
      </c>
      <c r="CX383" s="32">
        <f t="shared" ca="1" si="432"/>
        <v>1</v>
      </c>
      <c r="CY383" s="32">
        <f t="shared" ca="1" si="432"/>
        <v>1</v>
      </c>
      <c r="CZ383" s="32">
        <f t="shared" ca="1" si="432"/>
        <v>1</v>
      </c>
      <c r="DA383" s="32">
        <f t="shared" ca="1" si="432"/>
        <v>1</v>
      </c>
      <c r="DB383" s="32">
        <f t="shared" ca="1" si="432"/>
        <v>1</v>
      </c>
      <c r="DC383" s="32">
        <f t="shared" ca="1" si="432"/>
        <v>1</v>
      </c>
      <c r="DD383" s="32">
        <f t="shared" ca="1" si="432"/>
        <v>1</v>
      </c>
      <c r="DE383" s="32">
        <f t="shared" ca="1" si="432"/>
        <v>1</v>
      </c>
      <c r="DF383" s="32">
        <f t="shared" ca="1" si="432"/>
        <v>1</v>
      </c>
      <c r="DG383" s="32">
        <f t="shared" ca="1" si="432"/>
        <v>1</v>
      </c>
      <c r="DH383" s="32">
        <f t="shared" ca="1" si="432"/>
        <v>1</v>
      </c>
      <c r="DI383" s="32">
        <f t="shared" ca="1" si="432"/>
        <v>1</v>
      </c>
      <c r="DJ383" s="32">
        <f t="shared" ca="1" si="432"/>
        <v>1</v>
      </c>
      <c r="DK383" s="32">
        <f t="shared" ca="1" si="432"/>
        <v>1</v>
      </c>
      <c r="DL383" s="32">
        <f t="shared" ca="1" si="432"/>
        <v>1</v>
      </c>
      <c r="DM383" s="32">
        <f t="shared" ca="1" si="432"/>
        <v>1</v>
      </c>
      <c r="DN383" s="32">
        <f t="shared" ca="1" si="432"/>
        <v>1</v>
      </c>
      <c r="DO383" s="32">
        <f t="shared" ca="1" si="432"/>
        <v>1</v>
      </c>
      <c r="DP383" s="32">
        <f t="shared" ca="1" si="432"/>
        <v>1</v>
      </c>
      <c r="DQ383" s="32">
        <f t="shared" ca="1" si="432"/>
        <v>1</v>
      </c>
      <c r="DR383" s="32">
        <f t="shared" ca="1" si="432"/>
        <v>1</v>
      </c>
      <c r="DS383" s="32">
        <f t="shared" ca="1" si="432"/>
        <v>1</v>
      </c>
      <c r="DT383" s="32">
        <f t="shared" ca="1" si="432"/>
        <v>1</v>
      </c>
      <c r="DU383" s="32">
        <f t="shared" ca="1" si="432"/>
        <v>1</v>
      </c>
      <c r="DV383" s="32">
        <f t="shared" ca="1" si="432"/>
        <v>1</v>
      </c>
      <c r="DW383" s="32">
        <f t="shared" ca="1" si="432"/>
        <v>1</v>
      </c>
      <c r="DX383" s="32">
        <f t="shared" ca="1" si="432"/>
        <v>1</v>
      </c>
      <c r="DY383" s="32">
        <f t="shared" ca="1" si="432"/>
        <v>1</v>
      </c>
      <c r="DZ383" s="32">
        <f t="shared" ca="1" si="432"/>
        <v>1</v>
      </c>
      <c r="EA383" s="32">
        <f t="shared" ca="1" si="432"/>
        <v>1</v>
      </c>
      <c r="EB383" s="32">
        <f t="shared" ca="1" si="432"/>
        <v>1</v>
      </c>
      <c r="EC383" s="32">
        <f t="shared" ca="1" si="432"/>
        <v>1</v>
      </c>
      <c r="ED383" s="32">
        <f t="shared" ca="1" si="432"/>
        <v>1</v>
      </c>
      <c r="EE383" s="32">
        <f t="shared" ca="1" si="432"/>
        <v>1</v>
      </c>
      <c r="EF383" s="32">
        <f t="shared" ca="1" si="432"/>
        <v>1</v>
      </c>
      <c r="EG383" s="32">
        <f t="shared" ref="EG383:GR383" ca="1" si="433">IF(EG346+EG353+EG360+EG367&gt;=1000,1000,1)</f>
        <v>1</v>
      </c>
      <c r="EH383" s="32">
        <f t="shared" ca="1" si="433"/>
        <v>1</v>
      </c>
      <c r="EI383" s="32">
        <f t="shared" ca="1" si="433"/>
        <v>1</v>
      </c>
      <c r="EJ383" s="32">
        <f t="shared" ca="1" si="433"/>
        <v>1</v>
      </c>
      <c r="EK383" s="32">
        <f t="shared" ca="1" si="433"/>
        <v>1</v>
      </c>
      <c r="EL383" s="32">
        <f t="shared" ca="1" si="433"/>
        <v>1</v>
      </c>
      <c r="EM383" s="32">
        <f t="shared" ca="1" si="433"/>
        <v>1</v>
      </c>
      <c r="EN383" s="32">
        <f t="shared" ca="1" si="433"/>
        <v>1</v>
      </c>
      <c r="EO383" s="32">
        <f t="shared" ca="1" si="433"/>
        <v>1</v>
      </c>
      <c r="EP383" s="32">
        <f t="shared" ca="1" si="433"/>
        <v>1</v>
      </c>
      <c r="EQ383" s="32">
        <f t="shared" ca="1" si="433"/>
        <v>1</v>
      </c>
      <c r="ER383" s="32">
        <f t="shared" ca="1" si="433"/>
        <v>1</v>
      </c>
      <c r="ES383" s="32">
        <f t="shared" ca="1" si="433"/>
        <v>1</v>
      </c>
      <c r="ET383" s="32">
        <f t="shared" ca="1" si="433"/>
        <v>1</v>
      </c>
      <c r="EU383" s="32">
        <f t="shared" ca="1" si="433"/>
        <v>1</v>
      </c>
      <c r="EV383" s="32">
        <f t="shared" ca="1" si="433"/>
        <v>1</v>
      </c>
      <c r="EW383" s="32">
        <f t="shared" ca="1" si="433"/>
        <v>1</v>
      </c>
      <c r="EX383" s="32">
        <f t="shared" ca="1" si="433"/>
        <v>1</v>
      </c>
      <c r="EY383" s="32">
        <f t="shared" ca="1" si="433"/>
        <v>1</v>
      </c>
      <c r="EZ383" s="32">
        <f t="shared" ca="1" si="433"/>
        <v>1</v>
      </c>
      <c r="FA383" s="32">
        <f t="shared" ca="1" si="433"/>
        <v>1</v>
      </c>
      <c r="FB383" s="32">
        <f t="shared" ca="1" si="433"/>
        <v>1</v>
      </c>
      <c r="FC383" s="32">
        <f t="shared" ca="1" si="433"/>
        <v>1</v>
      </c>
      <c r="FD383" s="32">
        <f t="shared" ca="1" si="433"/>
        <v>1</v>
      </c>
      <c r="FE383" s="32">
        <f t="shared" ca="1" si="433"/>
        <v>1</v>
      </c>
      <c r="FF383" s="32">
        <f t="shared" ca="1" si="433"/>
        <v>1</v>
      </c>
      <c r="FG383" s="32">
        <f t="shared" ca="1" si="433"/>
        <v>1</v>
      </c>
      <c r="FH383" s="32">
        <f t="shared" ca="1" si="433"/>
        <v>1</v>
      </c>
      <c r="FI383" s="32">
        <f t="shared" ca="1" si="433"/>
        <v>1</v>
      </c>
      <c r="FJ383" s="32">
        <f t="shared" ca="1" si="433"/>
        <v>1</v>
      </c>
      <c r="FK383" s="32">
        <f t="shared" ca="1" si="433"/>
        <v>1</v>
      </c>
      <c r="FL383" s="32">
        <f t="shared" ca="1" si="433"/>
        <v>1</v>
      </c>
      <c r="FM383" s="32">
        <f t="shared" ca="1" si="433"/>
        <v>1</v>
      </c>
      <c r="FN383" s="32">
        <f t="shared" ca="1" si="433"/>
        <v>1</v>
      </c>
      <c r="FO383" s="32">
        <f t="shared" ca="1" si="433"/>
        <v>1</v>
      </c>
      <c r="FP383" s="32">
        <f t="shared" ca="1" si="433"/>
        <v>1</v>
      </c>
      <c r="FQ383" s="32">
        <f t="shared" ca="1" si="433"/>
        <v>1</v>
      </c>
      <c r="FR383" s="32">
        <f t="shared" ca="1" si="433"/>
        <v>1</v>
      </c>
      <c r="FS383" s="32">
        <f t="shared" ca="1" si="433"/>
        <v>1</v>
      </c>
      <c r="FT383" s="32">
        <f t="shared" ca="1" si="433"/>
        <v>1</v>
      </c>
      <c r="FU383" s="32">
        <f t="shared" ca="1" si="433"/>
        <v>1</v>
      </c>
      <c r="FV383" s="32">
        <f t="shared" ca="1" si="433"/>
        <v>1</v>
      </c>
      <c r="FW383" s="32">
        <f t="shared" ca="1" si="433"/>
        <v>1</v>
      </c>
      <c r="FX383" s="32">
        <f t="shared" ca="1" si="433"/>
        <v>1</v>
      </c>
      <c r="FY383" s="32">
        <f t="shared" ca="1" si="433"/>
        <v>1</v>
      </c>
      <c r="FZ383" s="32">
        <f t="shared" ca="1" si="433"/>
        <v>1</v>
      </c>
      <c r="GA383" s="32">
        <f t="shared" ca="1" si="433"/>
        <v>1</v>
      </c>
      <c r="GB383" s="32">
        <f t="shared" ca="1" si="433"/>
        <v>1</v>
      </c>
      <c r="GC383" s="32">
        <f t="shared" ca="1" si="433"/>
        <v>1</v>
      </c>
      <c r="GD383" s="32">
        <f t="shared" ca="1" si="433"/>
        <v>1</v>
      </c>
      <c r="GE383" s="32">
        <f t="shared" ca="1" si="433"/>
        <v>1</v>
      </c>
      <c r="GF383" s="32">
        <f t="shared" ca="1" si="433"/>
        <v>1</v>
      </c>
      <c r="GG383" s="32">
        <f t="shared" ca="1" si="433"/>
        <v>1</v>
      </c>
      <c r="GH383" s="32">
        <f t="shared" ca="1" si="433"/>
        <v>1</v>
      </c>
      <c r="GI383" s="32">
        <f t="shared" ca="1" si="433"/>
        <v>1</v>
      </c>
      <c r="GJ383" s="32">
        <f t="shared" ca="1" si="433"/>
        <v>1</v>
      </c>
      <c r="GK383" s="32">
        <f t="shared" ca="1" si="433"/>
        <v>1</v>
      </c>
      <c r="GL383" s="32">
        <f t="shared" ca="1" si="433"/>
        <v>1</v>
      </c>
      <c r="GM383" s="32">
        <f t="shared" ca="1" si="433"/>
        <v>1</v>
      </c>
      <c r="GN383" s="32">
        <f t="shared" ca="1" si="433"/>
        <v>1</v>
      </c>
      <c r="GO383" s="32">
        <f t="shared" ca="1" si="433"/>
        <v>1</v>
      </c>
      <c r="GP383" s="32">
        <f t="shared" ca="1" si="433"/>
        <v>1</v>
      </c>
      <c r="GQ383" s="32">
        <f t="shared" ca="1" si="433"/>
        <v>1</v>
      </c>
      <c r="GR383" s="32">
        <f t="shared" ca="1" si="433"/>
        <v>1</v>
      </c>
      <c r="GS383" s="32">
        <f t="shared" ref="GS383:IK383" ca="1" si="434">IF(GS346+GS353+GS360+GS367&gt;=1000,1000,1)</f>
        <v>1</v>
      </c>
      <c r="GT383" s="32">
        <f t="shared" ca="1" si="434"/>
        <v>1</v>
      </c>
      <c r="GU383" s="32">
        <f t="shared" ca="1" si="434"/>
        <v>1</v>
      </c>
      <c r="GV383" s="32">
        <f t="shared" ca="1" si="434"/>
        <v>1</v>
      </c>
      <c r="GW383" s="32">
        <f t="shared" ca="1" si="434"/>
        <v>1</v>
      </c>
      <c r="GX383" s="32">
        <f t="shared" ca="1" si="434"/>
        <v>1</v>
      </c>
      <c r="GY383" s="32">
        <f t="shared" ca="1" si="434"/>
        <v>1</v>
      </c>
      <c r="GZ383" s="32">
        <f t="shared" ca="1" si="434"/>
        <v>1</v>
      </c>
      <c r="HA383" s="32">
        <f t="shared" ca="1" si="434"/>
        <v>1</v>
      </c>
      <c r="HB383" s="32">
        <f t="shared" ca="1" si="434"/>
        <v>1</v>
      </c>
      <c r="HC383" s="32">
        <f t="shared" ca="1" si="434"/>
        <v>1</v>
      </c>
      <c r="HD383" s="32">
        <f t="shared" ca="1" si="434"/>
        <v>1</v>
      </c>
      <c r="HE383" s="32">
        <f t="shared" ca="1" si="434"/>
        <v>1</v>
      </c>
      <c r="HF383" s="32">
        <f t="shared" ca="1" si="434"/>
        <v>1</v>
      </c>
      <c r="HG383" s="32">
        <f t="shared" ca="1" si="434"/>
        <v>1</v>
      </c>
      <c r="HH383" s="32">
        <f t="shared" ca="1" si="434"/>
        <v>1</v>
      </c>
      <c r="HI383" s="32">
        <f t="shared" ca="1" si="434"/>
        <v>1</v>
      </c>
      <c r="HJ383" s="32">
        <f t="shared" ca="1" si="434"/>
        <v>1</v>
      </c>
      <c r="HK383" s="32">
        <f t="shared" ca="1" si="434"/>
        <v>1</v>
      </c>
      <c r="HL383" s="32">
        <f t="shared" ca="1" si="434"/>
        <v>1</v>
      </c>
      <c r="HM383" s="32">
        <f t="shared" ca="1" si="434"/>
        <v>1</v>
      </c>
      <c r="HN383" s="32">
        <f t="shared" ca="1" si="434"/>
        <v>1</v>
      </c>
      <c r="HO383" s="32">
        <f t="shared" ca="1" si="434"/>
        <v>1</v>
      </c>
      <c r="HP383" s="32">
        <f t="shared" ca="1" si="434"/>
        <v>1</v>
      </c>
      <c r="HQ383" s="32">
        <f t="shared" ca="1" si="434"/>
        <v>1</v>
      </c>
      <c r="HR383" s="32">
        <f t="shared" ca="1" si="434"/>
        <v>1</v>
      </c>
      <c r="HS383" s="32">
        <f t="shared" ca="1" si="434"/>
        <v>1</v>
      </c>
      <c r="HT383" s="32">
        <f t="shared" ca="1" si="434"/>
        <v>1</v>
      </c>
      <c r="HU383" s="32">
        <f t="shared" ca="1" si="434"/>
        <v>1</v>
      </c>
      <c r="HV383" s="32">
        <f t="shared" ca="1" si="434"/>
        <v>1</v>
      </c>
      <c r="HW383" s="32">
        <f t="shared" ca="1" si="434"/>
        <v>1</v>
      </c>
      <c r="HX383" s="32">
        <f t="shared" ca="1" si="434"/>
        <v>1</v>
      </c>
      <c r="HY383" s="32">
        <f t="shared" ca="1" si="434"/>
        <v>1</v>
      </c>
      <c r="HZ383" s="32">
        <f t="shared" ca="1" si="434"/>
        <v>1</v>
      </c>
      <c r="IA383" s="32">
        <f t="shared" ca="1" si="434"/>
        <v>1</v>
      </c>
      <c r="IB383" s="32">
        <f t="shared" ca="1" si="434"/>
        <v>1</v>
      </c>
      <c r="IC383" s="32">
        <f t="shared" ca="1" si="434"/>
        <v>1</v>
      </c>
      <c r="ID383" s="32">
        <f t="shared" ca="1" si="434"/>
        <v>1</v>
      </c>
      <c r="IE383" s="32">
        <f t="shared" ca="1" si="434"/>
        <v>1</v>
      </c>
      <c r="IF383" s="32">
        <f t="shared" ca="1" si="434"/>
        <v>1</v>
      </c>
      <c r="IG383" s="32">
        <f t="shared" ca="1" si="434"/>
        <v>1</v>
      </c>
      <c r="IH383" s="32">
        <f t="shared" ca="1" si="434"/>
        <v>1</v>
      </c>
      <c r="II383" s="32">
        <f t="shared" ca="1" si="434"/>
        <v>1</v>
      </c>
      <c r="IJ383" s="32">
        <f t="shared" ca="1" si="434"/>
        <v>1</v>
      </c>
      <c r="IK383" s="32">
        <f t="shared" ca="1" si="434"/>
        <v>1</v>
      </c>
    </row>
    <row r="384" spans="1:245" ht="3.75" customHeight="1" x14ac:dyDescent="0.35">
      <c r="A384" s="195" t="str">
        <f t="shared" si="364"/>
        <v>XXX</v>
      </c>
      <c r="B384" s="195" t="s">
        <v>35</v>
      </c>
      <c r="C384" s="634"/>
      <c r="D384" s="634"/>
      <c r="E384" s="627"/>
      <c r="F384" s="635"/>
      <c r="G384" s="635"/>
    </row>
    <row r="385" spans="1:245" x14ac:dyDescent="0.35">
      <c r="A385" s="195" t="str">
        <f t="shared" si="364"/>
        <v>XXX</v>
      </c>
      <c r="B385" s="195">
        <f>IF(ENTRADAS!E15=0,0,1)</f>
        <v>1</v>
      </c>
      <c r="C385" s="1338" t="s">
        <v>1625</v>
      </c>
      <c r="D385" s="1339"/>
      <c r="E385" s="633">
        <f ca="1">IF(ENTRADAS!$F$22&lt;=4,COUNTIF(H385:IK385,1),ROUNDUP((COUNTIF(H385:IK385,1)/3),0)*(ENTRADAS!$F$22-1))</f>
        <v>0</v>
      </c>
      <c r="F385" s="1770" t="s">
        <v>101</v>
      </c>
      <c r="G385" s="1771"/>
      <c r="H385" s="32">
        <f t="shared" ref="H385:BS385" ca="1" si="435">IF(AND(H383=1,H408&gt;1,H408&lt;LARGE($H$412:$IK$412,1),H410&lt;LARGE($H$412:$IK$412,1)),1,0)</f>
        <v>0</v>
      </c>
      <c r="I385" s="32">
        <f t="shared" ca="1" si="435"/>
        <v>0</v>
      </c>
      <c r="J385" s="32">
        <f t="shared" ca="1" si="435"/>
        <v>0</v>
      </c>
      <c r="K385" s="32">
        <f t="shared" ca="1" si="435"/>
        <v>0</v>
      </c>
      <c r="L385" s="32">
        <f t="shared" ca="1" si="435"/>
        <v>0</v>
      </c>
      <c r="M385" s="32">
        <f t="shared" ca="1" si="435"/>
        <v>0</v>
      </c>
      <c r="N385" s="32">
        <f t="shared" ca="1" si="435"/>
        <v>0</v>
      </c>
      <c r="O385" s="32">
        <f t="shared" ca="1" si="435"/>
        <v>0</v>
      </c>
      <c r="P385" s="32">
        <f t="shared" ca="1" si="435"/>
        <v>0</v>
      </c>
      <c r="Q385" s="32">
        <f t="shared" ca="1" si="435"/>
        <v>0</v>
      </c>
      <c r="R385" s="32">
        <f t="shared" ca="1" si="435"/>
        <v>0</v>
      </c>
      <c r="S385" s="32">
        <f t="shared" ca="1" si="435"/>
        <v>0</v>
      </c>
      <c r="T385" s="32">
        <f t="shared" ca="1" si="435"/>
        <v>0</v>
      </c>
      <c r="U385" s="32">
        <f t="shared" ca="1" si="435"/>
        <v>0</v>
      </c>
      <c r="V385" s="32">
        <f t="shared" ca="1" si="435"/>
        <v>0</v>
      </c>
      <c r="W385" s="32">
        <f t="shared" ca="1" si="435"/>
        <v>0</v>
      </c>
      <c r="X385" s="32">
        <f t="shared" ca="1" si="435"/>
        <v>0</v>
      </c>
      <c r="Y385" s="32">
        <f t="shared" ca="1" si="435"/>
        <v>0</v>
      </c>
      <c r="Z385" s="32">
        <f t="shared" ca="1" si="435"/>
        <v>0</v>
      </c>
      <c r="AA385" s="32">
        <f t="shared" ca="1" si="435"/>
        <v>0</v>
      </c>
      <c r="AB385" s="32">
        <f t="shared" ca="1" si="435"/>
        <v>0</v>
      </c>
      <c r="AC385" s="32">
        <f t="shared" ca="1" si="435"/>
        <v>0</v>
      </c>
      <c r="AD385" s="32">
        <f t="shared" ca="1" si="435"/>
        <v>0</v>
      </c>
      <c r="AE385" s="32">
        <f t="shared" ca="1" si="435"/>
        <v>0</v>
      </c>
      <c r="AF385" s="32">
        <f t="shared" ca="1" si="435"/>
        <v>0</v>
      </c>
      <c r="AG385" s="32">
        <f t="shared" ca="1" si="435"/>
        <v>0</v>
      </c>
      <c r="AH385" s="32">
        <f t="shared" ca="1" si="435"/>
        <v>0</v>
      </c>
      <c r="AI385" s="32">
        <f t="shared" ca="1" si="435"/>
        <v>0</v>
      </c>
      <c r="AJ385" s="32">
        <f t="shared" ca="1" si="435"/>
        <v>0</v>
      </c>
      <c r="AK385" s="32">
        <f t="shared" ca="1" si="435"/>
        <v>0</v>
      </c>
      <c r="AL385" s="32">
        <f t="shared" ca="1" si="435"/>
        <v>0</v>
      </c>
      <c r="AM385" s="32">
        <f t="shared" ca="1" si="435"/>
        <v>0</v>
      </c>
      <c r="AN385" s="32">
        <f t="shared" ca="1" si="435"/>
        <v>0</v>
      </c>
      <c r="AO385" s="32">
        <f t="shared" ca="1" si="435"/>
        <v>0</v>
      </c>
      <c r="AP385" s="32">
        <f t="shared" ca="1" si="435"/>
        <v>0</v>
      </c>
      <c r="AQ385" s="32">
        <f t="shared" ca="1" si="435"/>
        <v>0</v>
      </c>
      <c r="AR385" s="32">
        <f t="shared" ca="1" si="435"/>
        <v>0</v>
      </c>
      <c r="AS385" s="32">
        <f t="shared" ca="1" si="435"/>
        <v>0</v>
      </c>
      <c r="AT385" s="32">
        <f t="shared" ca="1" si="435"/>
        <v>0</v>
      </c>
      <c r="AU385" s="32">
        <f t="shared" ca="1" si="435"/>
        <v>0</v>
      </c>
      <c r="AV385" s="32">
        <f t="shared" ca="1" si="435"/>
        <v>0</v>
      </c>
      <c r="AW385" s="32">
        <f t="shared" ca="1" si="435"/>
        <v>0</v>
      </c>
      <c r="AX385" s="32">
        <f t="shared" ca="1" si="435"/>
        <v>0</v>
      </c>
      <c r="AY385" s="32">
        <f t="shared" ca="1" si="435"/>
        <v>0</v>
      </c>
      <c r="AZ385" s="32">
        <f t="shared" ca="1" si="435"/>
        <v>0</v>
      </c>
      <c r="BA385" s="32">
        <f t="shared" ca="1" si="435"/>
        <v>0</v>
      </c>
      <c r="BB385" s="32">
        <f t="shared" ca="1" si="435"/>
        <v>0</v>
      </c>
      <c r="BC385" s="32">
        <f t="shared" ca="1" si="435"/>
        <v>0</v>
      </c>
      <c r="BD385" s="32">
        <f t="shared" ca="1" si="435"/>
        <v>0</v>
      </c>
      <c r="BE385" s="32">
        <f t="shared" ca="1" si="435"/>
        <v>0</v>
      </c>
      <c r="BF385" s="32">
        <f t="shared" ca="1" si="435"/>
        <v>0</v>
      </c>
      <c r="BG385" s="32">
        <f t="shared" ca="1" si="435"/>
        <v>0</v>
      </c>
      <c r="BH385" s="32">
        <f t="shared" ca="1" si="435"/>
        <v>0</v>
      </c>
      <c r="BI385" s="32">
        <f t="shared" ca="1" si="435"/>
        <v>0</v>
      </c>
      <c r="BJ385" s="32">
        <f t="shared" ca="1" si="435"/>
        <v>0</v>
      </c>
      <c r="BK385" s="32">
        <f t="shared" ca="1" si="435"/>
        <v>0</v>
      </c>
      <c r="BL385" s="32">
        <f t="shared" ca="1" si="435"/>
        <v>0</v>
      </c>
      <c r="BM385" s="32">
        <f t="shared" ca="1" si="435"/>
        <v>0</v>
      </c>
      <c r="BN385" s="32">
        <f t="shared" ca="1" si="435"/>
        <v>0</v>
      </c>
      <c r="BO385" s="32">
        <f t="shared" ca="1" si="435"/>
        <v>0</v>
      </c>
      <c r="BP385" s="32">
        <f t="shared" ca="1" si="435"/>
        <v>0</v>
      </c>
      <c r="BQ385" s="32">
        <f t="shared" ca="1" si="435"/>
        <v>0</v>
      </c>
      <c r="BR385" s="32">
        <f t="shared" ca="1" si="435"/>
        <v>0</v>
      </c>
      <c r="BS385" s="32">
        <f t="shared" ca="1" si="435"/>
        <v>0</v>
      </c>
      <c r="BT385" s="32">
        <f t="shared" ref="BT385:EE385" ca="1" si="436">IF(AND(BT383=1,BT408&gt;1,BT408&lt;LARGE($H$412:$IK$412,1),BT410&lt;LARGE($H$412:$IK$412,1)),1,0)</f>
        <v>0</v>
      </c>
      <c r="BU385" s="32">
        <f t="shared" ca="1" si="436"/>
        <v>0</v>
      </c>
      <c r="BV385" s="32">
        <f t="shared" ca="1" si="436"/>
        <v>0</v>
      </c>
      <c r="BW385" s="32">
        <f t="shared" ca="1" si="436"/>
        <v>0</v>
      </c>
      <c r="BX385" s="32">
        <f t="shared" ca="1" si="436"/>
        <v>0</v>
      </c>
      <c r="BY385" s="32">
        <f t="shared" ca="1" si="436"/>
        <v>0</v>
      </c>
      <c r="BZ385" s="32">
        <f t="shared" ca="1" si="436"/>
        <v>0</v>
      </c>
      <c r="CA385" s="32">
        <f t="shared" ca="1" si="436"/>
        <v>0</v>
      </c>
      <c r="CB385" s="32">
        <f t="shared" ca="1" si="436"/>
        <v>0</v>
      </c>
      <c r="CC385" s="32">
        <f t="shared" ca="1" si="436"/>
        <v>0</v>
      </c>
      <c r="CD385" s="32">
        <f t="shared" ca="1" si="436"/>
        <v>0</v>
      </c>
      <c r="CE385" s="32">
        <f t="shared" ca="1" si="436"/>
        <v>0</v>
      </c>
      <c r="CF385" s="32">
        <f t="shared" ca="1" si="436"/>
        <v>0</v>
      </c>
      <c r="CG385" s="32">
        <f t="shared" ca="1" si="436"/>
        <v>0</v>
      </c>
      <c r="CH385" s="32">
        <f t="shared" ca="1" si="436"/>
        <v>0</v>
      </c>
      <c r="CI385" s="32">
        <f t="shared" ca="1" si="436"/>
        <v>0</v>
      </c>
      <c r="CJ385" s="32">
        <f t="shared" ca="1" si="436"/>
        <v>0</v>
      </c>
      <c r="CK385" s="32">
        <f t="shared" ca="1" si="436"/>
        <v>0</v>
      </c>
      <c r="CL385" s="32">
        <f t="shared" ca="1" si="436"/>
        <v>0</v>
      </c>
      <c r="CM385" s="32">
        <f t="shared" ca="1" si="436"/>
        <v>0</v>
      </c>
      <c r="CN385" s="32">
        <f t="shared" ca="1" si="436"/>
        <v>0</v>
      </c>
      <c r="CO385" s="32">
        <f t="shared" ca="1" si="436"/>
        <v>0</v>
      </c>
      <c r="CP385" s="32">
        <f t="shared" ca="1" si="436"/>
        <v>0</v>
      </c>
      <c r="CQ385" s="32">
        <f t="shared" ca="1" si="436"/>
        <v>0</v>
      </c>
      <c r="CR385" s="32">
        <f t="shared" ca="1" si="436"/>
        <v>0</v>
      </c>
      <c r="CS385" s="32">
        <f t="shared" ca="1" si="436"/>
        <v>0</v>
      </c>
      <c r="CT385" s="32">
        <f t="shared" ca="1" si="436"/>
        <v>0</v>
      </c>
      <c r="CU385" s="32">
        <f t="shared" ca="1" si="436"/>
        <v>0</v>
      </c>
      <c r="CV385" s="32">
        <f t="shared" ca="1" si="436"/>
        <v>0</v>
      </c>
      <c r="CW385" s="32">
        <f t="shared" ca="1" si="436"/>
        <v>0</v>
      </c>
      <c r="CX385" s="32">
        <f t="shared" ca="1" si="436"/>
        <v>0</v>
      </c>
      <c r="CY385" s="32">
        <f t="shared" ca="1" si="436"/>
        <v>0</v>
      </c>
      <c r="CZ385" s="32">
        <f t="shared" ca="1" si="436"/>
        <v>0</v>
      </c>
      <c r="DA385" s="32">
        <f t="shared" ca="1" si="436"/>
        <v>0</v>
      </c>
      <c r="DB385" s="32">
        <f t="shared" ca="1" si="436"/>
        <v>0</v>
      </c>
      <c r="DC385" s="32">
        <f t="shared" ca="1" si="436"/>
        <v>0</v>
      </c>
      <c r="DD385" s="32">
        <f t="shared" ca="1" si="436"/>
        <v>0</v>
      </c>
      <c r="DE385" s="32">
        <f t="shared" ca="1" si="436"/>
        <v>0</v>
      </c>
      <c r="DF385" s="32">
        <f t="shared" ca="1" si="436"/>
        <v>0</v>
      </c>
      <c r="DG385" s="32">
        <f t="shared" ca="1" si="436"/>
        <v>0</v>
      </c>
      <c r="DH385" s="32">
        <f t="shared" ca="1" si="436"/>
        <v>0</v>
      </c>
      <c r="DI385" s="32">
        <f t="shared" ca="1" si="436"/>
        <v>0</v>
      </c>
      <c r="DJ385" s="32">
        <f t="shared" ca="1" si="436"/>
        <v>0</v>
      </c>
      <c r="DK385" s="32">
        <f t="shared" ca="1" si="436"/>
        <v>0</v>
      </c>
      <c r="DL385" s="32">
        <f t="shared" ca="1" si="436"/>
        <v>0</v>
      </c>
      <c r="DM385" s="32">
        <f t="shared" ca="1" si="436"/>
        <v>0</v>
      </c>
      <c r="DN385" s="32">
        <f t="shared" ca="1" si="436"/>
        <v>0</v>
      </c>
      <c r="DO385" s="32">
        <f t="shared" ca="1" si="436"/>
        <v>0</v>
      </c>
      <c r="DP385" s="32">
        <f t="shared" ca="1" si="436"/>
        <v>0</v>
      </c>
      <c r="DQ385" s="32">
        <f t="shared" ca="1" si="436"/>
        <v>0</v>
      </c>
      <c r="DR385" s="32">
        <f t="shared" ca="1" si="436"/>
        <v>0</v>
      </c>
      <c r="DS385" s="32">
        <f t="shared" ca="1" si="436"/>
        <v>0</v>
      </c>
      <c r="DT385" s="32">
        <f t="shared" ca="1" si="436"/>
        <v>0</v>
      </c>
      <c r="DU385" s="32">
        <f t="shared" ca="1" si="436"/>
        <v>0</v>
      </c>
      <c r="DV385" s="32">
        <f t="shared" ca="1" si="436"/>
        <v>0</v>
      </c>
      <c r="DW385" s="32">
        <f t="shared" ca="1" si="436"/>
        <v>0</v>
      </c>
      <c r="DX385" s="32">
        <f t="shared" ca="1" si="436"/>
        <v>0</v>
      </c>
      <c r="DY385" s="32">
        <f t="shared" ca="1" si="436"/>
        <v>0</v>
      </c>
      <c r="DZ385" s="32">
        <f t="shared" ca="1" si="436"/>
        <v>0</v>
      </c>
      <c r="EA385" s="32">
        <f t="shared" ca="1" si="436"/>
        <v>0</v>
      </c>
      <c r="EB385" s="32">
        <f t="shared" ca="1" si="436"/>
        <v>0</v>
      </c>
      <c r="EC385" s="32">
        <f t="shared" ca="1" si="436"/>
        <v>0</v>
      </c>
      <c r="ED385" s="32">
        <f t="shared" ca="1" si="436"/>
        <v>0</v>
      </c>
      <c r="EE385" s="32">
        <f t="shared" ca="1" si="436"/>
        <v>0</v>
      </c>
      <c r="EF385" s="32">
        <f t="shared" ref="EF385:GQ385" ca="1" si="437">IF(AND(EF383=1,EF408&gt;1,EF408&lt;LARGE($H$412:$IK$412,1),EF410&lt;LARGE($H$412:$IK$412,1)),1,0)</f>
        <v>0</v>
      </c>
      <c r="EG385" s="32">
        <f t="shared" ca="1" si="437"/>
        <v>0</v>
      </c>
      <c r="EH385" s="32">
        <f t="shared" ca="1" si="437"/>
        <v>0</v>
      </c>
      <c r="EI385" s="32">
        <f t="shared" ca="1" si="437"/>
        <v>0</v>
      </c>
      <c r="EJ385" s="32">
        <f t="shared" ca="1" si="437"/>
        <v>0</v>
      </c>
      <c r="EK385" s="32">
        <f t="shared" ca="1" si="437"/>
        <v>0</v>
      </c>
      <c r="EL385" s="32">
        <f t="shared" ca="1" si="437"/>
        <v>0</v>
      </c>
      <c r="EM385" s="32">
        <f t="shared" ca="1" si="437"/>
        <v>0</v>
      </c>
      <c r="EN385" s="32">
        <f t="shared" ca="1" si="437"/>
        <v>0</v>
      </c>
      <c r="EO385" s="32">
        <f t="shared" ca="1" si="437"/>
        <v>0</v>
      </c>
      <c r="EP385" s="32">
        <f t="shared" ca="1" si="437"/>
        <v>0</v>
      </c>
      <c r="EQ385" s="32">
        <f t="shared" ca="1" si="437"/>
        <v>0</v>
      </c>
      <c r="ER385" s="32">
        <f t="shared" ca="1" si="437"/>
        <v>0</v>
      </c>
      <c r="ES385" s="32">
        <f t="shared" ca="1" si="437"/>
        <v>0</v>
      </c>
      <c r="ET385" s="32">
        <f t="shared" ca="1" si="437"/>
        <v>0</v>
      </c>
      <c r="EU385" s="32">
        <f t="shared" ca="1" si="437"/>
        <v>0</v>
      </c>
      <c r="EV385" s="32">
        <f t="shared" ca="1" si="437"/>
        <v>0</v>
      </c>
      <c r="EW385" s="32">
        <f t="shared" ca="1" si="437"/>
        <v>0</v>
      </c>
      <c r="EX385" s="32">
        <f t="shared" ca="1" si="437"/>
        <v>0</v>
      </c>
      <c r="EY385" s="32">
        <f t="shared" ca="1" si="437"/>
        <v>0</v>
      </c>
      <c r="EZ385" s="32">
        <f t="shared" ca="1" si="437"/>
        <v>0</v>
      </c>
      <c r="FA385" s="32">
        <f t="shared" ca="1" si="437"/>
        <v>0</v>
      </c>
      <c r="FB385" s="32">
        <f t="shared" ca="1" si="437"/>
        <v>0</v>
      </c>
      <c r="FC385" s="32">
        <f t="shared" ca="1" si="437"/>
        <v>0</v>
      </c>
      <c r="FD385" s="32">
        <f t="shared" ca="1" si="437"/>
        <v>0</v>
      </c>
      <c r="FE385" s="32">
        <f t="shared" ca="1" si="437"/>
        <v>0</v>
      </c>
      <c r="FF385" s="32">
        <f t="shared" ca="1" si="437"/>
        <v>0</v>
      </c>
      <c r="FG385" s="32">
        <f t="shared" ca="1" si="437"/>
        <v>0</v>
      </c>
      <c r="FH385" s="32">
        <f t="shared" ca="1" si="437"/>
        <v>0</v>
      </c>
      <c r="FI385" s="32">
        <f t="shared" ca="1" si="437"/>
        <v>0</v>
      </c>
      <c r="FJ385" s="32">
        <f t="shared" ca="1" si="437"/>
        <v>0</v>
      </c>
      <c r="FK385" s="32">
        <f t="shared" ca="1" si="437"/>
        <v>0</v>
      </c>
      <c r="FL385" s="32">
        <f t="shared" ca="1" si="437"/>
        <v>0</v>
      </c>
      <c r="FM385" s="32">
        <f t="shared" ca="1" si="437"/>
        <v>0</v>
      </c>
      <c r="FN385" s="32">
        <f t="shared" ca="1" si="437"/>
        <v>0</v>
      </c>
      <c r="FO385" s="32">
        <f t="shared" ca="1" si="437"/>
        <v>0</v>
      </c>
      <c r="FP385" s="32">
        <f t="shared" ca="1" si="437"/>
        <v>0</v>
      </c>
      <c r="FQ385" s="32">
        <f t="shared" ca="1" si="437"/>
        <v>0</v>
      </c>
      <c r="FR385" s="32">
        <f t="shared" ca="1" si="437"/>
        <v>0</v>
      </c>
      <c r="FS385" s="32">
        <f t="shared" ca="1" si="437"/>
        <v>0</v>
      </c>
      <c r="FT385" s="32">
        <f t="shared" ca="1" si="437"/>
        <v>0</v>
      </c>
      <c r="FU385" s="32">
        <f t="shared" ca="1" si="437"/>
        <v>0</v>
      </c>
      <c r="FV385" s="32">
        <f t="shared" ca="1" si="437"/>
        <v>0</v>
      </c>
      <c r="FW385" s="32">
        <f t="shared" ca="1" si="437"/>
        <v>0</v>
      </c>
      <c r="FX385" s="32">
        <f t="shared" ca="1" si="437"/>
        <v>0</v>
      </c>
      <c r="FY385" s="32">
        <f t="shared" ca="1" si="437"/>
        <v>0</v>
      </c>
      <c r="FZ385" s="32">
        <f t="shared" ca="1" si="437"/>
        <v>0</v>
      </c>
      <c r="GA385" s="32">
        <f t="shared" ca="1" si="437"/>
        <v>0</v>
      </c>
      <c r="GB385" s="32">
        <f t="shared" ca="1" si="437"/>
        <v>0</v>
      </c>
      <c r="GC385" s="32">
        <f t="shared" ca="1" si="437"/>
        <v>0</v>
      </c>
      <c r="GD385" s="32">
        <f t="shared" ca="1" si="437"/>
        <v>0</v>
      </c>
      <c r="GE385" s="32">
        <f t="shared" ca="1" si="437"/>
        <v>0</v>
      </c>
      <c r="GF385" s="32">
        <f t="shared" ca="1" si="437"/>
        <v>0</v>
      </c>
      <c r="GG385" s="32">
        <f t="shared" ca="1" si="437"/>
        <v>0</v>
      </c>
      <c r="GH385" s="32">
        <f t="shared" ca="1" si="437"/>
        <v>0</v>
      </c>
      <c r="GI385" s="32">
        <f t="shared" ca="1" si="437"/>
        <v>0</v>
      </c>
      <c r="GJ385" s="32">
        <f t="shared" ca="1" si="437"/>
        <v>0</v>
      </c>
      <c r="GK385" s="32">
        <f t="shared" ca="1" si="437"/>
        <v>0</v>
      </c>
      <c r="GL385" s="32">
        <f t="shared" ca="1" si="437"/>
        <v>0</v>
      </c>
      <c r="GM385" s="32">
        <f t="shared" ca="1" si="437"/>
        <v>0</v>
      </c>
      <c r="GN385" s="32">
        <f t="shared" ca="1" si="437"/>
        <v>0</v>
      </c>
      <c r="GO385" s="32">
        <f t="shared" ca="1" si="437"/>
        <v>0</v>
      </c>
      <c r="GP385" s="32">
        <f t="shared" ca="1" si="437"/>
        <v>0</v>
      </c>
      <c r="GQ385" s="32">
        <f t="shared" ca="1" si="437"/>
        <v>0</v>
      </c>
      <c r="GR385" s="32">
        <f t="shared" ref="GR385:IK385" ca="1" si="438">IF(AND(GR383=1,GR408&gt;1,GR408&lt;LARGE($H$412:$IK$412,1),GR410&lt;LARGE($H$412:$IK$412,1)),1,0)</f>
        <v>0</v>
      </c>
      <c r="GS385" s="32">
        <f t="shared" ca="1" si="438"/>
        <v>0</v>
      </c>
      <c r="GT385" s="32">
        <f t="shared" ca="1" si="438"/>
        <v>0</v>
      </c>
      <c r="GU385" s="32">
        <f t="shared" ca="1" si="438"/>
        <v>0</v>
      </c>
      <c r="GV385" s="32">
        <f t="shared" ca="1" si="438"/>
        <v>0</v>
      </c>
      <c r="GW385" s="32">
        <f t="shared" ca="1" si="438"/>
        <v>0</v>
      </c>
      <c r="GX385" s="32">
        <f t="shared" ca="1" si="438"/>
        <v>0</v>
      </c>
      <c r="GY385" s="32">
        <f t="shared" ca="1" si="438"/>
        <v>0</v>
      </c>
      <c r="GZ385" s="32">
        <f t="shared" ca="1" si="438"/>
        <v>0</v>
      </c>
      <c r="HA385" s="32">
        <f t="shared" ca="1" si="438"/>
        <v>0</v>
      </c>
      <c r="HB385" s="32">
        <f t="shared" ca="1" si="438"/>
        <v>0</v>
      </c>
      <c r="HC385" s="32">
        <f t="shared" ca="1" si="438"/>
        <v>0</v>
      </c>
      <c r="HD385" s="32">
        <f t="shared" ca="1" si="438"/>
        <v>0</v>
      </c>
      <c r="HE385" s="32">
        <f t="shared" ca="1" si="438"/>
        <v>0</v>
      </c>
      <c r="HF385" s="32">
        <f t="shared" ca="1" si="438"/>
        <v>0</v>
      </c>
      <c r="HG385" s="32">
        <f t="shared" ca="1" si="438"/>
        <v>0</v>
      </c>
      <c r="HH385" s="32">
        <f t="shared" ca="1" si="438"/>
        <v>0</v>
      </c>
      <c r="HI385" s="32">
        <f t="shared" ca="1" si="438"/>
        <v>0</v>
      </c>
      <c r="HJ385" s="32">
        <f t="shared" ca="1" si="438"/>
        <v>0</v>
      </c>
      <c r="HK385" s="32">
        <f t="shared" ca="1" si="438"/>
        <v>0</v>
      </c>
      <c r="HL385" s="32">
        <f t="shared" ca="1" si="438"/>
        <v>0</v>
      </c>
      <c r="HM385" s="32">
        <f t="shared" ca="1" si="438"/>
        <v>0</v>
      </c>
      <c r="HN385" s="32">
        <f t="shared" ca="1" si="438"/>
        <v>0</v>
      </c>
      <c r="HO385" s="32">
        <f t="shared" ca="1" si="438"/>
        <v>0</v>
      </c>
      <c r="HP385" s="32">
        <f t="shared" ca="1" si="438"/>
        <v>0</v>
      </c>
      <c r="HQ385" s="32">
        <f t="shared" ca="1" si="438"/>
        <v>0</v>
      </c>
      <c r="HR385" s="32">
        <f t="shared" ca="1" si="438"/>
        <v>0</v>
      </c>
      <c r="HS385" s="32">
        <f t="shared" ca="1" si="438"/>
        <v>0</v>
      </c>
      <c r="HT385" s="32">
        <f t="shared" ca="1" si="438"/>
        <v>0</v>
      </c>
      <c r="HU385" s="32">
        <f t="shared" ca="1" si="438"/>
        <v>0</v>
      </c>
      <c r="HV385" s="32">
        <f t="shared" ca="1" si="438"/>
        <v>0</v>
      </c>
      <c r="HW385" s="32">
        <f t="shared" ca="1" si="438"/>
        <v>0</v>
      </c>
      <c r="HX385" s="32">
        <f t="shared" ca="1" si="438"/>
        <v>0</v>
      </c>
      <c r="HY385" s="32">
        <f t="shared" ca="1" si="438"/>
        <v>0</v>
      </c>
      <c r="HZ385" s="32">
        <f t="shared" ca="1" si="438"/>
        <v>0</v>
      </c>
      <c r="IA385" s="32">
        <f t="shared" ca="1" si="438"/>
        <v>0</v>
      </c>
      <c r="IB385" s="32">
        <f t="shared" ca="1" si="438"/>
        <v>0</v>
      </c>
      <c r="IC385" s="32">
        <f t="shared" ca="1" si="438"/>
        <v>0</v>
      </c>
      <c r="ID385" s="32">
        <f t="shared" ca="1" si="438"/>
        <v>0</v>
      </c>
      <c r="IE385" s="32">
        <f t="shared" ca="1" si="438"/>
        <v>0</v>
      </c>
      <c r="IF385" s="32">
        <f t="shared" ca="1" si="438"/>
        <v>0</v>
      </c>
      <c r="IG385" s="32">
        <f t="shared" ca="1" si="438"/>
        <v>0</v>
      </c>
      <c r="IH385" s="32">
        <f t="shared" ca="1" si="438"/>
        <v>0</v>
      </c>
      <c r="II385" s="32">
        <f t="shared" ca="1" si="438"/>
        <v>0</v>
      </c>
      <c r="IJ385" s="32">
        <f t="shared" ca="1" si="438"/>
        <v>0</v>
      </c>
      <c r="IK385" s="32">
        <f t="shared" ca="1" si="438"/>
        <v>0</v>
      </c>
    </row>
    <row r="386" spans="1:245" x14ac:dyDescent="0.35">
      <c r="A386" s="195" t="str">
        <f t="shared" si="364"/>
        <v>XXX</v>
      </c>
      <c r="B386" s="195">
        <f>IF(ENTRADAS!E15=0,0,1)</f>
        <v>1</v>
      </c>
      <c r="C386" s="1338" t="str">
        <f>IF(ENTRADAS!F22&lt;=4,"quantidade de intervalos: "&amp;ENTRADAS!F22&amp;" tq ","quant. de intervalo previsto: "&amp;ENTRADAS!F22&amp;" tq ")</f>
        <v xml:space="preserve">quantidade de intervalos: 4 tq </v>
      </c>
      <c r="D386" s="1339"/>
      <c r="E386" s="633">
        <f ca="1">IF(ENTRADAS!$B$411&gt;0,IF(AND(ENTRADAS!$B$411&lt;=3,ENTRADAS!$B$411&gt;0),IF(ENTRADAS!$F$22&lt;=4,COUNTIF(H386:IK386,1),ENTRADAS!$B$411-1),IF(ENTRADAS!$F$22&gt;4,ENTRADAS!$B$411-1,0)),IF(ENTRADAS!$F$22&lt;=4,COUNTIF(H386:IK386,1),ROUNDUP(COUNTIF(H386:IK386,1)/4*(ENTRADAS!$F$22),0)))</f>
        <v>0</v>
      </c>
      <c r="F386" s="1770" t="s">
        <v>1621</v>
      </c>
      <c r="G386" s="1771"/>
      <c r="H386">
        <f ca="1">IF(I385-H385=-1,1,0)</f>
        <v>0</v>
      </c>
      <c r="I386">
        <f t="shared" ref="I386:BT386" ca="1" si="439">IF(J385-I385=-1,1,0)</f>
        <v>0</v>
      </c>
      <c r="J386">
        <f t="shared" ca="1" si="439"/>
        <v>0</v>
      </c>
      <c r="K386">
        <f t="shared" ca="1" si="439"/>
        <v>0</v>
      </c>
      <c r="L386">
        <f t="shared" ca="1" si="439"/>
        <v>0</v>
      </c>
      <c r="M386">
        <f t="shared" ca="1" si="439"/>
        <v>0</v>
      </c>
      <c r="N386">
        <f t="shared" ca="1" si="439"/>
        <v>0</v>
      </c>
      <c r="O386">
        <f t="shared" ca="1" si="439"/>
        <v>0</v>
      </c>
      <c r="P386">
        <f t="shared" ca="1" si="439"/>
        <v>0</v>
      </c>
      <c r="Q386">
        <f t="shared" ca="1" si="439"/>
        <v>0</v>
      </c>
      <c r="R386">
        <f t="shared" ca="1" si="439"/>
        <v>0</v>
      </c>
      <c r="S386">
        <f t="shared" ca="1" si="439"/>
        <v>0</v>
      </c>
      <c r="T386">
        <f t="shared" ca="1" si="439"/>
        <v>0</v>
      </c>
      <c r="U386">
        <f t="shared" ca="1" si="439"/>
        <v>0</v>
      </c>
      <c r="V386">
        <f t="shared" ca="1" si="439"/>
        <v>0</v>
      </c>
      <c r="W386">
        <f t="shared" ca="1" si="439"/>
        <v>0</v>
      </c>
      <c r="X386">
        <f t="shared" ca="1" si="439"/>
        <v>0</v>
      </c>
      <c r="Y386">
        <f t="shared" ca="1" si="439"/>
        <v>0</v>
      </c>
      <c r="Z386">
        <f t="shared" ca="1" si="439"/>
        <v>0</v>
      </c>
      <c r="AA386">
        <f t="shared" ca="1" si="439"/>
        <v>0</v>
      </c>
      <c r="AB386">
        <f t="shared" ca="1" si="439"/>
        <v>0</v>
      </c>
      <c r="AC386">
        <f t="shared" ca="1" si="439"/>
        <v>0</v>
      </c>
      <c r="AD386">
        <f t="shared" ca="1" si="439"/>
        <v>0</v>
      </c>
      <c r="AE386">
        <f t="shared" ca="1" si="439"/>
        <v>0</v>
      </c>
      <c r="AF386">
        <f t="shared" ca="1" si="439"/>
        <v>0</v>
      </c>
      <c r="AG386">
        <f t="shared" ca="1" si="439"/>
        <v>0</v>
      </c>
      <c r="AH386">
        <f t="shared" ca="1" si="439"/>
        <v>0</v>
      </c>
      <c r="AI386">
        <f t="shared" ca="1" si="439"/>
        <v>0</v>
      </c>
      <c r="AJ386">
        <f t="shared" ca="1" si="439"/>
        <v>0</v>
      </c>
      <c r="AK386">
        <f t="shared" ca="1" si="439"/>
        <v>0</v>
      </c>
      <c r="AL386">
        <f t="shared" ca="1" si="439"/>
        <v>0</v>
      </c>
      <c r="AM386">
        <f t="shared" ca="1" si="439"/>
        <v>0</v>
      </c>
      <c r="AN386">
        <f t="shared" ca="1" si="439"/>
        <v>0</v>
      </c>
      <c r="AO386">
        <f t="shared" ca="1" si="439"/>
        <v>0</v>
      </c>
      <c r="AP386">
        <f t="shared" ca="1" si="439"/>
        <v>0</v>
      </c>
      <c r="AQ386">
        <f t="shared" ca="1" si="439"/>
        <v>0</v>
      </c>
      <c r="AR386">
        <f t="shared" ca="1" si="439"/>
        <v>0</v>
      </c>
      <c r="AS386">
        <f t="shared" ca="1" si="439"/>
        <v>0</v>
      </c>
      <c r="AT386">
        <f t="shared" ca="1" si="439"/>
        <v>0</v>
      </c>
      <c r="AU386">
        <f t="shared" ca="1" si="439"/>
        <v>0</v>
      </c>
      <c r="AV386">
        <f t="shared" ca="1" si="439"/>
        <v>0</v>
      </c>
      <c r="AW386">
        <f t="shared" ca="1" si="439"/>
        <v>0</v>
      </c>
      <c r="AX386">
        <f t="shared" ca="1" si="439"/>
        <v>0</v>
      </c>
      <c r="AY386">
        <f t="shared" ca="1" si="439"/>
        <v>0</v>
      </c>
      <c r="AZ386">
        <f t="shared" ca="1" si="439"/>
        <v>0</v>
      </c>
      <c r="BA386">
        <f t="shared" ca="1" si="439"/>
        <v>0</v>
      </c>
      <c r="BB386">
        <f t="shared" ca="1" si="439"/>
        <v>0</v>
      </c>
      <c r="BC386">
        <f t="shared" ca="1" si="439"/>
        <v>0</v>
      </c>
      <c r="BD386">
        <f t="shared" ca="1" si="439"/>
        <v>0</v>
      </c>
      <c r="BE386">
        <f t="shared" ca="1" si="439"/>
        <v>0</v>
      </c>
      <c r="BF386">
        <f t="shared" ca="1" si="439"/>
        <v>0</v>
      </c>
      <c r="BG386">
        <f t="shared" ca="1" si="439"/>
        <v>0</v>
      </c>
      <c r="BH386">
        <f t="shared" ca="1" si="439"/>
        <v>0</v>
      </c>
      <c r="BI386">
        <f t="shared" ca="1" si="439"/>
        <v>0</v>
      </c>
      <c r="BJ386">
        <f t="shared" ca="1" si="439"/>
        <v>0</v>
      </c>
      <c r="BK386">
        <f t="shared" ca="1" si="439"/>
        <v>0</v>
      </c>
      <c r="BL386">
        <f t="shared" ca="1" si="439"/>
        <v>0</v>
      </c>
      <c r="BM386">
        <f t="shared" ca="1" si="439"/>
        <v>0</v>
      </c>
      <c r="BN386">
        <f t="shared" ca="1" si="439"/>
        <v>0</v>
      </c>
      <c r="BO386">
        <f t="shared" ca="1" si="439"/>
        <v>0</v>
      </c>
      <c r="BP386">
        <f t="shared" ca="1" si="439"/>
        <v>0</v>
      </c>
      <c r="BQ386">
        <f t="shared" ca="1" si="439"/>
        <v>0</v>
      </c>
      <c r="BR386">
        <f t="shared" ca="1" si="439"/>
        <v>0</v>
      </c>
      <c r="BS386">
        <f t="shared" ca="1" si="439"/>
        <v>0</v>
      </c>
      <c r="BT386">
        <f t="shared" ca="1" si="439"/>
        <v>0</v>
      </c>
      <c r="BU386">
        <f t="shared" ref="BU386:EF386" ca="1" si="440">IF(BV385-BU385=-1,1,0)</f>
        <v>0</v>
      </c>
      <c r="BV386">
        <f t="shared" ca="1" si="440"/>
        <v>0</v>
      </c>
      <c r="BW386">
        <f t="shared" ca="1" si="440"/>
        <v>0</v>
      </c>
      <c r="BX386">
        <f t="shared" ca="1" si="440"/>
        <v>0</v>
      </c>
      <c r="BY386">
        <f t="shared" ca="1" si="440"/>
        <v>0</v>
      </c>
      <c r="BZ386">
        <f t="shared" ca="1" si="440"/>
        <v>0</v>
      </c>
      <c r="CA386">
        <f t="shared" ca="1" si="440"/>
        <v>0</v>
      </c>
      <c r="CB386">
        <f t="shared" ca="1" si="440"/>
        <v>0</v>
      </c>
      <c r="CC386">
        <f t="shared" ca="1" si="440"/>
        <v>0</v>
      </c>
      <c r="CD386">
        <f t="shared" ca="1" si="440"/>
        <v>0</v>
      </c>
      <c r="CE386">
        <f t="shared" ca="1" si="440"/>
        <v>0</v>
      </c>
      <c r="CF386">
        <f t="shared" ca="1" si="440"/>
        <v>0</v>
      </c>
      <c r="CG386">
        <f t="shared" ca="1" si="440"/>
        <v>0</v>
      </c>
      <c r="CH386">
        <f t="shared" ca="1" si="440"/>
        <v>0</v>
      </c>
      <c r="CI386">
        <f t="shared" ca="1" si="440"/>
        <v>0</v>
      </c>
      <c r="CJ386">
        <f t="shared" ca="1" si="440"/>
        <v>0</v>
      </c>
      <c r="CK386">
        <f t="shared" ca="1" si="440"/>
        <v>0</v>
      </c>
      <c r="CL386">
        <f t="shared" ca="1" si="440"/>
        <v>0</v>
      </c>
      <c r="CM386">
        <f t="shared" ca="1" si="440"/>
        <v>0</v>
      </c>
      <c r="CN386">
        <f t="shared" ca="1" si="440"/>
        <v>0</v>
      </c>
      <c r="CO386">
        <f t="shared" ca="1" si="440"/>
        <v>0</v>
      </c>
      <c r="CP386">
        <f t="shared" ca="1" si="440"/>
        <v>0</v>
      </c>
      <c r="CQ386">
        <f t="shared" ca="1" si="440"/>
        <v>0</v>
      </c>
      <c r="CR386">
        <f t="shared" ca="1" si="440"/>
        <v>0</v>
      </c>
      <c r="CS386">
        <f t="shared" ca="1" si="440"/>
        <v>0</v>
      </c>
      <c r="CT386">
        <f t="shared" ca="1" si="440"/>
        <v>0</v>
      </c>
      <c r="CU386">
        <f t="shared" ca="1" si="440"/>
        <v>0</v>
      </c>
      <c r="CV386">
        <f t="shared" ca="1" si="440"/>
        <v>0</v>
      </c>
      <c r="CW386">
        <f t="shared" ca="1" si="440"/>
        <v>0</v>
      </c>
      <c r="CX386">
        <f t="shared" ca="1" si="440"/>
        <v>0</v>
      </c>
      <c r="CY386">
        <f t="shared" ca="1" si="440"/>
        <v>0</v>
      </c>
      <c r="CZ386">
        <f t="shared" ca="1" si="440"/>
        <v>0</v>
      </c>
      <c r="DA386">
        <f t="shared" ca="1" si="440"/>
        <v>0</v>
      </c>
      <c r="DB386">
        <f t="shared" ca="1" si="440"/>
        <v>0</v>
      </c>
      <c r="DC386">
        <f t="shared" ca="1" si="440"/>
        <v>0</v>
      </c>
      <c r="DD386">
        <f t="shared" ca="1" si="440"/>
        <v>0</v>
      </c>
      <c r="DE386">
        <f t="shared" ca="1" si="440"/>
        <v>0</v>
      </c>
      <c r="DF386">
        <f t="shared" ca="1" si="440"/>
        <v>0</v>
      </c>
      <c r="DG386">
        <f t="shared" ca="1" si="440"/>
        <v>0</v>
      </c>
      <c r="DH386">
        <f t="shared" ca="1" si="440"/>
        <v>0</v>
      </c>
      <c r="DI386">
        <f t="shared" ca="1" si="440"/>
        <v>0</v>
      </c>
      <c r="DJ386">
        <f t="shared" ca="1" si="440"/>
        <v>0</v>
      </c>
      <c r="DK386">
        <f t="shared" ca="1" si="440"/>
        <v>0</v>
      </c>
      <c r="DL386">
        <f t="shared" ca="1" si="440"/>
        <v>0</v>
      </c>
      <c r="DM386">
        <f t="shared" ca="1" si="440"/>
        <v>0</v>
      </c>
      <c r="DN386">
        <f t="shared" ca="1" si="440"/>
        <v>0</v>
      </c>
      <c r="DO386">
        <f t="shared" ca="1" si="440"/>
        <v>0</v>
      </c>
      <c r="DP386">
        <f t="shared" ca="1" si="440"/>
        <v>0</v>
      </c>
      <c r="DQ386">
        <f t="shared" ca="1" si="440"/>
        <v>0</v>
      </c>
      <c r="DR386">
        <f t="shared" ca="1" si="440"/>
        <v>0</v>
      </c>
      <c r="DS386">
        <f t="shared" ca="1" si="440"/>
        <v>0</v>
      </c>
      <c r="DT386">
        <f t="shared" ca="1" si="440"/>
        <v>0</v>
      </c>
      <c r="DU386">
        <f t="shared" ca="1" si="440"/>
        <v>0</v>
      </c>
      <c r="DV386">
        <f t="shared" ca="1" si="440"/>
        <v>0</v>
      </c>
      <c r="DW386">
        <f t="shared" ca="1" si="440"/>
        <v>0</v>
      </c>
      <c r="DX386">
        <f t="shared" ca="1" si="440"/>
        <v>0</v>
      </c>
      <c r="DY386">
        <f t="shared" ca="1" si="440"/>
        <v>0</v>
      </c>
      <c r="DZ386">
        <f t="shared" ca="1" si="440"/>
        <v>0</v>
      </c>
      <c r="EA386">
        <f t="shared" ca="1" si="440"/>
        <v>0</v>
      </c>
      <c r="EB386">
        <f t="shared" ca="1" si="440"/>
        <v>0</v>
      </c>
      <c r="EC386">
        <f t="shared" ca="1" si="440"/>
        <v>0</v>
      </c>
      <c r="ED386">
        <f t="shared" ca="1" si="440"/>
        <v>0</v>
      </c>
      <c r="EE386">
        <f t="shared" ca="1" si="440"/>
        <v>0</v>
      </c>
      <c r="EF386">
        <f t="shared" ca="1" si="440"/>
        <v>0</v>
      </c>
      <c r="EG386">
        <f t="shared" ref="EG386:GR386" ca="1" si="441">IF(EH385-EG385=-1,1,0)</f>
        <v>0</v>
      </c>
      <c r="EH386">
        <f t="shared" ca="1" si="441"/>
        <v>0</v>
      </c>
      <c r="EI386">
        <f t="shared" ca="1" si="441"/>
        <v>0</v>
      </c>
      <c r="EJ386">
        <f t="shared" ca="1" si="441"/>
        <v>0</v>
      </c>
      <c r="EK386">
        <f t="shared" ca="1" si="441"/>
        <v>0</v>
      </c>
      <c r="EL386">
        <f t="shared" ca="1" si="441"/>
        <v>0</v>
      </c>
      <c r="EM386">
        <f t="shared" ca="1" si="441"/>
        <v>0</v>
      </c>
      <c r="EN386">
        <f t="shared" ca="1" si="441"/>
        <v>0</v>
      </c>
      <c r="EO386">
        <f t="shared" ca="1" si="441"/>
        <v>0</v>
      </c>
      <c r="EP386">
        <f t="shared" ca="1" si="441"/>
        <v>0</v>
      </c>
      <c r="EQ386">
        <f t="shared" ca="1" si="441"/>
        <v>0</v>
      </c>
      <c r="ER386">
        <f t="shared" ca="1" si="441"/>
        <v>0</v>
      </c>
      <c r="ES386">
        <f t="shared" ca="1" si="441"/>
        <v>0</v>
      </c>
      <c r="ET386">
        <f t="shared" ca="1" si="441"/>
        <v>0</v>
      </c>
      <c r="EU386">
        <f t="shared" ca="1" si="441"/>
        <v>0</v>
      </c>
      <c r="EV386">
        <f t="shared" ca="1" si="441"/>
        <v>0</v>
      </c>
      <c r="EW386">
        <f t="shared" ca="1" si="441"/>
        <v>0</v>
      </c>
      <c r="EX386">
        <f t="shared" ca="1" si="441"/>
        <v>0</v>
      </c>
      <c r="EY386">
        <f t="shared" ca="1" si="441"/>
        <v>0</v>
      </c>
      <c r="EZ386">
        <f t="shared" ca="1" si="441"/>
        <v>0</v>
      </c>
      <c r="FA386">
        <f t="shared" ca="1" si="441"/>
        <v>0</v>
      </c>
      <c r="FB386">
        <f t="shared" ca="1" si="441"/>
        <v>0</v>
      </c>
      <c r="FC386">
        <f t="shared" ca="1" si="441"/>
        <v>0</v>
      </c>
      <c r="FD386">
        <f t="shared" ca="1" si="441"/>
        <v>0</v>
      </c>
      <c r="FE386">
        <f t="shared" ca="1" si="441"/>
        <v>0</v>
      </c>
      <c r="FF386">
        <f t="shared" ca="1" si="441"/>
        <v>0</v>
      </c>
      <c r="FG386">
        <f t="shared" ca="1" si="441"/>
        <v>0</v>
      </c>
      <c r="FH386">
        <f t="shared" ca="1" si="441"/>
        <v>0</v>
      </c>
      <c r="FI386">
        <f t="shared" ca="1" si="441"/>
        <v>0</v>
      </c>
      <c r="FJ386">
        <f t="shared" ca="1" si="441"/>
        <v>0</v>
      </c>
      <c r="FK386">
        <f t="shared" ca="1" si="441"/>
        <v>0</v>
      </c>
      <c r="FL386">
        <f t="shared" ca="1" si="441"/>
        <v>0</v>
      </c>
      <c r="FM386">
        <f t="shared" ca="1" si="441"/>
        <v>0</v>
      </c>
      <c r="FN386">
        <f t="shared" ca="1" si="441"/>
        <v>0</v>
      </c>
      <c r="FO386">
        <f t="shared" ca="1" si="441"/>
        <v>0</v>
      </c>
      <c r="FP386">
        <f t="shared" ca="1" si="441"/>
        <v>0</v>
      </c>
      <c r="FQ386">
        <f t="shared" ca="1" si="441"/>
        <v>0</v>
      </c>
      <c r="FR386">
        <f t="shared" ca="1" si="441"/>
        <v>0</v>
      </c>
      <c r="FS386">
        <f t="shared" ca="1" si="441"/>
        <v>0</v>
      </c>
      <c r="FT386">
        <f t="shared" ca="1" si="441"/>
        <v>0</v>
      </c>
      <c r="FU386">
        <f t="shared" ca="1" si="441"/>
        <v>0</v>
      </c>
      <c r="FV386">
        <f t="shared" ca="1" si="441"/>
        <v>0</v>
      </c>
      <c r="FW386">
        <f t="shared" ca="1" si="441"/>
        <v>0</v>
      </c>
      <c r="FX386">
        <f t="shared" ca="1" si="441"/>
        <v>0</v>
      </c>
      <c r="FY386">
        <f t="shared" ca="1" si="441"/>
        <v>0</v>
      </c>
      <c r="FZ386">
        <f t="shared" ca="1" si="441"/>
        <v>0</v>
      </c>
      <c r="GA386">
        <f t="shared" ca="1" si="441"/>
        <v>0</v>
      </c>
      <c r="GB386">
        <f t="shared" ca="1" si="441"/>
        <v>0</v>
      </c>
      <c r="GC386">
        <f t="shared" ca="1" si="441"/>
        <v>0</v>
      </c>
      <c r="GD386">
        <f t="shared" ca="1" si="441"/>
        <v>0</v>
      </c>
      <c r="GE386">
        <f t="shared" ca="1" si="441"/>
        <v>0</v>
      </c>
      <c r="GF386">
        <f t="shared" ca="1" si="441"/>
        <v>0</v>
      </c>
      <c r="GG386">
        <f t="shared" ca="1" si="441"/>
        <v>0</v>
      </c>
      <c r="GH386">
        <f t="shared" ca="1" si="441"/>
        <v>0</v>
      </c>
      <c r="GI386">
        <f t="shared" ca="1" si="441"/>
        <v>0</v>
      </c>
      <c r="GJ386">
        <f t="shared" ca="1" si="441"/>
        <v>0</v>
      </c>
      <c r="GK386">
        <f t="shared" ca="1" si="441"/>
        <v>0</v>
      </c>
      <c r="GL386">
        <f t="shared" ca="1" si="441"/>
        <v>0</v>
      </c>
      <c r="GM386">
        <f t="shared" ca="1" si="441"/>
        <v>0</v>
      </c>
      <c r="GN386">
        <f t="shared" ca="1" si="441"/>
        <v>0</v>
      </c>
      <c r="GO386">
        <f t="shared" ca="1" si="441"/>
        <v>0</v>
      </c>
      <c r="GP386">
        <f t="shared" ca="1" si="441"/>
        <v>0</v>
      </c>
      <c r="GQ386">
        <f t="shared" ca="1" si="441"/>
        <v>0</v>
      </c>
      <c r="GR386">
        <f t="shared" ca="1" si="441"/>
        <v>0</v>
      </c>
      <c r="GS386">
        <f t="shared" ref="GS386:IK386" ca="1" si="442">IF(GT385-GS385=-1,1,0)</f>
        <v>0</v>
      </c>
      <c r="GT386">
        <f t="shared" ca="1" si="442"/>
        <v>0</v>
      </c>
      <c r="GU386">
        <f t="shared" ca="1" si="442"/>
        <v>0</v>
      </c>
      <c r="GV386">
        <f t="shared" ca="1" si="442"/>
        <v>0</v>
      </c>
      <c r="GW386">
        <f t="shared" ca="1" si="442"/>
        <v>0</v>
      </c>
      <c r="GX386">
        <f t="shared" ca="1" si="442"/>
        <v>0</v>
      </c>
      <c r="GY386">
        <f t="shared" ca="1" si="442"/>
        <v>0</v>
      </c>
      <c r="GZ386">
        <f t="shared" ca="1" si="442"/>
        <v>0</v>
      </c>
      <c r="HA386">
        <f t="shared" ca="1" si="442"/>
        <v>0</v>
      </c>
      <c r="HB386">
        <f t="shared" ca="1" si="442"/>
        <v>0</v>
      </c>
      <c r="HC386">
        <f t="shared" ca="1" si="442"/>
        <v>0</v>
      </c>
      <c r="HD386">
        <f t="shared" ca="1" si="442"/>
        <v>0</v>
      </c>
      <c r="HE386">
        <f t="shared" ca="1" si="442"/>
        <v>0</v>
      </c>
      <c r="HF386">
        <f t="shared" ca="1" si="442"/>
        <v>0</v>
      </c>
      <c r="HG386">
        <f t="shared" ca="1" si="442"/>
        <v>0</v>
      </c>
      <c r="HH386">
        <f t="shared" ca="1" si="442"/>
        <v>0</v>
      </c>
      <c r="HI386">
        <f t="shared" ca="1" si="442"/>
        <v>0</v>
      </c>
      <c r="HJ386">
        <f t="shared" ca="1" si="442"/>
        <v>0</v>
      </c>
      <c r="HK386">
        <f t="shared" ca="1" si="442"/>
        <v>0</v>
      </c>
      <c r="HL386">
        <f t="shared" ca="1" si="442"/>
        <v>0</v>
      </c>
      <c r="HM386">
        <f t="shared" ca="1" si="442"/>
        <v>0</v>
      </c>
      <c r="HN386">
        <f t="shared" ca="1" si="442"/>
        <v>0</v>
      </c>
      <c r="HO386">
        <f t="shared" ca="1" si="442"/>
        <v>0</v>
      </c>
      <c r="HP386">
        <f t="shared" ca="1" si="442"/>
        <v>0</v>
      </c>
      <c r="HQ386">
        <f t="shared" ca="1" si="442"/>
        <v>0</v>
      </c>
      <c r="HR386">
        <f t="shared" ca="1" si="442"/>
        <v>0</v>
      </c>
      <c r="HS386">
        <f t="shared" ca="1" si="442"/>
        <v>0</v>
      </c>
      <c r="HT386">
        <f t="shared" ca="1" si="442"/>
        <v>0</v>
      </c>
      <c r="HU386">
        <f t="shared" ca="1" si="442"/>
        <v>0</v>
      </c>
      <c r="HV386">
        <f t="shared" ca="1" si="442"/>
        <v>0</v>
      </c>
      <c r="HW386">
        <f t="shared" ca="1" si="442"/>
        <v>0</v>
      </c>
      <c r="HX386">
        <f t="shared" ca="1" si="442"/>
        <v>0</v>
      </c>
      <c r="HY386">
        <f t="shared" ca="1" si="442"/>
        <v>0</v>
      </c>
      <c r="HZ386">
        <f t="shared" ca="1" si="442"/>
        <v>0</v>
      </c>
      <c r="IA386">
        <f t="shared" ca="1" si="442"/>
        <v>0</v>
      </c>
      <c r="IB386">
        <f t="shared" ca="1" si="442"/>
        <v>0</v>
      </c>
      <c r="IC386">
        <f t="shared" ca="1" si="442"/>
        <v>0</v>
      </c>
      <c r="ID386">
        <f t="shared" ca="1" si="442"/>
        <v>0</v>
      </c>
      <c r="IE386">
        <f t="shared" ca="1" si="442"/>
        <v>0</v>
      </c>
      <c r="IF386">
        <f t="shared" ca="1" si="442"/>
        <v>0</v>
      </c>
      <c r="IG386">
        <f t="shared" ca="1" si="442"/>
        <v>0</v>
      </c>
      <c r="IH386">
        <f t="shared" ca="1" si="442"/>
        <v>0</v>
      </c>
      <c r="II386">
        <f t="shared" ca="1" si="442"/>
        <v>0</v>
      </c>
      <c r="IJ386">
        <f t="shared" ca="1" si="442"/>
        <v>0</v>
      </c>
      <c r="IK386">
        <f t="shared" ca="1" si="442"/>
        <v>0</v>
      </c>
    </row>
    <row r="387" spans="1:245" hidden="1" x14ac:dyDescent="0.35">
      <c r="C387" s="647"/>
      <c r="D387" s="647"/>
      <c r="E387" s="647"/>
      <c r="F387" s="647"/>
      <c r="G387" s="647"/>
    </row>
    <row r="388" spans="1:245" hidden="1" x14ac:dyDescent="0.35">
      <c r="C388" s="634"/>
      <c r="D388" s="634"/>
      <c r="E388" s="627"/>
      <c r="F388" s="635"/>
      <c r="G388" s="635"/>
    </row>
    <row r="389" spans="1:245" hidden="1" x14ac:dyDescent="0.35">
      <c r="C389" s="634"/>
      <c r="D389" s="634"/>
      <c r="E389" s="627"/>
      <c r="F389" s="635"/>
      <c r="G389" s="635"/>
    </row>
    <row r="390" spans="1:245" hidden="1" x14ac:dyDescent="0.35">
      <c r="C390" s="627"/>
      <c r="H390" s="348">
        <f t="shared" ref="H390:BS390" ca="1" si="443">H373+H392</f>
        <v>1</v>
      </c>
      <c r="I390" s="348">
        <f t="shared" ca="1" si="443"/>
        <v>1</v>
      </c>
      <c r="J390" s="348">
        <f t="shared" ca="1" si="443"/>
        <v>1</v>
      </c>
      <c r="K390" s="348">
        <f t="shared" ca="1" si="443"/>
        <v>1</v>
      </c>
      <c r="L390" s="348">
        <f t="shared" ca="1" si="443"/>
        <v>1</v>
      </c>
      <c r="M390" s="348">
        <f t="shared" ca="1" si="443"/>
        <v>1</v>
      </c>
      <c r="N390" s="348">
        <f t="shared" ca="1" si="443"/>
        <v>1</v>
      </c>
      <c r="O390" s="348">
        <f t="shared" ca="1" si="443"/>
        <v>1</v>
      </c>
      <c r="P390" s="348">
        <f t="shared" ca="1" si="443"/>
        <v>1</v>
      </c>
      <c r="Q390" s="348">
        <f t="shared" ca="1" si="443"/>
        <v>1</v>
      </c>
      <c r="R390" s="348">
        <f t="shared" ca="1" si="443"/>
        <v>1</v>
      </c>
      <c r="S390" s="348">
        <f t="shared" ca="1" si="443"/>
        <v>1</v>
      </c>
      <c r="T390" s="348">
        <f t="shared" ca="1" si="443"/>
        <v>1</v>
      </c>
      <c r="U390" s="348">
        <f t="shared" ca="1" si="443"/>
        <v>1</v>
      </c>
      <c r="V390" s="348">
        <f t="shared" ca="1" si="443"/>
        <v>1</v>
      </c>
      <c r="W390" s="348">
        <f t="shared" ca="1" si="443"/>
        <v>1</v>
      </c>
      <c r="X390" s="348">
        <f t="shared" ca="1" si="443"/>
        <v>1</v>
      </c>
      <c r="Y390" s="348">
        <f t="shared" ca="1" si="443"/>
        <v>1</v>
      </c>
      <c r="Z390" s="348">
        <f t="shared" ca="1" si="443"/>
        <v>1</v>
      </c>
      <c r="AA390" s="348">
        <f t="shared" ca="1" si="443"/>
        <v>1</v>
      </c>
      <c r="AB390" s="348">
        <f t="shared" ca="1" si="443"/>
        <v>1</v>
      </c>
      <c r="AC390" s="348">
        <f t="shared" ca="1" si="443"/>
        <v>1</v>
      </c>
      <c r="AD390" s="348">
        <f t="shared" ca="1" si="443"/>
        <v>1</v>
      </c>
      <c r="AE390" s="348">
        <f t="shared" ca="1" si="443"/>
        <v>1</v>
      </c>
      <c r="AF390" s="348">
        <f t="shared" ca="1" si="443"/>
        <v>1</v>
      </c>
      <c r="AG390" s="348">
        <f t="shared" ca="1" si="443"/>
        <v>1</v>
      </c>
      <c r="AH390" s="348">
        <f t="shared" ca="1" si="443"/>
        <v>1</v>
      </c>
      <c r="AI390" s="348">
        <f t="shared" ca="1" si="443"/>
        <v>1</v>
      </c>
      <c r="AJ390" s="348">
        <f t="shared" ca="1" si="443"/>
        <v>1</v>
      </c>
      <c r="AK390" s="348">
        <f t="shared" ca="1" si="443"/>
        <v>1</v>
      </c>
      <c r="AL390" s="348">
        <f t="shared" ca="1" si="443"/>
        <v>1</v>
      </c>
      <c r="AM390" s="348">
        <f t="shared" ca="1" si="443"/>
        <v>1001</v>
      </c>
      <c r="AN390" s="348">
        <f t="shared" ca="1" si="443"/>
        <v>1002</v>
      </c>
      <c r="AO390" s="348">
        <f t="shared" ca="1" si="443"/>
        <v>1003</v>
      </c>
      <c r="AP390" s="348">
        <f t="shared" ca="1" si="443"/>
        <v>1004</v>
      </c>
      <c r="AQ390" s="348">
        <f t="shared" ca="1" si="443"/>
        <v>1005</v>
      </c>
      <c r="AR390" s="348">
        <f t="shared" ca="1" si="443"/>
        <v>1006</v>
      </c>
      <c r="AS390" s="348">
        <f t="shared" ca="1" si="443"/>
        <v>1007</v>
      </c>
      <c r="AT390" s="348">
        <f t="shared" ca="1" si="443"/>
        <v>1008</v>
      </c>
      <c r="AU390" s="348">
        <f t="shared" ca="1" si="443"/>
        <v>1009</v>
      </c>
      <c r="AV390" s="348">
        <f t="shared" ca="1" si="443"/>
        <v>1010</v>
      </c>
      <c r="AW390" s="348">
        <f t="shared" ca="1" si="443"/>
        <v>1011</v>
      </c>
      <c r="AX390" s="348">
        <f t="shared" ca="1" si="443"/>
        <v>1012</v>
      </c>
      <c r="AY390" s="348">
        <f t="shared" ca="1" si="443"/>
        <v>1013</v>
      </c>
      <c r="AZ390" s="348">
        <f t="shared" ca="1" si="443"/>
        <v>1014</v>
      </c>
      <c r="BA390" s="348">
        <f t="shared" ca="1" si="443"/>
        <v>1015</v>
      </c>
      <c r="BB390" s="348">
        <f t="shared" ca="1" si="443"/>
        <v>1016</v>
      </c>
      <c r="BC390" s="348">
        <f t="shared" ca="1" si="443"/>
        <v>1017</v>
      </c>
      <c r="BD390" s="348">
        <f t="shared" ca="1" si="443"/>
        <v>1018</v>
      </c>
      <c r="BE390" s="348">
        <f t="shared" ca="1" si="443"/>
        <v>1019</v>
      </c>
      <c r="BF390" s="348">
        <f t="shared" ca="1" si="443"/>
        <v>1020</v>
      </c>
      <c r="BG390" s="348">
        <f t="shared" ca="1" si="443"/>
        <v>1021</v>
      </c>
      <c r="BH390" s="348">
        <f t="shared" ca="1" si="443"/>
        <v>1022</v>
      </c>
      <c r="BI390" s="348">
        <f t="shared" ca="1" si="443"/>
        <v>1023</v>
      </c>
      <c r="BJ390" s="348">
        <f t="shared" ca="1" si="443"/>
        <v>1024</v>
      </c>
      <c r="BK390" s="348">
        <f t="shared" ca="1" si="443"/>
        <v>1025</v>
      </c>
      <c r="BL390" s="348">
        <f t="shared" ca="1" si="443"/>
        <v>1026</v>
      </c>
      <c r="BM390" s="348">
        <f t="shared" ca="1" si="443"/>
        <v>1027</v>
      </c>
      <c r="BN390" s="348">
        <f t="shared" ca="1" si="443"/>
        <v>1028</v>
      </c>
      <c r="BO390" s="348">
        <f t="shared" ca="1" si="443"/>
        <v>1029</v>
      </c>
      <c r="BP390" s="348">
        <f t="shared" ca="1" si="443"/>
        <v>1030</v>
      </c>
      <c r="BQ390" s="348">
        <f t="shared" ca="1" si="443"/>
        <v>1031</v>
      </c>
      <c r="BR390" s="348">
        <f t="shared" ca="1" si="443"/>
        <v>1032</v>
      </c>
      <c r="BS390" s="348">
        <f t="shared" ca="1" si="443"/>
        <v>1033</v>
      </c>
      <c r="BT390" s="348">
        <f t="shared" ref="BT390:EE390" ca="1" si="444">BT373+BT392</f>
        <v>1034</v>
      </c>
      <c r="BU390" s="348">
        <f t="shared" ca="1" si="444"/>
        <v>1035</v>
      </c>
      <c r="BV390" s="348">
        <f t="shared" ca="1" si="444"/>
        <v>1036</v>
      </c>
      <c r="BW390" s="348">
        <f t="shared" ca="1" si="444"/>
        <v>1037</v>
      </c>
      <c r="BX390" s="348">
        <f t="shared" ca="1" si="444"/>
        <v>1038</v>
      </c>
      <c r="BY390" s="348">
        <f t="shared" ca="1" si="444"/>
        <v>1039</v>
      </c>
      <c r="BZ390" s="348">
        <f t="shared" ca="1" si="444"/>
        <v>1040</v>
      </c>
      <c r="CA390" s="348">
        <f t="shared" ca="1" si="444"/>
        <v>1041</v>
      </c>
      <c r="CB390" s="348">
        <f t="shared" ca="1" si="444"/>
        <v>1042</v>
      </c>
      <c r="CC390" s="348">
        <f t="shared" ca="1" si="444"/>
        <v>1043</v>
      </c>
      <c r="CD390" s="348">
        <f t="shared" ca="1" si="444"/>
        <v>1044</v>
      </c>
      <c r="CE390" s="348">
        <f t="shared" ca="1" si="444"/>
        <v>1045</v>
      </c>
      <c r="CF390" s="348">
        <f t="shared" ca="1" si="444"/>
        <v>1046</v>
      </c>
      <c r="CG390" s="348">
        <f t="shared" ca="1" si="444"/>
        <v>1047</v>
      </c>
      <c r="CH390" s="348">
        <f t="shared" ca="1" si="444"/>
        <v>1048</v>
      </c>
      <c r="CI390" s="348">
        <f t="shared" ca="1" si="444"/>
        <v>1049</v>
      </c>
      <c r="CJ390" s="348">
        <f t="shared" ca="1" si="444"/>
        <v>1050</v>
      </c>
      <c r="CK390" s="348">
        <f t="shared" ca="1" si="444"/>
        <v>1051</v>
      </c>
      <c r="CL390" s="348">
        <f t="shared" ca="1" si="444"/>
        <v>1052</v>
      </c>
      <c r="CM390" s="348">
        <f t="shared" ca="1" si="444"/>
        <v>1053</v>
      </c>
      <c r="CN390" s="348">
        <f t="shared" ca="1" si="444"/>
        <v>1054</v>
      </c>
      <c r="CO390" s="348">
        <f t="shared" ca="1" si="444"/>
        <v>1055</v>
      </c>
      <c r="CP390" s="348">
        <f t="shared" ca="1" si="444"/>
        <v>1056</v>
      </c>
      <c r="CQ390" s="348">
        <f t="shared" ca="1" si="444"/>
        <v>1057</v>
      </c>
      <c r="CR390" s="348">
        <f t="shared" ca="1" si="444"/>
        <v>1058</v>
      </c>
      <c r="CS390" s="348">
        <f t="shared" ca="1" si="444"/>
        <v>1059</v>
      </c>
      <c r="CT390" s="348">
        <f t="shared" ca="1" si="444"/>
        <v>1060</v>
      </c>
      <c r="CU390" s="348">
        <f t="shared" ca="1" si="444"/>
        <v>1061</v>
      </c>
      <c r="CV390" s="348">
        <f t="shared" ca="1" si="444"/>
        <v>1062</v>
      </c>
      <c r="CW390" s="348">
        <f t="shared" ca="1" si="444"/>
        <v>1063</v>
      </c>
      <c r="CX390" s="348">
        <f t="shared" ca="1" si="444"/>
        <v>1064</v>
      </c>
      <c r="CY390" s="348">
        <f t="shared" ca="1" si="444"/>
        <v>1065</v>
      </c>
      <c r="CZ390" s="348">
        <f t="shared" ca="1" si="444"/>
        <v>1066</v>
      </c>
      <c r="DA390" s="348">
        <f t="shared" ca="1" si="444"/>
        <v>1067</v>
      </c>
      <c r="DB390" s="348">
        <f t="shared" ca="1" si="444"/>
        <v>1068</v>
      </c>
      <c r="DC390" s="348">
        <f t="shared" ca="1" si="444"/>
        <v>1069</v>
      </c>
      <c r="DD390" s="348">
        <f t="shared" ca="1" si="444"/>
        <v>1070</v>
      </c>
      <c r="DE390" s="348">
        <f t="shared" ca="1" si="444"/>
        <v>1071</v>
      </c>
      <c r="DF390" s="348">
        <f t="shared" ca="1" si="444"/>
        <v>1072</v>
      </c>
      <c r="DG390" s="348">
        <f t="shared" ca="1" si="444"/>
        <v>1073</v>
      </c>
      <c r="DH390" s="348">
        <f t="shared" ca="1" si="444"/>
        <v>1074</v>
      </c>
      <c r="DI390" s="348">
        <f t="shared" ca="1" si="444"/>
        <v>1075</v>
      </c>
      <c r="DJ390" s="348">
        <f t="shared" ca="1" si="444"/>
        <v>1076</v>
      </c>
      <c r="DK390" s="348">
        <f t="shared" ca="1" si="444"/>
        <v>1077</v>
      </c>
      <c r="DL390" s="348">
        <f t="shared" ca="1" si="444"/>
        <v>1078</v>
      </c>
      <c r="DM390" s="348">
        <f t="shared" ca="1" si="444"/>
        <v>1079</v>
      </c>
      <c r="DN390" s="348">
        <f t="shared" ca="1" si="444"/>
        <v>1080</v>
      </c>
      <c r="DO390" s="348">
        <f t="shared" ca="1" si="444"/>
        <v>1081</v>
      </c>
      <c r="DP390" s="348">
        <f t="shared" ca="1" si="444"/>
        <v>1082</v>
      </c>
      <c r="DQ390" s="348">
        <f t="shared" ca="1" si="444"/>
        <v>1083</v>
      </c>
      <c r="DR390" s="348">
        <f t="shared" ca="1" si="444"/>
        <v>1084</v>
      </c>
      <c r="DS390" s="348">
        <f t="shared" ca="1" si="444"/>
        <v>1085</v>
      </c>
      <c r="DT390" s="348">
        <f t="shared" ca="1" si="444"/>
        <v>1086</v>
      </c>
      <c r="DU390" s="348">
        <f t="shared" ca="1" si="444"/>
        <v>1087</v>
      </c>
      <c r="DV390" s="348">
        <f t="shared" ca="1" si="444"/>
        <v>1088</v>
      </c>
      <c r="DW390" s="348">
        <f t="shared" ca="1" si="444"/>
        <v>1089</v>
      </c>
      <c r="DX390" s="348">
        <f t="shared" ca="1" si="444"/>
        <v>1090</v>
      </c>
      <c r="DY390" s="348">
        <f t="shared" ca="1" si="444"/>
        <v>1091</v>
      </c>
      <c r="DZ390" s="348">
        <f t="shared" ca="1" si="444"/>
        <v>1092</v>
      </c>
      <c r="EA390" s="348">
        <f t="shared" ca="1" si="444"/>
        <v>1093</v>
      </c>
      <c r="EB390" s="348">
        <f t="shared" ca="1" si="444"/>
        <v>1094</v>
      </c>
      <c r="EC390" s="348">
        <f t="shared" ca="1" si="444"/>
        <v>1095</v>
      </c>
      <c r="ED390" s="348">
        <f t="shared" ca="1" si="444"/>
        <v>1096</v>
      </c>
      <c r="EE390" s="348">
        <f t="shared" ca="1" si="444"/>
        <v>1097</v>
      </c>
      <c r="EF390" s="348">
        <f t="shared" ref="EF390:GQ390" ca="1" si="445">EF373+EF392</f>
        <v>1098</v>
      </c>
      <c r="EG390" s="348">
        <f t="shared" ca="1" si="445"/>
        <v>1099</v>
      </c>
      <c r="EH390" s="348">
        <f t="shared" ca="1" si="445"/>
        <v>1100</v>
      </c>
      <c r="EI390" s="348">
        <f t="shared" ca="1" si="445"/>
        <v>1101</v>
      </c>
      <c r="EJ390" s="348">
        <f t="shared" ca="1" si="445"/>
        <v>1102</v>
      </c>
      <c r="EK390" s="348">
        <f t="shared" ca="1" si="445"/>
        <v>104</v>
      </c>
      <c r="EL390" s="348">
        <f t="shared" ca="1" si="445"/>
        <v>105</v>
      </c>
      <c r="EM390" s="348">
        <f t="shared" ca="1" si="445"/>
        <v>106</v>
      </c>
      <c r="EN390" s="348">
        <f t="shared" ca="1" si="445"/>
        <v>107</v>
      </c>
      <c r="EO390" s="348">
        <f t="shared" ca="1" si="445"/>
        <v>108</v>
      </c>
      <c r="EP390" s="348">
        <f t="shared" ca="1" si="445"/>
        <v>109</v>
      </c>
      <c r="EQ390" s="348">
        <f t="shared" ca="1" si="445"/>
        <v>110</v>
      </c>
      <c r="ER390" s="348">
        <f t="shared" ca="1" si="445"/>
        <v>111</v>
      </c>
      <c r="ES390" s="348">
        <f t="shared" ca="1" si="445"/>
        <v>112</v>
      </c>
      <c r="ET390" s="348">
        <f t="shared" ca="1" si="445"/>
        <v>113</v>
      </c>
      <c r="EU390" s="348">
        <f t="shared" ca="1" si="445"/>
        <v>114</v>
      </c>
      <c r="EV390" s="348">
        <f t="shared" ca="1" si="445"/>
        <v>115</v>
      </c>
      <c r="EW390" s="348">
        <f t="shared" ca="1" si="445"/>
        <v>116</v>
      </c>
      <c r="EX390" s="348">
        <f t="shared" ca="1" si="445"/>
        <v>117</v>
      </c>
      <c r="EY390" s="348">
        <f t="shared" ca="1" si="445"/>
        <v>118</v>
      </c>
      <c r="EZ390" s="348">
        <f t="shared" ca="1" si="445"/>
        <v>119</v>
      </c>
      <c r="FA390" s="348">
        <f t="shared" ca="1" si="445"/>
        <v>120</v>
      </c>
      <c r="FB390" s="348">
        <f t="shared" ca="1" si="445"/>
        <v>121</v>
      </c>
      <c r="FC390" s="348">
        <f t="shared" ca="1" si="445"/>
        <v>122</v>
      </c>
      <c r="FD390" s="348">
        <f t="shared" ca="1" si="445"/>
        <v>123</v>
      </c>
      <c r="FE390" s="348">
        <f t="shared" ca="1" si="445"/>
        <v>124</v>
      </c>
      <c r="FF390" s="348">
        <f t="shared" ca="1" si="445"/>
        <v>125</v>
      </c>
      <c r="FG390" s="348">
        <f t="shared" ca="1" si="445"/>
        <v>126</v>
      </c>
      <c r="FH390" s="348">
        <f t="shared" ca="1" si="445"/>
        <v>127</v>
      </c>
      <c r="FI390" s="348">
        <f t="shared" ca="1" si="445"/>
        <v>128</v>
      </c>
      <c r="FJ390" s="348">
        <f t="shared" ca="1" si="445"/>
        <v>129</v>
      </c>
      <c r="FK390" s="348">
        <f t="shared" ca="1" si="445"/>
        <v>130</v>
      </c>
      <c r="FL390" s="348">
        <f t="shared" ca="1" si="445"/>
        <v>131</v>
      </c>
      <c r="FM390" s="348">
        <f t="shared" ca="1" si="445"/>
        <v>132</v>
      </c>
      <c r="FN390" s="348">
        <f t="shared" ca="1" si="445"/>
        <v>133</v>
      </c>
      <c r="FO390" s="348">
        <f t="shared" ca="1" si="445"/>
        <v>134</v>
      </c>
      <c r="FP390" s="348">
        <f t="shared" ca="1" si="445"/>
        <v>135</v>
      </c>
      <c r="FQ390" s="348">
        <f t="shared" ca="1" si="445"/>
        <v>136</v>
      </c>
      <c r="FR390" s="348">
        <f t="shared" ca="1" si="445"/>
        <v>137</v>
      </c>
      <c r="FS390" s="348">
        <f t="shared" ca="1" si="445"/>
        <v>138</v>
      </c>
      <c r="FT390" s="348">
        <f t="shared" ca="1" si="445"/>
        <v>139</v>
      </c>
      <c r="FU390" s="348">
        <f t="shared" ca="1" si="445"/>
        <v>140</v>
      </c>
      <c r="FV390" s="348">
        <f t="shared" ca="1" si="445"/>
        <v>141</v>
      </c>
      <c r="FW390" s="348">
        <f t="shared" ca="1" si="445"/>
        <v>142</v>
      </c>
      <c r="FX390" s="348">
        <f t="shared" ca="1" si="445"/>
        <v>143</v>
      </c>
      <c r="FY390" s="348">
        <f t="shared" ca="1" si="445"/>
        <v>144</v>
      </c>
      <c r="FZ390" s="348">
        <f t="shared" ca="1" si="445"/>
        <v>145</v>
      </c>
      <c r="GA390" s="348">
        <f t="shared" ca="1" si="445"/>
        <v>146</v>
      </c>
      <c r="GB390" s="348">
        <f t="shared" ca="1" si="445"/>
        <v>147</v>
      </c>
      <c r="GC390" s="348">
        <f t="shared" ca="1" si="445"/>
        <v>148</v>
      </c>
      <c r="GD390" s="348">
        <f t="shared" ca="1" si="445"/>
        <v>149</v>
      </c>
      <c r="GE390" s="348">
        <f t="shared" ca="1" si="445"/>
        <v>150</v>
      </c>
      <c r="GF390" s="348">
        <f t="shared" ca="1" si="445"/>
        <v>151</v>
      </c>
      <c r="GG390" s="348">
        <f t="shared" ca="1" si="445"/>
        <v>152</v>
      </c>
      <c r="GH390" s="348">
        <f t="shared" ca="1" si="445"/>
        <v>153</v>
      </c>
      <c r="GI390" s="348">
        <f t="shared" ca="1" si="445"/>
        <v>154</v>
      </c>
      <c r="GJ390" s="348">
        <f t="shared" ca="1" si="445"/>
        <v>155</v>
      </c>
      <c r="GK390" s="348">
        <f t="shared" ca="1" si="445"/>
        <v>156</v>
      </c>
      <c r="GL390" s="348">
        <f t="shared" ca="1" si="445"/>
        <v>157</v>
      </c>
      <c r="GM390" s="348">
        <f t="shared" ca="1" si="445"/>
        <v>158</v>
      </c>
      <c r="GN390" s="348">
        <f t="shared" ca="1" si="445"/>
        <v>159</v>
      </c>
      <c r="GO390" s="348">
        <f t="shared" ca="1" si="445"/>
        <v>160</v>
      </c>
      <c r="GP390" s="348">
        <f t="shared" ca="1" si="445"/>
        <v>161</v>
      </c>
      <c r="GQ390" s="348">
        <f t="shared" ca="1" si="445"/>
        <v>162</v>
      </c>
      <c r="GR390" s="348">
        <f t="shared" ref="GR390:IK390" ca="1" si="446">GR373+GR392</f>
        <v>163</v>
      </c>
      <c r="GS390" s="348">
        <f t="shared" ca="1" si="446"/>
        <v>164</v>
      </c>
      <c r="GT390" s="348">
        <f t="shared" ca="1" si="446"/>
        <v>165</v>
      </c>
      <c r="GU390" s="348">
        <f t="shared" ca="1" si="446"/>
        <v>166</v>
      </c>
      <c r="GV390" s="348">
        <f t="shared" ca="1" si="446"/>
        <v>167</v>
      </c>
      <c r="GW390" s="348">
        <f t="shared" ca="1" si="446"/>
        <v>168</v>
      </c>
      <c r="GX390" s="348">
        <f t="shared" ca="1" si="446"/>
        <v>169</v>
      </c>
      <c r="GY390" s="348">
        <f t="shared" ca="1" si="446"/>
        <v>170</v>
      </c>
      <c r="GZ390" s="348">
        <f t="shared" ca="1" si="446"/>
        <v>171</v>
      </c>
      <c r="HA390" s="348">
        <f t="shared" ca="1" si="446"/>
        <v>172</v>
      </c>
      <c r="HB390" s="348">
        <f t="shared" ca="1" si="446"/>
        <v>173</v>
      </c>
      <c r="HC390" s="348">
        <f t="shared" ca="1" si="446"/>
        <v>174</v>
      </c>
      <c r="HD390" s="348">
        <f t="shared" ca="1" si="446"/>
        <v>175</v>
      </c>
      <c r="HE390" s="348">
        <f t="shared" ca="1" si="446"/>
        <v>176</v>
      </c>
      <c r="HF390" s="348">
        <f t="shared" ca="1" si="446"/>
        <v>177</v>
      </c>
      <c r="HG390" s="348">
        <f t="shared" ca="1" si="446"/>
        <v>178</v>
      </c>
      <c r="HH390" s="348">
        <f t="shared" ca="1" si="446"/>
        <v>179</v>
      </c>
      <c r="HI390" s="348">
        <f t="shared" ca="1" si="446"/>
        <v>180</v>
      </c>
      <c r="HJ390" s="348">
        <f t="shared" ca="1" si="446"/>
        <v>181</v>
      </c>
      <c r="HK390" s="348">
        <f t="shared" ca="1" si="446"/>
        <v>182</v>
      </c>
      <c r="HL390" s="348">
        <f t="shared" ca="1" si="446"/>
        <v>183</v>
      </c>
      <c r="HM390" s="348">
        <f t="shared" ca="1" si="446"/>
        <v>184</v>
      </c>
      <c r="HN390" s="348">
        <f t="shared" ca="1" si="446"/>
        <v>185</v>
      </c>
      <c r="HO390" s="348">
        <f t="shared" ca="1" si="446"/>
        <v>186</v>
      </c>
      <c r="HP390" s="348">
        <f t="shared" ca="1" si="446"/>
        <v>187</v>
      </c>
      <c r="HQ390" s="348">
        <f t="shared" ca="1" si="446"/>
        <v>188</v>
      </c>
      <c r="HR390" s="348">
        <f t="shared" ca="1" si="446"/>
        <v>189</v>
      </c>
      <c r="HS390" s="348">
        <f t="shared" ca="1" si="446"/>
        <v>190</v>
      </c>
      <c r="HT390" s="348">
        <f t="shared" ca="1" si="446"/>
        <v>191</v>
      </c>
      <c r="HU390" s="348">
        <f t="shared" ca="1" si="446"/>
        <v>192</v>
      </c>
      <c r="HV390" s="348">
        <f t="shared" ca="1" si="446"/>
        <v>193</v>
      </c>
      <c r="HW390" s="348">
        <f t="shared" ca="1" si="446"/>
        <v>194</v>
      </c>
      <c r="HX390" s="348">
        <f t="shared" ca="1" si="446"/>
        <v>195</v>
      </c>
      <c r="HY390" s="348">
        <f t="shared" ca="1" si="446"/>
        <v>196</v>
      </c>
      <c r="HZ390" s="348">
        <f t="shared" ca="1" si="446"/>
        <v>197</v>
      </c>
      <c r="IA390" s="348">
        <f t="shared" ca="1" si="446"/>
        <v>198</v>
      </c>
      <c r="IB390" s="348">
        <f t="shared" ca="1" si="446"/>
        <v>199</v>
      </c>
      <c r="IC390" s="348">
        <f t="shared" ca="1" si="446"/>
        <v>200</v>
      </c>
      <c r="ID390" s="348">
        <f t="shared" ca="1" si="446"/>
        <v>201</v>
      </c>
      <c r="IE390" s="348">
        <f t="shared" ca="1" si="446"/>
        <v>202</v>
      </c>
      <c r="IF390" s="348">
        <f t="shared" ca="1" si="446"/>
        <v>203</v>
      </c>
      <c r="IG390" s="348">
        <f t="shared" ca="1" si="446"/>
        <v>204</v>
      </c>
      <c r="IH390" s="348">
        <f t="shared" ca="1" si="446"/>
        <v>205</v>
      </c>
      <c r="II390" s="348">
        <f t="shared" ca="1" si="446"/>
        <v>206</v>
      </c>
      <c r="IJ390" s="348">
        <f t="shared" ca="1" si="446"/>
        <v>207</v>
      </c>
      <c r="IK390" s="348">
        <f t="shared" ca="1" si="446"/>
        <v>208</v>
      </c>
    </row>
    <row r="391" spans="1:245" hidden="1" x14ac:dyDescent="0.35">
      <c r="H391" s="348">
        <f ca="1">LARGE($H$390:$IK$390,1)</f>
        <v>1102</v>
      </c>
      <c r="I391" s="348">
        <f t="shared" ref="I391:BT391" ca="1" si="447">LARGE($H$390:$IK$390,1)</f>
        <v>1102</v>
      </c>
      <c r="J391" s="348">
        <f t="shared" ca="1" si="447"/>
        <v>1102</v>
      </c>
      <c r="K391" s="348">
        <f t="shared" ca="1" si="447"/>
        <v>1102</v>
      </c>
      <c r="L391" s="348">
        <f t="shared" ca="1" si="447"/>
        <v>1102</v>
      </c>
      <c r="M391" s="348">
        <f t="shared" ca="1" si="447"/>
        <v>1102</v>
      </c>
      <c r="N391" s="348">
        <f t="shared" ca="1" si="447"/>
        <v>1102</v>
      </c>
      <c r="O391" s="348">
        <f t="shared" ca="1" si="447"/>
        <v>1102</v>
      </c>
      <c r="P391" s="348">
        <f t="shared" ca="1" si="447"/>
        <v>1102</v>
      </c>
      <c r="Q391" s="348">
        <f t="shared" ca="1" si="447"/>
        <v>1102</v>
      </c>
      <c r="R391" s="348">
        <f t="shared" ca="1" si="447"/>
        <v>1102</v>
      </c>
      <c r="S391" s="348">
        <f t="shared" ca="1" si="447"/>
        <v>1102</v>
      </c>
      <c r="T391" s="348">
        <f t="shared" ca="1" si="447"/>
        <v>1102</v>
      </c>
      <c r="U391" s="348">
        <f t="shared" ca="1" si="447"/>
        <v>1102</v>
      </c>
      <c r="V391" s="348">
        <f t="shared" ca="1" si="447"/>
        <v>1102</v>
      </c>
      <c r="W391" s="348">
        <f t="shared" ca="1" si="447"/>
        <v>1102</v>
      </c>
      <c r="X391" s="348">
        <f ca="1">LARGE($H$390:$IK$390,1)</f>
        <v>1102</v>
      </c>
      <c r="Y391" s="348">
        <f t="shared" ca="1" si="447"/>
        <v>1102</v>
      </c>
      <c r="Z391" s="348">
        <f t="shared" ca="1" si="447"/>
        <v>1102</v>
      </c>
      <c r="AA391" s="348">
        <f t="shared" ca="1" si="447"/>
        <v>1102</v>
      </c>
      <c r="AB391" s="348">
        <f t="shared" ca="1" si="447"/>
        <v>1102</v>
      </c>
      <c r="AC391" s="348">
        <f t="shared" ca="1" si="447"/>
        <v>1102</v>
      </c>
      <c r="AD391" s="348">
        <f t="shared" ca="1" si="447"/>
        <v>1102</v>
      </c>
      <c r="AE391" s="348">
        <f t="shared" ca="1" si="447"/>
        <v>1102</v>
      </c>
      <c r="AF391" s="348">
        <f t="shared" ca="1" si="447"/>
        <v>1102</v>
      </c>
      <c r="AG391" s="348">
        <f t="shared" ca="1" si="447"/>
        <v>1102</v>
      </c>
      <c r="AH391" s="348">
        <f t="shared" ca="1" si="447"/>
        <v>1102</v>
      </c>
      <c r="AI391" s="348">
        <f t="shared" ca="1" si="447"/>
        <v>1102</v>
      </c>
      <c r="AJ391" s="348">
        <f t="shared" ca="1" si="447"/>
        <v>1102</v>
      </c>
      <c r="AK391" s="348">
        <f t="shared" ca="1" si="447"/>
        <v>1102</v>
      </c>
      <c r="AL391" s="348">
        <f t="shared" ca="1" si="447"/>
        <v>1102</v>
      </c>
      <c r="AM391" s="348">
        <f t="shared" ca="1" si="447"/>
        <v>1102</v>
      </c>
      <c r="AN391" s="348">
        <f t="shared" ca="1" si="447"/>
        <v>1102</v>
      </c>
      <c r="AO391" s="348">
        <f t="shared" ca="1" si="447"/>
        <v>1102</v>
      </c>
      <c r="AP391" s="348">
        <f t="shared" ca="1" si="447"/>
        <v>1102</v>
      </c>
      <c r="AQ391" s="348">
        <f t="shared" ca="1" si="447"/>
        <v>1102</v>
      </c>
      <c r="AR391" s="348">
        <f t="shared" ca="1" si="447"/>
        <v>1102</v>
      </c>
      <c r="AS391" s="348">
        <f t="shared" ca="1" si="447"/>
        <v>1102</v>
      </c>
      <c r="AT391" s="348">
        <f t="shared" ca="1" si="447"/>
        <v>1102</v>
      </c>
      <c r="AU391" s="348">
        <f t="shared" ca="1" si="447"/>
        <v>1102</v>
      </c>
      <c r="AV391" s="348">
        <f t="shared" ca="1" si="447"/>
        <v>1102</v>
      </c>
      <c r="AW391" s="348">
        <f t="shared" ca="1" si="447"/>
        <v>1102</v>
      </c>
      <c r="AX391" s="348">
        <f t="shared" ca="1" si="447"/>
        <v>1102</v>
      </c>
      <c r="AY391" s="348">
        <f t="shared" ca="1" si="447"/>
        <v>1102</v>
      </c>
      <c r="AZ391" s="348">
        <f t="shared" ca="1" si="447"/>
        <v>1102</v>
      </c>
      <c r="BA391" s="348">
        <f t="shared" ca="1" si="447"/>
        <v>1102</v>
      </c>
      <c r="BB391" s="348">
        <f t="shared" ca="1" si="447"/>
        <v>1102</v>
      </c>
      <c r="BC391" s="348">
        <f t="shared" ca="1" si="447"/>
        <v>1102</v>
      </c>
      <c r="BD391" s="348">
        <f t="shared" ca="1" si="447"/>
        <v>1102</v>
      </c>
      <c r="BE391" s="348">
        <f t="shared" ca="1" si="447"/>
        <v>1102</v>
      </c>
      <c r="BF391" s="348">
        <f t="shared" ca="1" si="447"/>
        <v>1102</v>
      </c>
      <c r="BG391" s="348">
        <f t="shared" ca="1" si="447"/>
        <v>1102</v>
      </c>
      <c r="BH391" s="348">
        <f t="shared" ca="1" si="447"/>
        <v>1102</v>
      </c>
      <c r="BI391" s="348">
        <f t="shared" ca="1" si="447"/>
        <v>1102</v>
      </c>
      <c r="BJ391" s="348">
        <f t="shared" ca="1" si="447"/>
        <v>1102</v>
      </c>
      <c r="BK391" s="348">
        <f t="shared" ca="1" si="447"/>
        <v>1102</v>
      </c>
      <c r="BL391" s="348">
        <f t="shared" ca="1" si="447"/>
        <v>1102</v>
      </c>
      <c r="BM391" s="348">
        <f t="shared" ca="1" si="447"/>
        <v>1102</v>
      </c>
      <c r="BN391" s="348">
        <f t="shared" ca="1" si="447"/>
        <v>1102</v>
      </c>
      <c r="BO391" s="348">
        <f t="shared" ca="1" si="447"/>
        <v>1102</v>
      </c>
      <c r="BP391" s="348">
        <f t="shared" ca="1" si="447"/>
        <v>1102</v>
      </c>
      <c r="BQ391" s="348">
        <f t="shared" ca="1" si="447"/>
        <v>1102</v>
      </c>
      <c r="BR391" s="348">
        <f t="shared" ca="1" si="447"/>
        <v>1102</v>
      </c>
      <c r="BS391" s="348">
        <f t="shared" ca="1" si="447"/>
        <v>1102</v>
      </c>
      <c r="BT391" s="348">
        <f t="shared" ca="1" si="447"/>
        <v>1102</v>
      </c>
      <c r="BU391" s="348">
        <f t="shared" ref="BU391:EF391" ca="1" si="448">LARGE($H$390:$IK$390,1)</f>
        <v>1102</v>
      </c>
      <c r="BV391" s="348">
        <f t="shared" ca="1" si="448"/>
        <v>1102</v>
      </c>
      <c r="BW391" s="348">
        <f t="shared" ca="1" si="448"/>
        <v>1102</v>
      </c>
      <c r="BX391" s="348">
        <f t="shared" ca="1" si="448"/>
        <v>1102</v>
      </c>
      <c r="BY391" s="348">
        <f t="shared" ca="1" si="448"/>
        <v>1102</v>
      </c>
      <c r="BZ391" s="348">
        <f t="shared" ca="1" si="448"/>
        <v>1102</v>
      </c>
      <c r="CA391" s="348">
        <f t="shared" ca="1" si="448"/>
        <v>1102</v>
      </c>
      <c r="CB391" s="348">
        <f t="shared" ca="1" si="448"/>
        <v>1102</v>
      </c>
      <c r="CC391" s="348">
        <f t="shared" ca="1" si="448"/>
        <v>1102</v>
      </c>
      <c r="CD391" s="348">
        <f t="shared" ca="1" si="448"/>
        <v>1102</v>
      </c>
      <c r="CE391" s="348">
        <f t="shared" ca="1" si="448"/>
        <v>1102</v>
      </c>
      <c r="CF391" s="348">
        <f t="shared" ca="1" si="448"/>
        <v>1102</v>
      </c>
      <c r="CG391" s="348">
        <f t="shared" ca="1" si="448"/>
        <v>1102</v>
      </c>
      <c r="CH391" s="348">
        <f t="shared" ca="1" si="448"/>
        <v>1102</v>
      </c>
      <c r="CI391" s="348">
        <f t="shared" ca="1" si="448"/>
        <v>1102</v>
      </c>
      <c r="CJ391" s="348">
        <f t="shared" ca="1" si="448"/>
        <v>1102</v>
      </c>
      <c r="CK391" s="348">
        <f t="shared" ca="1" si="448"/>
        <v>1102</v>
      </c>
      <c r="CL391" s="348">
        <f t="shared" ca="1" si="448"/>
        <v>1102</v>
      </c>
      <c r="CM391" s="348">
        <f t="shared" ca="1" si="448"/>
        <v>1102</v>
      </c>
      <c r="CN391" s="348">
        <f t="shared" ca="1" si="448"/>
        <v>1102</v>
      </c>
      <c r="CO391" s="348">
        <f t="shared" ca="1" si="448"/>
        <v>1102</v>
      </c>
      <c r="CP391" s="348">
        <f t="shared" ca="1" si="448"/>
        <v>1102</v>
      </c>
      <c r="CQ391" s="348">
        <f t="shared" ca="1" si="448"/>
        <v>1102</v>
      </c>
      <c r="CR391" s="348">
        <f t="shared" ca="1" si="448"/>
        <v>1102</v>
      </c>
      <c r="CS391" s="348">
        <f t="shared" ca="1" si="448"/>
        <v>1102</v>
      </c>
      <c r="CT391" s="348">
        <f t="shared" ca="1" si="448"/>
        <v>1102</v>
      </c>
      <c r="CU391" s="348">
        <f t="shared" ca="1" si="448"/>
        <v>1102</v>
      </c>
      <c r="CV391" s="348">
        <f t="shared" ca="1" si="448"/>
        <v>1102</v>
      </c>
      <c r="CW391" s="348">
        <f t="shared" ca="1" si="448"/>
        <v>1102</v>
      </c>
      <c r="CX391" s="348">
        <f t="shared" ca="1" si="448"/>
        <v>1102</v>
      </c>
      <c r="CY391" s="348">
        <f t="shared" ca="1" si="448"/>
        <v>1102</v>
      </c>
      <c r="CZ391" s="348">
        <f t="shared" ca="1" si="448"/>
        <v>1102</v>
      </c>
      <c r="DA391" s="348">
        <f t="shared" ca="1" si="448"/>
        <v>1102</v>
      </c>
      <c r="DB391" s="348">
        <f t="shared" ca="1" si="448"/>
        <v>1102</v>
      </c>
      <c r="DC391" s="348">
        <f t="shared" ca="1" si="448"/>
        <v>1102</v>
      </c>
      <c r="DD391" s="348">
        <f t="shared" ca="1" si="448"/>
        <v>1102</v>
      </c>
      <c r="DE391" s="348">
        <f t="shared" ca="1" si="448"/>
        <v>1102</v>
      </c>
      <c r="DF391" s="348">
        <f t="shared" ca="1" si="448"/>
        <v>1102</v>
      </c>
      <c r="DG391" s="348">
        <f t="shared" ca="1" si="448"/>
        <v>1102</v>
      </c>
      <c r="DH391" s="348">
        <f t="shared" ca="1" si="448"/>
        <v>1102</v>
      </c>
      <c r="DI391" s="348">
        <f t="shared" ca="1" si="448"/>
        <v>1102</v>
      </c>
      <c r="DJ391" s="348">
        <f t="shared" ca="1" si="448"/>
        <v>1102</v>
      </c>
      <c r="DK391" s="348">
        <f t="shared" ca="1" si="448"/>
        <v>1102</v>
      </c>
      <c r="DL391" s="348">
        <f t="shared" ca="1" si="448"/>
        <v>1102</v>
      </c>
      <c r="DM391" s="348">
        <f t="shared" ca="1" si="448"/>
        <v>1102</v>
      </c>
      <c r="DN391" s="348">
        <f t="shared" ca="1" si="448"/>
        <v>1102</v>
      </c>
      <c r="DO391" s="348">
        <f t="shared" ca="1" si="448"/>
        <v>1102</v>
      </c>
      <c r="DP391" s="348">
        <f t="shared" ca="1" si="448"/>
        <v>1102</v>
      </c>
      <c r="DQ391" s="348">
        <f t="shared" ca="1" si="448"/>
        <v>1102</v>
      </c>
      <c r="DR391" s="348">
        <f t="shared" ca="1" si="448"/>
        <v>1102</v>
      </c>
      <c r="DS391" s="348">
        <f t="shared" ca="1" si="448"/>
        <v>1102</v>
      </c>
      <c r="DT391" s="348">
        <f t="shared" ca="1" si="448"/>
        <v>1102</v>
      </c>
      <c r="DU391" s="348">
        <f t="shared" ca="1" si="448"/>
        <v>1102</v>
      </c>
      <c r="DV391" s="348">
        <f t="shared" ca="1" si="448"/>
        <v>1102</v>
      </c>
      <c r="DW391" s="348">
        <f t="shared" ca="1" si="448"/>
        <v>1102</v>
      </c>
      <c r="DX391" s="348">
        <f t="shared" ca="1" si="448"/>
        <v>1102</v>
      </c>
      <c r="DY391" s="348">
        <f t="shared" ca="1" si="448"/>
        <v>1102</v>
      </c>
      <c r="DZ391" s="348">
        <f t="shared" ca="1" si="448"/>
        <v>1102</v>
      </c>
      <c r="EA391" s="348">
        <f t="shared" ca="1" si="448"/>
        <v>1102</v>
      </c>
      <c r="EB391" s="348">
        <f t="shared" ca="1" si="448"/>
        <v>1102</v>
      </c>
      <c r="EC391" s="348">
        <f t="shared" ca="1" si="448"/>
        <v>1102</v>
      </c>
      <c r="ED391" s="348">
        <f t="shared" ca="1" si="448"/>
        <v>1102</v>
      </c>
      <c r="EE391" s="348">
        <f t="shared" ca="1" si="448"/>
        <v>1102</v>
      </c>
      <c r="EF391" s="348">
        <f t="shared" ca="1" si="448"/>
        <v>1102</v>
      </c>
      <c r="EG391" s="348">
        <f t="shared" ref="EG391:GR391" ca="1" si="449">LARGE($H$390:$IK$390,1)</f>
        <v>1102</v>
      </c>
      <c r="EH391" s="348">
        <f t="shared" ca="1" si="449"/>
        <v>1102</v>
      </c>
      <c r="EI391" s="348">
        <f t="shared" ca="1" si="449"/>
        <v>1102</v>
      </c>
      <c r="EJ391" s="348">
        <f t="shared" ca="1" si="449"/>
        <v>1102</v>
      </c>
      <c r="EK391" s="348">
        <f t="shared" ca="1" si="449"/>
        <v>1102</v>
      </c>
      <c r="EL391" s="348">
        <f t="shared" ca="1" si="449"/>
        <v>1102</v>
      </c>
      <c r="EM391" s="348">
        <f t="shared" ca="1" si="449"/>
        <v>1102</v>
      </c>
      <c r="EN391" s="348">
        <f t="shared" ca="1" si="449"/>
        <v>1102</v>
      </c>
      <c r="EO391" s="348">
        <f t="shared" ca="1" si="449"/>
        <v>1102</v>
      </c>
      <c r="EP391" s="348">
        <f t="shared" ca="1" si="449"/>
        <v>1102</v>
      </c>
      <c r="EQ391" s="348">
        <f t="shared" ca="1" si="449"/>
        <v>1102</v>
      </c>
      <c r="ER391" s="348">
        <f t="shared" ca="1" si="449"/>
        <v>1102</v>
      </c>
      <c r="ES391" s="348">
        <f t="shared" ca="1" si="449"/>
        <v>1102</v>
      </c>
      <c r="ET391" s="348">
        <f t="shared" ca="1" si="449"/>
        <v>1102</v>
      </c>
      <c r="EU391" s="348">
        <f t="shared" ca="1" si="449"/>
        <v>1102</v>
      </c>
      <c r="EV391" s="348">
        <f t="shared" ca="1" si="449"/>
        <v>1102</v>
      </c>
      <c r="EW391" s="348">
        <f t="shared" ca="1" si="449"/>
        <v>1102</v>
      </c>
      <c r="EX391" s="348">
        <f t="shared" ca="1" si="449"/>
        <v>1102</v>
      </c>
      <c r="EY391" s="348">
        <f t="shared" ca="1" si="449"/>
        <v>1102</v>
      </c>
      <c r="EZ391" s="348">
        <f t="shared" ca="1" si="449"/>
        <v>1102</v>
      </c>
      <c r="FA391" s="348">
        <f t="shared" ca="1" si="449"/>
        <v>1102</v>
      </c>
      <c r="FB391" s="348">
        <f t="shared" ca="1" si="449"/>
        <v>1102</v>
      </c>
      <c r="FC391" s="348">
        <f t="shared" ca="1" si="449"/>
        <v>1102</v>
      </c>
      <c r="FD391" s="348">
        <f t="shared" ca="1" si="449"/>
        <v>1102</v>
      </c>
      <c r="FE391" s="348">
        <f t="shared" ca="1" si="449"/>
        <v>1102</v>
      </c>
      <c r="FF391" s="348">
        <f t="shared" ca="1" si="449"/>
        <v>1102</v>
      </c>
      <c r="FG391" s="348">
        <f t="shared" ca="1" si="449"/>
        <v>1102</v>
      </c>
      <c r="FH391" s="348">
        <f t="shared" ca="1" si="449"/>
        <v>1102</v>
      </c>
      <c r="FI391" s="348">
        <f t="shared" ca="1" si="449"/>
        <v>1102</v>
      </c>
      <c r="FJ391" s="348">
        <f t="shared" ca="1" si="449"/>
        <v>1102</v>
      </c>
      <c r="FK391" s="348">
        <f t="shared" ca="1" si="449"/>
        <v>1102</v>
      </c>
      <c r="FL391" s="348">
        <f t="shared" ca="1" si="449"/>
        <v>1102</v>
      </c>
      <c r="FM391" s="348">
        <f t="shared" ca="1" si="449"/>
        <v>1102</v>
      </c>
      <c r="FN391" s="348">
        <f t="shared" ca="1" si="449"/>
        <v>1102</v>
      </c>
      <c r="FO391" s="348">
        <f t="shared" ca="1" si="449"/>
        <v>1102</v>
      </c>
      <c r="FP391" s="348">
        <f t="shared" ca="1" si="449"/>
        <v>1102</v>
      </c>
      <c r="FQ391" s="348">
        <f t="shared" ca="1" si="449"/>
        <v>1102</v>
      </c>
      <c r="FR391" s="348">
        <f t="shared" ca="1" si="449"/>
        <v>1102</v>
      </c>
      <c r="FS391" s="348">
        <f t="shared" ca="1" si="449"/>
        <v>1102</v>
      </c>
      <c r="FT391" s="348">
        <f t="shared" ca="1" si="449"/>
        <v>1102</v>
      </c>
      <c r="FU391" s="348">
        <f t="shared" ca="1" si="449"/>
        <v>1102</v>
      </c>
      <c r="FV391" s="348">
        <f t="shared" ca="1" si="449"/>
        <v>1102</v>
      </c>
      <c r="FW391" s="348">
        <f t="shared" ca="1" si="449"/>
        <v>1102</v>
      </c>
      <c r="FX391" s="348">
        <f t="shared" ca="1" si="449"/>
        <v>1102</v>
      </c>
      <c r="FY391" s="348">
        <f t="shared" ca="1" si="449"/>
        <v>1102</v>
      </c>
      <c r="FZ391" s="348">
        <f t="shared" ca="1" si="449"/>
        <v>1102</v>
      </c>
      <c r="GA391" s="348">
        <f t="shared" ca="1" si="449"/>
        <v>1102</v>
      </c>
      <c r="GB391" s="348">
        <f t="shared" ca="1" si="449"/>
        <v>1102</v>
      </c>
      <c r="GC391" s="348">
        <f t="shared" ca="1" si="449"/>
        <v>1102</v>
      </c>
      <c r="GD391" s="348">
        <f t="shared" ca="1" si="449"/>
        <v>1102</v>
      </c>
      <c r="GE391" s="348">
        <f t="shared" ca="1" si="449"/>
        <v>1102</v>
      </c>
      <c r="GF391" s="348">
        <f t="shared" ca="1" si="449"/>
        <v>1102</v>
      </c>
      <c r="GG391" s="348">
        <f t="shared" ca="1" si="449"/>
        <v>1102</v>
      </c>
      <c r="GH391" s="348">
        <f t="shared" ca="1" si="449"/>
        <v>1102</v>
      </c>
      <c r="GI391" s="348">
        <f t="shared" ca="1" si="449"/>
        <v>1102</v>
      </c>
      <c r="GJ391" s="348">
        <f t="shared" ca="1" si="449"/>
        <v>1102</v>
      </c>
      <c r="GK391" s="348">
        <f t="shared" ca="1" si="449"/>
        <v>1102</v>
      </c>
      <c r="GL391" s="348">
        <f t="shared" ca="1" si="449"/>
        <v>1102</v>
      </c>
      <c r="GM391" s="348">
        <f t="shared" ca="1" si="449"/>
        <v>1102</v>
      </c>
      <c r="GN391" s="348">
        <f t="shared" ca="1" si="449"/>
        <v>1102</v>
      </c>
      <c r="GO391" s="348">
        <f t="shared" ca="1" si="449"/>
        <v>1102</v>
      </c>
      <c r="GP391" s="348">
        <f t="shared" ca="1" si="449"/>
        <v>1102</v>
      </c>
      <c r="GQ391" s="348">
        <f t="shared" ca="1" si="449"/>
        <v>1102</v>
      </c>
      <c r="GR391" s="348">
        <f t="shared" ca="1" si="449"/>
        <v>1102</v>
      </c>
      <c r="GS391" s="348">
        <f t="shared" ref="GS391:IK391" ca="1" si="450">LARGE($H$390:$IK$390,1)</f>
        <v>1102</v>
      </c>
      <c r="GT391" s="348">
        <f t="shared" ca="1" si="450"/>
        <v>1102</v>
      </c>
      <c r="GU391" s="348">
        <f t="shared" ca="1" si="450"/>
        <v>1102</v>
      </c>
      <c r="GV391" s="348">
        <f t="shared" ca="1" si="450"/>
        <v>1102</v>
      </c>
      <c r="GW391" s="348">
        <f t="shared" ca="1" si="450"/>
        <v>1102</v>
      </c>
      <c r="GX391" s="348">
        <f t="shared" ca="1" si="450"/>
        <v>1102</v>
      </c>
      <c r="GY391" s="348">
        <f t="shared" ca="1" si="450"/>
        <v>1102</v>
      </c>
      <c r="GZ391" s="348">
        <f t="shared" ca="1" si="450"/>
        <v>1102</v>
      </c>
      <c r="HA391" s="348">
        <f t="shared" ca="1" si="450"/>
        <v>1102</v>
      </c>
      <c r="HB391" s="348">
        <f t="shared" ca="1" si="450"/>
        <v>1102</v>
      </c>
      <c r="HC391" s="348">
        <f t="shared" ca="1" si="450"/>
        <v>1102</v>
      </c>
      <c r="HD391" s="348">
        <f t="shared" ca="1" si="450"/>
        <v>1102</v>
      </c>
      <c r="HE391" s="348">
        <f t="shared" ca="1" si="450"/>
        <v>1102</v>
      </c>
      <c r="HF391" s="348">
        <f t="shared" ca="1" si="450"/>
        <v>1102</v>
      </c>
      <c r="HG391" s="348">
        <f t="shared" ca="1" si="450"/>
        <v>1102</v>
      </c>
      <c r="HH391" s="348">
        <f t="shared" ca="1" si="450"/>
        <v>1102</v>
      </c>
      <c r="HI391" s="348">
        <f t="shared" ca="1" si="450"/>
        <v>1102</v>
      </c>
      <c r="HJ391" s="348">
        <f t="shared" ca="1" si="450"/>
        <v>1102</v>
      </c>
      <c r="HK391" s="348">
        <f t="shared" ca="1" si="450"/>
        <v>1102</v>
      </c>
      <c r="HL391" s="348">
        <f t="shared" ca="1" si="450"/>
        <v>1102</v>
      </c>
      <c r="HM391" s="348">
        <f t="shared" ca="1" si="450"/>
        <v>1102</v>
      </c>
      <c r="HN391" s="348">
        <f t="shared" ca="1" si="450"/>
        <v>1102</v>
      </c>
      <c r="HO391" s="348">
        <f t="shared" ca="1" si="450"/>
        <v>1102</v>
      </c>
      <c r="HP391" s="348">
        <f t="shared" ca="1" si="450"/>
        <v>1102</v>
      </c>
      <c r="HQ391" s="348">
        <f t="shared" ca="1" si="450"/>
        <v>1102</v>
      </c>
      <c r="HR391" s="348">
        <f t="shared" ca="1" si="450"/>
        <v>1102</v>
      </c>
      <c r="HS391" s="348">
        <f t="shared" ca="1" si="450"/>
        <v>1102</v>
      </c>
      <c r="HT391" s="348">
        <f t="shared" ca="1" si="450"/>
        <v>1102</v>
      </c>
      <c r="HU391" s="348">
        <f t="shared" ca="1" si="450"/>
        <v>1102</v>
      </c>
      <c r="HV391" s="348">
        <f t="shared" ca="1" si="450"/>
        <v>1102</v>
      </c>
      <c r="HW391" s="348">
        <f t="shared" ca="1" si="450"/>
        <v>1102</v>
      </c>
      <c r="HX391" s="348">
        <f t="shared" ca="1" si="450"/>
        <v>1102</v>
      </c>
      <c r="HY391" s="348">
        <f t="shared" ca="1" si="450"/>
        <v>1102</v>
      </c>
      <c r="HZ391" s="348">
        <f t="shared" ca="1" si="450"/>
        <v>1102</v>
      </c>
      <c r="IA391" s="348">
        <f t="shared" ca="1" si="450"/>
        <v>1102</v>
      </c>
      <c r="IB391" s="348">
        <f t="shared" ca="1" si="450"/>
        <v>1102</v>
      </c>
      <c r="IC391" s="348">
        <f t="shared" ca="1" si="450"/>
        <v>1102</v>
      </c>
      <c r="ID391" s="348">
        <f t="shared" ca="1" si="450"/>
        <v>1102</v>
      </c>
      <c r="IE391" s="348">
        <f t="shared" ca="1" si="450"/>
        <v>1102</v>
      </c>
      <c r="IF391" s="348">
        <f t="shared" ca="1" si="450"/>
        <v>1102</v>
      </c>
      <c r="IG391" s="348">
        <f t="shared" ca="1" si="450"/>
        <v>1102</v>
      </c>
      <c r="IH391" s="348">
        <f t="shared" ca="1" si="450"/>
        <v>1102</v>
      </c>
      <c r="II391" s="348">
        <f t="shared" ca="1" si="450"/>
        <v>1102</v>
      </c>
      <c r="IJ391" s="348">
        <f t="shared" ca="1" si="450"/>
        <v>1102</v>
      </c>
      <c r="IK391" s="348">
        <f t="shared" ca="1" si="450"/>
        <v>1102</v>
      </c>
    </row>
    <row r="392" spans="1:245" hidden="1" x14ac:dyDescent="0.35">
      <c r="C392" s="627" t="s">
        <v>1626</v>
      </c>
      <c r="H392" s="32">
        <f t="shared" ref="H392:BS392" ca="1" si="451">IF(G392&gt;=1,G392+1,IF(AND(G373=1,H373=1000),G392+1,0))</f>
        <v>0</v>
      </c>
      <c r="I392" s="32">
        <f t="shared" ca="1" si="451"/>
        <v>0</v>
      </c>
      <c r="J392" s="32">
        <f t="shared" ca="1" si="451"/>
        <v>0</v>
      </c>
      <c r="K392" s="32">
        <f t="shared" ca="1" si="451"/>
        <v>0</v>
      </c>
      <c r="L392" s="32">
        <f t="shared" ca="1" si="451"/>
        <v>0</v>
      </c>
      <c r="M392" s="32">
        <f t="shared" ca="1" si="451"/>
        <v>0</v>
      </c>
      <c r="N392" s="32">
        <f t="shared" ca="1" si="451"/>
        <v>0</v>
      </c>
      <c r="O392" s="32">
        <f t="shared" ca="1" si="451"/>
        <v>0</v>
      </c>
      <c r="P392" s="32">
        <f t="shared" ca="1" si="451"/>
        <v>0</v>
      </c>
      <c r="Q392" s="32">
        <f t="shared" ca="1" si="451"/>
        <v>0</v>
      </c>
      <c r="R392" s="32">
        <f t="shared" ca="1" si="451"/>
        <v>0</v>
      </c>
      <c r="S392" s="32">
        <f t="shared" ca="1" si="451"/>
        <v>0</v>
      </c>
      <c r="T392" s="32">
        <f t="shared" ca="1" si="451"/>
        <v>0</v>
      </c>
      <c r="U392" s="32">
        <f t="shared" ca="1" si="451"/>
        <v>0</v>
      </c>
      <c r="V392" s="32">
        <f t="shared" ca="1" si="451"/>
        <v>0</v>
      </c>
      <c r="W392" s="32">
        <f t="shared" ca="1" si="451"/>
        <v>0</v>
      </c>
      <c r="X392" s="32">
        <f t="shared" ca="1" si="451"/>
        <v>0</v>
      </c>
      <c r="Y392" s="32">
        <f t="shared" ca="1" si="451"/>
        <v>0</v>
      </c>
      <c r="Z392" s="32">
        <f t="shared" ca="1" si="451"/>
        <v>0</v>
      </c>
      <c r="AA392" s="32">
        <f t="shared" ca="1" si="451"/>
        <v>0</v>
      </c>
      <c r="AB392" s="32">
        <f t="shared" ca="1" si="451"/>
        <v>0</v>
      </c>
      <c r="AC392" s="32">
        <f t="shared" ca="1" si="451"/>
        <v>0</v>
      </c>
      <c r="AD392" s="32">
        <f t="shared" ca="1" si="451"/>
        <v>0</v>
      </c>
      <c r="AE392" s="32">
        <f t="shared" ca="1" si="451"/>
        <v>0</v>
      </c>
      <c r="AF392" s="32">
        <f t="shared" ca="1" si="451"/>
        <v>0</v>
      </c>
      <c r="AG392" s="32">
        <f t="shared" ca="1" si="451"/>
        <v>0</v>
      </c>
      <c r="AH392" s="32">
        <f t="shared" ca="1" si="451"/>
        <v>0</v>
      </c>
      <c r="AI392" s="32">
        <f t="shared" ca="1" si="451"/>
        <v>0</v>
      </c>
      <c r="AJ392" s="32">
        <f t="shared" ca="1" si="451"/>
        <v>0</v>
      </c>
      <c r="AK392" s="32">
        <f t="shared" ca="1" si="451"/>
        <v>0</v>
      </c>
      <c r="AL392" s="32">
        <f t="shared" ca="1" si="451"/>
        <v>0</v>
      </c>
      <c r="AM392" s="32">
        <f t="shared" ca="1" si="451"/>
        <v>1</v>
      </c>
      <c r="AN392" s="32">
        <f t="shared" ca="1" si="451"/>
        <v>2</v>
      </c>
      <c r="AO392" s="32">
        <f t="shared" ca="1" si="451"/>
        <v>3</v>
      </c>
      <c r="AP392" s="32">
        <f t="shared" ca="1" si="451"/>
        <v>4</v>
      </c>
      <c r="AQ392" s="32">
        <f t="shared" ca="1" si="451"/>
        <v>5</v>
      </c>
      <c r="AR392" s="32">
        <f t="shared" ca="1" si="451"/>
        <v>6</v>
      </c>
      <c r="AS392" s="32">
        <f t="shared" ca="1" si="451"/>
        <v>7</v>
      </c>
      <c r="AT392" s="32">
        <f t="shared" ca="1" si="451"/>
        <v>8</v>
      </c>
      <c r="AU392" s="32">
        <f t="shared" ca="1" si="451"/>
        <v>9</v>
      </c>
      <c r="AV392" s="32">
        <f t="shared" ca="1" si="451"/>
        <v>10</v>
      </c>
      <c r="AW392" s="32">
        <f t="shared" ca="1" si="451"/>
        <v>11</v>
      </c>
      <c r="AX392" s="32">
        <f t="shared" ca="1" si="451"/>
        <v>12</v>
      </c>
      <c r="AY392" s="32">
        <f t="shared" ca="1" si="451"/>
        <v>13</v>
      </c>
      <c r="AZ392" s="32">
        <f t="shared" ca="1" si="451"/>
        <v>14</v>
      </c>
      <c r="BA392" s="32">
        <f t="shared" ca="1" si="451"/>
        <v>15</v>
      </c>
      <c r="BB392" s="32">
        <f t="shared" ca="1" si="451"/>
        <v>16</v>
      </c>
      <c r="BC392" s="32">
        <f t="shared" ca="1" si="451"/>
        <v>17</v>
      </c>
      <c r="BD392" s="32">
        <f t="shared" ca="1" si="451"/>
        <v>18</v>
      </c>
      <c r="BE392" s="32">
        <f t="shared" ca="1" si="451"/>
        <v>19</v>
      </c>
      <c r="BF392" s="32">
        <f t="shared" ca="1" si="451"/>
        <v>20</v>
      </c>
      <c r="BG392" s="32">
        <f t="shared" ca="1" si="451"/>
        <v>21</v>
      </c>
      <c r="BH392" s="32">
        <f t="shared" ca="1" si="451"/>
        <v>22</v>
      </c>
      <c r="BI392" s="32">
        <f t="shared" ca="1" si="451"/>
        <v>23</v>
      </c>
      <c r="BJ392" s="32">
        <f t="shared" ca="1" si="451"/>
        <v>24</v>
      </c>
      <c r="BK392" s="32">
        <f t="shared" ca="1" si="451"/>
        <v>25</v>
      </c>
      <c r="BL392" s="32">
        <f t="shared" ca="1" si="451"/>
        <v>26</v>
      </c>
      <c r="BM392" s="32">
        <f t="shared" ca="1" si="451"/>
        <v>27</v>
      </c>
      <c r="BN392" s="32">
        <f t="shared" ca="1" si="451"/>
        <v>28</v>
      </c>
      <c r="BO392" s="32">
        <f t="shared" ca="1" si="451"/>
        <v>29</v>
      </c>
      <c r="BP392" s="32">
        <f t="shared" ca="1" si="451"/>
        <v>30</v>
      </c>
      <c r="BQ392" s="32">
        <f t="shared" ca="1" si="451"/>
        <v>31</v>
      </c>
      <c r="BR392" s="32">
        <f t="shared" ca="1" si="451"/>
        <v>32</v>
      </c>
      <c r="BS392" s="32">
        <f t="shared" ca="1" si="451"/>
        <v>33</v>
      </c>
      <c r="BT392" s="32">
        <f t="shared" ref="BT392:EE392" ca="1" si="452">IF(BS392&gt;=1,BS392+1,IF(AND(BS373=1,BT373=1000),BS392+1,0))</f>
        <v>34</v>
      </c>
      <c r="BU392" s="32">
        <f t="shared" ca="1" si="452"/>
        <v>35</v>
      </c>
      <c r="BV392" s="32">
        <f t="shared" ca="1" si="452"/>
        <v>36</v>
      </c>
      <c r="BW392" s="32">
        <f t="shared" ca="1" si="452"/>
        <v>37</v>
      </c>
      <c r="BX392" s="32">
        <f t="shared" ca="1" si="452"/>
        <v>38</v>
      </c>
      <c r="BY392" s="32">
        <f t="shared" ca="1" si="452"/>
        <v>39</v>
      </c>
      <c r="BZ392" s="32">
        <f t="shared" ca="1" si="452"/>
        <v>40</v>
      </c>
      <c r="CA392" s="32">
        <f t="shared" ca="1" si="452"/>
        <v>41</v>
      </c>
      <c r="CB392" s="32">
        <f t="shared" ca="1" si="452"/>
        <v>42</v>
      </c>
      <c r="CC392" s="32">
        <f t="shared" ca="1" si="452"/>
        <v>43</v>
      </c>
      <c r="CD392" s="32">
        <f t="shared" ca="1" si="452"/>
        <v>44</v>
      </c>
      <c r="CE392" s="32">
        <f t="shared" ca="1" si="452"/>
        <v>45</v>
      </c>
      <c r="CF392" s="32">
        <f t="shared" ca="1" si="452"/>
        <v>46</v>
      </c>
      <c r="CG392" s="32">
        <f t="shared" ca="1" si="452"/>
        <v>47</v>
      </c>
      <c r="CH392" s="32">
        <f t="shared" ca="1" si="452"/>
        <v>48</v>
      </c>
      <c r="CI392" s="32">
        <f t="shared" ca="1" si="452"/>
        <v>49</v>
      </c>
      <c r="CJ392" s="32">
        <f t="shared" ca="1" si="452"/>
        <v>50</v>
      </c>
      <c r="CK392" s="32">
        <f t="shared" ca="1" si="452"/>
        <v>51</v>
      </c>
      <c r="CL392" s="32">
        <f t="shared" ca="1" si="452"/>
        <v>52</v>
      </c>
      <c r="CM392" s="32">
        <f t="shared" ca="1" si="452"/>
        <v>53</v>
      </c>
      <c r="CN392" s="32">
        <f t="shared" ca="1" si="452"/>
        <v>54</v>
      </c>
      <c r="CO392" s="32">
        <f t="shared" ca="1" si="452"/>
        <v>55</v>
      </c>
      <c r="CP392" s="32">
        <f t="shared" ca="1" si="452"/>
        <v>56</v>
      </c>
      <c r="CQ392" s="32">
        <f t="shared" ca="1" si="452"/>
        <v>57</v>
      </c>
      <c r="CR392" s="32">
        <f t="shared" ca="1" si="452"/>
        <v>58</v>
      </c>
      <c r="CS392" s="32">
        <f t="shared" ca="1" si="452"/>
        <v>59</v>
      </c>
      <c r="CT392" s="32">
        <f t="shared" ca="1" si="452"/>
        <v>60</v>
      </c>
      <c r="CU392" s="32">
        <f t="shared" ca="1" si="452"/>
        <v>61</v>
      </c>
      <c r="CV392" s="32">
        <f t="shared" ca="1" si="452"/>
        <v>62</v>
      </c>
      <c r="CW392" s="32">
        <f t="shared" ca="1" si="452"/>
        <v>63</v>
      </c>
      <c r="CX392" s="32">
        <f t="shared" ca="1" si="452"/>
        <v>64</v>
      </c>
      <c r="CY392" s="32">
        <f t="shared" ca="1" si="452"/>
        <v>65</v>
      </c>
      <c r="CZ392" s="32">
        <f t="shared" ca="1" si="452"/>
        <v>66</v>
      </c>
      <c r="DA392" s="32">
        <f t="shared" ca="1" si="452"/>
        <v>67</v>
      </c>
      <c r="DB392" s="32">
        <f t="shared" ca="1" si="452"/>
        <v>68</v>
      </c>
      <c r="DC392" s="32">
        <f t="shared" ca="1" si="452"/>
        <v>69</v>
      </c>
      <c r="DD392" s="32">
        <f t="shared" ca="1" si="452"/>
        <v>70</v>
      </c>
      <c r="DE392" s="32">
        <f t="shared" ca="1" si="452"/>
        <v>71</v>
      </c>
      <c r="DF392" s="32">
        <f t="shared" ca="1" si="452"/>
        <v>72</v>
      </c>
      <c r="DG392" s="32">
        <f t="shared" ca="1" si="452"/>
        <v>73</v>
      </c>
      <c r="DH392" s="32">
        <f t="shared" ca="1" si="452"/>
        <v>74</v>
      </c>
      <c r="DI392" s="32">
        <f t="shared" ca="1" si="452"/>
        <v>75</v>
      </c>
      <c r="DJ392" s="32">
        <f t="shared" ca="1" si="452"/>
        <v>76</v>
      </c>
      <c r="DK392" s="32">
        <f t="shared" ca="1" si="452"/>
        <v>77</v>
      </c>
      <c r="DL392" s="32">
        <f t="shared" ca="1" si="452"/>
        <v>78</v>
      </c>
      <c r="DM392" s="32">
        <f t="shared" ca="1" si="452"/>
        <v>79</v>
      </c>
      <c r="DN392" s="32">
        <f t="shared" ca="1" si="452"/>
        <v>80</v>
      </c>
      <c r="DO392" s="32">
        <f t="shared" ca="1" si="452"/>
        <v>81</v>
      </c>
      <c r="DP392" s="32">
        <f t="shared" ca="1" si="452"/>
        <v>82</v>
      </c>
      <c r="DQ392" s="32">
        <f t="shared" ca="1" si="452"/>
        <v>83</v>
      </c>
      <c r="DR392" s="32">
        <f t="shared" ca="1" si="452"/>
        <v>84</v>
      </c>
      <c r="DS392" s="32">
        <f t="shared" ca="1" si="452"/>
        <v>85</v>
      </c>
      <c r="DT392" s="32">
        <f t="shared" ca="1" si="452"/>
        <v>86</v>
      </c>
      <c r="DU392" s="32">
        <f t="shared" ca="1" si="452"/>
        <v>87</v>
      </c>
      <c r="DV392" s="32">
        <f t="shared" ca="1" si="452"/>
        <v>88</v>
      </c>
      <c r="DW392" s="32">
        <f t="shared" ca="1" si="452"/>
        <v>89</v>
      </c>
      <c r="DX392" s="32">
        <f t="shared" ca="1" si="452"/>
        <v>90</v>
      </c>
      <c r="DY392" s="32">
        <f t="shared" ca="1" si="452"/>
        <v>91</v>
      </c>
      <c r="DZ392" s="32">
        <f t="shared" ca="1" si="452"/>
        <v>92</v>
      </c>
      <c r="EA392" s="32">
        <f t="shared" ca="1" si="452"/>
        <v>93</v>
      </c>
      <c r="EB392" s="32">
        <f t="shared" ca="1" si="452"/>
        <v>94</v>
      </c>
      <c r="EC392" s="32">
        <f t="shared" ca="1" si="452"/>
        <v>95</v>
      </c>
      <c r="ED392" s="32">
        <f t="shared" ca="1" si="452"/>
        <v>96</v>
      </c>
      <c r="EE392" s="32">
        <f t="shared" ca="1" si="452"/>
        <v>97</v>
      </c>
      <c r="EF392" s="32">
        <f t="shared" ref="EF392:GQ392" ca="1" si="453">IF(EE392&gt;=1,EE392+1,IF(AND(EE373=1,EF373=1000),EE392+1,0))</f>
        <v>98</v>
      </c>
      <c r="EG392" s="32">
        <f t="shared" ca="1" si="453"/>
        <v>99</v>
      </c>
      <c r="EH392" s="32">
        <f t="shared" ca="1" si="453"/>
        <v>100</v>
      </c>
      <c r="EI392" s="32">
        <f t="shared" ca="1" si="453"/>
        <v>101</v>
      </c>
      <c r="EJ392" s="32">
        <f t="shared" ca="1" si="453"/>
        <v>102</v>
      </c>
      <c r="EK392" s="32">
        <f t="shared" ca="1" si="453"/>
        <v>103</v>
      </c>
      <c r="EL392" s="32">
        <f t="shared" ca="1" si="453"/>
        <v>104</v>
      </c>
      <c r="EM392" s="32">
        <f t="shared" ca="1" si="453"/>
        <v>105</v>
      </c>
      <c r="EN392" s="32">
        <f t="shared" ca="1" si="453"/>
        <v>106</v>
      </c>
      <c r="EO392" s="32">
        <f t="shared" ca="1" si="453"/>
        <v>107</v>
      </c>
      <c r="EP392" s="32">
        <f t="shared" ca="1" si="453"/>
        <v>108</v>
      </c>
      <c r="EQ392" s="32">
        <f t="shared" ca="1" si="453"/>
        <v>109</v>
      </c>
      <c r="ER392" s="32">
        <f t="shared" ca="1" si="453"/>
        <v>110</v>
      </c>
      <c r="ES392" s="32">
        <f t="shared" ca="1" si="453"/>
        <v>111</v>
      </c>
      <c r="ET392" s="32">
        <f t="shared" ca="1" si="453"/>
        <v>112</v>
      </c>
      <c r="EU392" s="32">
        <f t="shared" ca="1" si="453"/>
        <v>113</v>
      </c>
      <c r="EV392" s="32">
        <f t="shared" ca="1" si="453"/>
        <v>114</v>
      </c>
      <c r="EW392" s="32">
        <f t="shared" ca="1" si="453"/>
        <v>115</v>
      </c>
      <c r="EX392" s="32">
        <f t="shared" ca="1" si="453"/>
        <v>116</v>
      </c>
      <c r="EY392" s="32">
        <f t="shared" ca="1" si="453"/>
        <v>117</v>
      </c>
      <c r="EZ392" s="32">
        <f t="shared" ca="1" si="453"/>
        <v>118</v>
      </c>
      <c r="FA392" s="32">
        <f t="shared" ca="1" si="453"/>
        <v>119</v>
      </c>
      <c r="FB392" s="32">
        <f t="shared" ca="1" si="453"/>
        <v>120</v>
      </c>
      <c r="FC392" s="32">
        <f t="shared" ca="1" si="453"/>
        <v>121</v>
      </c>
      <c r="FD392" s="32">
        <f t="shared" ca="1" si="453"/>
        <v>122</v>
      </c>
      <c r="FE392" s="32">
        <f t="shared" ca="1" si="453"/>
        <v>123</v>
      </c>
      <c r="FF392" s="32">
        <f t="shared" ca="1" si="453"/>
        <v>124</v>
      </c>
      <c r="FG392" s="32">
        <f t="shared" ca="1" si="453"/>
        <v>125</v>
      </c>
      <c r="FH392" s="32">
        <f t="shared" ca="1" si="453"/>
        <v>126</v>
      </c>
      <c r="FI392" s="32">
        <f t="shared" ca="1" si="453"/>
        <v>127</v>
      </c>
      <c r="FJ392" s="32">
        <f t="shared" ca="1" si="453"/>
        <v>128</v>
      </c>
      <c r="FK392" s="32">
        <f t="shared" ca="1" si="453"/>
        <v>129</v>
      </c>
      <c r="FL392" s="32">
        <f t="shared" ca="1" si="453"/>
        <v>130</v>
      </c>
      <c r="FM392" s="32">
        <f t="shared" ca="1" si="453"/>
        <v>131</v>
      </c>
      <c r="FN392" s="32">
        <f t="shared" ca="1" si="453"/>
        <v>132</v>
      </c>
      <c r="FO392" s="32">
        <f t="shared" ca="1" si="453"/>
        <v>133</v>
      </c>
      <c r="FP392" s="32">
        <f t="shared" ca="1" si="453"/>
        <v>134</v>
      </c>
      <c r="FQ392" s="32">
        <f t="shared" ca="1" si="453"/>
        <v>135</v>
      </c>
      <c r="FR392" s="32">
        <f t="shared" ca="1" si="453"/>
        <v>136</v>
      </c>
      <c r="FS392" s="32">
        <f t="shared" ca="1" si="453"/>
        <v>137</v>
      </c>
      <c r="FT392" s="32">
        <f t="shared" ca="1" si="453"/>
        <v>138</v>
      </c>
      <c r="FU392" s="32">
        <f t="shared" ca="1" si="453"/>
        <v>139</v>
      </c>
      <c r="FV392" s="32">
        <f t="shared" ca="1" si="453"/>
        <v>140</v>
      </c>
      <c r="FW392" s="32">
        <f t="shared" ca="1" si="453"/>
        <v>141</v>
      </c>
      <c r="FX392" s="32">
        <f t="shared" ca="1" si="453"/>
        <v>142</v>
      </c>
      <c r="FY392" s="32">
        <f t="shared" ca="1" si="453"/>
        <v>143</v>
      </c>
      <c r="FZ392" s="32">
        <f t="shared" ca="1" si="453"/>
        <v>144</v>
      </c>
      <c r="GA392" s="32">
        <f t="shared" ca="1" si="453"/>
        <v>145</v>
      </c>
      <c r="GB392" s="32">
        <f t="shared" ca="1" si="453"/>
        <v>146</v>
      </c>
      <c r="GC392" s="32">
        <f t="shared" ca="1" si="453"/>
        <v>147</v>
      </c>
      <c r="GD392" s="32">
        <f t="shared" ca="1" si="453"/>
        <v>148</v>
      </c>
      <c r="GE392" s="32">
        <f t="shared" ca="1" si="453"/>
        <v>149</v>
      </c>
      <c r="GF392" s="32">
        <f t="shared" ca="1" si="453"/>
        <v>150</v>
      </c>
      <c r="GG392" s="32">
        <f t="shared" ca="1" si="453"/>
        <v>151</v>
      </c>
      <c r="GH392" s="32">
        <f t="shared" ca="1" si="453"/>
        <v>152</v>
      </c>
      <c r="GI392" s="32">
        <f t="shared" ca="1" si="453"/>
        <v>153</v>
      </c>
      <c r="GJ392" s="32">
        <f t="shared" ca="1" si="453"/>
        <v>154</v>
      </c>
      <c r="GK392" s="32">
        <f t="shared" ca="1" si="453"/>
        <v>155</v>
      </c>
      <c r="GL392" s="32">
        <f t="shared" ca="1" si="453"/>
        <v>156</v>
      </c>
      <c r="GM392" s="32">
        <f t="shared" ca="1" si="453"/>
        <v>157</v>
      </c>
      <c r="GN392" s="32">
        <f t="shared" ca="1" si="453"/>
        <v>158</v>
      </c>
      <c r="GO392" s="32">
        <f t="shared" ca="1" si="453"/>
        <v>159</v>
      </c>
      <c r="GP392" s="32">
        <f t="shared" ca="1" si="453"/>
        <v>160</v>
      </c>
      <c r="GQ392" s="32">
        <f t="shared" ca="1" si="453"/>
        <v>161</v>
      </c>
      <c r="GR392" s="32">
        <f t="shared" ref="GR392:IK392" ca="1" si="454">IF(GQ392&gt;=1,GQ392+1,IF(AND(GQ373=1,GR373=1000),GQ392+1,0))</f>
        <v>162</v>
      </c>
      <c r="GS392" s="32">
        <f t="shared" ca="1" si="454"/>
        <v>163</v>
      </c>
      <c r="GT392" s="32">
        <f t="shared" ca="1" si="454"/>
        <v>164</v>
      </c>
      <c r="GU392" s="32">
        <f t="shared" ca="1" si="454"/>
        <v>165</v>
      </c>
      <c r="GV392" s="32">
        <f t="shared" ca="1" si="454"/>
        <v>166</v>
      </c>
      <c r="GW392" s="32">
        <f t="shared" ca="1" si="454"/>
        <v>167</v>
      </c>
      <c r="GX392" s="32">
        <f t="shared" ca="1" si="454"/>
        <v>168</v>
      </c>
      <c r="GY392" s="32">
        <f t="shared" ca="1" si="454"/>
        <v>169</v>
      </c>
      <c r="GZ392" s="32">
        <f t="shared" ca="1" si="454"/>
        <v>170</v>
      </c>
      <c r="HA392" s="32">
        <f t="shared" ca="1" si="454"/>
        <v>171</v>
      </c>
      <c r="HB392" s="32">
        <f t="shared" ca="1" si="454"/>
        <v>172</v>
      </c>
      <c r="HC392" s="32">
        <f t="shared" ca="1" si="454"/>
        <v>173</v>
      </c>
      <c r="HD392" s="32">
        <f t="shared" ca="1" si="454"/>
        <v>174</v>
      </c>
      <c r="HE392" s="32">
        <f t="shared" ca="1" si="454"/>
        <v>175</v>
      </c>
      <c r="HF392" s="32">
        <f t="shared" ca="1" si="454"/>
        <v>176</v>
      </c>
      <c r="HG392" s="32">
        <f t="shared" ca="1" si="454"/>
        <v>177</v>
      </c>
      <c r="HH392" s="32">
        <f t="shared" ca="1" si="454"/>
        <v>178</v>
      </c>
      <c r="HI392" s="32">
        <f t="shared" ca="1" si="454"/>
        <v>179</v>
      </c>
      <c r="HJ392" s="32">
        <f t="shared" ca="1" si="454"/>
        <v>180</v>
      </c>
      <c r="HK392" s="32">
        <f t="shared" ca="1" si="454"/>
        <v>181</v>
      </c>
      <c r="HL392" s="32">
        <f t="shared" ca="1" si="454"/>
        <v>182</v>
      </c>
      <c r="HM392" s="32">
        <f t="shared" ca="1" si="454"/>
        <v>183</v>
      </c>
      <c r="HN392" s="32">
        <f t="shared" ca="1" si="454"/>
        <v>184</v>
      </c>
      <c r="HO392" s="32">
        <f t="shared" ca="1" si="454"/>
        <v>185</v>
      </c>
      <c r="HP392" s="32">
        <f t="shared" ca="1" si="454"/>
        <v>186</v>
      </c>
      <c r="HQ392" s="32">
        <f t="shared" ca="1" si="454"/>
        <v>187</v>
      </c>
      <c r="HR392" s="32">
        <f t="shared" ca="1" si="454"/>
        <v>188</v>
      </c>
      <c r="HS392" s="32">
        <f t="shared" ca="1" si="454"/>
        <v>189</v>
      </c>
      <c r="HT392" s="32">
        <f t="shared" ca="1" si="454"/>
        <v>190</v>
      </c>
      <c r="HU392" s="32">
        <f t="shared" ca="1" si="454"/>
        <v>191</v>
      </c>
      <c r="HV392" s="32">
        <f t="shared" ca="1" si="454"/>
        <v>192</v>
      </c>
      <c r="HW392" s="32">
        <f t="shared" ca="1" si="454"/>
        <v>193</v>
      </c>
      <c r="HX392" s="32">
        <f t="shared" ca="1" si="454"/>
        <v>194</v>
      </c>
      <c r="HY392" s="32">
        <f t="shared" ca="1" si="454"/>
        <v>195</v>
      </c>
      <c r="HZ392" s="32">
        <f t="shared" ca="1" si="454"/>
        <v>196</v>
      </c>
      <c r="IA392" s="32">
        <f t="shared" ca="1" si="454"/>
        <v>197</v>
      </c>
      <c r="IB392" s="32">
        <f t="shared" ca="1" si="454"/>
        <v>198</v>
      </c>
      <c r="IC392" s="32">
        <f t="shared" ca="1" si="454"/>
        <v>199</v>
      </c>
      <c r="ID392" s="32">
        <f t="shared" ca="1" si="454"/>
        <v>200</v>
      </c>
      <c r="IE392" s="32">
        <f t="shared" ca="1" si="454"/>
        <v>201</v>
      </c>
      <c r="IF392" s="32">
        <f t="shared" ca="1" si="454"/>
        <v>202</v>
      </c>
      <c r="IG392" s="32">
        <f t="shared" ca="1" si="454"/>
        <v>203</v>
      </c>
      <c r="IH392" s="32">
        <f t="shared" ca="1" si="454"/>
        <v>204</v>
      </c>
      <c r="II392" s="32">
        <f t="shared" ca="1" si="454"/>
        <v>205</v>
      </c>
      <c r="IJ392" s="32">
        <f t="shared" ca="1" si="454"/>
        <v>206</v>
      </c>
      <c r="IK392" s="32">
        <f t="shared" ca="1" si="454"/>
        <v>207</v>
      </c>
    </row>
    <row r="393" spans="1:245" hidden="1" x14ac:dyDescent="0.35">
      <c r="C393" s="627" t="s">
        <v>1627</v>
      </c>
      <c r="H393" s="32">
        <f ca="1">IF(H391=H390,1,0)</f>
        <v>0</v>
      </c>
      <c r="I393" s="32">
        <f t="shared" ref="I393:BT393" ca="1" si="455">IF(I391=I390,1,0)</f>
        <v>0</v>
      </c>
      <c r="J393" s="32">
        <f t="shared" ca="1" si="455"/>
        <v>0</v>
      </c>
      <c r="K393" s="32">
        <f t="shared" ca="1" si="455"/>
        <v>0</v>
      </c>
      <c r="L393" s="32">
        <f t="shared" ca="1" si="455"/>
        <v>0</v>
      </c>
      <c r="M393" s="32">
        <f t="shared" ca="1" si="455"/>
        <v>0</v>
      </c>
      <c r="N393" s="32">
        <f t="shared" ca="1" si="455"/>
        <v>0</v>
      </c>
      <c r="O393" s="32">
        <f t="shared" ca="1" si="455"/>
        <v>0</v>
      </c>
      <c r="P393" s="32">
        <f t="shared" ca="1" si="455"/>
        <v>0</v>
      </c>
      <c r="Q393" s="32">
        <f t="shared" ca="1" si="455"/>
        <v>0</v>
      </c>
      <c r="R393" s="32">
        <f t="shared" ca="1" si="455"/>
        <v>0</v>
      </c>
      <c r="S393" s="32">
        <f t="shared" ca="1" si="455"/>
        <v>0</v>
      </c>
      <c r="T393" s="32">
        <f t="shared" ca="1" si="455"/>
        <v>0</v>
      </c>
      <c r="U393" s="32">
        <f t="shared" ca="1" si="455"/>
        <v>0</v>
      </c>
      <c r="V393" s="32">
        <f t="shared" ca="1" si="455"/>
        <v>0</v>
      </c>
      <c r="W393" s="32">
        <f t="shared" ca="1" si="455"/>
        <v>0</v>
      </c>
      <c r="X393" s="32">
        <f t="shared" ca="1" si="455"/>
        <v>0</v>
      </c>
      <c r="Y393" s="32">
        <f t="shared" ca="1" si="455"/>
        <v>0</v>
      </c>
      <c r="Z393" s="32">
        <f t="shared" ca="1" si="455"/>
        <v>0</v>
      </c>
      <c r="AA393" s="32">
        <f t="shared" ca="1" si="455"/>
        <v>0</v>
      </c>
      <c r="AB393" s="32">
        <f t="shared" ca="1" si="455"/>
        <v>0</v>
      </c>
      <c r="AC393" s="32">
        <f t="shared" ca="1" si="455"/>
        <v>0</v>
      </c>
      <c r="AD393" s="32">
        <f t="shared" ca="1" si="455"/>
        <v>0</v>
      </c>
      <c r="AE393" s="32">
        <f t="shared" ca="1" si="455"/>
        <v>0</v>
      </c>
      <c r="AF393" s="32">
        <f t="shared" ca="1" si="455"/>
        <v>0</v>
      </c>
      <c r="AG393" s="32">
        <f t="shared" ca="1" si="455"/>
        <v>0</v>
      </c>
      <c r="AH393" s="32">
        <f t="shared" ca="1" si="455"/>
        <v>0</v>
      </c>
      <c r="AI393" s="32">
        <f t="shared" ca="1" si="455"/>
        <v>0</v>
      </c>
      <c r="AJ393" s="32">
        <f t="shared" ca="1" si="455"/>
        <v>0</v>
      </c>
      <c r="AK393" s="32">
        <f t="shared" ca="1" si="455"/>
        <v>0</v>
      </c>
      <c r="AL393" s="32">
        <f t="shared" ca="1" si="455"/>
        <v>0</v>
      </c>
      <c r="AM393" s="32">
        <f t="shared" ca="1" si="455"/>
        <v>0</v>
      </c>
      <c r="AN393" s="32">
        <f t="shared" ca="1" si="455"/>
        <v>0</v>
      </c>
      <c r="AO393" s="32">
        <f t="shared" ca="1" si="455"/>
        <v>0</v>
      </c>
      <c r="AP393" s="32">
        <f t="shared" ca="1" si="455"/>
        <v>0</v>
      </c>
      <c r="AQ393" s="32">
        <f t="shared" ca="1" si="455"/>
        <v>0</v>
      </c>
      <c r="AR393" s="32">
        <f t="shared" ca="1" si="455"/>
        <v>0</v>
      </c>
      <c r="AS393" s="32">
        <f t="shared" ca="1" si="455"/>
        <v>0</v>
      </c>
      <c r="AT393" s="32">
        <f t="shared" ca="1" si="455"/>
        <v>0</v>
      </c>
      <c r="AU393" s="32">
        <f t="shared" ca="1" si="455"/>
        <v>0</v>
      </c>
      <c r="AV393" s="32">
        <f t="shared" ca="1" si="455"/>
        <v>0</v>
      </c>
      <c r="AW393" s="32">
        <f t="shared" ca="1" si="455"/>
        <v>0</v>
      </c>
      <c r="AX393" s="32">
        <f t="shared" ca="1" si="455"/>
        <v>0</v>
      </c>
      <c r="AY393" s="32">
        <f t="shared" ca="1" si="455"/>
        <v>0</v>
      </c>
      <c r="AZ393" s="32">
        <f t="shared" ca="1" si="455"/>
        <v>0</v>
      </c>
      <c r="BA393" s="32">
        <f t="shared" ca="1" si="455"/>
        <v>0</v>
      </c>
      <c r="BB393" s="32">
        <f t="shared" ca="1" si="455"/>
        <v>0</v>
      </c>
      <c r="BC393" s="32">
        <f t="shared" ca="1" si="455"/>
        <v>0</v>
      </c>
      <c r="BD393" s="32">
        <f t="shared" ca="1" si="455"/>
        <v>0</v>
      </c>
      <c r="BE393" s="32">
        <f t="shared" ca="1" si="455"/>
        <v>0</v>
      </c>
      <c r="BF393" s="32">
        <f t="shared" ca="1" si="455"/>
        <v>0</v>
      </c>
      <c r="BG393" s="32">
        <f t="shared" ca="1" si="455"/>
        <v>0</v>
      </c>
      <c r="BH393" s="32">
        <f t="shared" ca="1" si="455"/>
        <v>0</v>
      </c>
      <c r="BI393" s="32">
        <f t="shared" ca="1" si="455"/>
        <v>0</v>
      </c>
      <c r="BJ393" s="32">
        <f t="shared" ca="1" si="455"/>
        <v>0</v>
      </c>
      <c r="BK393" s="32">
        <f t="shared" ca="1" si="455"/>
        <v>0</v>
      </c>
      <c r="BL393" s="32">
        <f t="shared" ca="1" si="455"/>
        <v>0</v>
      </c>
      <c r="BM393" s="32">
        <f t="shared" ca="1" si="455"/>
        <v>0</v>
      </c>
      <c r="BN393" s="32">
        <f t="shared" ca="1" si="455"/>
        <v>0</v>
      </c>
      <c r="BO393" s="32">
        <f t="shared" ca="1" si="455"/>
        <v>0</v>
      </c>
      <c r="BP393" s="32">
        <f t="shared" ca="1" si="455"/>
        <v>0</v>
      </c>
      <c r="BQ393" s="32">
        <f t="shared" ca="1" si="455"/>
        <v>0</v>
      </c>
      <c r="BR393" s="32">
        <f t="shared" ca="1" si="455"/>
        <v>0</v>
      </c>
      <c r="BS393" s="32">
        <f t="shared" ca="1" si="455"/>
        <v>0</v>
      </c>
      <c r="BT393" s="32">
        <f t="shared" ca="1" si="455"/>
        <v>0</v>
      </c>
      <c r="BU393" s="32">
        <f t="shared" ref="BU393:EF393" ca="1" si="456">IF(BU391=BU390,1,0)</f>
        <v>0</v>
      </c>
      <c r="BV393" s="32">
        <f t="shared" ca="1" si="456"/>
        <v>0</v>
      </c>
      <c r="BW393" s="32">
        <f t="shared" ca="1" si="456"/>
        <v>0</v>
      </c>
      <c r="BX393" s="32">
        <f t="shared" ca="1" si="456"/>
        <v>0</v>
      </c>
      <c r="BY393" s="32">
        <f t="shared" ca="1" si="456"/>
        <v>0</v>
      </c>
      <c r="BZ393" s="32">
        <f t="shared" ca="1" si="456"/>
        <v>0</v>
      </c>
      <c r="CA393" s="32">
        <f t="shared" ca="1" si="456"/>
        <v>0</v>
      </c>
      <c r="CB393" s="32">
        <f t="shared" ca="1" si="456"/>
        <v>0</v>
      </c>
      <c r="CC393" s="32">
        <f t="shared" ca="1" si="456"/>
        <v>0</v>
      </c>
      <c r="CD393" s="32">
        <f t="shared" ca="1" si="456"/>
        <v>0</v>
      </c>
      <c r="CE393" s="32">
        <f t="shared" ca="1" si="456"/>
        <v>0</v>
      </c>
      <c r="CF393" s="32">
        <f t="shared" ca="1" si="456"/>
        <v>0</v>
      </c>
      <c r="CG393" s="32">
        <f t="shared" ca="1" si="456"/>
        <v>0</v>
      </c>
      <c r="CH393" s="32">
        <f t="shared" ca="1" si="456"/>
        <v>0</v>
      </c>
      <c r="CI393" s="32">
        <f t="shared" ca="1" si="456"/>
        <v>0</v>
      </c>
      <c r="CJ393" s="32">
        <f t="shared" ca="1" si="456"/>
        <v>0</v>
      </c>
      <c r="CK393" s="32">
        <f t="shared" ca="1" si="456"/>
        <v>0</v>
      </c>
      <c r="CL393" s="32">
        <f t="shared" ca="1" si="456"/>
        <v>0</v>
      </c>
      <c r="CM393" s="32">
        <f t="shared" ca="1" si="456"/>
        <v>0</v>
      </c>
      <c r="CN393" s="32">
        <f t="shared" ca="1" si="456"/>
        <v>0</v>
      </c>
      <c r="CO393" s="32">
        <f t="shared" ca="1" si="456"/>
        <v>0</v>
      </c>
      <c r="CP393" s="32">
        <f t="shared" ca="1" si="456"/>
        <v>0</v>
      </c>
      <c r="CQ393" s="32">
        <f t="shared" ca="1" si="456"/>
        <v>0</v>
      </c>
      <c r="CR393" s="32">
        <f t="shared" ca="1" si="456"/>
        <v>0</v>
      </c>
      <c r="CS393" s="32">
        <f t="shared" ca="1" si="456"/>
        <v>0</v>
      </c>
      <c r="CT393" s="32">
        <f t="shared" ca="1" si="456"/>
        <v>0</v>
      </c>
      <c r="CU393" s="32">
        <f t="shared" ca="1" si="456"/>
        <v>0</v>
      </c>
      <c r="CV393" s="32">
        <f t="shared" ca="1" si="456"/>
        <v>0</v>
      </c>
      <c r="CW393" s="32">
        <f t="shared" ca="1" si="456"/>
        <v>0</v>
      </c>
      <c r="CX393" s="32">
        <f t="shared" ca="1" si="456"/>
        <v>0</v>
      </c>
      <c r="CY393" s="32">
        <f t="shared" ca="1" si="456"/>
        <v>0</v>
      </c>
      <c r="CZ393" s="32">
        <f t="shared" ca="1" si="456"/>
        <v>0</v>
      </c>
      <c r="DA393" s="32">
        <f t="shared" ca="1" si="456"/>
        <v>0</v>
      </c>
      <c r="DB393" s="32">
        <f t="shared" ca="1" si="456"/>
        <v>0</v>
      </c>
      <c r="DC393" s="32">
        <f t="shared" ca="1" si="456"/>
        <v>0</v>
      </c>
      <c r="DD393" s="32">
        <f t="shared" ca="1" si="456"/>
        <v>0</v>
      </c>
      <c r="DE393" s="32">
        <f t="shared" ca="1" si="456"/>
        <v>0</v>
      </c>
      <c r="DF393" s="32">
        <f t="shared" ca="1" si="456"/>
        <v>0</v>
      </c>
      <c r="DG393" s="32">
        <f t="shared" ca="1" si="456"/>
        <v>0</v>
      </c>
      <c r="DH393" s="32">
        <f t="shared" ca="1" si="456"/>
        <v>0</v>
      </c>
      <c r="DI393" s="32">
        <f t="shared" ca="1" si="456"/>
        <v>0</v>
      </c>
      <c r="DJ393" s="32">
        <f t="shared" ca="1" si="456"/>
        <v>0</v>
      </c>
      <c r="DK393" s="32">
        <f t="shared" ca="1" si="456"/>
        <v>0</v>
      </c>
      <c r="DL393" s="32">
        <f t="shared" ca="1" si="456"/>
        <v>0</v>
      </c>
      <c r="DM393" s="32">
        <f t="shared" ca="1" si="456"/>
        <v>0</v>
      </c>
      <c r="DN393" s="32">
        <f t="shared" ca="1" si="456"/>
        <v>0</v>
      </c>
      <c r="DO393" s="32">
        <f t="shared" ca="1" si="456"/>
        <v>0</v>
      </c>
      <c r="DP393" s="32">
        <f t="shared" ca="1" si="456"/>
        <v>0</v>
      </c>
      <c r="DQ393" s="32">
        <f t="shared" ca="1" si="456"/>
        <v>0</v>
      </c>
      <c r="DR393" s="32">
        <f t="shared" ca="1" si="456"/>
        <v>0</v>
      </c>
      <c r="DS393" s="32">
        <f t="shared" ca="1" si="456"/>
        <v>0</v>
      </c>
      <c r="DT393" s="32">
        <f t="shared" ca="1" si="456"/>
        <v>0</v>
      </c>
      <c r="DU393" s="32">
        <f t="shared" ca="1" si="456"/>
        <v>0</v>
      </c>
      <c r="DV393" s="32">
        <f t="shared" ca="1" si="456"/>
        <v>0</v>
      </c>
      <c r="DW393" s="32">
        <f t="shared" ca="1" si="456"/>
        <v>0</v>
      </c>
      <c r="DX393" s="32">
        <f t="shared" ca="1" si="456"/>
        <v>0</v>
      </c>
      <c r="DY393" s="32">
        <f t="shared" ca="1" si="456"/>
        <v>0</v>
      </c>
      <c r="DZ393" s="32">
        <f t="shared" ca="1" si="456"/>
        <v>0</v>
      </c>
      <c r="EA393" s="32">
        <f t="shared" ca="1" si="456"/>
        <v>0</v>
      </c>
      <c r="EB393" s="32">
        <f t="shared" ca="1" si="456"/>
        <v>0</v>
      </c>
      <c r="EC393" s="32">
        <f t="shared" ca="1" si="456"/>
        <v>0</v>
      </c>
      <c r="ED393" s="32">
        <f t="shared" ca="1" si="456"/>
        <v>0</v>
      </c>
      <c r="EE393" s="32">
        <f t="shared" ca="1" si="456"/>
        <v>0</v>
      </c>
      <c r="EF393" s="32">
        <f t="shared" ca="1" si="456"/>
        <v>0</v>
      </c>
      <c r="EG393" s="32">
        <f t="shared" ref="EG393:GR393" ca="1" si="457">IF(EG391=EG390,1,0)</f>
        <v>0</v>
      </c>
      <c r="EH393" s="32">
        <f t="shared" ca="1" si="457"/>
        <v>0</v>
      </c>
      <c r="EI393" s="32">
        <f t="shared" ca="1" si="457"/>
        <v>0</v>
      </c>
      <c r="EJ393" s="32">
        <f t="shared" ca="1" si="457"/>
        <v>1</v>
      </c>
      <c r="EK393" s="32">
        <f t="shared" ca="1" si="457"/>
        <v>0</v>
      </c>
      <c r="EL393" s="32">
        <f t="shared" ca="1" si="457"/>
        <v>0</v>
      </c>
      <c r="EM393" s="32">
        <f t="shared" ca="1" si="457"/>
        <v>0</v>
      </c>
      <c r="EN393" s="32">
        <f t="shared" ca="1" si="457"/>
        <v>0</v>
      </c>
      <c r="EO393" s="32">
        <f t="shared" ca="1" si="457"/>
        <v>0</v>
      </c>
      <c r="EP393" s="32">
        <f t="shared" ca="1" si="457"/>
        <v>0</v>
      </c>
      <c r="EQ393" s="32">
        <f t="shared" ca="1" si="457"/>
        <v>0</v>
      </c>
      <c r="ER393" s="32">
        <f t="shared" ca="1" si="457"/>
        <v>0</v>
      </c>
      <c r="ES393" s="32">
        <f t="shared" ca="1" si="457"/>
        <v>0</v>
      </c>
      <c r="ET393" s="32">
        <f t="shared" ca="1" si="457"/>
        <v>0</v>
      </c>
      <c r="EU393" s="32">
        <f t="shared" ca="1" si="457"/>
        <v>0</v>
      </c>
      <c r="EV393" s="32">
        <f t="shared" ca="1" si="457"/>
        <v>0</v>
      </c>
      <c r="EW393" s="32">
        <f t="shared" ca="1" si="457"/>
        <v>0</v>
      </c>
      <c r="EX393" s="32">
        <f t="shared" ca="1" si="457"/>
        <v>0</v>
      </c>
      <c r="EY393" s="32">
        <f t="shared" ca="1" si="457"/>
        <v>0</v>
      </c>
      <c r="EZ393" s="32">
        <f t="shared" ca="1" si="457"/>
        <v>0</v>
      </c>
      <c r="FA393" s="32">
        <f t="shared" ca="1" si="457"/>
        <v>0</v>
      </c>
      <c r="FB393" s="32">
        <f t="shared" ca="1" si="457"/>
        <v>0</v>
      </c>
      <c r="FC393" s="32">
        <f t="shared" ca="1" si="457"/>
        <v>0</v>
      </c>
      <c r="FD393" s="32">
        <f t="shared" ca="1" si="457"/>
        <v>0</v>
      </c>
      <c r="FE393" s="32">
        <f t="shared" ca="1" si="457"/>
        <v>0</v>
      </c>
      <c r="FF393" s="32">
        <f t="shared" ca="1" si="457"/>
        <v>0</v>
      </c>
      <c r="FG393" s="32">
        <f t="shared" ca="1" si="457"/>
        <v>0</v>
      </c>
      <c r="FH393" s="32">
        <f t="shared" ca="1" si="457"/>
        <v>0</v>
      </c>
      <c r="FI393" s="32">
        <f t="shared" ca="1" si="457"/>
        <v>0</v>
      </c>
      <c r="FJ393" s="32">
        <f t="shared" ca="1" si="457"/>
        <v>0</v>
      </c>
      <c r="FK393" s="32">
        <f t="shared" ca="1" si="457"/>
        <v>0</v>
      </c>
      <c r="FL393" s="32">
        <f t="shared" ca="1" si="457"/>
        <v>0</v>
      </c>
      <c r="FM393" s="32">
        <f t="shared" ca="1" si="457"/>
        <v>0</v>
      </c>
      <c r="FN393" s="32">
        <f t="shared" ca="1" si="457"/>
        <v>0</v>
      </c>
      <c r="FO393" s="32">
        <f t="shared" ca="1" si="457"/>
        <v>0</v>
      </c>
      <c r="FP393" s="32">
        <f t="shared" ca="1" si="457"/>
        <v>0</v>
      </c>
      <c r="FQ393" s="32">
        <f t="shared" ca="1" si="457"/>
        <v>0</v>
      </c>
      <c r="FR393" s="32">
        <f t="shared" ca="1" si="457"/>
        <v>0</v>
      </c>
      <c r="FS393" s="32">
        <f t="shared" ca="1" si="457"/>
        <v>0</v>
      </c>
      <c r="FT393" s="32">
        <f t="shared" ca="1" si="457"/>
        <v>0</v>
      </c>
      <c r="FU393" s="32">
        <f t="shared" ca="1" si="457"/>
        <v>0</v>
      </c>
      <c r="FV393" s="32">
        <f t="shared" ca="1" si="457"/>
        <v>0</v>
      </c>
      <c r="FW393" s="32">
        <f t="shared" ca="1" si="457"/>
        <v>0</v>
      </c>
      <c r="FX393" s="32">
        <f t="shared" ca="1" si="457"/>
        <v>0</v>
      </c>
      <c r="FY393" s="32">
        <f t="shared" ca="1" si="457"/>
        <v>0</v>
      </c>
      <c r="FZ393" s="32">
        <f t="shared" ca="1" si="457"/>
        <v>0</v>
      </c>
      <c r="GA393" s="32">
        <f t="shared" ca="1" si="457"/>
        <v>0</v>
      </c>
      <c r="GB393" s="32">
        <f t="shared" ca="1" si="457"/>
        <v>0</v>
      </c>
      <c r="GC393" s="32">
        <f t="shared" ca="1" si="457"/>
        <v>0</v>
      </c>
      <c r="GD393" s="32">
        <f t="shared" ca="1" si="457"/>
        <v>0</v>
      </c>
      <c r="GE393" s="32">
        <f t="shared" ca="1" si="457"/>
        <v>0</v>
      </c>
      <c r="GF393" s="32">
        <f t="shared" ca="1" si="457"/>
        <v>0</v>
      </c>
      <c r="GG393" s="32">
        <f t="shared" ca="1" si="457"/>
        <v>0</v>
      </c>
      <c r="GH393" s="32">
        <f t="shared" ca="1" si="457"/>
        <v>0</v>
      </c>
      <c r="GI393" s="32">
        <f t="shared" ca="1" si="457"/>
        <v>0</v>
      </c>
      <c r="GJ393" s="32">
        <f t="shared" ca="1" si="457"/>
        <v>0</v>
      </c>
      <c r="GK393" s="32">
        <f t="shared" ca="1" si="457"/>
        <v>0</v>
      </c>
      <c r="GL393" s="32">
        <f t="shared" ca="1" si="457"/>
        <v>0</v>
      </c>
      <c r="GM393" s="32">
        <f t="shared" ca="1" si="457"/>
        <v>0</v>
      </c>
      <c r="GN393" s="32">
        <f t="shared" ca="1" si="457"/>
        <v>0</v>
      </c>
      <c r="GO393" s="32">
        <f t="shared" ca="1" si="457"/>
        <v>0</v>
      </c>
      <c r="GP393" s="32">
        <f t="shared" ca="1" si="457"/>
        <v>0</v>
      </c>
      <c r="GQ393" s="32">
        <f t="shared" ca="1" si="457"/>
        <v>0</v>
      </c>
      <c r="GR393" s="32">
        <f t="shared" ca="1" si="457"/>
        <v>0</v>
      </c>
      <c r="GS393" s="32">
        <f t="shared" ref="GS393:IK393" ca="1" si="458">IF(GS391=GS390,1,0)</f>
        <v>0</v>
      </c>
      <c r="GT393" s="32">
        <f t="shared" ca="1" si="458"/>
        <v>0</v>
      </c>
      <c r="GU393" s="32">
        <f t="shared" ca="1" si="458"/>
        <v>0</v>
      </c>
      <c r="GV393" s="32">
        <f t="shared" ca="1" si="458"/>
        <v>0</v>
      </c>
      <c r="GW393" s="32">
        <f t="shared" ca="1" si="458"/>
        <v>0</v>
      </c>
      <c r="GX393" s="32">
        <f t="shared" ca="1" si="458"/>
        <v>0</v>
      </c>
      <c r="GY393" s="32">
        <f t="shared" ca="1" si="458"/>
        <v>0</v>
      </c>
      <c r="GZ393" s="32">
        <f t="shared" ca="1" si="458"/>
        <v>0</v>
      </c>
      <c r="HA393" s="32">
        <f t="shared" ca="1" si="458"/>
        <v>0</v>
      </c>
      <c r="HB393" s="32">
        <f t="shared" ca="1" si="458"/>
        <v>0</v>
      </c>
      <c r="HC393" s="32">
        <f t="shared" ca="1" si="458"/>
        <v>0</v>
      </c>
      <c r="HD393" s="32">
        <f t="shared" ca="1" si="458"/>
        <v>0</v>
      </c>
      <c r="HE393" s="32">
        <f t="shared" ca="1" si="458"/>
        <v>0</v>
      </c>
      <c r="HF393" s="32">
        <f t="shared" ca="1" si="458"/>
        <v>0</v>
      </c>
      <c r="HG393" s="32">
        <f t="shared" ca="1" si="458"/>
        <v>0</v>
      </c>
      <c r="HH393" s="32">
        <f t="shared" ca="1" si="458"/>
        <v>0</v>
      </c>
      <c r="HI393" s="32">
        <f t="shared" ca="1" si="458"/>
        <v>0</v>
      </c>
      <c r="HJ393" s="32">
        <f t="shared" ca="1" si="458"/>
        <v>0</v>
      </c>
      <c r="HK393" s="32">
        <f t="shared" ca="1" si="458"/>
        <v>0</v>
      </c>
      <c r="HL393" s="32">
        <f t="shared" ca="1" si="458"/>
        <v>0</v>
      </c>
      <c r="HM393" s="32">
        <f t="shared" ca="1" si="458"/>
        <v>0</v>
      </c>
      <c r="HN393" s="32">
        <f t="shared" ca="1" si="458"/>
        <v>0</v>
      </c>
      <c r="HO393" s="32">
        <f t="shared" ca="1" si="458"/>
        <v>0</v>
      </c>
      <c r="HP393" s="32">
        <f t="shared" ca="1" si="458"/>
        <v>0</v>
      </c>
      <c r="HQ393" s="32">
        <f t="shared" ca="1" si="458"/>
        <v>0</v>
      </c>
      <c r="HR393" s="32">
        <f t="shared" ca="1" si="458"/>
        <v>0</v>
      </c>
      <c r="HS393" s="32">
        <f t="shared" ca="1" si="458"/>
        <v>0</v>
      </c>
      <c r="HT393" s="32">
        <f t="shared" ca="1" si="458"/>
        <v>0</v>
      </c>
      <c r="HU393" s="32">
        <f t="shared" ca="1" si="458"/>
        <v>0</v>
      </c>
      <c r="HV393" s="32">
        <f t="shared" ca="1" si="458"/>
        <v>0</v>
      </c>
      <c r="HW393" s="32">
        <f t="shared" ca="1" si="458"/>
        <v>0</v>
      </c>
      <c r="HX393" s="32">
        <f t="shared" ca="1" si="458"/>
        <v>0</v>
      </c>
      <c r="HY393" s="32">
        <f t="shared" ca="1" si="458"/>
        <v>0</v>
      </c>
      <c r="HZ393" s="32">
        <f t="shared" ca="1" si="458"/>
        <v>0</v>
      </c>
      <c r="IA393" s="32">
        <f t="shared" ca="1" si="458"/>
        <v>0</v>
      </c>
      <c r="IB393" s="32">
        <f t="shared" ca="1" si="458"/>
        <v>0</v>
      </c>
      <c r="IC393" s="32">
        <f t="shared" ca="1" si="458"/>
        <v>0</v>
      </c>
      <c r="ID393" s="32">
        <f t="shared" ca="1" si="458"/>
        <v>0</v>
      </c>
      <c r="IE393" s="32">
        <f t="shared" ca="1" si="458"/>
        <v>0</v>
      </c>
      <c r="IF393" s="32">
        <f t="shared" ca="1" si="458"/>
        <v>0</v>
      </c>
      <c r="IG393" s="32">
        <f t="shared" ca="1" si="458"/>
        <v>0</v>
      </c>
      <c r="IH393" s="32">
        <f t="shared" ca="1" si="458"/>
        <v>0</v>
      </c>
      <c r="II393" s="32">
        <f t="shared" ca="1" si="458"/>
        <v>0</v>
      </c>
      <c r="IJ393" s="32">
        <f t="shared" ca="1" si="458"/>
        <v>0</v>
      </c>
      <c r="IK393" s="32">
        <f t="shared" ca="1" si="458"/>
        <v>0</v>
      </c>
    </row>
    <row r="394" spans="1:245" hidden="1" x14ac:dyDescent="0.35">
      <c r="C394" s="627"/>
      <c r="H394" s="348">
        <v>1</v>
      </c>
      <c r="I394" s="348">
        <v>2</v>
      </c>
      <c r="J394" s="348">
        <v>3</v>
      </c>
      <c r="K394" s="348">
        <v>4</v>
      </c>
      <c r="L394" s="348">
        <v>5</v>
      </c>
      <c r="M394" s="348">
        <v>6</v>
      </c>
      <c r="N394" s="348">
        <v>7</v>
      </c>
      <c r="O394" s="348">
        <v>8</v>
      </c>
      <c r="P394" s="348">
        <v>9</v>
      </c>
      <c r="Q394" s="348">
        <v>10</v>
      </c>
      <c r="R394" s="348">
        <v>11</v>
      </c>
      <c r="S394" s="348">
        <v>12</v>
      </c>
      <c r="T394" s="348">
        <v>13</v>
      </c>
      <c r="U394" s="348">
        <v>14</v>
      </c>
      <c r="V394" s="348">
        <v>15</v>
      </c>
      <c r="W394" s="348">
        <v>16</v>
      </c>
      <c r="X394" s="348">
        <v>17</v>
      </c>
      <c r="Y394" s="348">
        <v>18</v>
      </c>
      <c r="Z394" s="348">
        <v>19</v>
      </c>
      <c r="AA394" s="348">
        <v>20</v>
      </c>
      <c r="AB394" s="348">
        <v>21</v>
      </c>
      <c r="AC394" s="348">
        <v>22</v>
      </c>
      <c r="AD394" s="348">
        <v>23</v>
      </c>
      <c r="AE394" s="348">
        <v>24</v>
      </c>
      <c r="AF394" s="348">
        <v>25</v>
      </c>
      <c r="AG394" s="348">
        <v>26</v>
      </c>
      <c r="AH394" s="348">
        <v>27</v>
      </c>
      <c r="AI394" s="348">
        <v>28</v>
      </c>
      <c r="AJ394" s="348">
        <v>29</v>
      </c>
      <c r="AK394" s="348">
        <v>30</v>
      </c>
      <c r="AL394" s="348">
        <v>31</v>
      </c>
      <c r="AM394" s="348">
        <v>32</v>
      </c>
      <c r="AN394" s="348">
        <v>33</v>
      </c>
      <c r="AO394" s="348">
        <v>34</v>
      </c>
      <c r="AP394" s="348">
        <v>35</v>
      </c>
      <c r="AQ394" s="348">
        <v>36</v>
      </c>
      <c r="AR394" s="348">
        <v>37</v>
      </c>
      <c r="AS394" s="348">
        <v>38</v>
      </c>
      <c r="AT394" s="348">
        <v>39</v>
      </c>
      <c r="AU394" s="348">
        <v>40</v>
      </c>
      <c r="AV394" s="348">
        <v>41</v>
      </c>
      <c r="AW394" s="348">
        <v>42</v>
      </c>
      <c r="AX394" s="348">
        <v>43</v>
      </c>
      <c r="AY394" s="348">
        <v>44</v>
      </c>
      <c r="AZ394" s="348">
        <v>45</v>
      </c>
      <c r="BA394" s="348">
        <v>46</v>
      </c>
      <c r="BB394" s="348">
        <v>47</v>
      </c>
      <c r="BC394" s="348">
        <v>48</v>
      </c>
      <c r="BD394" s="348">
        <v>49</v>
      </c>
      <c r="BE394" s="348">
        <v>50</v>
      </c>
      <c r="BF394" s="348">
        <v>51</v>
      </c>
      <c r="BG394" s="348">
        <v>52</v>
      </c>
      <c r="BH394" s="348">
        <v>53</v>
      </c>
      <c r="BI394" s="348">
        <v>54</v>
      </c>
      <c r="BJ394" s="348">
        <v>55</v>
      </c>
      <c r="BK394" s="348">
        <v>56</v>
      </c>
      <c r="BL394" s="348">
        <v>57</v>
      </c>
      <c r="BM394" s="348">
        <v>58</v>
      </c>
      <c r="BN394" s="348">
        <v>59</v>
      </c>
      <c r="BO394" s="348">
        <v>60</v>
      </c>
      <c r="BP394" s="348">
        <v>61</v>
      </c>
      <c r="BQ394" s="348">
        <v>62</v>
      </c>
      <c r="BR394" s="348">
        <v>63</v>
      </c>
      <c r="BS394" s="348">
        <v>64</v>
      </c>
      <c r="BT394" s="348">
        <v>65</v>
      </c>
      <c r="BU394" s="348">
        <v>66</v>
      </c>
      <c r="BV394" s="348">
        <v>67</v>
      </c>
      <c r="BW394" s="348">
        <v>68</v>
      </c>
      <c r="BX394" s="348">
        <v>69</v>
      </c>
      <c r="BY394" s="348">
        <v>70</v>
      </c>
      <c r="BZ394" s="348">
        <v>71</v>
      </c>
      <c r="CA394" s="348">
        <v>72</v>
      </c>
      <c r="CB394" s="348">
        <v>73</v>
      </c>
      <c r="CC394" s="348">
        <v>74</v>
      </c>
      <c r="CD394" s="348">
        <v>75</v>
      </c>
      <c r="CE394" s="348">
        <v>76</v>
      </c>
      <c r="CF394" s="348">
        <v>77</v>
      </c>
      <c r="CG394" s="348">
        <v>78</v>
      </c>
      <c r="CH394" s="348">
        <v>79</v>
      </c>
      <c r="CI394" s="348">
        <v>80</v>
      </c>
      <c r="CJ394" s="348">
        <v>81</v>
      </c>
      <c r="CK394" s="348">
        <v>82</v>
      </c>
      <c r="CL394" s="348">
        <v>83</v>
      </c>
      <c r="CM394" s="348">
        <v>84</v>
      </c>
      <c r="CN394" s="348">
        <v>85</v>
      </c>
      <c r="CO394" s="348">
        <v>86</v>
      </c>
      <c r="CP394" s="348">
        <v>87</v>
      </c>
      <c r="CQ394" s="348">
        <v>88</v>
      </c>
      <c r="CR394" s="348">
        <v>89</v>
      </c>
      <c r="CS394" s="348">
        <v>90</v>
      </c>
      <c r="CT394" s="348">
        <v>91</v>
      </c>
      <c r="CU394" s="348">
        <v>92</v>
      </c>
      <c r="CV394" s="348">
        <v>93</v>
      </c>
      <c r="CW394" s="348">
        <v>94</v>
      </c>
      <c r="CX394" s="348">
        <v>95</v>
      </c>
      <c r="CY394" s="348">
        <v>96</v>
      </c>
      <c r="CZ394" s="348">
        <v>97</v>
      </c>
      <c r="DA394" s="348">
        <v>98</v>
      </c>
      <c r="DB394" s="348">
        <v>99</v>
      </c>
      <c r="DC394" s="348">
        <v>100</v>
      </c>
      <c r="DD394" s="348">
        <v>101</v>
      </c>
      <c r="DE394" s="348">
        <v>102</v>
      </c>
      <c r="DF394" s="348">
        <v>103</v>
      </c>
      <c r="DG394" s="348">
        <v>104</v>
      </c>
      <c r="DH394" s="348">
        <v>105</v>
      </c>
      <c r="DI394" s="348">
        <v>106</v>
      </c>
      <c r="DJ394" s="348">
        <v>107</v>
      </c>
      <c r="DK394" s="348">
        <v>108</v>
      </c>
      <c r="DL394" s="348">
        <v>109</v>
      </c>
      <c r="DM394" s="348">
        <v>110</v>
      </c>
      <c r="DN394" s="348">
        <v>111</v>
      </c>
      <c r="DO394" s="348">
        <v>112</v>
      </c>
      <c r="DP394" s="348">
        <v>113</v>
      </c>
      <c r="DQ394" s="348">
        <v>114</v>
      </c>
      <c r="DR394" s="348">
        <v>115</v>
      </c>
      <c r="DS394" s="348">
        <v>116</v>
      </c>
      <c r="DT394" s="348">
        <v>117</v>
      </c>
      <c r="DU394" s="348">
        <v>118</v>
      </c>
      <c r="DV394" s="348">
        <v>119</v>
      </c>
      <c r="DW394" s="348">
        <v>120</v>
      </c>
      <c r="DX394" s="348">
        <v>121</v>
      </c>
      <c r="DY394" s="348">
        <v>122</v>
      </c>
      <c r="DZ394" s="348">
        <v>123</v>
      </c>
      <c r="EA394" s="348">
        <v>124</v>
      </c>
      <c r="EB394" s="348">
        <v>125</v>
      </c>
      <c r="EC394" s="348">
        <v>126</v>
      </c>
      <c r="ED394" s="348">
        <v>127</v>
      </c>
      <c r="EE394" s="348">
        <v>128</v>
      </c>
      <c r="EF394" s="348">
        <v>129</v>
      </c>
      <c r="EG394" s="348">
        <v>130</v>
      </c>
      <c r="EH394" s="348">
        <v>131</v>
      </c>
      <c r="EI394" s="348">
        <v>132</v>
      </c>
      <c r="EJ394" s="348">
        <v>133</v>
      </c>
      <c r="EK394" s="348">
        <v>134</v>
      </c>
      <c r="EL394" s="348">
        <v>135</v>
      </c>
      <c r="EM394" s="348">
        <v>136</v>
      </c>
      <c r="EN394" s="348">
        <v>137</v>
      </c>
      <c r="EO394" s="348">
        <v>138</v>
      </c>
      <c r="EP394" s="348">
        <v>139</v>
      </c>
      <c r="EQ394" s="348">
        <v>140</v>
      </c>
      <c r="ER394" s="348">
        <v>141</v>
      </c>
      <c r="ES394" s="348">
        <v>142</v>
      </c>
      <c r="ET394" s="348">
        <v>143</v>
      </c>
      <c r="EU394" s="348">
        <v>144</v>
      </c>
      <c r="EV394" s="348">
        <v>145</v>
      </c>
      <c r="EW394" s="348">
        <v>146</v>
      </c>
      <c r="EX394" s="348">
        <v>147</v>
      </c>
      <c r="EY394" s="348">
        <v>148</v>
      </c>
      <c r="EZ394" s="348">
        <v>149</v>
      </c>
      <c r="FA394" s="348">
        <v>150</v>
      </c>
      <c r="FB394" s="348">
        <v>151</v>
      </c>
      <c r="FC394" s="348">
        <v>152</v>
      </c>
      <c r="FD394" s="348">
        <v>153</v>
      </c>
      <c r="FE394" s="348">
        <v>154</v>
      </c>
      <c r="FF394" s="348">
        <v>155</v>
      </c>
      <c r="FG394" s="348">
        <v>156</v>
      </c>
      <c r="FH394" s="348">
        <v>157</v>
      </c>
      <c r="FI394" s="348">
        <v>158</v>
      </c>
      <c r="FJ394" s="348">
        <v>159</v>
      </c>
      <c r="FK394" s="348">
        <v>160</v>
      </c>
      <c r="FL394" s="348">
        <v>161</v>
      </c>
      <c r="FM394" s="348">
        <v>162</v>
      </c>
      <c r="FN394" s="348">
        <v>163</v>
      </c>
      <c r="FO394" s="348">
        <v>164</v>
      </c>
      <c r="FP394" s="348">
        <v>165</v>
      </c>
      <c r="FQ394" s="348">
        <v>166</v>
      </c>
      <c r="FR394" s="348">
        <v>167</v>
      </c>
      <c r="FS394" s="348">
        <v>168</v>
      </c>
      <c r="FT394" s="348">
        <v>169</v>
      </c>
      <c r="FU394" s="348">
        <v>170</v>
      </c>
      <c r="FV394" s="348">
        <v>171</v>
      </c>
      <c r="FW394" s="348">
        <v>172</v>
      </c>
      <c r="FX394" s="348">
        <v>173</v>
      </c>
      <c r="FY394" s="348">
        <v>174</v>
      </c>
      <c r="FZ394" s="348">
        <v>175</v>
      </c>
      <c r="GA394" s="348">
        <v>176</v>
      </c>
      <c r="GB394" s="348">
        <v>177</v>
      </c>
      <c r="GC394" s="348">
        <v>178</v>
      </c>
      <c r="GD394" s="348">
        <v>179</v>
      </c>
      <c r="GE394" s="348">
        <v>180</v>
      </c>
      <c r="GF394" s="348">
        <v>181</v>
      </c>
      <c r="GG394" s="348">
        <v>182</v>
      </c>
      <c r="GH394" s="348">
        <v>183</v>
      </c>
      <c r="GI394" s="348">
        <v>184</v>
      </c>
      <c r="GJ394" s="348">
        <v>185</v>
      </c>
      <c r="GK394" s="348">
        <v>186</v>
      </c>
      <c r="GL394" s="348">
        <v>187</v>
      </c>
      <c r="GM394" s="348">
        <v>188</v>
      </c>
      <c r="GN394" s="348">
        <v>189</v>
      </c>
      <c r="GO394" s="348">
        <v>190</v>
      </c>
      <c r="GP394" s="348">
        <v>191</v>
      </c>
      <c r="GQ394" s="348">
        <v>192</v>
      </c>
      <c r="GR394" s="348">
        <v>193</v>
      </c>
      <c r="GS394" s="348">
        <v>194</v>
      </c>
      <c r="GT394" s="348">
        <v>195</v>
      </c>
      <c r="GU394" s="348">
        <v>196</v>
      </c>
      <c r="GV394" s="348">
        <v>197</v>
      </c>
      <c r="GW394" s="348">
        <v>198</v>
      </c>
      <c r="GX394" s="348">
        <v>199</v>
      </c>
      <c r="GY394" s="348">
        <v>200</v>
      </c>
      <c r="GZ394" s="348">
        <v>201</v>
      </c>
      <c r="HA394" s="348">
        <v>202</v>
      </c>
      <c r="HB394" s="348">
        <v>203</v>
      </c>
      <c r="HC394" s="348">
        <v>204</v>
      </c>
      <c r="HD394" s="348">
        <v>205</v>
      </c>
      <c r="HE394" s="348">
        <v>206</v>
      </c>
      <c r="HF394" s="348">
        <v>207</v>
      </c>
      <c r="HG394" s="348">
        <v>208</v>
      </c>
      <c r="HH394" s="348">
        <v>209</v>
      </c>
      <c r="HI394" s="348">
        <v>210</v>
      </c>
      <c r="HJ394" s="348">
        <v>211</v>
      </c>
      <c r="HK394" s="348">
        <v>212</v>
      </c>
      <c r="HL394" s="348">
        <v>213</v>
      </c>
      <c r="HM394" s="348">
        <v>214</v>
      </c>
      <c r="HN394" s="348">
        <v>215</v>
      </c>
      <c r="HO394" s="348">
        <v>216</v>
      </c>
      <c r="HP394" s="348">
        <v>217</v>
      </c>
      <c r="HQ394" s="348">
        <v>218</v>
      </c>
      <c r="HR394" s="348">
        <v>219</v>
      </c>
      <c r="HS394" s="348">
        <v>220</v>
      </c>
      <c r="HT394" s="348">
        <v>221</v>
      </c>
      <c r="HU394" s="348">
        <v>222</v>
      </c>
      <c r="HV394" s="348">
        <v>223</v>
      </c>
      <c r="HW394" s="348">
        <v>224</v>
      </c>
      <c r="HX394" s="348">
        <v>225</v>
      </c>
      <c r="HY394" s="348">
        <v>226</v>
      </c>
      <c r="HZ394" s="348">
        <v>227</v>
      </c>
      <c r="IA394" s="348">
        <v>228</v>
      </c>
      <c r="IB394" s="348">
        <v>229</v>
      </c>
      <c r="IC394" s="348">
        <v>230</v>
      </c>
      <c r="ID394" s="348">
        <v>231</v>
      </c>
      <c r="IE394" s="348">
        <v>232</v>
      </c>
      <c r="IF394" s="348">
        <v>233</v>
      </c>
      <c r="IG394" s="348">
        <v>234</v>
      </c>
      <c r="IH394" s="348">
        <v>235</v>
      </c>
      <c r="II394" s="348">
        <v>236</v>
      </c>
      <c r="IJ394" s="348">
        <v>237</v>
      </c>
      <c r="IK394" s="348">
        <v>238</v>
      </c>
    </row>
    <row r="395" spans="1:245" hidden="1" x14ac:dyDescent="0.35">
      <c r="H395" s="348">
        <f ca="1">IF(H392=1,H394,5000)</f>
        <v>5000</v>
      </c>
      <c r="I395" s="348">
        <f t="shared" ref="I395:BT395" ca="1" si="459">IF(I392=1,I394,5000)</f>
        <v>5000</v>
      </c>
      <c r="J395" s="348">
        <f t="shared" ca="1" si="459"/>
        <v>5000</v>
      </c>
      <c r="K395" s="348">
        <f t="shared" ca="1" si="459"/>
        <v>5000</v>
      </c>
      <c r="L395" s="348">
        <f t="shared" ca="1" si="459"/>
        <v>5000</v>
      </c>
      <c r="M395" s="348">
        <f ca="1">IF(M392=1,M394,5000)</f>
        <v>5000</v>
      </c>
      <c r="N395" s="348">
        <f t="shared" ca="1" si="459"/>
        <v>5000</v>
      </c>
      <c r="O395" s="348">
        <f t="shared" ca="1" si="459"/>
        <v>5000</v>
      </c>
      <c r="P395" s="348">
        <f t="shared" ca="1" si="459"/>
        <v>5000</v>
      </c>
      <c r="Q395" s="348">
        <f t="shared" ca="1" si="459"/>
        <v>5000</v>
      </c>
      <c r="R395" s="348">
        <f t="shared" ca="1" si="459"/>
        <v>5000</v>
      </c>
      <c r="S395" s="348">
        <f t="shared" ca="1" si="459"/>
        <v>5000</v>
      </c>
      <c r="T395" s="348">
        <f t="shared" ca="1" si="459"/>
        <v>5000</v>
      </c>
      <c r="U395" s="348">
        <f t="shared" ca="1" si="459"/>
        <v>5000</v>
      </c>
      <c r="V395" s="348">
        <f t="shared" ca="1" si="459"/>
        <v>5000</v>
      </c>
      <c r="W395" s="348">
        <f t="shared" ca="1" si="459"/>
        <v>5000</v>
      </c>
      <c r="X395" s="348">
        <f t="shared" ca="1" si="459"/>
        <v>5000</v>
      </c>
      <c r="Y395" s="348">
        <f t="shared" ca="1" si="459"/>
        <v>5000</v>
      </c>
      <c r="Z395" s="348">
        <f t="shared" ca="1" si="459"/>
        <v>5000</v>
      </c>
      <c r="AA395" s="348">
        <f t="shared" ca="1" si="459"/>
        <v>5000</v>
      </c>
      <c r="AB395" s="348">
        <f t="shared" ca="1" si="459"/>
        <v>5000</v>
      </c>
      <c r="AC395" s="348">
        <f t="shared" ca="1" si="459"/>
        <v>5000</v>
      </c>
      <c r="AD395" s="348">
        <f t="shared" ca="1" si="459"/>
        <v>5000</v>
      </c>
      <c r="AE395" s="348">
        <f t="shared" ca="1" si="459"/>
        <v>5000</v>
      </c>
      <c r="AF395" s="348">
        <f t="shared" ca="1" si="459"/>
        <v>5000</v>
      </c>
      <c r="AG395" s="348">
        <f t="shared" ca="1" si="459"/>
        <v>5000</v>
      </c>
      <c r="AH395" s="348">
        <f t="shared" ca="1" si="459"/>
        <v>5000</v>
      </c>
      <c r="AI395" s="348">
        <f t="shared" ca="1" si="459"/>
        <v>5000</v>
      </c>
      <c r="AJ395" s="348">
        <f t="shared" ca="1" si="459"/>
        <v>5000</v>
      </c>
      <c r="AK395" s="348">
        <f t="shared" ca="1" si="459"/>
        <v>5000</v>
      </c>
      <c r="AL395" s="348">
        <f t="shared" ca="1" si="459"/>
        <v>5000</v>
      </c>
      <c r="AM395" s="348">
        <f t="shared" ca="1" si="459"/>
        <v>32</v>
      </c>
      <c r="AN395" s="348">
        <f t="shared" ca="1" si="459"/>
        <v>5000</v>
      </c>
      <c r="AO395" s="348">
        <f t="shared" ca="1" si="459"/>
        <v>5000</v>
      </c>
      <c r="AP395" s="348">
        <f t="shared" ca="1" si="459"/>
        <v>5000</v>
      </c>
      <c r="AQ395" s="348">
        <f t="shared" ca="1" si="459"/>
        <v>5000</v>
      </c>
      <c r="AR395" s="348">
        <f t="shared" ca="1" si="459"/>
        <v>5000</v>
      </c>
      <c r="AS395" s="348">
        <f t="shared" ca="1" si="459"/>
        <v>5000</v>
      </c>
      <c r="AT395" s="348">
        <f t="shared" ca="1" si="459"/>
        <v>5000</v>
      </c>
      <c r="AU395" s="348">
        <f t="shared" ca="1" si="459"/>
        <v>5000</v>
      </c>
      <c r="AV395" s="348">
        <f t="shared" ca="1" si="459"/>
        <v>5000</v>
      </c>
      <c r="AW395" s="348">
        <f t="shared" ca="1" si="459"/>
        <v>5000</v>
      </c>
      <c r="AX395" s="348">
        <f t="shared" ca="1" si="459"/>
        <v>5000</v>
      </c>
      <c r="AY395" s="348">
        <f t="shared" ca="1" si="459"/>
        <v>5000</v>
      </c>
      <c r="AZ395" s="348">
        <f t="shared" ca="1" si="459"/>
        <v>5000</v>
      </c>
      <c r="BA395" s="348">
        <f t="shared" ca="1" si="459"/>
        <v>5000</v>
      </c>
      <c r="BB395" s="348">
        <f t="shared" ca="1" si="459"/>
        <v>5000</v>
      </c>
      <c r="BC395" s="348">
        <f t="shared" ca="1" si="459"/>
        <v>5000</v>
      </c>
      <c r="BD395" s="348">
        <f t="shared" ca="1" si="459"/>
        <v>5000</v>
      </c>
      <c r="BE395" s="348">
        <f t="shared" ca="1" si="459"/>
        <v>5000</v>
      </c>
      <c r="BF395" s="348">
        <f t="shared" ca="1" si="459"/>
        <v>5000</v>
      </c>
      <c r="BG395" s="348">
        <f t="shared" ca="1" si="459"/>
        <v>5000</v>
      </c>
      <c r="BH395" s="348">
        <f t="shared" ca="1" si="459"/>
        <v>5000</v>
      </c>
      <c r="BI395" s="348">
        <f t="shared" ca="1" si="459"/>
        <v>5000</v>
      </c>
      <c r="BJ395" s="348">
        <f t="shared" ca="1" si="459"/>
        <v>5000</v>
      </c>
      <c r="BK395" s="348">
        <f t="shared" ca="1" si="459"/>
        <v>5000</v>
      </c>
      <c r="BL395" s="348">
        <f t="shared" ca="1" si="459"/>
        <v>5000</v>
      </c>
      <c r="BM395" s="348">
        <f t="shared" ca="1" si="459"/>
        <v>5000</v>
      </c>
      <c r="BN395" s="348">
        <f t="shared" ca="1" si="459"/>
        <v>5000</v>
      </c>
      <c r="BO395" s="348">
        <f t="shared" ca="1" si="459"/>
        <v>5000</v>
      </c>
      <c r="BP395" s="348">
        <f t="shared" ca="1" si="459"/>
        <v>5000</v>
      </c>
      <c r="BQ395" s="348">
        <f t="shared" ca="1" si="459"/>
        <v>5000</v>
      </c>
      <c r="BR395" s="348">
        <f t="shared" ca="1" si="459"/>
        <v>5000</v>
      </c>
      <c r="BS395" s="348">
        <f t="shared" ca="1" si="459"/>
        <v>5000</v>
      </c>
      <c r="BT395" s="348">
        <f t="shared" ca="1" si="459"/>
        <v>5000</v>
      </c>
      <c r="BU395" s="348">
        <f t="shared" ref="BU395:EF395" ca="1" si="460">IF(BU392=1,BU394,5000)</f>
        <v>5000</v>
      </c>
      <c r="BV395" s="348">
        <f t="shared" ca="1" si="460"/>
        <v>5000</v>
      </c>
      <c r="BW395" s="348">
        <f t="shared" ca="1" si="460"/>
        <v>5000</v>
      </c>
      <c r="BX395" s="348">
        <f t="shared" ca="1" si="460"/>
        <v>5000</v>
      </c>
      <c r="BY395" s="348">
        <f t="shared" ca="1" si="460"/>
        <v>5000</v>
      </c>
      <c r="BZ395" s="348">
        <f t="shared" ca="1" si="460"/>
        <v>5000</v>
      </c>
      <c r="CA395" s="348">
        <f t="shared" ca="1" si="460"/>
        <v>5000</v>
      </c>
      <c r="CB395" s="348">
        <f t="shared" ca="1" si="460"/>
        <v>5000</v>
      </c>
      <c r="CC395" s="348">
        <f t="shared" ca="1" si="460"/>
        <v>5000</v>
      </c>
      <c r="CD395" s="348">
        <f t="shared" ca="1" si="460"/>
        <v>5000</v>
      </c>
      <c r="CE395" s="348">
        <f t="shared" ca="1" si="460"/>
        <v>5000</v>
      </c>
      <c r="CF395" s="348">
        <f t="shared" ca="1" si="460"/>
        <v>5000</v>
      </c>
      <c r="CG395" s="348">
        <f t="shared" ca="1" si="460"/>
        <v>5000</v>
      </c>
      <c r="CH395" s="348">
        <f t="shared" ca="1" si="460"/>
        <v>5000</v>
      </c>
      <c r="CI395" s="348">
        <f t="shared" ca="1" si="460"/>
        <v>5000</v>
      </c>
      <c r="CJ395" s="348">
        <f t="shared" ca="1" si="460"/>
        <v>5000</v>
      </c>
      <c r="CK395" s="348">
        <f t="shared" ca="1" si="460"/>
        <v>5000</v>
      </c>
      <c r="CL395" s="348">
        <f t="shared" ca="1" si="460"/>
        <v>5000</v>
      </c>
      <c r="CM395" s="348">
        <f t="shared" ca="1" si="460"/>
        <v>5000</v>
      </c>
      <c r="CN395" s="348">
        <f t="shared" ca="1" si="460"/>
        <v>5000</v>
      </c>
      <c r="CO395" s="348">
        <f t="shared" ca="1" si="460"/>
        <v>5000</v>
      </c>
      <c r="CP395" s="348">
        <f t="shared" ca="1" si="460"/>
        <v>5000</v>
      </c>
      <c r="CQ395" s="348">
        <f t="shared" ca="1" si="460"/>
        <v>5000</v>
      </c>
      <c r="CR395" s="348">
        <f t="shared" ca="1" si="460"/>
        <v>5000</v>
      </c>
      <c r="CS395" s="348">
        <f t="shared" ca="1" si="460"/>
        <v>5000</v>
      </c>
      <c r="CT395" s="348">
        <f t="shared" ca="1" si="460"/>
        <v>5000</v>
      </c>
      <c r="CU395" s="348">
        <f t="shared" ca="1" si="460"/>
        <v>5000</v>
      </c>
      <c r="CV395" s="348">
        <f t="shared" ca="1" si="460"/>
        <v>5000</v>
      </c>
      <c r="CW395" s="348">
        <f t="shared" ca="1" si="460"/>
        <v>5000</v>
      </c>
      <c r="CX395" s="348">
        <f t="shared" ca="1" si="460"/>
        <v>5000</v>
      </c>
      <c r="CY395" s="348">
        <f t="shared" ca="1" si="460"/>
        <v>5000</v>
      </c>
      <c r="CZ395" s="348">
        <f t="shared" ca="1" si="460"/>
        <v>5000</v>
      </c>
      <c r="DA395" s="348">
        <f t="shared" ca="1" si="460"/>
        <v>5000</v>
      </c>
      <c r="DB395" s="348">
        <f t="shared" ca="1" si="460"/>
        <v>5000</v>
      </c>
      <c r="DC395" s="348">
        <f t="shared" ca="1" si="460"/>
        <v>5000</v>
      </c>
      <c r="DD395" s="348">
        <f t="shared" ca="1" si="460"/>
        <v>5000</v>
      </c>
      <c r="DE395" s="348">
        <f t="shared" ca="1" si="460"/>
        <v>5000</v>
      </c>
      <c r="DF395" s="348">
        <f t="shared" ca="1" si="460"/>
        <v>5000</v>
      </c>
      <c r="DG395" s="348">
        <f t="shared" ca="1" si="460"/>
        <v>5000</v>
      </c>
      <c r="DH395" s="348">
        <f t="shared" ca="1" si="460"/>
        <v>5000</v>
      </c>
      <c r="DI395" s="348">
        <f t="shared" ca="1" si="460"/>
        <v>5000</v>
      </c>
      <c r="DJ395" s="348">
        <f t="shared" ca="1" si="460"/>
        <v>5000</v>
      </c>
      <c r="DK395" s="348">
        <f t="shared" ca="1" si="460"/>
        <v>5000</v>
      </c>
      <c r="DL395" s="348">
        <f t="shared" ca="1" si="460"/>
        <v>5000</v>
      </c>
      <c r="DM395" s="348">
        <f t="shared" ca="1" si="460"/>
        <v>5000</v>
      </c>
      <c r="DN395" s="348">
        <f t="shared" ca="1" si="460"/>
        <v>5000</v>
      </c>
      <c r="DO395" s="348">
        <f t="shared" ca="1" si="460"/>
        <v>5000</v>
      </c>
      <c r="DP395" s="348">
        <f t="shared" ca="1" si="460"/>
        <v>5000</v>
      </c>
      <c r="DQ395" s="348">
        <f t="shared" ca="1" si="460"/>
        <v>5000</v>
      </c>
      <c r="DR395" s="348">
        <f t="shared" ca="1" si="460"/>
        <v>5000</v>
      </c>
      <c r="DS395" s="348">
        <f t="shared" ca="1" si="460"/>
        <v>5000</v>
      </c>
      <c r="DT395" s="348">
        <f t="shared" ca="1" si="460"/>
        <v>5000</v>
      </c>
      <c r="DU395" s="348">
        <f t="shared" ca="1" si="460"/>
        <v>5000</v>
      </c>
      <c r="DV395" s="348">
        <f t="shared" ca="1" si="460"/>
        <v>5000</v>
      </c>
      <c r="DW395" s="348">
        <f t="shared" ca="1" si="460"/>
        <v>5000</v>
      </c>
      <c r="DX395" s="348">
        <f t="shared" ca="1" si="460"/>
        <v>5000</v>
      </c>
      <c r="DY395" s="348">
        <f t="shared" ca="1" si="460"/>
        <v>5000</v>
      </c>
      <c r="DZ395" s="348">
        <f t="shared" ca="1" si="460"/>
        <v>5000</v>
      </c>
      <c r="EA395" s="348">
        <f t="shared" ca="1" si="460"/>
        <v>5000</v>
      </c>
      <c r="EB395" s="348">
        <f t="shared" ca="1" si="460"/>
        <v>5000</v>
      </c>
      <c r="EC395" s="348">
        <f t="shared" ca="1" si="460"/>
        <v>5000</v>
      </c>
      <c r="ED395" s="348">
        <f t="shared" ca="1" si="460"/>
        <v>5000</v>
      </c>
      <c r="EE395" s="348">
        <f t="shared" ca="1" si="460"/>
        <v>5000</v>
      </c>
      <c r="EF395" s="348">
        <f t="shared" ca="1" si="460"/>
        <v>5000</v>
      </c>
      <c r="EG395" s="348">
        <f t="shared" ref="EG395:GR395" ca="1" si="461">IF(EG392=1,EG394,5000)</f>
        <v>5000</v>
      </c>
      <c r="EH395" s="348">
        <f t="shared" ca="1" si="461"/>
        <v>5000</v>
      </c>
      <c r="EI395" s="348">
        <f t="shared" ca="1" si="461"/>
        <v>5000</v>
      </c>
      <c r="EJ395" s="348">
        <f t="shared" ca="1" si="461"/>
        <v>5000</v>
      </c>
      <c r="EK395" s="348">
        <f t="shared" ca="1" si="461"/>
        <v>5000</v>
      </c>
      <c r="EL395" s="348">
        <f t="shared" ca="1" si="461"/>
        <v>5000</v>
      </c>
      <c r="EM395" s="348">
        <f t="shared" ca="1" si="461"/>
        <v>5000</v>
      </c>
      <c r="EN395" s="348">
        <f t="shared" ca="1" si="461"/>
        <v>5000</v>
      </c>
      <c r="EO395" s="348">
        <f t="shared" ca="1" si="461"/>
        <v>5000</v>
      </c>
      <c r="EP395" s="348">
        <f t="shared" ca="1" si="461"/>
        <v>5000</v>
      </c>
      <c r="EQ395" s="348">
        <f t="shared" ca="1" si="461"/>
        <v>5000</v>
      </c>
      <c r="ER395" s="348">
        <f t="shared" ca="1" si="461"/>
        <v>5000</v>
      </c>
      <c r="ES395" s="348">
        <f t="shared" ca="1" si="461"/>
        <v>5000</v>
      </c>
      <c r="ET395" s="348">
        <f t="shared" ca="1" si="461"/>
        <v>5000</v>
      </c>
      <c r="EU395" s="348">
        <f t="shared" ca="1" si="461"/>
        <v>5000</v>
      </c>
      <c r="EV395" s="348">
        <f t="shared" ca="1" si="461"/>
        <v>5000</v>
      </c>
      <c r="EW395" s="348">
        <f t="shared" ca="1" si="461"/>
        <v>5000</v>
      </c>
      <c r="EX395" s="348">
        <f t="shared" ca="1" si="461"/>
        <v>5000</v>
      </c>
      <c r="EY395" s="348">
        <f t="shared" ca="1" si="461"/>
        <v>5000</v>
      </c>
      <c r="EZ395" s="348">
        <f t="shared" ca="1" si="461"/>
        <v>5000</v>
      </c>
      <c r="FA395" s="348">
        <f t="shared" ca="1" si="461"/>
        <v>5000</v>
      </c>
      <c r="FB395" s="348">
        <f t="shared" ca="1" si="461"/>
        <v>5000</v>
      </c>
      <c r="FC395" s="348">
        <f t="shared" ca="1" si="461"/>
        <v>5000</v>
      </c>
      <c r="FD395" s="348">
        <f t="shared" ca="1" si="461"/>
        <v>5000</v>
      </c>
      <c r="FE395" s="348">
        <f t="shared" ca="1" si="461"/>
        <v>5000</v>
      </c>
      <c r="FF395" s="348">
        <f t="shared" ca="1" si="461"/>
        <v>5000</v>
      </c>
      <c r="FG395" s="348">
        <f t="shared" ca="1" si="461"/>
        <v>5000</v>
      </c>
      <c r="FH395" s="348">
        <f t="shared" ca="1" si="461"/>
        <v>5000</v>
      </c>
      <c r="FI395" s="348">
        <f t="shared" ca="1" si="461"/>
        <v>5000</v>
      </c>
      <c r="FJ395" s="348">
        <f t="shared" ca="1" si="461"/>
        <v>5000</v>
      </c>
      <c r="FK395" s="348">
        <f t="shared" ca="1" si="461"/>
        <v>5000</v>
      </c>
      <c r="FL395" s="348">
        <f t="shared" ca="1" si="461"/>
        <v>5000</v>
      </c>
      <c r="FM395" s="348">
        <f t="shared" ca="1" si="461"/>
        <v>5000</v>
      </c>
      <c r="FN395" s="348">
        <f t="shared" ca="1" si="461"/>
        <v>5000</v>
      </c>
      <c r="FO395" s="348">
        <f t="shared" ca="1" si="461"/>
        <v>5000</v>
      </c>
      <c r="FP395" s="348">
        <f t="shared" ca="1" si="461"/>
        <v>5000</v>
      </c>
      <c r="FQ395" s="348">
        <f t="shared" ca="1" si="461"/>
        <v>5000</v>
      </c>
      <c r="FR395" s="348">
        <f t="shared" ca="1" si="461"/>
        <v>5000</v>
      </c>
      <c r="FS395" s="348">
        <f t="shared" ca="1" si="461"/>
        <v>5000</v>
      </c>
      <c r="FT395" s="348">
        <f t="shared" ca="1" si="461"/>
        <v>5000</v>
      </c>
      <c r="FU395" s="348">
        <f t="shared" ca="1" si="461"/>
        <v>5000</v>
      </c>
      <c r="FV395" s="348">
        <f t="shared" ca="1" si="461"/>
        <v>5000</v>
      </c>
      <c r="FW395" s="348">
        <f t="shared" ca="1" si="461"/>
        <v>5000</v>
      </c>
      <c r="FX395" s="348">
        <f t="shared" ca="1" si="461"/>
        <v>5000</v>
      </c>
      <c r="FY395" s="348">
        <f t="shared" ca="1" si="461"/>
        <v>5000</v>
      </c>
      <c r="FZ395" s="348">
        <f t="shared" ca="1" si="461"/>
        <v>5000</v>
      </c>
      <c r="GA395" s="348">
        <f t="shared" ca="1" si="461"/>
        <v>5000</v>
      </c>
      <c r="GB395" s="348">
        <f t="shared" ca="1" si="461"/>
        <v>5000</v>
      </c>
      <c r="GC395" s="348">
        <f t="shared" ca="1" si="461"/>
        <v>5000</v>
      </c>
      <c r="GD395" s="348">
        <f t="shared" ca="1" si="461"/>
        <v>5000</v>
      </c>
      <c r="GE395" s="348">
        <f t="shared" ca="1" si="461"/>
        <v>5000</v>
      </c>
      <c r="GF395" s="348">
        <f t="shared" ca="1" si="461"/>
        <v>5000</v>
      </c>
      <c r="GG395" s="348">
        <f t="shared" ca="1" si="461"/>
        <v>5000</v>
      </c>
      <c r="GH395" s="348">
        <f t="shared" ca="1" si="461"/>
        <v>5000</v>
      </c>
      <c r="GI395" s="348">
        <f t="shared" ca="1" si="461"/>
        <v>5000</v>
      </c>
      <c r="GJ395" s="348">
        <f t="shared" ca="1" si="461"/>
        <v>5000</v>
      </c>
      <c r="GK395" s="348">
        <f t="shared" ca="1" si="461"/>
        <v>5000</v>
      </c>
      <c r="GL395" s="348">
        <f t="shared" ca="1" si="461"/>
        <v>5000</v>
      </c>
      <c r="GM395" s="348">
        <f t="shared" ca="1" si="461"/>
        <v>5000</v>
      </c>
      <c r="GN395" s="348">
        <f t="shared" ca="1" si="461"/>
        <v>5000</v>
      </c>
      <c r="GO395" s="348">
        <f t="shared" ca="1" si="461"/>
        <v>5000</v>
      </c>
      <c r="GP395" s="348">
        <f t="shared" ca="1" si="461"/>
        <v>5000</v>
      </c>
      <c r="GQ395" s="348">
        <f t="shared" ca="1" si="461"/>
        <v>5000</v>
      </c>
      <c r="GR395" s="348">
        <f t="shared" ca="1" si="461"/>
        <v>5000</v>
      </c>
      <c r="GS395" s="348">
        <f t="shared" ref="GS395:IK395" ca="1" si="462">IF(GS392=1,GS394,5000)</f>
        <v>5000</v>
      </c>
      <c r="GT395" s="348">
        <f t="shared" ca="1" si="462"/>
        <v>5000</v>
      </c>
      <c r="GU395" s="348">
        <f t="shared" ca="1" si="462"/>
        <v>5000</v>
      </c>
      <c r="GV395" s="348">
        <f t="shared" ca="1" si="462"/>
        <v>5000</v>
      </c>
      <c r="GW395" s="348">
        <f t="shared" ca="1" si="462"/>
        <v>5000</v>
      </c>
      <c r="GX395" s="348">
        <f t="shared" ca="1" si="462"/>
        <v>5000</v>
      </c>
      <c r="GY395" s="348">
        <f t="shared" ca="1" si="462"/>
        <v>5000</v>
      </c>
      <c r="GZ395" s="348">
        <f t="shared" ca="1" si="462"/>
        <v>5000</v>
      </c>
      <c r="HA395" s="348">
        <f t="shared" ca="1" si="462"/>
        <v>5000</v>
      </c>
      <c r="HB395" s="348">
        <f t="shared" ca="1" si="462"/>
        <v>5000</v>
      </c>
      <c r="HC395" s="348">
        <f t="shared" ca="1" si="462"/>
        <v>5000</v>
      </c>
      <c r="HD395" s="348">
        <f t="shared" ca="1" si="462"/>
        <v>5000</v>
      </c>
      <c r="HE395" s="348">
        <f t="shared" ca="1" si="462"/>
        <v>5000</v>
      </c>
      <c r="HF395" s="348">
        <f t="shared" ca="1" si="462"/>
        <v>5000</v>
      </c>
      <c r="HG395" s="348">
        <f t="shared" ca="1" si="462"/>
        <v>5000</v>
      </c>
      <c r="HH395" s="348">
        <f t="shared" ca="1" si="462"/>
        <v>5000</v>
      </c>
      <c r="HI395" s="348">
        <f t="shared" ca="1" si="462"/>
        <v>5000</v>
      </c>
      <c r="HJ395" s="348">
        <f t="shared" ca="1" si="462"/>
        <v>5000</v>
      </c>
      <c r="HK395" s="348">
        <f t="shared" ca="1" si="462"/>
        <v>5000</v>
      </c>
      <c r="HL395" s="348">
        <f t="shared" ca="1" si="462"/>
        <v>5000</v>
      </c>
      <c r="HM395" s="348">
        <f t="shared" ca="1" si="462"/>
        <v>5000</v>
      </c>
      <c r="HN395" s="348">
        <f t="shared" ca="1" si="462"/>
        <v>5000</v>
      </c>
      <c r="HO395" s="348">
        <f t="shared" ca="1" si="462"/>
        <v>5000</v>
      </c>
      <c r="HP395" s="348">
        <f t="shared" ca="1" si="462"/>
        <v>5000</v>
      </c>
      <c r="HQ395" s="348">
        <f t="shared" ca="1" si="462"/>
        <v>5000</v>
      </c>
      <c r="HR395" s="348">
        <f t="shared" ca="1" si="462"/>
        <v>5000</v>
      </c>
      <c r="HS395" s="348">
        <f t="shared" ca="1" si="462"/>
        <v>5000</v>
      </c>
      <c r="HT395" s="348">
        <f t="shared" ca="1" si="462"/>
        <v>5000</v>
      </c>
      <c r="HU395" s="348">
        <f t="shared" ca="1" si="462"/>
        <v>5000</v>
      </c>
      <c r="HV395" s="348">
        <f t="shared" ca="1" si="462"/>
        <v>5000</v>
      </c>
      <c r="HW395" s="348">
        <f t="shared" ca="1" si="462"/>
        <v>5000</v>
      </c>
      <c r="HX395" s="348">
        <f t="shared" ca="1" si="462"/>
        <v>5000</v>
      </c>
      <c r="HY395" s="348">
        <f t="shared" ca="1" si="462"/>
        <v>5000</v>
      </c>
      <c r="HZ395" s="348">
        <f t="shared" ca="1" si="462"/>
        <v>5000</v>
      </c>
      <c r="IA395" s="348">
        <f t="shared" ca="1" si="462"/>
        <v>5000</v>
      </c>
      <c r="IB395" s="348">
        <f t="shared" ca="1" si="462"/>
        <v>5000</v>
      </c>
      <c r="IC395" s="348">
        <f t="shared" ca="1" si="462"/>
        <v>5000</v>
      </c>
      <c r="ID395" s="348">
        <f t="shared" ca="1" si="462"/>
        <v>5000</v>
      </c>
      <c r="IE395" s="348">
        <f t="shared" ca="1" si="462"/>
        <v>5000</v>
      </c>
      <c r="IF395" s="348">
        <f t="shared" ca="1" si="462"/>
        <v>5000</v>
      </c>
      <c r="IG395" s="348">
        <f t="shared" ca="1" si="462"/>
        <v>5000</v>
      </c>
      <c r="IH395" s="348">
        <f t="shared" ca="1" si="462"/>
        <v>5000</v>
      </c>
      <c r="II395" s="348">
        <f t="shared" ca="1" si="462"/>
        <v>5000</v>
      </c>
      <c r="IJ395" s="348">
        <f t="shared" ca="1" si="462"/>
        <v>5000</v>
      </c>
      <c r="IK395" s="348">
        <f t="shared" ca="1" si="462"/>
        <v>5000</v>
      </c>
    </row>
    <row r="396" spans="1:245" hidden="1" x14ac:dyDescent="0.35">
      <c r="H396" s="348">
        <f ca="1">IF(H393=1,H394,0)</f>
        <v>0</v>
      </c>
      <c r="I396" s="348">
        <f t="shared" ref="I396:BT396" ca="1" si="463">IF(I393=1,I394,0)</f>
        <v>0</v>
      </c>
      <c r="J396" s="348">
        <f t="shared" ca="1" si="463"/>
        <v>0</v>
      </c>
      <c r="K396" s="348">
        <f t="shared" ca="1" si="463"/>
        <v>0</v>
      </c>
      <c r="L396" s="348">
        <f t="shared" ca="1" si="463"/>
        <v>0</v>
      </c>
      <c r="M396" s="348">
        <f ca="1">IF(M393=1,M394,0)</f>
        <v>0</v>
      </c>
      <c r="N396" s="348">
        <f t="shared" ca="1" si="463"/>
        <v>0</v>
      </c>
      <c r="O396" s="348">
        <f t="shared" ca="1" si="463"/>
        <v>0</v>
      </c>
      <c r="P396" s="348">
        <f ca="1">IF(P393=1,P394,0)</f>
        <v>0</v>
      </c>
      <c r="Q396" s="348">
        <f t="shared" ca="1" si="463"/>
        <v>0</v>
      </c>
      <c r="R396" s="348">
        <f t="shared" ca="1" si="463"/>
        <v>0</v>
      </c>
      <c r="S396" s="348">
        <f t="shared" ca="1" si="463"/>
        <v>0</v>
      </c>
      <c r="T396" s="348">
        <f t="shared" ca="1" si="463"/>
        <v>0</v>
      </c>
      <c r="U396" s="348">
        <f t="shared" ca="1" si="463"/>
        <v>0</v>
      </c>
      <c r="V396" s="348">
        <f t="shared" ca="1" si="463"/>
        <v>0</v>
      </c>
      <c r="W396" s="348">
        <f t="shared" ca="1" si="463"/>
        <v>0</v>
      </c>
      <c r="X396" s="348">
        <f t="shared" ca="1" si="463"/>
        <v>0</v>
      </c>
      <c r="Y396" s="348">
        <f t="shared" ca="1" si="463"/>
        <v>0</v>
      </c>
      <c r="Z396" s="348">
        <f t="shared" ca="1" si="463"/>
        <v>0</v>
      </c>
      <c r="AA396" s="348">
        <f t="shared" ca="1" si="463"/>
        <v>0</v>
      </c>
      <c r="AB396" s="348">
        <f t="shared" ca="1" si="463"/>
        <v>0</v>
      </c>
      <c r="AC396" s="348">
        <f t="shared" ca="1" si="463"/>
        <v>0</v>
      </c>
      <c r="AD396" s="348">
        <f ca="1">IF(AD393=1,AD394,0)</f>
        <v>0</v>
      </c>
      <c r="AE396" s="348">
        <f t="shared" ca="1" si="463"/>
        <v>0</v>
      </c>
      <c r="AF396" s="348">
        <f t="shared" ca="1" si="463"/>
        <v>0</v>
      </c>
      <c r="AG396" s="348">
        <f t="shared" ca="1" si="463"/>
        <v>0</v>
      </c>
      <c r="AH396" s="348">
        <f t="shared" ca="1" si="463"/>
        <v>0</v>
      </c>
      <c r="AI396" s="348">
        <f t="shared" ca="1" si="463"/>
        <v>0</v>
      </c>
      <c r="AJ396" s="348">
        <f t="shared" ca="1" si="463"/>
        <v>0</v>
      </c>
      <c r="AK396" s="348">
        <f t="shared" ca="1" si="463"/>
        <v>0</v>
      </c>
      <c r="AL396" s="348">
        <f t="shared" ca="1" si="463"/>
        <v>0</v>
      </c>
      <c r="AM396" s="348">
        <f t="shared" ca="1" si="463"/>
        <v>0</v>
      </c>
      <c r="AN396" s="348">
        <f t="shared" ca="1" si="463"/>
        <v>0</v>
      </c>
      <c r="AO396" s="348">
        <f t="shared" ca="1" si="463"/>
        <v>0</v>
      </c>
      <c r="AP396" s="348">
        <f t="shared" ca="1" si="463"/>
        <v>0</v>
      </c>
      <c r="AQ396" s="348">
        <f t="shared" ca="1" si="463"/>
        <v>0</v>
      </c>
      <c r="AR396" s="348">
        <f t="shared" ca="1" si="463"/>
        <v>0</v>
      </c>
      <c r="AS396" s="348">
        <f t="shared" ca="1" si="463"/>
        <v>0</v>
      </c>
      <c r="AT396" s="348">
        <f t="shared" ca="1" si="463"/>
        <v>0</v>
      </c>
      <c r="AU396" s="348">
        <f t="shared" ca="1" si="463"/>
        <v>0</v>
      </c>
      <c r="AV396" s="348">
        <f t="shared" ca="1" si="463"/>
        <v>0</v>
      </c>
      <c r="AW396" s="348">
        <f t="shared" ca="1" si="463"/>
        <v>0</v>
      </c>
      <c r="AX396" s="348">
        <f t="shared" ca="1" si="463"/>
        <v>0</v>
      </c>
      <c r="AY396" s="348">
        <f t="shared" ca="1" si="463"/>
        <v>0</v>
      </c>
      <c r="AZ396" s="348">
        <f t="shared" ca="1" si="463"/>
        <v>0</v>
      </c>
      <c r="BA396" s="348">
        <f t="shared" ca="1" si="463"/>
        <v>0</v>
      </c>
      <c r="BB396" s="348">
        <f t="shared" ca="1" si="463"/>
        <v>0</v>
      </c>
      <c r="BC396" s="348">
        <f t="shared" ca="1" si="463"/>
        <v>0</v>
      </c>
      <c r="BD396" s="348">
        <f t="shared" ca="1" si="463"/>
        <v>0</v>
      </c>
      <c r="BE396" s="348">
        <f t="shared" ca="1" si="463"/>
        <v>0</v>
      </c>
      <c r="BF396" s="348">
        <f t="shared" ca="1" si="463"/>
        <v>0</v>
      </c>
      <c r="BG396" s="348">
        <f t="shared" ca="1" si="463"/>
        <v>0</v>
      </c>
      <c r="BH396" s="348">
        <f t="shared" ca="1" si="463"/>
        <v>0</v>
      </c>
      <c r="BI396" s="348">
        <f t="shared" ca="1" si="463"/>
        <v>0</v>
      </c>
      <c r="BJ396" s="348">
        <f t="shared" ca="1" si="463"/>
        <v>0</v>
      </c>
      <c r="BK396" s="348">
        <f t="shared" ca="1" si="463"/>
        <v>0</v>
      </c>
      <c r="BL396" s="348">
        <f t="shared" ca="1" si="463"/>
        <v>0</v>
      </c>
      <c r="BM396" s="348">
        <f t="shared" ca="1" si="463"/>
        <v>0</v>
      </c>
      <c r="BN396" s="348">
        <f t="shared" ca="1" si="463"/>
        <v>0</v>
      </c>
      <c r="BO396" s="348">
        <f t="shared" ca="1" si="463"/>
        <v>0</v>
      </c>
      <c r="BP396" s="348">
        <f t="shared" ca="1" si="463"/>
        <v>0</v>
      </c>
      <c r="BQ396" s="348">
        <f t="shared" ca="1" si="463"/>
        <v>0</v>
      </c>
      <c r="BR396" s="348">
        <f t="shared" ca="1" si="463"/>
        <v>0</v>
      </c>
      <c r="BS396" s="348">
        <f t="shared" ca="1" si="463"/>
        <v>0</v>
      </c>
      <c r="BT396" s="348">
        <f t="shared" ca="1" si="463"/>
        <v>0</v>
      </c>
      <c r="BU396" s="348">
        <f t="shared" ref="BU396:EF396" ca="1" si="464">IF(BU393=1,BU394,0)</f>
        <v>0</v>
      </c>
      <c r="BV396" s="348">
        <f t="shared" ca="1" si="464"/>
        <v>0</v>
      </c>
      <c r="BW396" s="348">
        <f t="shared" ca="1" si="464"/>
        <v>0</v>
      </c>
      <c r="BX396" s="348">
        <f t="shared" ca="1" si="464"/>
        <v>0</v>
      </c>
      <c r="BY396" s="348">
        <f t="shared" ca="1" si="464"/>
        <v>0</v>
      </c>
      <c r="BZ396" s="348">
        <f t="shared" ca="1" si="464"/>
        <v>0</v>
      </c>
      <c r="CA396" s="348">
        <f t="shared" ca="1" si="464"/>
        <v>0</v>
      </c>
      <c r="CB396" s="348">
        <f t="shared" ca="1" si="464"/>
        <v>0</v>
      </c>
      <c r="CC396" s="348">
        <f t="shared" ca="1" si="464"/>
        <v>0</v>
      </c>
      <c r="CD396" s="348">
        <f t="shared" ca="1" si="464"/>
        <v>0</v>
      </c>
      <c r="CE396" s="348">
        <f t="shared" ca="1" si="464"/>
        <v>0</v>
      </c>
      <c r="CF396" s="348">
        <f t="shared" ca="1" si="464"/>
        <v>0</v>
      </c>
      <c r="CG396" s="348">
        <f t="shared" ca="1" si="464"/>
        <v>0</v>
      </c>
      <c r="CH396" s="348">
        <f t="shared" ca="1" si="464"/>
        <v>0</v>
      </c>
      <c r="CI396" s="348">
        <f t="shared" ca="1" si="464"/>
        <v>0</v>
      </c>
      <c r="CJ396" s="348">
        <f t="shared" ca="1" si="464"/>
        <v>0</v>
      </c>
      <c r="CK396" s="348">
        <f t="shared" ca="1" si="464"/>
        <v>0</v>
      </c>
      <c r="CL396" s="348">
        <f t="shared" ca="1" si="464"/>
        <v>0</v>
      </c>
      <c r="CM396" s="348">
        <f t="shared" ca="1" si="464"/>
        <v>0</v>
      </c>
      <c r="CN396" s="348">
        <f t="shared" ca="1" si="464"/>
        <v>0</v>
      </c>
      <c r="CO396" s="348">
        <f t="shared" ca="1" si="464"/>
        <v>0</v>
      </c>
      <c r="CP396" s="348">
        <f t="shared" ca="1" si="464"/>
        <v>0</v>
      </c>
      <c r="CQ396" s="348">
        <f t="shared" ca="1" si="464"/>
        <v>0</v>
      </c>
      <c r="CR396" s="348">
        <f t="shared" ca="1" si="464"/>
        <v>0</v>
      </c>
      <c r="CS396" s="348">
        <f t="shared" ca="1" si="464"/>
        <v>0</v>
      </c>
      <c r="CT396" s="348">
        <f t="shared" ca="1" si="464"/>
        <v>0</v>
      </c>
      <c r="CU396" s="348">
        <f t="shared" ca="1" si="464"/>
        <v>0</v>
      </c>
      <c r="CV396" s="348">
        <f t="shared" ca="1" si="464"/>
        <v>0</v>
      </c>
      <c r="CW396" s="348">
        <f t="shared" ca="1" si="464"/>
        <v>0</v>
      </c>
      <c r="CX396" s="348">
        <f t="shared" ca="1" si="464"/>
        <v>0</v>
      </c>
      <c r="CY396" s="348">
        <f t="shared" ca="1" si="464"/>
        <v>0</v>
      </c>
      <c r="CZ396" s="348">
        <f t="shared" ca="1" si="464"/>
        <v>0</v>
      </c>
      <c r="DA396" s="348">
        <f t="shared" ca="1" si="464"/>
        <v>0</v>
      </c>
      <c r="DB396" s="348">
        <f t="shared" ca="1" si="464"/>
        <v>0</v>
      </c>
      <c r="DC396" s="348">
        <f t="shared" ca="1" si="464"/>
        <v>0</v>
      </c>
      <c r="DD396" s="348">
        <f t="shared" ca="1" si="464"/>
        <v>0</v>
      </c>
      <c r="DE396" s="348">
        <f t="shared" ca="1" si="464"/>
        <v>0</v>
      </c>
      <c r="DF396" s="348">
        <f t="shared" ca="1" si="464"/>
        <v>0</v>
      </c>
      <c r="DG396" s="348">
        <f t="shared" ca="1" si="464"/>
        <v>0</v>
      </c>
      <c r="DH396" s="348">
        <f t="shared" ca="1" si="464"/>
        <v>0</v>
      </c>
      <c r="DI396" s="348">
        <f t="shared" ca="1" si="464"/>
        <v>0</v>
      </c>
      <c r="DJ396" s="348">
        <f t="shared" ca="1" si="464"/>
        <v>0</v>
      </c>
      <c r="DK396" s="348">
        <f t="shared" ca="1" si="464"/>
        <v>0</v>
      </c>
      <c r="DL396" s="348">
        <f t="shared" ca="1" si="464"/>
        <v>0</v>
      </c>
      <c r="DM396" s="348">
        <f t="shared" ca="1" si="464"/>
        <v>0</v>
      </c>
      <c r="DN396" s="348">
        <f t="shared" ca="1" si="464"/>
        <v>0</v>
      </c>
      <c r="DO396" s="348">
        <f t="shared" ca="1" si="464"/>
        <v>0</v>
      </c>
      <c r="DP396" s="348">
        <f t="shared" ca="1" si="464"/>
        <v>0</v>
      </c>
      <c r="DQ396" s="348">
        <f t="shared" ca="1" si="464"/>
        <v>0</v>
      </c>
      <c r="DR396" s="348">
        <f t="shared" ca="1" si="464"/>
        <v>0</v>
      </c>
      <c r="DS396" s="348">
        <f t="shared" ca="1" si="464"/>
        <v>0</v>
      </c>
      <c r="DT396" s="348">
        <f t="shared" ca="1" si="464"/>
        <v>0</v>
      </c>
      <c r="DU396" s="348">
        <f t="shared" ca="1" si="464"/>
        <v>0</v>
      </c>
      <c r="DV396" s="348">
        <f t="shared" ca="1" si="464"/>
        <v>0</v>
      </c>
      <c r="DW396" s="348">
        <f t="shared" ca="1" si="464"/>
        <v>0</v>
      </c>
      <c r="DX396" s="348">
        <f t="shared" ca="1" si="464"/>
        <v>0</v>
      </c>
      <c r="DY396" s="348">
        <f t="shared" ca="1" si="464"/>
        <v>0</v>
      </c>
      <c r="DZ396" s="348">
        <f t="shared" ca="1" si="464"/>
        <v>0</v>
      </c>
      <c r="EA396" s="348">
        <f t="shared" ca="1" si="464"/>
        <v>0</v>
      </c>
      <c r="EB396" s="348">
        <f t="shared" ca="1" si="464"/>
        <v>0</v>
      </c>
      <c r="EC396" s="348">
        <f t="shared" ca="1" si="464"/>
        <v>0</v>
      </c>
      <c r="ED396" s="348">
        <f t="shared" ca="1" si="464"/>
        <v>0</v>
      </c>
      <c r="EE396" s="348">
        <f t="shared" ca="1" si="464"/>
        <v>0</v>
      </c>
      <c r="EF396" s="348">
        <f t="shared" ca="1" si="464"/>
        <v>0</v>
      </c>
      <c r="EG396" s="348">
        <f t="shared" ref="EG396:GR396" ca="1" si="465">IF(EG393=1,EG394,0)</f>
        <v>0</v>
      </c>
      <c r="EH396" s="348">
        <f t="shared" ca="1" si="465"/>
        <v>0</v>
      </c>
      <c r="EI396" s="348">
        <f t="shared" ca="1" si="465"/>
        <v>0</v>
      </c>
      <c r="EJ396" s="348">
        <f t="shared" ca="1" si="465"/>
        <v>133</v>
      </c>
      <c r="EK396" s="348">
        <f t="shared" ca="1" si="465"/>
        <v>0</v>
      </c>
      <c r="EL396" s="348">
        <f t="shared" ca="1" si="465"/>
        <v>0</v>
      </c>
      <c r="EM396" s="348">
        <f t="shared" ca="1" si="465"/>
        <v>0</v>
      </c>
      <c r="EN396" s="348">
        <f t="shared" ca="1" si="465"/>
        <v>0</v>
      </c>
      <c r="EO396" s="348">
        <f t="shared" ca="1" si="465"/>
        <v>0</v>
      </c>
      <c r="EP396" s="348">
        <f t="shared" ca="1" si="465"/>
        <v>0</v>
      </c>
      <c r="EQ396" s="348">
        <f t="shared" ca="1" si="465"/>
        <v>0</v>
      </c>
      <c r="ER396" s="348">
        <f t="shared" ca="1" si="465"/>
        <v>0</v>
      </c>
      <c r="ES396" s="348">
        <f t="shared" ca="1" si="465"/>
        <v>0</v>
      </c>
      <c r="ET396" s="348">
        <f t="shared" ca="1" si="465"/>
        <v>0</v>
      </c>
      <c r="EU396" s="348">
        <f t="shared" ca="1" si="465"/>
        <v>0</v>
      </c>
      <c r="EV396" s="348">
        <f t="shared" ca="1" si="465"/>
        <v>0</v>
      </c>
      <c r="EW396" s="348">
        <f t="shared" ca="1" si="465"/>
        <v>0</v>
      </c>
      <c r="EX396" s="348">
        <f t="shared" ca="1" si="465"/>
        <v>0</v>
      </c>
      <c r="EY396" s="348">
        <f t="shared" ca="1" si="465"/>
        <v>0</v>
      </c>
      <c r="EZ396" s="348">
        <f t="shared" ca="1" si="465"/>
        <v>0</v>
      </c>
      <c r="FA396" s="348">
        <f t="shared" ca="1" si="465"/>
        <v>0</v>
      </c>
      <c r="FB396" s="348">
        <f t="shared" ca="1" si="465"/>
        <v>0</v>
      </c>
      <c r="FC396" s="348">
        <f t="shared" ca="1" si="465"/>
        <v>0</v>
      </c>
      <c r="FD396" s="348">
        <f t="shared" ca="1" si="465"/>
        <v>0</v>
      </c>
      <c r="FE396" s="348">
        <f t="shared" ca="1" si="465"/>
        <v>0</v>
      </c>
      <c r="FF396" s="348">
        <f t="shared" ca="1" si="465"/>
        <v>0</v>
      </c>
      <c r="FG396" s="348">
        <f t="shared" ca="1" si="465"/>
        <v>0</v>
      </c>
      <c r="FH396" s="348">
        <f t="shared" ca="1" si="465"/>
        <v>0</v>
      </c>
      <c r="FI396" s="348">
        <f t="shared" ca="1" si="465"/>
        <v>0</v>
      </c>
      <c r="FJ396" s="348">
        <f t="shared" ca="1" si="465"/>
        <v>0</v>
      </c>
      <c r="FK396" s="348">
        <f t="shared" ca="1" si="465"/>
        <v>0</v>
      </c>
      <c r="FL396" s="348">
        <f t="shared" ca="1" si="465"/>
        <v>0</v>
      </c>
      <c r="FM396" s="348">
        <f t="shared" ca="1" si="465"/>
        <v>0</v>
      </c>
      <c r="FN396" s="348">
        <f t="shared" ca="1" si="465"/>
        <v>0</v>
      </c>
      <c r="FO396" s="348">
        <f t="shared" ca="1" si="465"/>
        <v>0</v>
      </c>
      <c r="FP396" s="348">
        <f t="shared" ca="1" si="465"/>
        <v>0</v>
      </c>
      <c r="FQ396" s="348">
        <f t="shared" ca="1" si="465"/>
        <v>0</v>
      </c>
      <c r="FR396" s="348">
        <f t="shared" ca="1" si="465"/>
        <v>0</v>
      </c>
      <c r="FS396" s="348">
        <f t="shared" ca="1" si="465"/>
        <v>0</v>
      </c>
      <c r="FT396" s="348">
        <f t="shared" ca="1" si="465"/>
        <v>0</v>
      </c>
      <c r="FU396" s="348">
        <f t="shared" ca="1" si="465"/>
        <v>0</v>
      </c>
      <c r="FV396" s="348">
        <f t="shared" ca="1" si="465"/>
        <v>0</v>
      </c>
      <c r="FW396" s="348">
        <f t="shared" ca="1" si="465"/>
        <v>0</v>
      </c>
      <c r="FX396" s="348">
        <f t="shared" ca="1" si="465"/>
        <v>0</v>
      </c>
      <c r="FY396" s="348">
        <f t="shared" ca="1" si="465"/>
        <v>0</v>
      </c>
      <c r="FZ396" s="348">
        <f t="shared" ca="1" si="465"/>
        <v>0</v>
      </c>
      <c r="GA396" s="348">
        <f t="shared" ca="1" si="465"/>
        <v>0</v>
      </c>
      <c r="GB396" s="348">
        <f t="shared" ca="1" si="465"/>
        <v>0</v>
      </c>
      <c r="GC396" s="348">
        <f t="shared" ca="1" si="465"/>
        <v>0</v>
      </c>
      <c r="GD396" s="348">
        <f t="shared" ca="1" si="465"/>
        <v>0</v>
      </c>
      <c r="GE396" s="348">
        <f t="shared" ca="1" si="465"/>
        <v>0</v>
      </c>
      <c r="GF396" s="348">
        <f t="shared" ca="1" si="465"/>
        <v>0</v>
      </c>
      <c r="GG396" s="348">
        <f t="shared" ca="1" si="465"/>
        <v>0</v>
      </c>
      <c r="GH396" s="348">
        <f t="shared" ca="1" si="465"/>
        <v>0</v>
      </c>
      <c r="GI396" s="348">
        <f t="shared" ca="1" si="465"/>
        <v>0</v>
      </c>
      <c r="GJ396" s="348">
        <f t="shared" ca="1" si="465"/>
        <v>0</v>
      </c>
      <c r="GK396" s="348">
        <f t="shared" ca="1" si="465"/>
        <v>0</v>
      </c>
      <c r="GL396" s="348">
        <f t="shared" ca="1" si="465"/>
        <v>0</v>
      </c>
      <c r="GM396" s="348">
        <f t="shared" ca="1" si="465"/>
        <v>0</v>
      </c>
      <c r="GN396" s="348">
        <f t="shared" ca="1" si="465"/>
        <v>0</v>
      </c>
      <c r="GO396" s="348">
        <f t="shared" ca="1" si="465"/>
        <v>0</v>
      </c>
      <c r="GP396" s="348">
        <f t="shared" ca="1" si="465"/>
        <v>0</v>
      </c>
      <c r="GQ396" s="348">
        <f t="shared" ca="1" si="465"/>
        <v>0</v>
      </c>
      <c r="GR396" s="348">
        <f t="shared" ca="1" si="465"/>
        <v>0</v>
      </c>
      <c r="GS396" s="348">
        <f t="shared" ref="GS396:IK396" ca="1" si="466">IF(GS393=1,GS394,0)</f>
        <v>0</v>
      </c>
      <c r="GT396" s="348">
        <f t="shared" ca="1" si="466"/>
        <v>0</v>
      </c>
      <c r="GU396" s="348">
        <f t="shared" ca="1" si="466"/>
        <v>0</v>
      </c>
      <c r="GV396" s="348">
        <f t="shared" ca="1" si="466"/>
        <v>0</v>
      </c>
      <c r="GW396" s="348">
        <f t="shared" ca="1" si="466"/>
        <v>0</v>
      </c>
      <c r="GX396" s="348">
        <f t="shared" ca="1" si="466"/>
        <v>0</v>
      </c>
      <c r="GY396" s="348">
        <f t="shared" ca="1" si="466"/>
        <v>0</v>
      </c>
      <c r="GZ396" s="348">
        <f t="shared" ca="1" si="466"/>
        <v>0</v>
      </c>
      <c r="HA396" s="348">
        <f t="shared" ca="1" si="466"/>
        <v>0</v>
      </c>
      <c r="HB396" s="348">
        <f t="shared" ca="1" si="466"/>
        <v>0</v>
      </c>
      <c r="HC396" s="348">
        <f t="shared" ca="1" si="466"/>
        <v>0</v>
      </c>
      <c r="HD396" s="348">
        <f t="shared" ca="1" si="466"/>
        <v>0</v>
      </c>
      <c r="HE396" s="348">
        <f t="shared" ca="1" si="466"/>
        <v>0</v>
      </c>
      <c r="HF396" s="348">
        <f t="shared" ca="1" si="466"/>
        <v>0</v>
      </c>
      <c r="HG396" s="348">
        <f t="shared" ca="1" si="466"/>
        <v>0</v>
      </c>
      <c r="HH396" s="348">
        <f t="shared" ca="1" si="466"/>
        <v>0</v>
      </c>
      <c r="HI396" s="348">
        <f t="shared" ca="1" si="466"/>
        <v>0</v>
      </c>
      <c r="HJ396" s="348">
        <f t="shared" ca="1" si="466"/>
        <v>0</v>
      </c>
      <c r="HK396" s="348">
        <f t="shared" ca="1" si="466"/>
        <v>0</v>
      </c>
      <c r="HL396" s="348">
        <f t="shared" ca="1" si="466"/>
        <v>0</v>
      </c>
      <c r="HM396" s="348">
        <f t="shared" ca="1" si="466"/>
        <v>0</v>
      </c>
      <c r="HN396" s="348">
        <f t="shared" ca="1" si="466"/>
        <v>0</v>
      </c>
      <c r="HO396" s="348">
        <f t="shared" ca="1" si="466"/>
        <v>0</v>
      </c>
      <c r="HP396" s="348">
        <f t="shared" ca="1" si="466"/>
        <v>0</v>
      </c>
      <c r="HQ396" s="348">
        <f t="shared" ca="1" si="466"/>
        <v>0</v>
      </c>
      <c r="HR396" s="348">
        <f t="shared" ca="1" si="466"/>
        <v>0</v>
      </c>
      <c r="HS396" s="348">
        <f t="shared" ca="1" si="466"/>
        <v>0</v>
      </c>
      <c r="HT396" s="348">
        <f t="shared" ca="1" si="466"/>
        <v>0</v>
      </c>
      <c r="HU396" s="348">
        <f t="shared" ca="1" si="466"/>
        <v>0</v>
      </c>
      <c r="HV396" s="348">
        <f t="shared" ca="1" si="466"/>
        <v>0</v>
      </c>
      <c r="HW396" s="348">
        <f t="shared" ca="1" si="466"/>
        <v>0</v>
      </c>
      <c r="HX396" s="348">
        <f t="shared" ca="1" si="466"/>
        <v>0</v>
      </c>
      <c r="HY396" s="348">
        <f t="shared" ca="1" si="466"/>
        <v>0</v>
      </c>
      <c r="HZ396" s="348">
        <f t="shared" ca="1" si="466"/>
        <v>0</v>
      </c>
      <c r="IA396" s="348">
        <f t="shared" ca="1" si="466"/>
        <v>0</v>
      </c>
      <c r="IB396" s="348">
        <f t="shared" ca="1" si="466"/>
        <v>0</v>
      </c>
      <c r="IC396" s="348">
        <f t="shared" ca="1" si="466"/>
        <v>0</v>
      </c>
      <c r="ID396" s="348">
        <f t="shared" ca="1" si="466"/>
        <v>0</v>
      </c>
      <c r="IE396" s="348">
        <f t="shared" ca="1" si="466"/>
        <v>0</v>
      </c>
      <c r="IF396" s="348">
        <f t="shared" ca="1" si="466"/>
        <v>0</v>
      </c>
      <c r="IG396" s="348">
        <f t="shared" ca="1" si="466"/>
        <v>0</v>
      </c>
      <c r="IH396" s="348">
        <f t="shared" ca="1" si="466"/>
        <v>0</v>
      </c>
      <c r="II396" s="348">
        <f t="shared" ca="1" si="466"/>
        <v>0</v>
      </c>
      <c r="IJ396" s="348">
        <f t="shared" ca="1" si="466"/>
        <v>0</v>
      </c>
      <c r="IK396" s="348">
        <f t="shared" ca="1" si="466"/>
        <v>0</v>
      </c>
    </row>
    <row r="397" spans="1:245" hidden="1" x14ac:dyDescent="0.35"/>
    <row r="398" spans="1:245" hidden="1" x14ac:dyDescent="0.35">
      <c r="H398" s="348">
        <f t="shared" ref="H398:BS398" ca="1" si="467">H378+H400</f>
        <v>1</v>
      </c>
      <c r="I398" s="348">
        <f t="shared" ca="1" si="467"/>
        <v>1</v>
      </c>
      <c r="J398" s="348">
        <f t="shared" ca="1" si="467"/>
        <v>1</v>
      </c>
      <c r="K398" s="348">
        <f t="shared" ca="1" si="467"/>
        <v>1</v>
      </c>
      <c r="L398" s="348">
        <f t="shared" ca="1" si="467"/>
        <v>1</v>
      </c>
      <c r="M398" s="348">
        <f t="shared" ca="1" si="467"/>
        <v>1</v>
      </c>
      <c r="N398" s="348">
        <f t="shared" ca="1" si="467"/>
        <v>1</v>
      </c>
      <c r="O398" s="348">
        <f t="shared" ca="1" si="467"/>
        <v>1</v>
      </c>
      <c r="P398" s="348">
        <f t="shared" ca="1" si="467"/>
        <v>1</v>
      </c>
      <c r="Q398" s="348">
        <f t="shared" ca="1" si="467"/>
        <v>1</v>
      </c>
      <c r="R398" s="348">
        <f t="shared" ca="1" si="467"/>
        <v>1</v>
      </c>
      <c r="S398" s="348">
        <f t="shared" ca="1" si="467"/>
        <v>1</v>
      </c>
      <c r="T398" s="348">
        <f t="shared" ca="1" si="467"/>
        <v>1</v>
      </c>
      <c r="U398" s="348">
        <f t="shared" ca="1" si="467"/>
        <v>1</v>
      </c>
      <c r="V398" s="348">
        <f t="shared" ca="1" si="467"/>
        <v>1</v>
      </c>
      <c r="W398" s="348">
        <f t="shared" ca="1" si="467"/>
        <v>1</v>
      </c>
      <c r="X398" s="348">
        <f t="shared" ca="1" si="467"/>
        <v>1</v>
      </c>
      <c r="Y398" s="348">
        <f t="shared" ca="1" si="467"/>
        <v>1</v>
      </c>
      <c r="Z398" s="348">
        <f t="shared" ca="1" si="467"/>
        <v>1</v>
      </c>
      <c r="AA398" s="348">
        <f t="shared" ca="1" si="467"/>
        <v>1</v>
      </c>
      <c r="AB398" s="348">
        <f t="shared" ca="1" si="467"/>
        <v>1</v>
      </c>
      <c r="AC398" s="348">
        <f t="shared" ca="1" si="467"/>
        <v>1</v>
      </c>
      <c r="AD398" s="348">
        <f t="shared" ca="1" si="467"/>
        <v>1</v>
      </c>
      <c r="AE398" s="348">
        <f t="shared" ca="1" si="467"/>
        <v>1</v>
      </c>
      <c r="AF398" s="348">
        <f t="shared" ca="1" si="467"/>
        <v>1</v>
      </c>
      <c r="AG398" s="348">
        <f t="shared" ca="1" si="467"/>
        <v>1</v>
      </c>
      <c r="AH398" s="348">
        <f t="shared" ca="1" si="467"/>
        <v>1</v>
      </c>
      <c r="AI398" s="348">
        <f t="shared" ca="1" si="467"/>
        <v>1</v>
      </c>
      <c r="AJ398" s="348">
        <f t="shared" ca="1" si="467"/>
        <v>1</v>
      </c>
      <c r="AK398" s="348">
        <f t="shared" ca="1" si="467"/>
        <v>1</v>
      </c>
      <c r="AL398" s="348">
        <f t="shared" ca="1" si="467"/>
        <v>1</v>
      </c>
      <c r="AM398" s="348">
        <f t="shared" ca="1" si="467"/>
        <v>1001</v>
      </c>
      <c r="AN398" s="348">
        <f t="shared" ca="1" si="467"/>
        <v>1002</v>
      </c>
      <c r="AO398" s="348">
        <f t="shared" ca="1" si="467"/>
        <v>1003</v>
      </c>
      <c r="AP398" s="348">
        <f t="shared" ca="1" si="467"/>
        <v>1004</v>
      </c>
      <c r="AQ398" s="348">
        <f t="shared" ca="1" si="467"/>
        <v>1005</v>
      </c>
      <c r="AR398" s="348">
        <f t="shared" ca="1" si="467"/>
        <v>1006</v>
      </c>
      <c r="AS398" s="348">
        <f t="shared" ca="1" si="467"/>
        <v>1007</v>
      </c>
      <c r="AT398" s="348">
        <f t="shared" ca="1" si="467"/>
        <v>1008</v>
      </c>
      <c r="AU398" s="348">
        <f t="shared" ca="1" si="467"/>
        <v>1009</v>
      </c>
      <c r="AV398" s="348">
        <f t="shared" ca="1" si="467"/>
        <v>1010</v>
      </c>
      <c r="AW398" s="348">
        <f t="shared" ca="1" si="467"/>
        <v>1011</v>
      </c>
      <c r="AX398" s="348">
        <f t="shared" ca="1" si="467"/>
        <v>1012</v>
      </c>
      <c r="AY398" s="348">
        <f t="shared" ca="1" si="467"/>
        <v>1013</v>
      </c>
      <c r="AZ398" s="348">
        <f t="shared" ca="1" si="467"/>
        <v>1014</v>
      </c>
      <c r="BA398" s="348">
        <f t="shared" ca="1" si="467"/>
        <v>1015</v>
      </c>
      <c r="BB398" s="348">
        <f t="shared" ca="1" si="467"/>
        <v>1016</v>
      </c>
      <c r="BC398" s="348">
        <f t="shared" ca="1" si="467"/>
        <v>1017</v>
      </c>
      <c r="BD398" s="348">
        <f t="shared" ca="1" si="467"/>
        <v>1018</v>
      </c>
      <c r="BE398" s="348">
        <f t="shared" ca="1" si="467"/>
        <v>1019</v>
      </c>
      <c r="BF398" s="348">
        <f t="shared" ca="1" si="467"/>
        <v>1020</v>
      </c>
      <c r="BG398" s="348">
        <f t="shared" ca="1" si="467"/>
        <v>1021</v>
      </c>
      <c r="BH398" s="348">
        <f t="shared" ca="1" si="467"/>
        <v>1022</v>
      </c>
      <c r="BI398" s="348">
        <f t="shared" ca="1" si="467"/>
        <v>1023</v>
      </c>
      <c r="BJ398" s="348">
        <f t="shared" ca="1" si="467"/>
        <v>1024</v>
      </c>
      <c r="BK398" s="348">
        <f t="shared" ca="1" si="467"/>
        <v>1025</v>
      </c>
      <c r="BL398" s="348">
        <f t="shared" ca="1" si="467"/>
        <v>1026</v>
      </c>
      <c r="BM398" s="348">
        <f t="shared" ca="1" si="467"/>
        <v>1027</v>
      </c>
      <c r="BN398" s="348">
        <f t="shared" ca="1" si="467"/>
        <v>1028</v>
      </c>
      <c r="BO398" s="348">
        <f t="shared" ca="1" si="467"/>
        <v>1029</v>
      </c>
      <c r="BP398" s="348">
        <f t="shared" ca="1" si="467"/>
        <v>1030</v>
      </c>
      <c r="BQ398" s="348">
        <f t="shared" ca="1" si="467"/>
        <v>1031</v>
      </c>
      <c r="BR398" s="348">
        <f t="shared" ca="1" si="467"/>
        <v>1032</v>
      </c>
      <c r="BS398" s="348">
        <f t="shared" ca="1" si="467"/>
        <v>1033</v>
      </c>
      <c r="BT398" s="348">
        <f t="shared" ref="BT398:EE398" ca="1" si="468">BT378+BT400</f>
        <v>1034</v>
      </c>
      <c r="BU398" s="348">
        <f t="shared" ca="1" si="468"/>
        <v>1035</v>
      </c>
      <c r="BV398" s="348">
        <f t="shared" ca="1" si="468"/>
        <v>1036</v>
      </c>
      <c r="BW398" s="348">
        <f t="shared" ca="1" si="468"/>
        <v>1037</v>
      </c>
      <c r="BX398" s="348">
        <f t="shared" ca="1" si="468"/>
        <v>1038</v>
      </c>
      <c r="BY398" s="348">
        <f t="shared" ca="1" si="468"/>
        <v>1039</v>
      </c>
      <c r="BZ398" s="348">
        <f t="shared" ca="1" si="468"/>
        <v>1040</v>
      </c>
      <c r="CA398" s="348">
        <f t="shared" ca="1" si="468"/>
        <v>1041</v>
      </c>
      <c r="CB398" s="348">
        <f t="shared" ca="1" si="468"/>
        <v>1042</v>
      </c>
      <c r="CC398" s="348">
        <f t="shared" ca="1" si="468"/>
        <v>1043</v>
      </c>
      <c r="CD398" s="348">
        <f t="shared" ca="1" si="468"/>
        <v>1044</v>
      </c>
      <c r="CE398" s="348">
        <f t="shared" ca="1" si="468"/>
        <v>1045</v>
      </c>
      <c r="CF398" s="348">
        <f t="shared" ca="1" si="468"/>
        <v>1046</v>
      </c>
      <c r="CG398" s="348">
        <f t="shared" ca="1" si="468"/>
        <v>1047</v>
      </c>
      <c r="CH398" s="348">
        <f t="shared" ca="1" si="468"/>
        <v>1048</v>
      </c>
      <c r="CI398" s="348">
        <f t="shared" ca="1" si="468"/>
        <v>1049</v>
      </c>
      <c r="CJ398" s="348">
        <f t="shared" ca="1" si="468"/>
        <v>1050</v>
      </c>
      <c r="CK398" s="348">
        <f t="shared" ca="1" si="468"/>
        <v>1051</v>
      </c>
      <c r="CL398" s="348">
        <f t="shared" ca="1" si="468"/>
        <v>1052</v>
      </c>
      <c r="CM398" s="348">
        <f t="shared" ca="1" si="468"/>
        <v>1053</v>
      </c>
      <c r="CN398" s="348">
        <f t="shared" ca="1" si="468"/>
        <v>1054</v>
      </c>
      <c r="CO398" s="348">
        <f t="shared" ca="1" si="468"/>
        <v>1055</v>
      </c>
      <c r="CP398" s="348">
        <f t="shared" ca="1" si="468"/>
        <v>1056</v>
      </c>
      <c r="CQ398" s="348">
        <f t="shared" ca="1" si="468"/>
        <v>1057</v>
      </c>
      <c r="CR398" s="348">
        <f t="shared" ca="1" si="468"/>
        <v>1058</v>
      </c>
      <c r="CS398" s="348">
        <f t="shared" ca="1" si="468"/>
        <v>1059</v>
      </c>
      <c r="CT398" s="348">
        <f t="shared" ca="1" si="468"/>
        <v>1060</v>
      </c>
      <c r="CU398" s="348">
        <f t="shared" ca="1" si="468"/>
        <v>1061</v>
      </c>
      <c r="CV398" s="348">
        <f t="shared" ca="1" si="468"/>
        <v>1062</v>
      </c>
      <c r="CW398" s="348">
        <f t="shared" ca="1" si="468"/>
        <v>1063</v>
      </c>
      <c r="CX398" s="348">
        <f t="shared" ca="1" si="468"/>
        <v>1064</v>
      </c>
      <c r="CY398" s="348">
        <f t="shared" ca="1" si="468"/>
        <v>1065</v>
      </c>
      <c r="CZ398" s="348">
        <f t="shared" ca="1" si="468"/>
        <v>1066</v>
      </c>
      <c r="DA398" s="348">
        <f t="shared" ca="1" si="468"/>
        <v>1067</v>
      </c>
      <c r="DB398" s="348">
        <f t="shared" ca="1" si="468"/>
        <v>1068</v>
      </c>
      <c r="DC398" s="348">
        <f t="shared" ca="1" si="468"/>
        <v>1069</v>
      </c>
      <c r="DD398" s="348">
        <f t="shared" ca="1" si="468"/>
        <v>1070</v>
      </c>
      <c r="DE398" s="348">
        <f t="shared" ca="1" si="468"/>
        <v>1071</v>
      </c>
      <c r="DF398" s="348">
        <f t="shared" ca="1" si="468"/>
        <v>1072</v>
      </c>
      <c r="DG398" s="348">
        <f t="shared" ca="1" si="468"/>
        <v>1073</v>
      </c>
      <c r="DH398" s="348">
        <f t="shared" ca="1" si="468"/>
        <v>1074</v>
      </c>
      <c r="DI398" s="348">
        <f t="shared" ca="1" si="468"/>
        <v>1075</v>
      </c>
      <c r="DJ398" s="348">
        <f t="shared" ca="1" si="468"/>
        <v>1076</v>
      </c>
      <c r="DK398" s="348">
        <f t="shared" ca="1" si="468"/>
        <v>1077</v>
      </c>
      <c r="DL398" s="348">
        <f t="shared" ca="1" si="468"/>
        <v>1078</v>
      </c>
      <c r="DM398" s="348">
        <f t="shared" ca="1" si="468"/>
        <v>1079</v>
      </c>
      <c r="DN398" s="348">
        <f t="shared" ca="1" si="468"/>
        <v>1080</v>
      </c>
      <c r="DO398" s="348">
        <f t="shared" ca="1" si="468"/>
        <v>1081</v>
      </c>
      <c r="DP398" s="348">
        <f t="shared" ca="1" si="468"/>
        <v>1082</v>
      </c>
      <c r="DQ398" s="348">
        <f t="shared" ca="1" si="468"/>
        <v>1083</v>
      </c>
      <c r="DR398" s="348">
        <f t="shared" ca="1" si="468"/>
        <v>1084</v>
      </c>
      <c r="DS398" s="348">
        <f t="shared" ca="1" si="468"/>
        <v>1085</v>
      </c>
      <c r="DT398" s="348">
        <f t="shared" ca="1" si="468"/>
        <v>1086</v>
      </c>
      <c r="DU398" s="348">
        <f t="shared" ca="1" si="468"/>
        <v>1087</v>
      </c>
      <c r="DV398" s="348">
        <f t="shared" ca="1" si="468"/>
        <v>1088</v>
      </c>
      <c r="DW398" s="348">
        <f t="shared" ca="1" si="468"/>
        <v>1089</v>
      </c>
      <c r="DX398" s="348">
        <f t="shared" ca="1" si="468"/>
        <v>1090</v>
      </c>
      <c r="DY398" s="348">
        <f t="shared" ca="1" si="468"/>
        <v>1091</v>
      </c>
      <c r="DZ398" s="348">
        <f t="shared" ca="1" si="468"/>
        <v>1092</v>
      </c>
      <c r="EA398" s="348">
        <f t="shared" ca="1" si="468"/>
        <v>1093</v>
      </c>
      <c r="EB398" s="348">
        <f t="shared" ca="1" si="468"/>
        <v>1094</v>
      </c>
      <c r="EC398" s="348">
        <f t="shared" ca="1" si="468"/>
        <v>1095</v>
      </c>
      <c r="ED398" s="348">
        <f t="shared" ca="1" si="468"/>
        <v>1096</v>
      </c>
      <c r="EE398" s="348">
        <f t="shared" ca="1" si="468"/>
        <v>1097</v>
      </c>
      <c r="EF398" s="348">
        <f t="shared" ref="EF398:GQ398" ca="1" si="469">EF378+EF400</f>
        <v>1098</v>
      </c>
      <c r="EG398" s="348">
        <f t="shared" ca="1" si="469"/>
        <v>1099</v>
      </c>
      <c r="EH398" s="348">
        <f t="shared" ca="1" si="469"/>
        <v>1100</v>
      </c>
      <c r="EI398" s="348">
        <f t="shared" ca="1" si="469"/>
        <v>1101</v>
      </c>
      <c r="EJ398" s="348">
        <f t="shared" ca="1" si="469"/>
        <v>1102</v>
      </c>
      <c r="EK398" s="348">
        <f t="shared" ca="1" si="469"/>
        <v>104</v>
      </c>
      <c r="EL398" s="348">
        <f t="shared" ca="1" si="469"/>
        <v>105</v>
      </c>
      <c r="EM398" s="348">
        <f t="shared" ca="1" si="469"/>
        <v>106</v>
      </c>
      <c r="EN398" s="348">
        <f t="shared" ca="1" si="469"/>
        <v>107</v>
      </c>
      <c r="EO398" s="348">
        <f t="shared" ca="1" si="469"/>
        <v>108</v>
      </c>
      <c r="EP398" s="348">
        <f t="shared" ca="1" si="469"/>
        <v>109</v>
      </c>
      <c r="EQ398" s="348">
        <f t="shared" ca="1" si="469"/>
        <v>110</v>
      </c>
      <c r="ER398" s="348">
        <f t="shared" ca="1" si="469"/>
        <v>111</v>
      </c>
      <c r="ES398" s="348">
        <f t="shared" ca="1" si="469"/>
        <v>112</v>
      </c>
      <c r="ET398" s="348">
        <f t="shared" ca="1" si="469"/>
        <v>113</v>
      </c>
      <c r="EU398" s="348">
        <f t="shared" ca="1" si="469"/>
        <v>114</v>
      </c>
      <c r="EV398" s="348">
        <f t="shared" ca="1" si="469"/>
        <v>115</v>
      </c>
      <c r="EW398" s="348">
        <f t="shared" ca="1" si="469"/>
        <v>116</v>
      </c>
      <c r="EX398" s="348">
        <f t="shared" ca="1" si="469"/>
        <v>117</v>
      </c>
      <c r="EY398" s="348">
        <f t="shared" ca="1" si="469"/>
        <v>118</v>
      </c>
      <c r="EZ398" s="348">
        <f t="shared" ca="1" si="469"/>
        <v>119</v>
      </c>
      <c r="FA398" s="348">
        <f t="shared" ca="1" si="469"/>
        <v>120</v>
      </c>
      <c r="FB398" s="348">
        <f t="shared" ca="1" si="469"/>
        <v>121</v>
      </c>
      <c r="FC398" s="348">
        <f t="shared" ca="1" si="469"/>
        <v>122</v>
      </c>
      <c r="FD398" s="348">
        <f t="shared" ca="1" si="469"/>
        <v>123</v>
      </c>
      <c r="FE398" s="348">
        <f t="shared" ca="1" si="469"/>
        <v>124</v>
      </c>
      <c r="FF398" s="348">
        <f t="shared" ca="1" si="469"/>
        <v>125</v>
      </c>
      <c r="FG398" s="348">
        <f t="shared" ca="1" si="469"/>
        <v>126</v>
      </c>
      <c r="FH398" s="348">
        <f t="shared" ca="1" si="469"/>
        <v>127</v>
      </c>
      <c r="FI398" s="348">
        <f t="shared" ca="1" si="469"/>
        <v>128</v>
      </c>
      <c r="FJ398" s="348">
        <f t="shared" ca="1" si="469"/>
        <v>129</v>
      </c>
      <c r="FK398" s="348">
        <f t="shared" ca="1" si="469"/>
        <v>130</v>
      </c>
      <c r="FL398" s="348">
        <f t="shared" ca="1" si="469"/>
        <v>131</v>
      </c>
      <c r="FM398" s="348">
        <f t="shared" ca="1" si="469"/>
        <v>132</v>
      </c>
      <c r="FN398" s="348">
        <f t="shared" ca="1" si="469"/>
        <v>133</v>
      </c>
      <c r="FO398" s="348">
        <f t="shared" ca="1" si="469"/>
        <v>134</v>
      </c>
      <c r="FP398" s="348">
        <f t="shared" ca="1" si="469"/>
        <v>135</v>
      </c>
      <c r="FQ398" s="348">
        <f t="shared" ca="1" si="469"/>
        <v>136</v>
      </c>
      <c r="FR398" s="348">
        <f t="shared" ca="1" si="469"/>
        <v>137</v>
      </c>
      <c r="FS398" s="348">
        <f t="shared" ca="1" si="469"/>
        <v>138</v>
      </c>
      <c r="FT398" s="348">
        <f t="shared" ca="1" si="469"/>
        <v>139</v>
      </c>
      <c r="FU398" s="348">
        <f t="shared" ca="1" si="469"/>
        <v>140</v>
      </c>
      <c r="FV398" s="348">
        <f t="shared" ca="1" si="469"/>
        <v>141</v>
      </c>
      <c r="FW398" s="348">
        <f t="shared" ca="1" si="469"/>
        <v>142</v>
      </c>
      <c r="FX398" s="348">
        <f t="shared" ca="1" si="469"/>
        <v>143</v>
      </c>
      <c r="FY398" s="348">
        <f t="shared" ca="1" si="469"/>
        <v>144</v>
      </c>
      <c r="FZ398" s="348">
        <f t="shared" ca="1" si="469"/>
        <v>145</v>
      </c>
      <c r="GA398" s="348">
        <f t="shared" ca="1" si="469"/>
        <v>146</v>
      </c>
      <c r="GB398" s="348">
        <f t="shared" ca="1" si="469"/>
        <v>147</v>
      </c>
      <c r="GC398" s="348">
        <f t="shared" ca="1" si="469"/>
        <v>148</v>
      </c>
      <c r="GD398" s="348">
        <f t="shared" ca="1" si="469"/>
        <v>149</v>
      </c>
      <c r="GE398" s="348">
        <f t="shared" ca="1" si="469"/>
        <v>150</v>
      </c>
      <c r="GF398" s="348">
        <f t="shared" ca="1" si="469"/>
        <v>151</v>
      </c>
      <c r="GG398" s="348">
        <f t="shared" ca="1" si="469"/>
        <v>152</v>
      </c>
      <c r="GH398" s="348">
        <f t="shared" ca="1" si="469"/>
        <v>153</v>
      </c>
      <c r="GI398" s="348">
        <f t="shared" ca="1" si="469"/>
        <v>154</v>
      </c>
      <c r="GJ398" s="348">
        <f t="shared" ca="1" si="469"/>
        <v>155</v>
      </c>
      <c r="GK398" s="348">
        <f t="shared" ca="1" si="469"/>
        <v>156</v>
      </c>
      <c r="GL398" s="348">
        <f t="shared" ca="1" si="469"/>
        <v>157</v>
      </c>
      <c r="GM398" s="348">
        <f t="shared" ca="1" si="469"/>
        <v>158</v>
      </c>
      <c r="GN398" s="348">
        <f t="shared" ca="1" si="469"/>
        <v>159</v>
      </c>
      <c r="GO398" s="348">
        <f t="shared" ca="1" si="469"/>
        <v>160</v>
      </c>
      <c r="GP398" s="348">
        <f t="shared" ca="1" si="469"/>
        <v>161</v>
      </c>
      <c r="GQ398" s="348">
        <f t="shared" ca="1" si="469"/>
        <v>162</v>
      </c>
      <c r="GR398" s="348">
        <f t="shared" ref="GR398:IK398" ca="1" si="470">GR378+GR400</f>
        <v>163</v>
      </c>
      <c r="GS398" s="348">
        <f t="shared" ca="1" si="470"/>
        <v>164</v>
      </c>
      <c r="GT398" s="348">
        <f t="shared" ca="1" si="470"/>
        <v>165</v>
      </c>
      <c r="GU398" s="348">
        <f t="shared" ca="1" si="470"/>
        <v>166</v>
      </c>
      <c r="GV398" s="348">
        <f t="shared" ca="1" si="470"/>
        <v>167</v>
      </c>
      <c r="GW398" s="348">
        <f t="shared" ca="1" si="470"/>
        <v>168</v>
      </c>
      <c r="GX398" s="348">
        <f t="shared" ca="1" si="470"/>
        <v>169</v>
      </c>
      <c r="GY398" s="348">
        <f t="shared" ca="1" si="470"/>
        <v>170</v>
      </c>
      <c r="GZ398" s="348">
        <f t="shared" ca="1" si="470"/>
        <v>171</v>
      </c>
      <c r="HA398" s="348">
        <f t="shared" ca="1" si="470"/>
        <v>172</v>
      </c>
      <c r="HB398" s="348">
        <f t="shared" ca="1" si="470"/>
        <v>173</v>
      </c>
      <c r="HC398" s="348">
        <f t="shared" ca="1" si="470"/>
        <v>174</v>
      </c>
      <c r="HD398" s="348">
        <f t="shared" ca="1" si="470"/>
        <v>175</v>
      </c>
      <c r="HE398" s="348">
        <f t="shared" ca="1" si="470"/>
        <v>176</v>
      </c>
      <c r="HF398" s="348">
        <f t="shared" ca="1" si="470"/>
        <v>177</v>
      </c>
      <c r="HG398" s="348">
        <f t="shared" ca="1" si="470"/>
        <v>178</v>
      </c>
      <c r="HH398" s="348">
        <f t="shared" ca="1" si="470"/>
        <v>179</v>
      </c>
      <c r="HI398" s="348">
        <f t="shared" ca="1" si="470"/>
        <v>180</v>
      </c>
      <c r="HJ398" s="348">
        <f t="shared" ca="1" si="470"/>
        <v>181</v>
      </c>
      <c r="HK398" s="348">
        <f t="shared" ca="1" si="470"/>
        <v>182</v>
      </c>
      <c r="HL398" s="348">
        <f t="shared" ca="1" si="470"/>
        <v>183</v>
      </c>
      <c r="HM398" s="348">
        <f t="shared" ca="1" si="470"/>
        <v>184</v>
      </c>
      <c r="HN398" s="348">
        <f t="shared" ca="1" si="470"/>
        <v>185</v>
      </c>
      <c r="HO398" s="348">
        <f t="shared" ca="1" si="470"/>
        <v>186</v>
      </c>
      <c r="HP398" s="348">
        <f t="shared" ca="1" si="470"/>
        <v>187</v>
      </c>
      <c r="HQ398" s="348">
        <f t="shared" ca="1" si="470"/>
        <v>188</v>
      </c>
      <c r="HR398" s="348">
        <f t="shared" ca="1" si="470"/>
        <v>189</v>
      </c>
      <c r="HS398" s="348">
        <f t="shared" ca="1" si="470"/>
        <v>190</v>
      </c>
      <c r="HT398" s="348">
        <f t="shared" ca="1" si="470"/>
        <v>191</v>
      </c>
      <c r="HU398" s="348">
        <f t="shared" ca="1" si="470"/>
        <v>192</v>
      </c>
      <c r="HV398" s="348">
        <f t="shared" ca="1" si="470"/>
        <v>193</v>
      </c>
      <c r="HW398" s="348">
        <f t="shared" ca="1" si="470"/>
        <v>194</v>
      </c>
      <c r="HX398" s="348">
        <f t="shared" ca="1" si="470"/>
        <v>195</v>
      </c>
      <c r="HY398" s="348">
        <f t="shared" ca="1" si="470"/>
        <v>196</v>
      </c>
      <c r="HZ398" s="348">
        <f t="shared" ca="1" si="470"/>
        <v>197</v>
      </c>
      <c r="IA398" s="348">
        <f t="shared" ca="1" si="470"/>
        <v>198</v>
      </c>
      <c r="IB398" s="348">
        <f t="shared" ca="1" si="470"/>
        <v>199</v>
      </c>
      <c r="IC398" s="348">
        <f t="shared" ca="1" si="470"/>
        <v>200</v>
      </c>
      <c r="ID398" s="348">
        <f t="shared" ca="1" si="470"/>
        <v>201</v>
      </c>
      <c r="IE398" s="348">
        <f t="shared" ca="1" si="470"/>
        <v>202</v>
      </c>
      <c r="IF398" s="348">
        <f t="shared" ca="1" si="470"/>
        <v>203</v>
      </c>
      <c r="IG398" s="348">
        <f t="shared" ca="1" si="470"/>
        <v>204</v>
      </c>
      <c r="IH398" s="348">
        <f t="shared" ca="1" si="470"/>
        <v>205</v>
      </c>
      <c r="II398" s="348">
        <f t="shared" ca="1" si="470"/>
        <v>206</v>
      </c>
      <c r="IJ398" s="348">
        <f t="shared" ca="1" si="470"/>
        <v>207</v>
      </c>
      <c r="IK398" s="348">
        <f t="shared" ca="1" si="470"/>
        <v>208</v>
      </c>
    </row>
    <row r="399" spans="1:245" hidden="1" x14ac:dyDescent="0.35">
      <c r="H399" s="348">
        <f ca="1">LARGE($H$398:$IK$398,1)</f>
        <v>1102</v>
      </c>
      <c r="I399" s="348">
        <f ca="1">LARGE($H$398:$IK$398,1)</f>
        <v>1102</v>
      </c>
      <c r="J399" s="348">
        <f t="shared" ref="J399:BT399" ca="1" si="471">LARGE($H$398:$IK$398,1)</f>
        <v>1102</v>
      </c>
      <c r="K399" s="348">
        <f t="shared" ca="1" si="471"/>
        <v>1102</v>
      </c>
      <c r="L399" s="348">
        <f t="shared" ca="1" si="471"/>
        <v>1102</v>
      </c>
      <c r="M399" s="348">
        <f t="shared" ca="1" si="471"/>
        <v>1102</v>
      </c>
      <c r="N399" s="348">
        <f t="shared" ca="1" si="471"/>
        <v>1102</v>
      </c>
      <c r="O399" s="348">
        <f t="shared" ca="1" si="471"/>
        <v>1102</v>
      </c>
      <c r="P399" s="348">
        <f ca="1">LARGE($H$398:$IK$398,1)</f>
        <v>1102</v>
      </c>
      <c r="Q399" s="348">
        <f t="shared" ca="1" si="471"/>
        <v>1102</v>
      </c>
      <c r="R399" s="348">
        <f t="shared" ca="1" si="471"/>
        <v>1102</v>
      </c>
      <c r="S399" s="348">
        <f t="shared" ca="1" si="471"/>
        <v>1102</v>
      </c>
      <c r="T399" s="348">
        <f t="shared" ca="1" si="471"/>
        <v>1102</v>
      </c>
      <c r="U399" s="348">
        <f t="shared" ca="1" si="471"/>
        <v>1102</v>
      </c>
      <c r="V399" s="348">
        <f t="shared" ca="1" si="471"/>
        <v>1102</v>
      </c>
      <c r="W399" s="348">
        <f t="shared" ca="1" si="471"/>
        <v>1102</v>
      </c>
      <c r="X399" s="348">
        <f t="shared" ca="1" si="471"/>
        <v>1102</v>
      </c>
      <c r="Y399" s="348">
        <f t="shared" ca="1" si="471"/>
        <v>1102</v>
      </c>
      <c r="Z399" s="348">
        <f t="shared" ca="1" si="471"/>
        <v>1102</v>
      </c>
      <c r="AA399" s="348">
        <f t="shared" ca="1" si="471"/>
        <v>1102</v>
      </c>
      <c r="AB399" s="348">
        <f t="shared" ca="1" si="471"/>
        <v>1102</v>
      </c>
      <c r="AC399" s="348">
        <f t="shared" ca="1" si="471"/>
        <v>1102</v>
      </c>
      <c r="AD399" s="348">
        <f t="shared" ca="1" si="471"/>
        <v>1102</v>
      </c>
      <c r="AE399" s="348">
        <f t="shared" ca="1" si="471"/>
        <v>1102</v>
      </c>
      <c r="AF399" s="348">
        <f t="shared" ca="1" si="471"/>
        <v>1102</v>
      </c>
      <c r="AG399" s="348">
        <f t="shared" ca="1" si="471"/>
        <v>1102</v>
      </c>
      <c r="AH399" s="348">
        <f t="shared" ca="1" si="471"/>
        <v>1102</v>
      </c>
      <c r="AI399" s="348">
        <f t="shared" ca="1" si="471"/>
        <v>1102</v>
      </c>
      <c r="AJ399" s="348">
        <f t="shared" ca="1" si="471"/>
        <v>1102</v>
      </c>
      <c r="AK399" s="348">
        <f t="shared" ca="1" si="471"/>
        <v>1102</v>
      </c>
      <c r="AL399" s="348">
        <f t="shared" ca="1" si="471"/>
        <v>1102</v>
      </c>
      <c r="AM399" s="348">
        <f t="shared" ca="1" si="471"/>
        <v>1102</v>
      </c>
      <c r="AN399" s="348">
        <f t="shared" ca="1" si="471"/>
        <v>1102</v>
      </c>
      <c r="AO399" s="348">
        <f t="shared" ca="1" si="471"/>
        <v>1102</v>
      </c>
      <c r="AP399" s="348">
        <f t="shared" ca="1" si="471"/>
        <v>1102</v>
      </c>
      <c r="AQ399" s="348">
        <f t="shared" ca="1" si="471"/>
        <v>1102</v>
      </c>
      <c r="AR399" s="348">
        <f t="shared" ca="1" si="471"/>
        <v>1102</v>
      </c>
      <c r="AS399" s="348">
        <f t="shared" ca="1" si="471"/>
        <v>1102</v>
      </c>
      <c r="AT399" s="348">
        <f t="shared" ca="1" si="471"/>
        <v>1102</v>
      </c>
      <c r="AU399" s="348">
        <f t="shared" ca="1" si="471"/>
        <v>1102</v>
      </c>
      <c r="AV399" s="348">
        <f t="shared" ca="1" si="471"/>
        <v>1102</v>
      </c>
      <c r="AW399" s="348">
        <f t="shared" ca="1" si="471"/>
        <v>1102</v>
      </c>
      <c r="AX399" s="348">
        <f t="shared" ca="1" si="471"/>
        <v>1102</v>
      </c>
      <c r="AY399" s="348">
        <f t="shared" ca="1" si="471"/>
        <v>1102</v>
      </c>
      <c r="AZ399" s="348">
        <f t="shared" ca="1" si="471"/>
        <v>1102</v>
      </c>
      <c r="BA399" s="348">
        <f t="shared" ca="1" si="471"/>
        <v>1102</v>
      </c>
      <c r="BB399" s="348">
        <f t="shared" ca="1" si="471"/>
        <v>1102</v>
      </c>
      <c r="BC399" s="348">
        <f t="shared" ca="1" si="471"/>
        <v>1102</v>
      </c>
      <c r="BD399" s="348">
        <f t="shared" ca="1" si="471"/>
        <v>1102</v>
      </c>
      <c r="BE399" s="348">
        <f t="shared" ca="1" si="471"/>
        <v>1102</v>
      </c>
      <c r="BF399" s="348">
        <f t="shared" ca="1" si="471"/>
        <v>1102</v>
      </c>
      <c r="BG399" s="348">
        <f t="shared" ca="1" si="471"/>
        <v>1102</v>
      </c>
      <c r="BH399" s="348">
        <f t="shared" ca="1" si="471"/>
        <v>1102</v>
      </c>
      <c r="BI399" s="348">
        <f t="shared" ca="1" si="471"/>
        <v>1102</v>
      </c>
      <c r="BJ399" s="348">
        <f t="shared" ca="1" si="471"/>
        <v>1102</v>
      </c>
      <c r="BK399" s="348">
        <f t="shared" ca="1" si="471"/>
        <v>1102</v>
      </c>
      <c r="BL399" s="348">
        <f t="shared" ca="1" si="471"/>
        <v>1102</v>
      </c>
      <c r="BM399" s="348">
        <f t="shared" ca="1" si="471"/>
        <v>1102</v>
      </c>
      <c r="BN399" s="348">
        <f t="shared" ca="1" si="471"/>
        <v>1102</v>
      </c>
      <c r="BO399" s="348">
        <f t="shared" ca="1" si="471"/>
        <v>1102</v>
      </c>
      <c r="BP399" s="348">
        <f t="shared" ca="1" si="471"/>
        <v>1102</v>
      </c>
      <c r="BQ399" s="348">
        <f t="shared" ca="1" si="471"/>
        <v>1102</v>
      </c>
      <c r="BR399" s="348">
        <f t="shared" ca="1" si="471"/>
        <v>1102</v>
      </c>
      <c r="BS399" s="348">
        <f t="shared" ca="1" si="471"/>
        <v>1102</v>
      </c>
      <c r="BT399" s="348">
        <f t="shared" ca="1" si="471"/>
        <v>1102</v>
      </c>
      <c r="BU399" s="348">
        <f t="shared" ref="BU399:EF399" ca="1" si="472">LARGE($H$398:$IK$398,1)</f>
        <v>1102</v>
      </c>
      <c r="BV399" s="348">
        <f t="shared" ca="1" si="472"/>
        <v>1102</v>
      </c>
      <c r="BW399" s="348">
        <f t="shared" ca="1" si="472"/>
        <v>1102</v>
      </c>
      <c r="BX399" s="348">
        <f t="shared" ca="1" si="472"/>
        <v>1102</v>
      </c>
      <c r="BY399" s="348">
        <f t="shared" ca="1" si="472"/>
        <v>1102</v>
      </c>
      <c r="BZ399" s="348">
        <f t="shared" ca="1" si="472"/>
        <v>1102</v>
      </c>
      <c r="CA399" s="348">
        <f t="shared" ca="1" si="472"/>
        <v>1102</v>
      </c>
      <c r="CB399" s="348">
        <f t="shared" ca="1" si="472"/>
        <v>1102</v>
      </c>
      <c r="CC399" s="348">
        <f t="shared" ca="1" si="472"/>
        <v>1102</v>
      </c>
      <c r="CD399" s="348">
        <f t="shared" ca="1" si="472"/>
        <v>1102</v>
      </c>
      <c r="CE399" s="348">
        <f t="shared" ca="1" si="472"/>
        <v>1102</v>
      </c>
      <c r="CF399" s="348">
        <f t="shared" ca="1" si="472"/>
        <v>1102</v>
      </c>
      <c r="CG399" s="348">
        <f t="shared" ca="1" si="472"/>
        <v>1102</v>
      </c>
      <c r="CH399" s="348">
        <f t="shared" ca="1" si="472"/>
        <v>1102</v>
      </c>
      <c r="CI399" s="348">
        <f t="shared" ca="1" si="472"/>
        <v>1102</v>
      </c>
      <c r="CJ399" s="348">
        <f t="shared" ca="1" si="472"/>
        <v>1102</v>
      </c>
      <c r="CK399" s="348">
        <f t="shared" ca="1" si="472"/>
        <v>1102</v>
      </c>
      <c r="CL399" s="348">
        <f t="shared" ca="1" si="472"/>
        <v>1102</v>
      </c>
      <c r="CM399" s="348">
        <f t="shared" ca="1" si="472"/>
        <v>1102</v>
      </c>
      <c r="CN399" s="348">
        <f t="shared" ca="1" si="472"/>
        <v>1102</v>
      </c>
      <c r="CO399" s="348">
        <f t="shared" ca="1" si="472"/>
        <v>1102</v>
      </c>
      <c r="CP399" s="348">
        <f t="shared" ca="1" si="472"/>
        <v>1102</v>
      </c>
      <c r="CQ399" s="348">
        <f t="shared" ca="1" si="472"/>
        <v>1102</v>
      </c>
      <c r="CR399" s="348">
        <f t="shared" ca="1" si="472"/>
        <v>1102</v>
      </c>
      <c r="CS399" s="348">
        <f t="shared" ca="1" si="472"/>
        <v>1102</v>
      </c>
      <c r="CT399" s="348">
        <f t="shared" ca="1" si="472"/>
        <v>1102</v>
      </c>
      <c r="CU399" s="348">
        <f t="shared" ca="1" si="472"/>
        <v>1102</v>
      </c>
      <c r="CV399" s="348">
        <f t="shared" ca="1" si="472"/>
        <v>1102</v>
      </c>
      <c r="CW399" s="348">
        <f t="shared" ca="1" si="472"/>
        <v>1102</v>
      </c>
      <c r="CX399" s="348">
        <f t="shared" ca="1" si="472"/>
        <v>1102</v>
      </c>
      <c r="CY399" s="348">
        <f t="shared" ca="1" si="472"/>
        <v>1102</v>
      </c>
      <c r="CZ399" s="348">
        <f t="shared" ca="1" si="472"/>
        <v>1102</v>
      </c>
      <c r="DA399" s="348">
        <f t="shared" ca="1" si="472"/>
        <v>1102</v>
      </c>
      <c r="DB399" s="348">
        <f t="shared" ca="1" si="472"/>
        <v>1102</v>
      </c>
      <c r="DC399" s="348">
        <f t="shared" ca="1" si="472"/>
        <v>1102</v>
      </c>
      <c r="DD399" s="348">
        <f t="shared" ca="1" si="472"/>
        <v>1102</v>
      </c>
      <c r="DE399" s="348">
        <f t="shared" ca="1" si="472"/>
        <v>1102</v>
      </c>
      <c r="DF399" s="348">
        <f t="shared" ca="1" si="472"/>
        <v>1102</v>
      </c>
      <c r="DG399" s="348">
        <f t="shared" ca="1" si="472"/>
        <v>1102</v>
      </c>
      <c r="DH399" s="348">
        <f t="shared" ca="1" si="472"/>
        <v>1102</v>
      </c>
      <c r="DI399" s="348">
        <f t="shared" ca="1" si="472"/>
        <v>1102</v>
      </c>
      <c r="DJ399" s="348">
        <f t="shared" ca="1" si="472"/>
        <v>1102</v>
      </c>
      <c r="DK399" s="348">
        <f t="shared" ca="1" si="472"/>
        <v>1102</v>
      </c>
      <c r="DL399" s="348">
        <f t="shared" ca="1" si="472"/>
        <v>1102</v>
      </c>
      <c r="DM399" s="348">
        <f t="shared" ca="1" si="472"/>
        <v>1102</v>
      </c>
      <c r="DN399" s="348">
        <f t="shared" ca="1" si="472"/>
        <v>1102</v>
      </c>
      <c r="DO399" s="348">
        <f t="shared" ca="1" si="472"/>
        <v>1102</v>
      </c>
      <c r="DP399" s="348">
        <f t="shared" ca="1" si="472"/>
        <v>1102</v>
      </c>
      <c r="DQ399" s="348">
        <f t="shared" ca="1" si="472"/>
        <v>1102</v>
      </c>
      <c r="DR399" s="348">
        <f t="shared" ca="1" si="472"/>
        <v>1102</v>
      </c>
      <c r="DS399" s="348">
        <f t="shared" ca="1" si="472"/>
        <v>1102</v>
      </c>
      <c r="DT399" s="348">
        <f t="shared" ca="1" si="472"/>
        <v>1102</v>
      </c>
      <c r="DU399" s="348">
        <f t="shared" ca="1" si="472"/>
        <v>1102</v>
      </c>
      <c r="DV399" s="348">
        <f t="shared" ca="1" si="472"/>
        <v>1102</v>
      </c>
      <c r="DW399" s="348">
        <f t="shared" ca="1" si="472"/>
        <v>1102</v>
      </c>
      <c r="DX399" s="348">
        <f t="shared" ca="1" si="472"/>
        <v>1102</v>
      </c>
      <c r="DY399" s="348">
        <f t="shared" ca="1" si="472"/>
        <v>1102</v>
      </c>
      <c r="DZ399" s="348">
        <f t="shared" ca="1" si="472"/>
        <v>1102</v>
      </c>
      <c r="EA399" s="348">
        <f t="shared" ca="1" si="472"/>
        <v>1102</v>
      </c>
      <c r="EB399" s="348">
        <f t="shared" ca="1" si="472"/>
        <v>1102</v>
      </c>
      <c r="EC399" s="348">
        <f t="shared" ca="1" si="472"/>
        <v>1102</v>
      </c>
      <c r="ED399" s="348">
        <f t="shared" ca="1" si="472"/>
        <v>1102</v>
      </c>
      <c r="EE399" s="348">
        <f t="shared" ca="1" si="472"/>
        <v>1102</v>
      </c>
      <c r="EF399" s="348">
        <f t="shared" ca="1" si="472"/>
        <v>1102</v>
      </c>
      <c r="EG399" s="348">
        <f t="shared" ref="EG399:GR399" ca="1" si="473">LARGE($H$398:$IK$398,1)</f>
        <v>1102</v>
      </c>
      <c r="EH399" s="348">
        <f t="shared" ca="1" si="473"/>
        <v>1102</v>
      </c>
      <c r="EI399" s="348">
        <f t="shared" ca="1" si="473"/>
        <v>1102</v>
      </c>
      <c r="EJ399" s="348">
        <f t="shared" ca="1" si="473"/>
        <v>1102</v>
      </c>
      <c r="EK399" s="348">
        <f t="shared" ca="1" si="473"/>
        <v>1102</v>
      </c>
      <c r="EL399" s="348">
        <f t="shared" ca="1" si="473"/>
        <v>1102</v>
      </c>
      <c r="EM399" s="348">
        <f t="shared" ca="1" si="473"/>
        <v>1102</v>
      </c>
      <c r="EN399" s="348">
        <f t="shared" ca="1" si="473"/>
        <v>1102</v>
      </c>
      <c r="EO399" s="348">
        <f t="shared" ca="1" si="473"/>
        <v>1102</v>
      </c>
      <c r="EP399" s="348">
        <f t="shared" ca="1" si="473"/>
        <v>1102</v>
      </c>
      <c r="EQ399" s="348">
        <f t="shared" ca="1" si="473"/>
        <v>1102</v>
      </c>
      <c r="ER399" s="348">
        <f t="shared" ca="1" si="473"/>
        <v>1102</v>
      </c>
      <c r="ES399" s="348">
        <f t="shared" ca="1" si="473"/>
        <v>1102</v>
      </c>
      <c r="ET399" s="348">
        <f t="shared" ca="1" si="473"/>
        <v>1102</v>
      </c>
      <c r="EU399" s="348">
        <f t="shared" ca="1" si="473"/>
        <v>1102</v>
      </c>
      <c r="EV399" s="348">
        <f t="shared" ca="1" si="473"/>
        <v>1102</v>
      </c>
      <c r="EW399" s="348">
        <f t="shared" ca="1" si="473"/>
        <v>1102</v>
      </c>
      <c r="EX399" s="348">
        <f t="shared" ca="1" si="473"/>
        <v>1102</v>
      </c>
      <c r="EY399" s="348">
        <f t="shared" ca="1" si="473"/>
        <v>1102</v>
      </c>
      <c r="EZ399" s="348">
        <f t="shared" ca="1" si="473"/>
        <v>1102</v>
      </c>
      <c r="FA399" s="348">
        <f t="shared" ca="1" si="473"/>
        <v>1102</v>
      </c>
      <c r="FB399" s="348">
        <f t="shared" ca="1" si="473"/>
        <v>1102</v>
      </c>
      <c r="FC399" s="348">
        <f t="shared" ca="1" si="473"/>
        <v>1102</v>
      </c>
      <c r="FD399" s="348">
        <f t="shared" ca="1" si="473"/>
        <v>1102</v>
      </c>
      <c r="FE399" s="348">
        <f t="shared" ca="1" si="473"/>
        <v>1102</v>
      </c>
      <c r="FF399" s="348">
        <f t="shared" ca="1" si="473"/>
        <v>1102</v>
      </c>
      <c r="FG399" s="348">
        <f t="shared" ca="1" si="473"/>
        <v>1102</v>
      </c>
      <c r="FH399" s="348">
        <f t="shared" ca="1" si="473"/>
        <v>1102</v>
      </c>
      <c r="FI399" s="348">
        <f t="shared" ca="1" si="473"/>
        <v>1102</v>
      </c>
      <c r="FJ399" s="348">
        <f t="shared" ca="1" si="473"/>
        <v>1102</v>
      </c>
      <c r="FK399" s="348">
        <f t="shared" ca="1" si="473"/>
        <v>1102</v>
      </c>
      <c r="FL399" s="348">
        <f t="shared" ca="1" si="473"/>
        <v>1102</v>
      </c>
      <c r="FM399" s="348">
        <f t="shared" ca="1" si="473"/>
        <v>1102</v>
      </c>
      <c r="FN399" s="348">
        <f t="shared" ca="1" si="473"/>
        <v>1102</v>
      </c>
      <c r="FO399" s="348">
        <f t="shared" ca="1" si="473"/>
        <v>1102</v>
      </c>
      <c r="FP399" s="348">
        <f t="shared" ca="1" si="473"/>
        <v>1102</v>
      </c>
      <c r="FQ399" s="348">
        <f t="shared" ca="1" si="473"/>
        <v>1102</v>
      </c>
      <c r="FR399" s="348">
        <f t="shared" ca="1" si="473"/>
        <v>1102</v>
      </c>
      <c r="FS399" s="348">
        <f t="shared" ca="1" si="473"/>
        <v>1102</v>
      </c>
      <c r="FT399" s="348">
        <f t="shared" ca="1" si="473"/>
        <v>1102</v>
      </c>
      <c r="FU399" s="348">
        <f t="shared" ca="1" si="473"/>
        <v>1102</v>
      </c>
      <c r="FV399" s="348">
        <f t="shared" ca="1" si="473"/>
        <v>1102</v>
      </c>
      <c r="FW399" s="348">
        <f t="shared" ca="1" si="473"/>
        <v>1102</v>
      </c>
      <c r="FX399" s="348">
        <f t="shared" ca="1" si="473"/>
        <v>1102</v>
      </c>
      <c r="FY399" s="348">
        <f t="shared" ca="1" si="473"/>
        <v>1102</v>
      </c>
      <c r="FZ399" s="348">
        <f t="shared" ca="1" si="473"/>
        <v>1102</v>
      </c>
      <c r="GA399" s="348">
        <f t="shared" ca="1" si="473"/>
        <v>1102</v>
      </c>
      <c r="GB399" s="348">
        <f t="shared" ca="1" si="473"/>
        <v>1102</v>
      </c>
      <c r="GC399" s="348">
        <f t="shared" ca="1" si="473"/>
        <v>1102</v>
      </c>
      <c r="GD399" s="348">
        <f t="shared" ca="1" si="473"/>
        <v>1102</v>
      </c>
      <c r="GE399" s="348">
        <f t="shared" ca="1" si="473"/>
        <v>1102</v>
      </c>
      <c r="GF399" s="348">
        <f t="shared" ca="1" si="473"/>
        <v>1102</v>
      </c>
      <c r="GG399" s="348">
        <f t="shared" ca="1" si="473"/>
        <v>1102</v>
      </c>
      <c r="GH399" s="348">
        <f t="shared" ca="1" si="473"/>
        <v>1102</v>
      </c>
      <c r="GI399" s="348">
        <f t="shared" ca="1" si="473"/>
        <v>1102</v>
      </c>
      <c r="GJ399" s="348">
        <f t="shared" ca="1" si="473"/>
        <v>1102</v>
      </c>
      <c r="GK399" s="348">
        <f t="shared" ca="1" si="473"/>
        <v>1102</v>
      </c>
      <c r="GL399" s="348">
        <f t="shared" ca="1" si="473"/>
        <v>1102</v>
      </c>
      <c r="GM399" s="348">
        <f t="shared" ca="1" si="473"/>
        <v>1102</v>
      </c>
      <c r="GN399" s="348">
        <f t="shared" ca="1" si="473"/>
        <v>1102</v>
      </c>
      <c r="GO399" s="348">
        <f t="shared" ca="1" si="473"/>
        <v>1102</v>
      </c>
      <c r="GP399" s="348">
        <f t="shared" ca="1" si="473"/>
        <v>1102</v>
      </c>
      <c r="GQ399" s="348">
        <f t="shared" ca="1" si="473"/>
        <v>1102</v>
      </c>
      <c r="GR399" s="348">
        <f t="shared" ca="1" si="473"/>
        <v>1102</v>
      </c>
      <c r="GS399" s="348">
        <f t="shared" ref="GS399:IK399" ca="1" si="474">LARGE($H$398:$IK$398,1)</f>
        <v>1102</v>
      </c>
      <c r="GT399" s="348">
        <f t="shared" ca="1" si="474"/>
        <v>1102</v>
      </c>
      <c r="GU399" s="348">
        <f t="shared" ca="1" si="474"/>
        <v>1102</v>
      </c>
      <c r="GV399" s="348">
        <f t="shared" ca="1" si="474"/>
        <v>1102</v>
      </c>
      <c r="GW399" s="348">
        <f t="shared" ca="1" si="474"/>
        <v>1102</v>
      </c>
      <c r="GX399" s="348">
        <f t="shared" ca="1" si="474"/>
        <v>1102</v>
      </c>
      <c r="GY399" s="348">
        <f t="shared" ca="1" si="474"/>
        <v>1102</v>
      </c>
      <c r="GZ399" s="348">
        <f t="shared" ca="1" si="474"/>
        <v>1102</v>
      </c>
      <c r="HA399" s="348">
        <f t="shared" ca="1" si="474"/>
        <v>1102</v>
      </c>
      <c r="HB399" s="348">
        <f t="shared" ca="1" si="474"/>
        <v>1102</v>
      </c>
      <c r="HC399" s="348">
        <f t="shared" ca="1" si="474"/>
        <v>1102</v>
      </c>
      <c r="HD399" s="348">
        <f t="shared" ca="1" si="474"/>
        <v>1102</v>
      </c>
      <c r="HE399" s="348">
        <f t="shared" ca="1" si="474"/>
        <v>1102</v>
      </c>
      <c r="HF399" s="348">
        <f t="shared" ca="1" si="474"/>
        <v>1102</v>
      </c>
      <c r="HG399" s="348">
        <f t="shared" ca="1" si="474"/>
        <v>1102</v>
      </c>
      <c r="HH399" s="348">
        <f t="shared" ca="1" si="474"/>
        <v>1102</v>
      </c>
      <c r="HI399" s="348">
        <f t="shared" ca="1" si="474"/>
        <v>1102</v>
      </c>
      <c r="HJ399" s="348">
        <f t="shared" ca="1" si="474"/>
        <v>1102</v>
      </c>
      <c r="HK399" s="348">
        <f t="shared" ca="1" si="474"/>
        <v>1102</v>
      </c>
      <c r="HL399" s="348">
        <f t="shared" ca="1" si="474"/>
        <v>1102</v>
      </c>
      <c r="HM399" s="348">
        <f t="shared" ca="1" si="474"/>
        <v>1102</v>
      </c>
      <c r="HN399" s="348">
        <f t="shared" ca="1" si="474"/>
        <v>1102</v>
      </c>
      <c r="HO399" s="348">
        <f t="shared" ca="1" si="474"/>
        <v>1102</v>
      </c>
      <c r="HP399" s="348">
        <f t="shared" ca="1" si="474"/>
        <v>1102</v>
      </c>
      <c r="HQ399" s="348">
        <f t="shared" ca="1" si="474"/>
        <v>1102</v>
      </c>
      <c r="HR399" s="348">
        <f t="shared" ca="1" si="474"/>
        <v>1102</v>
      </c>
      <c r="HS399" s="348">
        <f t="shared" ca="1" si="474"/>
        <v>1102</v>
      </c>
      <c r="HT399" s="348">
        <f t="shared" ca="1" si="474"/>
        <v>1102</v>
      </c>
      <c r="HU399" s="348">
        <f t="shared" ca="1" si="474"/>
        <v>1102</v>
      </c>
      <c r="HV399" s="348">
        <f t="shared" ca="1" si="474"/>
        <v>1102</v>
      </c>
      <c r="HW399" s="348">
        <f t="shared" ca="1" si="474"/>
        <v>1102</v>
      </c>
      <c r="HX399" s="348">
        <f t="shared" ca="1" si="474"/>
        <v>1102</v>
      </c>
      <c r="HY399" s="348">
        <f t="shared" ca="1" si="474"/>
        <v>1102</v>
      </c>
      <c r="HZ399" s="348">
        <f t="shared" ca="1" si="474"/>
        <v>1102</v>
      </c>
      <c r="IA399" s="348">
        <f t="shared" ca="1" si="474"/>
        <v>1102</v>
      </c>
      <c r="IB399" s="348">
        <f t="shared" ca="1" si="474"/>
        <v>1102</v>
      </c>
      <c r="IC399" s="348">
        <f t="shared" ca="1" si="474"/>
        <v>1102</v>
      </c>
      <c r="ID399" s="348">
        <f t="shared" ca="1" si="474"/>
        <v>1102</v>
      </c>
      <c r="IE399" s="348">
        <f t="shared" ca="1" si="474"/>
        <v>1102</v>
      </c>
      <c r="IF399" s="348">
        <f t="shared" ca="1" si="474"/>
        <v>1102</v>
      </c>
      <c r="IG399" s="348">
        <f t="shared" ca="1" si="474"/>
        <v>1102</v>
      </c>
      <c r="IH399" s="348">
        <f t="shared" ca="1" si="474"/>
        <v>1102</v>
      </c>
      <c r="II399" s="348">
        <f t="shared" ca="1" si="474"/>
        <v>1102</v>
      </c>
      <c r="IJ399" s="348">
        <f t="shared" ca="1" si="474"/>
        <v>1102</v>
      </c>
      <c r="IK399" s="348">
        <f t="shared" ca="1" si="474"/>
        <v>1102</v>
      </c>
    </row>
    <row r="400" spans="1:245" hidden="1" x14ac:dyDescent="0.35">
      <c r="C400" s="627" t="s">
        <v>1628</v>
      </c>
      <c r="H400" s="32">
        <f t="shared" ref="H400:BS400" ca="1" si="475">IF(G400&gt;=1,G400+1,IF(AND(G378=1,H378=1000),G400+1,0))</f>
        <v>0</v>
      </c>
      <c r="I400" s="32">
        <f t="shared" ca="1" si="475"/>
        <v>0</v>
      </c>
      <c r="J400" s="32">
        <f t="shared" ca="1" si="475"/>
        <v>0</v>
      </c>
      <c r="K400" s="32">
        <f t="shared" ca="1" si="475"/>
        <v>0</v>
      </c>
      <c r="L400" s="32">
        <f t="shared" ca="1" si="475"/>
        <v>0</v>
      </c>
      <c r="M400" s="32">
        <f t="shared" ca="1" si="475"/>
        <v>0</v>
      </c>
      <c r="N400" s="32">
        <f t="shared" ca="1" si="475"/>
        <v>0</v>
      </c>
      <c r="O400" s="32">
        <f t="shared" ca="1" si="475"/>
        <v>0</v>
      </c>
      <c r="P400" s="32">
        <f t="shared" ca="1" si="475"/>
        <v>0</v>
      </c>
      <c r="Q400" s="32">
        <f t="shared" ca="1" si="475"/>
        <v>0</v>
      </c>
      <c r="R400" s="32">
        <f t="shared" ca="1" si="475"/>
        <v>0</v>
      </c>
      <c r="S400" s="32">
        <f t="shared" ca="1" si="475"/>
        <v>0</v>
      </c>
      <c r="T400" s="32">
        <f t="shared" ca="1" si="475"/>
        <v>0</v>
      </c>
      <c r="U400" s="32">
        <f t="shared" ca="1" si="475"/>
        <v>0</v>
      </c>
      <c r="V400" s="32">
        <f t="shared" ca="1" si="475"/>
        <v>0</v>
      </c>
      <c r="W400" s="32">
        <f t="shared" ca="1" si="475"/>
        <v>0</v>
      </c>
      <c r="X400" s="32">
        <f t="shared" ca="1" si="475"/>
        <v>0</v>
      </c>
      <c r="Y400" s="32">
        <f t="shared" ca="1" si="475"/>
        <v>0</v>
      </c>
      <c r="Z400" s="32">
        <f t="shared" ca="1" si="475"/>
        <v>0</v>
      </c>
      <c r="AA400" s="32">
        <f t="shared" ca="1" si="475"/>
        <v>0</v>
      </c>
      <c r="AB400" s="32">
        <f t="shared" ca="1" si="475"/>
        <v>0</v>
      </c>
      <c r="AC400" s="32">
        <f t="shared" ca="1" si="475"/>
        <v>0</v>
      </c>
      <c r="AD400" s="32">
        <f t="shared" ca="1" si="475"/>
        <v>0</v>
      </c>
      <c r="AE400" s="32">
        <f t="shared" ca="1" si="475"/>
        <v>0</v>
      </c>
      <c r="AF400" s="32">
        <f t="shared" ca="1" si="475"/>
        <v>0</v>
      </c>
      <c r="AG400" s="32">
        <f t="shared" ca="1" si="475"/>
        <v>0</v>
      </c>
      <c r="AH400" s="32">
        <f t="shared" ca="1" si="475"/>
        <v>0</v>
      </c>
      <c r="AI400" s="32">
        <f t="shared" ca="1" si="475"/>
        <v>0</v>
      </c>
      <c r="AJ400" s="32">
        <f t="shared" ca="1" si="475"/>
        <v>0</v>
      </c>
      <c r="AK400" s="32">
        <f t="shared" ca="1" si="475"/>
        <v>0</v>
      </c>
      <c r="AL400" s="32">
        <f t="shared" ca="1" si="475"/>
        <v>0</v>
      </c>
      <c r="AM400" s="32">
        <f t="shared" ca="1" si="475"/>
        <v>1</v>
      </c>
      <c r="AN400" s="32">
        <f t="shared" ca="1" si="475"/>
        <v>2</v>
      </c>
      <c r="AO400" s="32">
        <f t="shared" ca="1" si="475"/>
        <v>3</v>
      </c>
      <c r="AP400" s="32">
        <f t="shared" ca="1" si="475"/>
        <v>4</v>
      </c>
      <c r="AQ400" s="32">
        <f t="shared" ca="1" si="475"/>
        <v>5</v>
      </c>
      <c r="AR400" s="32">
        <f t="shared" ca="1" si="475"/>
        <v>6</v>
      </c>
      <c r="AS400" s="32">
        <f t="shared" ca="1" si="475"/>
        <v>7</v>
      </c>
      <c r="AT400" s="32">
        <f t="shared" ca="1" si="475"/>
        <v>8</v>
      </c>
      <c r="AU400" s="32">
        <f t="shared" ca="1" si="475"/>
        <v>9</v>
      </c>
      <c r="AV400" s="32">
        <f t="shared" ca="1" si="475"/>
        <v>10</v>
      </c>
      <c r="AW400" s="32">
        <f t="shared" ca="1" si="475"/>
        <v>11</v>
      </c>
      <c r="AX400" s="32">
        <f t="shared" ca="1" si="475"/>
        <v>12</v>
      </c>
      <c r="AY400" s="32">
        <f t="shared" ca="1" si="475"/>
        <v>13</v>
      </c>
      <c r="AZ400" s="32">
        <f t="shared" ca="1" si="475"/>
        <v>14</v>
      </c>
      <c r="BA400" s="32">
        <f t="shared" ca="1" si="475"/>
        <v>15</v>
      </c>
      <c r="BB400" s="32">
        <f t="shared" ca="1" si="475"/>
        <v>16</v>
      </c>
      <c r="BC400" s="32">
        <f t="shared" ca="1" si="475"/>
        <v>17</v>
      </c>
      <c r="BD400" s="32">
        <f t="shared" ca="1" si="475"/>
        <v>18</v>
      </c>
      <c r="BE400" s="32">
        <f t="shared" ca="1" si="475"/>
        <v>19</v>
      </c>
      <c r="BF400" s="32">
        <f t="shared" ca="1" si="475"/>
        <v>20</v>
      </c>
      <c r="BG400" s="32">
        <f t="shared" ca="1" si="475"/>
        <v>21</v>
      </c>
      <c r="BH400" s="32">
        <f t="shared" ca="1" si="475"/>
        <v>22</v>
      </c>
      <c r="BI400" s="32">
        <f t="shared" ca="1" si="475"/>
        <v>23</v>
      </c>
      <c r="BJ400" s="32">
        <f t="shared" ca="1" si="475"/>
        <v>24</v>
      </c>
      <c r="BK400" s="32">
        <f t="shared" ca="1" si="475"/>
        <v>25</v>
      </c>
      <c r="BL400" s="32">
        <f t="shared" ca="1" si="475"/>
        <v>26</v>
      </c>
      <c r="BM400" s="32">
        <f t="shared" ca="1" si="475"/>
        <v>27</v>
      </c>
      <c r="BN400" s="32">
        <f t="shared" ca="1" si="475"/>
        <v>28</v>
      </c>
      <c r="BO400" s="32">
        <f t="shared" ca="1" si="475"/>
        <v>29</v>
      </c>
      <c r="BP400" s="32">
        <f t="shared" ca="1" si="475"/>
        <v>30</v>
      </c>
      <c r="BQ400" s="32">
        <f t="shared" ca="1" si="475"/>
        <v>31</v>
      </c>
      <c r="BR400" s="32">
        <f t="shared" ca="1" si="475"/>
        <v>32</v>
      </c>
      <c r="BS400" s="32">
        <f t="shared" ca="1" si="475"/>
        <v>33</v>
      </c>
      <c r="BT400" s="32">
        <f t="shared" ref="BT400:EE400" ca="1" si="476">IF(BS400&gt;=1,BS400+1,IF(AND(BS378=1,BT378=1000),BS400+1,0))</f>
        <v>34</v>
      </c>
      <c r="BU400" s="32">
        <f t="shared" ca="1" si="476"/>
        <v>35</v>
      </c>
      <c r="BV400" s="32">
        <f t="shared" ca="1" si="476"/>
        <v>36</v>
      </c>
      <c r="BW400" s="32">
        <f t="shared" ca="1" si="476"/>
        <v>37</v>
      </c>
      <c r="BX400" s="32">
        <f t="shared" ca="1" si="476"/>
        <v>38</v>
      </c>
      <c r="BY400" s="32">
        <f t="shared" ca="1" si="476"/>
        <v>39</v>
      </c>
      <c r="BZ400" s="32">
        <f t="shared" ca="1" si="476"/>
        <v>40</v>
      </c>
      <c r="CA400" s="32">
        <f t="shared" ca="1" si="476"/>
        <v>41</v>
      </c>
      <c r="CB400" s="32">
        <f t="shared" ca="1" si="476"/>
        <v>42</v>
      </c>
      <c r="CC400" s="32">
        <f t="shared" ca="1" si="476"/>
        <v>43</v>
      </c>
      <c r="CD400" s="32">
        <f t="shared" ca="1" si="476"/>
        <v>44</v>
      </c>
      <c r="CE400" s="32">
        <f t="shared" ca="1" si="476"/>
        <v>45</v>
      </c>
      <c r="CF400" s="32">
        <f t="shared" ca="1" si="476"/>
        <v>46</v>
      </c>
      <c r="CG400" s="32">
        <f t="shared" ca="1" si="476"/>
        <v>47</v>
      </c>
      <c r="CH400" s="32">
        <f t="shared" ca="1" si="476"/>
        <v>48</v>
      </c>
      <c r="CI400" s="32">
        <f t="shared" ca="1" si="476"/>
        <v>49</v>
      </c>
      <c r="CJ400" s="32">
        <f t="shared" ca="1" si="476"/>
        <v>50</v>
      </c>
      <c r="CK400" s="32">
        <f t="shared" ca="1" si="476"/>
        <v>51</v>
      </c>
      <c r="CL400" s="32">
        <f t="shared" ca="1" si="476"/>
        <v>52</v>
      </c>
      <c r="CM400" s="32">
        <f t="shared" ca="1" si="476"/>
        <v>53</v>
      </c>
      <c r="CN400" s="32">
        <f t="shared" ca="1" si="476"/>
        <v>54</v>
      </c>
      <c r="CO400" s="32">
        <f t="shared" ca="1" si="476"/>
        <v>55</v>
      </c>
      <c r="CP400" s="32">
        <f t="shared" ca="1" si="476"/>
        <v>56</v>
      </c>
      <c r="CQ400" s="32">
        <f t="shared" ca="1" si="476"/>
        <v>57</v>
      </c>
      <c r="CR400" s="32">
        <f t="shared" ca="1" si="476"/>
        <v>58</v>
      </c>
      <c r="CS400" s="32">
        <f t="shared" ca="1" si="476"/>
        <v>59</v>
      </c>
      <c r="CT400" s="32">
        <f t="shared" ca="1" si="476"/>
        <v>60</v>
      </c>
      <c r="CU400" s="32">
        <f t="shared" ca="1" si="476"/>
        <v>61</v>
      </c>
      <c r="CV400" s="32">
        <f t="shared" ca="1" si="476"/>
        <v>62</v>
      </c>
      <c r="CW400" s="32">
        <f t="shared" ca="1" si="476"/>
        <v>63</v>
      </c>
      <c r="CX400" s="32">
        <f t="shared" ca="1" si="476"/>
        <v>64</v>
      </c>
      <c r="CY400" s="32">
        <f t="shared" ca="1" si="476"/>
        <v>65</v>
      </c>
      <c r="CZ400" s="32">
        <f t="shared" ca="1" si="476"/>
        <v>66</v>
      </c>
      <c r="DA400" s="32">
        <f t="shared" ca="1" si="476"/>
        <v>67</v>
      </c>
      <c r="DB400" s="32">
        <f t="shared" ca="1" si="476"/>
        <v>68</v>
      </c>
      <c r="DC400" s="32">
        <f t="shared" ca="1" si="476"/>
        <v>69</v>
      </c>
      <c r="DD400" s="32">
        <f t="shared" ca="1" si="476"/>
        <v>70</v>
      </c>
      <c r="DE400" s="32">
        <f t="shared" ca="1" si="476"/>
        <v>71</v>
      </c>
      <c r="DF400" s="32">
        <f t="shared" ca="1" si="476"/>
        <v>72</v>
      </c>
      <c r="DG400" s="32">
        <f t="shared" ca="1" si="476"/>
        <v>73</v>
      </c>
      <c r="DH400" s="32">
        <f t="shared" ca="1" si="476"/>
        <v>74</v>
      </c>
      <c r="DI400" s="32">
        <f t="shared" ca="1" si="476"/>
        <v>75</v>
      </c>
      <c r="DJ400" s="32">
        <f t="shared" ca="1" si="476"/>
        <v>76</v>
      </c>
      <c r="DK400" s="32">
        <f t="shared" ca="1" si="476"/>
        <v>77</v>
      </c>
      <c r="DL400" s="32">
        <f t="shared" ca="1" si="476"/>
        <v>78</v>
      </c>
      <c r="DM400" s="32">
        <f t="shared" ca="1" si="476"/>
        <v>79</v>
      </c>
      <c r="DN400" s="32">
        <f t="shared" ca="1" si="476"/>
        <v>80</v>
      </c>
      <c r="DO400" s="32">
        <f t="shared" ca="1" si="476"/>
        <v>81</v>
      </c>
      <c r="DP400" s="32">
        <f t="shared" ca="1" si="476"/>
        <v>82</v>
      </c>
      <c r="DQ400" s="32">
        <f t="shared" ca="1" si="476"/>
        <v>83</v>
      </c>
      <c r="DR400" s="32">
        <f t="shared" ca="1" si="476"/>
        <v>84</v>
      </c>
      <c r="DS400" s="32">
        <f t="shared" ca="1" si="476"/>
        <v>85</v>
      </c>
      <c r="DT400" s="32">
        <f t="shared" ca="1" si="476"/>
        <v>86</v>
      </c>
      <c r="DU400" s="32">
        <f t="shared" ca="1" si="476"/>
        <v>87</v>
      </c>
      <c r="DV400" s="32">
        <f t="shared" ca="1" si="476"/>
        <v>88</v>
      </c>
      <c r="DW400" s="32">
        <f t="shared" ca="1" si="476"/>
        <v>89</v>
      </c>
      <c r="DX400" s="32">
        <f t="shared" ca="1" si="476"/>
        <v>90</v>
      </c>
      <c r="DY400" s="32">
        <f t="shared" ca="1" si="476"/>
        <v>91</v>
      </c>
      <c r="DZ400" s="32">
        <f t="shared" ca="1" si="476"/>
        <v>92</v>
      </c>
      <c r="EA400" s="32">
        <f t="shared" ca="1" si="476"/>
        <v>93</v>
      </c>
      <c r="EB400" s="32">
        <f t="shared" ca="1" si="476"/>
        <v>94</v>
      </c>
      <c r="EC400" s="32">
        <f t="shared" ca="1" si="476"/>
        <v>95</v>
      </c>
      <c r="ED400" s="32">
        <f t="shared" ca="1" si="476"/>
        <v>96</v>
      </c>
      <c r="EE400" s="32">
        <f t="shared" ca="1" si="476"/>
        <v>97</v>
      </c>
      <c r="EF400" s="32">
        <f t="shared" ref="EF400:GQ400" ca="1" si="477">IF(EE400&gt;=1,EE400+1,IF(AND(EE378=1,EF378=1000),EE400+1,0))</f>
        <v>98</v>
      </c>
      <c r="EG400" s="32">
        <f t="shared" ca="1" si="477"/>
        <v>99</v>
      </c>
      <c r="EH400" s="32">
        <f t="shared" ca="1" si="477"/>
        <v>100</v>
      </c>
      <c r="EI400" s="32">
        <f t="shared" ca="1" si="477"/>
        <v>101</v>
      </c>
      <c r="EJ400" s="32">
        <f t="shared" ca="1" si="477"/>
        <v>102</v>
      </c>
      <c r="EK400" s="32">
        <f t="shared" ca="1" si="477"/>
        <v>103</v>
      </c>
      <c r="EL400" s="32">
        <f t="shared" ca="1" si="477"/>
        <v>104</v>
      </c>
      <c r="EM400" s="32">
        <f t="shared" ca="1" si="477"/>
        <v>105</v>
      </c>
      <c r="EN400" s="32">
        <f t="shared" ca="1" si="477"/>
        <v>106</v>
      </c>
      <c r="EO400" s="32">
        <f t="shared" ca="1" si="477"/>
        <v>107</v>
      </c>
      <c r="EP400" s="32">
        <f t="shared" ca="1" si="477"/>
        <v>108</v>
      </c>
      <c r="EQ400" s="32">
        <f t="shared" ca="1" si="477"/>
        <v>109</v>
      </c>
      <c r="ER400" s="32">
        <f t="shared" ca="1" si="477"/>
        <v>110</v>
      </c>
      <c r="ES400" s="32">
        <f t="shared" ca="1" si="477"/>
        <v>111</v>
      </c>
      <c r="ET400" s="32">
        <f t="shared" ca="1" si="477"/>
        <v>112</v>
      </c>
      <c r="EU400" s="32">
        <f t="shared" ca="1" si="477"/>
        <v>113</v>
      </c>
      <c r="EV400" s="32">
        <f t="shared" ca="1" si="477"/>
        <v>114</v>
      </c>
      <c r="EW400" s="32">
        <f t="shared" ca="1" si="477"/>
        <v>115</v>
      </c>
      <c r="EX400" s="32">
        <f t="shared" ca="1" si="477"/>
        <v>116</v>
      </c>
      <c r="EY400" s="32">
        <f t="shared" ca="1" si="477"/>
        <v>117</v>
      </c>
      <c r="EZ400" s="32">
        <f t="shared" ca="1" si="477"/>
        <v>118</v>
      </c>
      <c r="FA400" s="32">
        <f t="shared" ca="1" si="477"/>
        <v>119</v>
      </c>
      <c r="FB400" s="32">
        <f t="shared" ca="1" si="477"/>
        <v>120</v>
      </c>
      <c r="FC400" s="32">
        <f t="shared" ca="1" si="477"/>
        <v>121</v>
      </c>
      <c r="FD400" s="32">
        <f t="shared" ca="1" si="477"/>
        <v>122</v>
      </c>
      <c r="FE400" s="32">
        <f t="shared" ca="1" si="477"/>
        <v>123</v>
      </c>
      <c r="FF400" s="32">
        <f t="shared" ca="1" si="477"/>
        <v>124</v>
      </c>
      <c r="FG400" s="32">
        <f t="shared" ca="1" si="477"/>
        <v>125</v>
      </c>
      <c r="FH400" s="32">
        <f t="shared" ca="1" si="477"/>
        <v>126</v>
      </c>
      <c r="FI400" s="32">
        <f t="shared" ca="1" si="477"/>
        <v>127</v>
      </c>
      <c r="FJ400" s="32">
        <f t="shared" ca="1" si="477"/>
        <v>128</v>
      </c>
      <c r="FK400" s="32">
        <f t="shared" ca="1" si="477"/>
        <v>129</v>
      </c>
      <c r="FL400" s="32">
        <f t="shared" ca="1" si="477"/>
        <v>130</v>
      </c>
      <c r="FM400" s="32">
        <f t="shared" ca="1" si="477"/>
        <v>131</v>
      </c>
      <c r="FN400" s="32">
        <f t="shared" ca="1" si="477"/>
        <v>132</v>
      </c>
      <c r="FO400" s="32">
        <f t="shared" ca="1" si="477"/>
        <v>133</v>
      </c>
      <c r="FP400" s="32">
        <f t="shared" ca="1" si="477"/>
        <v>134</v>
      </c>
      <c r="FQ400" s="32">
        <f t="shared" ca="1" si="477"/>
        <v>135</v>
      </c>
      <c r="FR400" s="32">
        <f t="shared" ca="1" si="477"/>
        <v>136</v>
      </c>
      <c r="FS400" s="32">
        <f t="shared" ca="1" si="477"/>
        <v>137</v>
      </c>
      <c r="FT400" s="32">
        <f t="shared" ca="1" si="477"/>
        <v>138</v>
      </c>
      <c r="FU400" s="32">
        <f t="shared" ca="1" si="477"/>
        <v>139</v>
      </c>
      <c r="FV400" s="32">
        <f t="shared" ca="1" si="477"/>
        <v>140</v>
      </c>
      <c r="FW400" s="32">
        <f t="shared" ca="1" si="477"/>
        <v>141</v>
      </c>
      <c r="FX400" s="32">
        <f t="shared" ca="1" si="477"/>
        <v>142</v>
      </c>
      <c r="FY400" s="32">
        <f t="shared" ca="1" si="477"/>
        <v>143</v>
      </c>
      <c r="FZ400" s="32">
        <f t="shared" ca="1" si="477"/>
        <v>144</v>
      </c>
      <c r="GA400" s="32">
        <f t="shared" ca="1" si="477"/>
        <v>145</v>
      </c>
      <c r="GB400" s="32">
        <f t="shared" ca="1" si="477"/>
        <v>146</v>
      </c>
      <c r="GC400" s="32">
        <f t="shared" ca="1" si="477"/>
        <v>147</v>
      </c>
      <c r="GD400" s="32">
        <f t="shared" ca="1" si="477"/>
        <v>148</v>
      </c>
      <c r="GE400" s="32">
        <f t="shared" ca="1" si="477"/>
        <v>149</v>
      </c>
      <c r="GF400" s="32">
        <f t="shared" ca="1" si="477"/>
        <v>150</v>
      </c>
      <c r="GG400" s="32">
        <f t="shared" ca="1" si="477"/>
        <v>151</v>
      </c>
      <c r="GH400" s="32">
        <f t="shared" ca="1" si="477"/>
        <v>152</v>
      </c>
      <c r="GI400" s="32">
        <f t="shared" ca="1" si="477"/>
        <v>153</v>
      </c>
      <c r="GJ400" s="32">
        <f t="shared" ca="1" si="477"/>
        <v>154</v>
      </c>
      <c r="GK400" s="32">
        <f t="shared" ca="1" si="477"/>
        <v>155</v>
      </c>
      <c r="GL400" s="32">
        <f t="shared" ca="1" si="477"/>
        <v>156</v>
      </c>
      <c r="GM400" s="32">
        <f t="shared" ca="1" si="477"/>
        <v>157</v>
      </c>
      <c r="GN400" s="32">
        <f t="shared" ca="1" si="477"/>
        <v>158</v>
      </c>
      <c r="GO400" s="32">
        <f t="shared" ca="1" si="477"/>
        <v>159</v>
      </c>
      <c r="GP400" s="32">
        <f t="shared" ca="1" si="477"/>
        <v>160</v>
      </c>
      <c r="GQ400" s="32">
        <f t="shared" ca="1" si="477"/>
        <v>161</v>
      </c>
      <c r="GR400" s="32">
        <f t="shared" ref="GR400:IK400" ca="1" si="478">IF(GQ400&gt;=1,GQ400+1,IF(AND(GQ378=1,GR378=1000),GQ400+1,0))</f>
        <v>162</v>
      </c>
      <c r="GS400" s="32">
        <f t="shared" ca="1" si="478"/>
        <v>163</v>
      </c>
      <c r="GT400" s="32">
        <f t="shared" ca="1" si="478"/>
        <v>164</v>
      </c>
      <c r="GU400" s="32">
        <f t="shared" ca="1" si="478"/>
        <v>165</v>
      </c>
      <c r="GV400" s="32">
        <f t="shared" ca="1" si="478"/>
        <v>166</v>
      </c>
      <c r="GW400" s="32">
        <f t="shared" ca="1" si="478"/>
        <v>167</v>
      </c>
      <c r="GX400" s="32">
        <f t="shared" ca="1" si="478"/>
        <v>168</v>
      </c>
      <c r="GY400" s="32">
        <f t="shared" ca="1" si="478"/>
        <v>169</v>
      </c>
      <c r="GZ400" s="32">
        <f t="shared" ca="1" si="478"/>
        <v>170</v>
      </c>
      <c r="HA400" s="32">
        <f t="shared" ca="1" si="478"/>
        <v>171</v>
      </c>
      <c r="HB400" s="32">
        <f t="shared" ca="1" si="478"/>
        <v>172</v>
      </c>
      <c r="HC400" s="32">
        <f t="shared" ca="1" si="478"/>
        <v>173</v>
      </c>
      <c r="HD400" s="32">
        <f t="shared" ca="1" si="478"/>
        <v>174</v>
      </c>
      <c r="HE400" s="32">
        <f t="shared" ca="1" si="478"/>
        <v>175</v>
      </c>
      <c r="HF400" s="32">
        <f t="shared" ca="1" si="478"/>
        <v>176</v>
      </c>
      <c r="HG400" s="32">
        <f t="shared" ca="1" si="478"/>
        <v>177</v>
      </c>
      <c r="HH400" s="32">
        <f t="shared" ca="1" si="478"/>
        <v>178</v>
      </c>
      <c r="HI400" s="32">
        <f t="shared" ca="1" si="478"/>
        <v>179</v>
      </c>
      <c r="HJ400" s="32">
        <f t="shared" ca="1" si="478"/>
        <v>180</v>
      </c>
      <c r="HK400" s="32">
        <f t="shared" ca="1" si="478"/>
        <v>181</v>
      </c>
      <c r="HL400" s="32">
        <f t="shared" ca="1" si="478"/>
        <v>182</v>
      </c>
      <c r="HM400" s="32">
        <f t="shared" ca="1" si="478"/>
        <v>183</v>
      </c>
      <c r="HN400" s="32">
        <f t="shared" ca="1" si="478"/>
        <v>184</v>
      </c>
      <c r="HO400" s="32">
        <f t="shared" ca="1" si="478"/>
        <v>185</v>
      </c>
      <c r="HP400" s="32">
        <f t="shared" ca="1" si="478"/>
        <v>186</v>
      </c>
      <c r="HQ400" s="32">
        <f t="shared" ca="1" si="478"/>
        <v>187</v>
      </c>
      <c r="HR400" s="32">
        <f t="shared" ca="1" si="478"/>
        <v>188</v>
      </c>
      <c r="HS400" s="32">
        <f t="shared" ca="1" si="478"/>
        <v>189</v>
      </c>
      <c r="HT400" s="32">
        <f t="shared" ca="1" si="478"/>
        <v>190</v>
      </c>
      <c r="HU400" s="32">
        <f t="shared" ca="1" si="478"/>
        <v>191</v>
      </c>
      <c r="HV400" s="32">
        <f t="shared" ca="1" si="478"/>
        <v>192</v>
      </c>
      <c r="HW400" s="32">
        <f t="shared" ca="1" si="478"/>
        <v>193</v>
      </c>
      <c r="HX400" s="32">
        <f t="shared" ca="1" si="478"/>
        <v>194</v>
      </c>
      <c r="HY400" s="32">
        <f t="shared" ca="1" si="478"/>
        <v>195</v>
      </c>
      <c r="HZ400" s="32">
        <f t="shared" ca="1" si="478"/>
        <v>196</v>
      </c>
      <c r="IA400" s="32">
        <f t="shared" ca="1" si="478"/>
        <v>197</v>
      </c>
      <c r="IB400" s="32">
        <f t="shared" ca="1" si="478"/>
        <v>198</v>
      </c>
      <c r="IC400" s="32">
        <f t="shared" ca="1" si="478"/>
        <v>199</v>
      </c>
      <c r="ID400" s="32">
        <f t="shared" ca="1" si="478"/>
        <v>200</v>
      </c>
      <c r="IE400" s="32">
        <f t="shared" ca="1" si="478"/>
        <v>201</v>
      </c>
      <c r="IF400" s="32">
        <f t="shared" ca="1" si="478"/>
        <v>202</v>
      </c>
      <c r="IG400" s="32">
        <f t="shared" ca="1" si="478"/>
        <v>203</v>
      </c>
      <c r="IH400" s="32">
        <f t="shared" ca="1" si="478"/>
        <v>204</v>
      </c>
      <c r="II400" s="32">
        <f t="shared" ca="1" si="478"/>
        <v>205</v>
      </c>
      <c r="IJ400" s="32">
        <f t="shared" ca="1" si="478"/>
        <v>206</v>
      </c>
      <c r="IK400" s="32">
        <f t="shared" ca="1" si="478"/>
        <v>207</v>
      </c>
    </row>
    <row r="401" spans="3:245" hidden="1" x14ac:dyDescent="0.35">
      <c r="C401" s="627" t="s">
        <v>1629</v>
      </c>
      <c r="H401" s="32">
        <f ca="1">IF(H399=H398,1,0)</f>
        <v>0</v>
      </c>
      <c r="I401" s="32">
        <f t="shared" ref="I401:BT401" ca="1" si="479">IF(I399=I398,1,0)</f>
        <v>0</v>
      </c>
      <c r="J401" s="32">
        <f t="shared" ca="1" si="479"/>
        <v>0</v>
      </c>
      <c r="K401" s="32">
        <f t="shared" ca="1" si="479"/>
        <v>0</v>
      </c>
      <c r="L401" s="32">
        <f t="shared" ca="1" si="479"/>
        <v>0</v>
      </c>
      <c r="M401" s="32">
        <f t="shared" ca="1" si="479"/>
        <v>0</v>
      </c>
      <c r="N401" s="32">
        <f t="shared" ca="1" si="479"/>
        <v>0</v>
      </c>
      <c r="O401" s="32">
        <f t="shared" ca="1" si="479"/>
        <v>0</v>
      </c>
      <c r="P401" s="32">
        <f t="shared" ca="1" si="479"/>
        <v>0</v>
      </c>
      <c r="Q401" s="32">
        <f t="shared" ca="1" si="479"/>
        <v>0</v>
      </c>
      <c r="R401" s="32">
        <f t="shared" ca="1" si="479"/>
        <v>0</v>
      </c>
      <c r="S401" s="32">
        <f t="shared" ca="1" si="479"/>
        <v>0</v>
      </c>
      <c r="T401" s="32">
        <f t="shared" ca="1" si="479"/>
        <v>0</v>
      </c>
      <c r="U401" s="32">
        <f t="shared" ca="1" si="479"/>
        <v>0</v>
      </c>
      <c r="V401" s="32">
        <f t="shared" ca="1" si="479"/>
        <v>0</v>
      </c>
      <c r="W401" s="32">
        <f t="shared" ca="1" si="479"/>
        <v>0</v>
      </c>
      <c r="X401" s="32">
        <f t="shared" ca="1" si="479"/>
        <v>0</v>
      </c>
      <c r="Y401" s="32">
        <f t="shared" ca="1" si="479"/>
        <v>0</v>
      </c>
      <c r="Z401" s="32">
        <f t="shared" ca="1" si="479"/>
        <v>0</v>
      </c>
      <c r="AA401" s="32">
        <f t="shared" ca="1" si="479"/>
        <v>0</v>
      </c>
      <c r="AB401" s="32">
        <f t="shared" ca="1" si="479"/>
        <v>0</v>
      </c>
      <c r="AC401" s="32">
        <f t="shared" ca="1" si="479"/>
        <v>0</v>
      </c>
      <c r="AD401" s="32">
        <f t="shared" ca="1" si="479"/>
        <v>0</v>
      </c>
      <c r="AE401" s="32">
        <f t="shared" ca="1" si="479"/>
        <v>0</v>
      </c>
      <c r="AF401" s="32">
        <f t="shared" ca="1" si="479"/>
        <v>0</v>
      </c>
      <c r="AG401" s="32">
        <f t="shared" ca="1" si="479"/>
        <v>0</v>
      </c>
      <c r="AH401" s="32">
        <f t="shared" ca="1" si="479"/>
        <v>0</v>
      </c>
      <c r="AI401" s="32">
        <f t="shared" ca="1" si="479"/>
        <v>0</v>
      </c>
      <c r="AJ401" s="32">
        <f t="shared" ca="1" si="479"/>
        <v>0</v>
      </c>
      <c r="AK401" s="32">
        <f t="shared" ca="1" si="479"/>
        <v>0</v>
      </c>
      <c r="AL401" s="32">
        <f t="shared" ca="1" si="479"/>
        <v>0</v>
      </c>
      <c r="AM401" s="32">
        <f t="shared" ca="1" si="479"/>
        <v>0</v>
      </c>
      <c r="AN401" s="32">
        <f t="shared" ca="1" si="479"/>
        <v>0</v>
      </c>
      <c r="AO401" s="32">
        <f t="shared" ca="1" si="479"/>
        <v>0</v>
      </c>
      <c r="AP401" s="32">
        <f t="shared" ca="1" si="479"/>
        <v>0</v>
      </c>
      <c r="AQ401" s="32">
        <f t="shared" ca="1" si="479"/>
        <v>0</v>
      </c>
      <c r="AR401" s="32">
        <f t="shared" ca="1" si="479"/>
        <v>0</v>
      </c>
      <c r="AS401" s="32">
        <f t="shared" ca="1" si="479"/>
        <v>0</v>
      </c>
      <c r="AT401" s="32">
        <f t="shared" ca="1" si="479"/>
        <v>0</v>
      </c>
      <c r="AU401" s="32">
        <f t="shared" ca="1" si="479"/>
        <v>0</v>
      </c>
      <c r="AV401" s="32">
        <f t="shared" ca="1" si="479"/>
        <v>0</v>
      </c>
      <c r="AW401" s="32">
        <f t="shared" ca="1" si="479"/>
        <v>0</v>
      </c>
      <c r="AX401" s="32">
        <f t="shared" ca="1" si="479"/>
        <v>0</v>
      </c>
      <c r="AY401" s="32">
        <f t="shared" ca="1" si="479"/>
        <v>0</v>
      </c>
      <c r="AZ401" s="32">
        <f t="shared" ca="1" si="479"/>
        <v>0</v>
      </c>
      <c r="BA401" s="32">
        <f t="shared" ca="1" si="479"/>
        <v>0</v>
      </c>
      <c r="BB401" s="32">
        <f t="shared" ca="1" si="479"/>
        <v>0</v>
      </c>
      <c r="BC401" s="32">
        <f t="shared" ca="1" si="479"/>
        <v>0</v>
      </c>
      <c r="BD401" s="32">
        <f t="shared" ca="1" si="479"/>
        <v>0</v>
      </c>
      <c r="BE401" s="32">
        <f t="shared" ca="1" si="479"/>
        <v>0</v>
      </c>
      <c r="BF401" s="32">
        <f t="shared" ca="1" si="479"/>
        <v>0</v>
      </c>
      <c r="BG401" s="32">
        <f t="shared" ca="1" si="479"/>
        <v>0</v>
      </c>
      <c r="BH401" s="32">
        <f t="shared" ca="1" si="479"/>
        <v>0</v>
      </c>
      <c r="BI401" s="32">
        <f t="shared" ca="1" si="479"/>
        <v>0</v>
      </c>
      <c r="BJ401" s="32">
        <f t="shared" ca="1" si="479"/>
        <v>0</v>
      </c>
      <c r="BK401" s="32">
        <f t="shared" ca="1" si="479"/>
        <v>0</v>
      </c>
      <c r="BL401" s="32">
        <f t="shared" ca="1" si="479"/>
        <v>0</v>
      </c>
      <c r="BM401" s="32">
        <f t="shared" ca="1" si="479"/>
        <v>0</v>
      </c>
      <c r="BN401" s="32">
        <f t="shared" ca="1" si="479"/>
        <v>0</v>
      </c>
      <c r="BO401" s="32">
        <f t="shared" ca="1" si="479"/>
        <v>0</v>
      </c>
      <c r="BP401" s="32">
        <f t="shared" ca="1" si="479"/>
        <v>0</v>
      </c>
      <c r="BQ401" s="32">
        <f t="shared" ca="1" si="479"/>
        <v>0</v>
      </c>
      <c r="BR401" s="32">
        <f t="shared" ca="1" si="479"/>
        <v>0</v>
      </c>
      <c r="BS401" s="32">
        <f t="shared" ca="1" si="479"/>
        <v>0</v>
      </c>
      <c r="BT401" s="32">
        <f t="shared" ca="1" si="479"/>
        <v>0</v>
      </c>
      <c r="BU401" s="32">
        <f t="shared" ref="BU401:EF401" ca="1" si="480">IF(BU399=BU398,1,0)</f>
        <v>0</v>
      </c>
      <c r="BV401" s="32">
        <f t="shared" ca="1" si="480"/>
        <v>0</v>
      </c>
      <c r="BW401" s="32">
        <f t="shared" ca="1" si="480"/>
        <v>0</v>
      </c>
      <c r="BX401" s="32">
        <f t="shared" ca="1" si="480"/>
        <v>0</v>
      </c>
      <c r="BY401" s="32">
        <f t="shared" ca="1" si="480"/>
        <v>0</v>
      </c>
      <c r="BZ401" s="32">
        <f t="shared" ca="1" si="480"/>
        <v>0</v>
      </c>
      <c r="CA401" s="32">
        <f t="shared" ca="1" si="480"/>
        <v>0</v>
      </c>
      <c r="CB401" s="32">
        <f t="shared" ca="1" si="480"/>
        <v>0</v>
      </c>
      <c r="CC401" s="32">
        <f t="shared" ca="1" si="480"/>
        <v>0</v>
      </c>
      <c r="CD401" s="32">
        <f t="shared" ca="1" si="480"/>
        <v>0</v>
      </c>
      <c r="CE401" s="32">
        <f t="shared" ca="1" si="480"/>
        <v>0</v>
      </c>
      <c r="CF401" s="32">
        <f t="shared" ca="1" si="480"/>
        <v>0</v>
      </c>
      <c r="CG401" s="32">
        <f t="shared" ca="1" si="480"/>
        <v>0</v>
      </c>
      <c r="CH401" s="32">
        <f t="shared" ca="1" si="480"/>
        <v>0</v>
      </c>
      <c r="CI401" s="32">
        <f t="shared" ca="1" si="480"/>
        <v>0</v>
      </c>
      <c r="CJ401" s="32">
        <f t="shared" ca="1" si="480"/>
        <v>0</v>
      </c>
      <c r="CK401" s="32">
        <f t="shared" ca="1" si="480"/>
        <v>0</v>
      </c>
      <c r="CL401" s="32">
        <f t="shared" ca="1" si="480"/>
        <v>0</v>
      </c>
      <c r="CM401" s="32">
        <f t="shared" ca="1" si="480"/>
        <v>0</v>
      </c>
      <c r="CN401" s="32">
        <f t="shared" ca="1" si="480"/>
        <v>0</v>
      </c>
      <c r="CO401" s="32">
        <f t="shared" ca="1" si="480"/>
        <v>0</v>
      </c>
      <c r="CP401" s="32">
        <f t="shared" ca="1" si="480"/>
        <v>0</v>
      </c>
      <c r="CQ401" s="32">
        <f t="shared" ca="1" si="480"/>
        <v>0</v>
      </c>
      <c r="CR401" s="32">
        <f t="shared" ca="1" si="480"/>
        <v>0</v>
      </c>
      <c r="CS401" s="32">
        <f t="shared" ca="1" si="480"/>
        <v>0</v>
      </c>
      <c r="CT401" s="32">
        <f t="shared" ca="1" si="480"/>
        <v>0</v>
      </c>
      <c r="CU401" s="32">
        <f t="shared" ca="1" si="480"/>
        <v>0</v>
      </c>
      <c r="CV401" s="32">
        <f t="shared" ca="1" si="480"/>
        <v>0</v>
      </c>
      <c r="CW401" s="32">
        <f t="shared" ca="1" si="480"/>
        <v>0</v>
      </c>
      <c r="CX401" s="32">
        <f t="shared" ca="1" si="480"/>
        <v>0</v>
      </c>
      <c r="CY401" s="32">
        <f t="shared" ca="1" si="480"/>
        <v>0</v>
      </c>
      <c r="CZ401" s="32">
        <f t="shared" ca="1" si="480"/>
        <v>0</v>
      </c>
      <c r="DA401" s="32">
        <f t="shared" ca="1" si="480"/>
        <v>0</v>
      </c>
      <c r="DB401" s="32">
        <f t="shared" ca="1" si="480"/>
        <v>0</v>
      </c>
      <c r="DC401" s="32">
        <f t="shared" ca="1" si="480"/>
        <v>0</v>
      </c>
      <c r="DD401" s="32">
        <f t="shared" ca="1" si="480"/>
        <v>0</v>
      </c>
      <c r="DE401" s="32">
        <f t="shared" ca="1" si="480"/>
        <v>0</v>
      </c>
      <c r="DF401" s="32">
        <f t="shared" ca="1" si="480"/>
        <v>0</v>
      </c>
      <c r="DG401" s="32">
        <f t="shared" ca="1" si="480"/>
        <v>0</v>
      </c>
      <c r="DH401" s="32">
        <f t="shared" ca="1" si="480"/>
        <v>0</v>
      </c>
      <c r="DI401" s="32">
        <f t="shared" ca="1" si="480"/>
        <v>0</v>
      </c>
      <c r="DJ401" s="32">
        <f t="shared" ca="1" si="480"/>
        <v>0</v>
      </c>
      <c r="DK401" s="32">
        <f t="shared" ca="1" si="480"/>
        <v>0</v>
      </c>
      <c r="DL401" s="32">
        <f t="shared" ca="1" si="480"/>
        <v>0</v>
      </c>
      <c r="DM401" s="32">
        <f t="shared" ca="1" si="480"/>
        <v>0</v>
      </c>
      <c r="DN401" s="32">
        <f t="shared" ca="1" si="480"/>
        <v>0</v>
      </c>
      <c r="DO401" s="32">
        <f t="shared" ca="1" si="480"/>
        <v>0</v>
      </c>
      <c r="DP401" s="32">
        <f t="shared" ca="1" si="480"/>
        <v>0</v>
      </c>
      <c r="DQ401" s="32">
        <f t="shared" ca="1" si="480"/>
        <v>0</v>
      </c>
      <c r="DR401" s="32">
        <f t="shared" ca="1" si="480"/>
        <v>0</v>
      </c>
      <c r="DS401" s="32">
        <f t="shared" ca="1" si="480"/>
        <v>0</v>
      </c>
      <c r="DT401" s="32">
        <f t="shared" ca="1" si="480"/>
        <v>0</v>
      </c>
      <c r="DU401" s="32">
        <f t="shared" ca="1" si="480"/>
        <v>0</v>
      </c>
      <c r="DV401" s="32">
        <f t="shared" ca="1" si="480"/>
        <v>0</v>
      </c>
      <c r="DW401" s="32">
        <f t="shared" ca="1" si="480"/>
        <v>0</v>
      </c>
      <c r="DX401" s="32">
        <f t="shared" ca="1" si="480"/>
        <v>0</v>
      </c>
      <c r="DY401" s="32">
        <f t="shared" ca="1" si="480"/>
        <v>0</v>
      </c>
      <c r="DZ401" s="32">
        <f t="shared" ca="1" si="480"/>
        <v>0</v>
      </c>
      <c r="EA401" s="32">
        <f t="shared" ca="1" si="480"/>
        <v>0</v>
      </c>
      <c r="EB401" s="32">
        <f t="shared" ca="1" si="480"/>
        <v>0</v>
      </c>
      <c r="EC401" s="32">
        <f t="shared" ca="1" si="480"/>
        <v>0</v>
      </c>
      <c r="ED401" s="32">
        <f t="shared" ca="1" si="480"/>
        <v>0</v>
      </c>
      <c r="EE401" s="32">
        <f t="shared" ca="1" si="480"/>
        <v>0</v>
      </c>
      <c r="EF401" s="32">
        <f t="shared" ca="1" si="480"/>
        <v>0</v>
      </c>
      <c r="EG401" s="32">
        <f t="shared" ref="EG401:GR401" ca="1" si="481">IF(EG399=EG398,1,0)</f>
        <v>0</v>
      </c>
      <c r="EH401" s="32">
        <f t="shared" ca="1" si="481"/>
        <v>0</v>
      </c>
      <c r="EI401" s="32">
        <f t="shared" ca="1" si="481"/>
        <v>0</v>
      </c>
      <c r="EJ401" s="32">
        <f t="shared" ca="1" si="481"/>
        <v>1</v>
      </c>
      <c r="EK401" s="32">
        <f t="shared" ca="1" si="481"/>
        <v>0</v>
      </c>
      <c r="EL401" s="32">
        <f t="shared" ca="1" si="481"/>
        <v>0</v>
      </c>
      <c r="EM401" s="32">
        <f t="shared" ca="1" si="481"/>
        <v>0</v>
      </c>
      <c r="EN401" s="32">
        <f t="shared" ca="1" si="481"/>
        <v>0</v>
      </c>
      <c r="EO401" s="32">
        <f t="shared" ca="1" si="481"/>
        <v>0</v>
      </c>
      <c r="EP401" s="32">
        <f t="shared" ca="1" si="481"/>
        <v>0</v>
      </c>
      <c r="EQ401" s="32">
        <f t="shared" ca="1" si="481"/>
        <v>0</v>
      </c>
      <c r="ER401" s="32">
        <f t="shared" ca="1" si="481"/>
        <v>0</v>
      </c>
      <c r="ES401" s="32">
        <f t="shared" ca="1" si="481"/>
        <v>0</v>
      </c>
      <c r="ET401" s="32">
        <f t="shared" ca="1" si="481"/>
        <v>0</v>
      </c>
      <c r="EU401" s="32">
        <f t="shared" ca="1" si="481"/>
        <v>0</v>
      </c>
      <c r="EV401" s="32">
        <f t="shared" ca="1" si="481"/>
        <v>0</v>
      </c>
      <c r="EW401" s="32">
        <f t="shared" ca="1" si="481"/>
        <v>0</v>
      </c>
      <c r="EX401" s="32">
        <f t="shared" ca="1" si="481"/>
        <v>0</v>
      </c>
      <c r="EY401" s="32">
        <f t="shared" ca="1" si="481"/>
        <v>0</v>
      </c>
      <c r="EZ401" s="32">
        <f t="shared" ca="1" si="481"/>
        <v>0</v>
      </c>
      <c r="FA401" s="32">
        <f t="shared" ca="1" si="481"/>
        <v>0</v>
      </c>
      <c r="FB401" s="32">
        <f t="shared" ca="1" si="481"/>
        <v>0</v>
      </c>
      <c r="FC401" s="32">
        <f t="shared" ca="1" si="481"/>
        <v>0</v>
      </c>
      <c r="FD401" s="32">
        <f t="shared" ca="1" si="481"/>
        <v>0</v>
      </c>
      <c r="FE401" s="32">
        <f t="shared" ca="1" si="481"/>
        <v>0</v>
      </c>
      <c r="FF401" s="32">
        <f t="shared" ca="1" si="481"/>
        <v>0</v>
      </c>
      <c r="FG401" s="32">
        <f t="shared" ca="1" si="481"/>
        <v>0</v>
      </c>
      <c r="FH401" s="32">
        <f t="shared" ca="1" si="481"/>
        <v>0</v>
      </c>
      <c r="FI401" s="32">
        <f t="shared" ca="1" si="481"/>
        <v>0</v>
      </c>
      <c r="FJ401" s="32">
        <f t="shared" ca="1" si="481"/>
        <v>0</v>
      </c>
      <c r="FK401" s="32">
        <f t="shared" ca="1" si="481"/>
        <v>0</v>
      </c>
      <c r="FL401" s="32">
        <f t="shared" ca="1" si="481"/>
        <v>0</v>
      </c>
      <c r="FM401" s="32">
        <f t="shared" ca="1" si="481"/>
        <v>0</v>
      </c>
      <c r="FN401" s="32">
        <f t="shared" ca="1" si="481"/>
        <v>0</v>
      </c>
      <c r="FO401" s="32">
        <f t="shared" ca="1" si="481"/>
        <v>0</v>
      </c>
      <c r="FP401" s="32">
        <f t="shared" ca="1" si="481"/>
        <v>0</v>
      </c>
      <c r="FQ401" s="32">
        <f t="shared" ca="1" si="481"/>
        <v>0</v>
      </c>
      <c r="FR401" s="32">
        <f t="shared" ca="1" si="481"/>
        <v>0</v>
      </c>
      <c r="FS401" s="32">
        <f t="shared" ca="1" si="481"/>
        <v>0</v>
      </c>
      <c r="FT401" s="32">
        <f t="shared" ca="1" si="481"/>
        <v>0</v>
      </c>
      <c r="FU401" s="32">
        <f t="shared" ca="1" si="481"/>
        <v>0</v>
      </c>
      <c r="FV401" s="32">
        <f t="shared" ca="1" si="481"/>
        <v>0</v>
      </c>
      <c r="FW401" s="32">
        <f t="shared" ca="1" si="481"/>
        <v>0</v>
      </c>
      <c r="FX401" s="32">
        <f t="shared" ca="1" si="481"/>
        <v>0</v>
      </c>
      <c r="FY401" s="32">
        <f t="shared" ca="1" si="481"/>
        <v>0</v>
      </c>
      <c r="FZ401" s="32">
        <f t="shared" ca="1" si="481"/>
        <v>0</v>
      </c>
      <c r="GA401" s="32">
        <f t="shared" ca="1" si="481"/>
        <v>0</v>
      </c>
      <c r="GB401" s="32">
        <f t="shared" ca="1" si="481"/>
        <v>0</v>
      </c>
      <c r="GC401" s="32">
        <f t="shared" ca="1" si="481"/>
        <v>0</v>
      </c>
      <c r="GD401" s="32">
        <f t="shared" ca="1" si="481"/>
        <v>0</v>
      </c>
      <c r="GE401" s="32">
        <f t="shared" ca="1" si="481"/>
        <v>0</v>
      </c>
      <c r="GF401" s="32">
        <f t="shared" ca="1" si="481"/>
        <v>0</v>
      </c>
      <c r="GG401" s="32">
        <f t="shared" ca="1" si="481"/>
        <v>0</v>
      </c>
      <c r="GH401" s="32">
        <f t="shared" ca="1" si="481"/>
        <v>0</v>
      </c>
      <c r="GI401" s="32">
        <f t="shared" ca="1" si="481"/>
        <v>0</v>
      </c>
      <c r="GJ401" s="32">
        <f t="shared" ca="1" si="481"/>
        <v>0</v>
      </c>
      <c r="GK401" s="32">
        <f t="shared" ca="1" si="481"/>
        <v>0</v>
      </c>
      <c r="GL401" s="32">
        <f t="shared" ca="1" si="481"/>
        <v>0</v>
      </c>
      <c r="GM401" s="32">
        <f t="shared" ca="1" si="481"/>
        <v>0</v>
      </c>
      <c r="GN401" s="32">
        <f t="shared" ca="1" si="481"/>
        <v>0</v>
      </c>
      <c r="GO401" s="32">
        <f t="shared" ca="1" si="481"/>
        <v>0</v>
      </c>
      <c r="GP401" s="32">
        <f t="shared" ca="1" si="481"/>
        <v>0</v>
      </c>
      <c r="GQ401" s="32">
        <f t="shared" ca="1" si="481"/>
        <v>0</v>
      </c>
      <c r="GR401" s="32">
        <f t="shared" ca="1" si="481"/>
        <v>0</v>
      </c>
      <c r="GS401" s="32">
        <f t="shared" ref="GS401:IK401" ca="1" si="482">IF(GS399=GS398,1,0)</f>
        <v>0</v>
      </c>
      <c r="GT401" s="32">
        <f t="shared" ca="1" si="482"/>
        <v>0</v>
      </c>
      <c r="GU401" s="32">
        <f t="shared" ca="1" si="482"/>
        <v>0</v>
      </c>
      <c r="GV401" s="32">
        <f t="shared" ca="1" si="482"/>
        <v>0</v>
      </c>
      <c r="GW401" s="32">
        <f t="shared" ca="1" si="482"/>
        <v>0</v>
      </c>
      <c r="GX401" s="32">
        <f t="shared" ca="1" si="482"/>
        <v>0</v>
      </c>
      <c r="GY401" s="32">
        <f t="shared" ca="1" si="482"/>
        <v>0</v>
      </c>
      <c r="GZ401" s="32">
        <f t="shared" ca="1" si="482"/>
        <v>0</v>
      </c>
      <c r="HA401" s="32">
        <f t="shared" ca="1" si="482"/>
        <v>0</v>
      </c>
      <c r="HB401" s="32">
        <f t="shared" ca="1" si="482"/>
        <v>0</v>
      </c>
      <c r="HC401" s="32">
        <f t="shared" ca="1" si="482"/>
        <v>0</v>
      </c>
      <c r="HD401" s="32">
        <f t="shared" ca="1" si="482"/>
        <v>0</v>
      </c>
      <c r="HE401" s="32">
        <f t="shared" ca="1" si="482"/>
        <v>0</v>
      </c>
      <c r="HF401" s="32">
        <f t="shared" ca="1" si="482"/>
        <v>0</v>
      </c>
      <c r="HG401" s="32">
        <f t="shared" ca="1" si="482"/>
        <v>0</v>
      </c>
      <c r="HH401" s="32">
        <f t="shared" ca="1" si="482"/>
        <v>0</v>
      </c>
      <c r="HI401" s="32">
        <f t="shared" ca="1" si="482"/>
        <v>0</v>
      </c>
      <c r="HJ401" s="32">
        <f t="shared" ca="1" si="482"/>
        <v>0</v>
      </c>
      <c r="HK401" s="32">
        <f t="shared" ca="1" si="482"/>
        <v>0</v>
      </c>
      <c r="HL401" s="32">
        <f t="shared" ca="1" si="482"/>
        <v>0</v>
      </c>
      <c r="HM401" s="32">
        <f t="shared" ca="1" si="482"/>
        <v>0</v>
      </c>
      <c r="HN401" s="32">
        <f t="shared" ca="1" si="482"/>
        <v>0</v>
      </c>
      <c r="HO401" s="32">
        <f t="shared" ca="1" si="482"/>
        <v>0</v>
      </c>
      <c r="HP401" s="32">
        <f t="shared" ca="1" si="482"/>
        <v>0</v>
      </c>
      <c r="HQ401" s="32">
        <f t="shared" ca="1" si="482"/>
        <v>0</v>
      </c>
      <c r="HR401" s="32">
        <f t="shared" ca="1" si="482"/>
        <v>0</v>
      </c>
      <c r="HS401" s="32">
        <f t="shared" ca="1" si="482"/>
        <v>0</v>
      </c>
      <c r="HT401" s="32">
        <f t="shared" ca="1" si="482"/>
        <v>0</v>
      </c>
      <c r="HU401" s="32">
        <f t="shared" ca="1" si="482"/>
        <v>0</v>
      </c>
      <c r="HV401" s="32">
        <f t="shared" ca="1" si="482"/>
        <v>0</v>
      </c>
      <c r="HW401" s="32">
        <f t="shared" ca="1" si="482"/>
        <v>0</v>
      </c>
      <c r="HX401" s="32">
        <f t="shared" ca="1" si="482"/>
        <v>0</v>
      </c>
      <c r="HY401" s="32">
        <f t="shared" ca="1" si="482"/>
        <v>0</v>
      </c>
      <c r="HZ401" s="32">
        <f t="shared" ca="1" si="482"/>
        <v>0</v>
      </c>
      <c r="IA401" s="32">
        <f t="shared" ca="1" si="482"/>
        <v>0</v>
      </c>
      <c r="IB401" s="32">
        <f t="shared" ca="1" si="482"/>
        <v>0</v>
      </c>
      <c r="IC401" s="32">
        <f t="shared" ca="1" si="482"/>
        <v>0</v>
      </c>
      <c r="ID401" s="32">
        <f t="shared" ca="1" si="482"/>
        <v>0</v>
      </c>
      <c r="IE401" s="32">
        <f t="shared" ca="1" si="482"/>
        <v>0</v>
      </c>
      <c r="IF401" s="32">
        <f t="shared" ca="1" si="482"/>
        <v>0</v>
      </c>
      <c r="IG401" s="32">
        <f t="shared" ca="1" si="482"/>
        <v>0</v>
      </c>
      <c r="IH401" s="32">
        <f t="shared" ca="1" si="482"/>
        <v>0</v>
      </c>
      <c r="II401" s="32">
        <f t="shared" ca="1" si="482"/>
        <v>0</v>
      </c>
      <c r="IJ401" s="32">
        <f t="shared" ca="1" si="482"/>
        <v>0</v>
      </c>
      <c r="IK401" s="32">
        <f t="shared" ca="1" si="482"/>
        <v>0</v>
      </c>
    </row>
    <row r="402" spans="3:245" hidden="1" x14ac:dyDescent="0.35">
      <c r="H402" s="348">
        <v>1</v>
      </c>
      <c r="I402" s="348">
        <v>2</v>
      </c>
      <c r="J402" s="348">
        <v>3</v>
      </c>
      <c r="K402" s="348">
        <v>4</v>
      </c>
      <c r="L402" s="348">
        <v>5</v>
      </c>
      <c r="M402" s="348">
        <v>6</v>
      </c>
      <c r="N402" s="348">
        <v>7</v>
      </c>
      <c r="O402" s="348">
        <v>8</v>
      </c>
      <c r="P402" s="348">
        <v>9</v>
      </c>
      <c r="Q402" s="348">
        <v>10</v>
      </c>
      <c r="R402" s="348">
        <v>11</v>
      </c>
      <c r="S402" s="348">
        <v>12</v>
      </c>
      <c r="T402" s="348">
        <v>13</v>
      </c>
      <c r="U402" s="348">
        <v>14</v>
      </c>
      <c r="V402" s="348">
        <v>15</v>
      </c>
      <c r="W402" s="348">
        <v>16</v>
      </c>
      <c r="X402" s="348">
        <v>17</v>
      </c>
      <c r="Y402" s="348">
        <v>18</v>
      </c>
      <c r="Z402" s="348">
        <v>19</v>
      </c>
      <c r="AA402" s="348">
        <v>20</v>
      </c>
      <c r="AB402" s="348">
        <v>21</v>
      </c>
      <c r="AC402" s="348">
        <v>22</v>
      </c>
      <c r="AD402" s="348">
        <v>23</v>
      </c>
      <c r="AE402" s="348">
        <v>24</v>
      </c>
      <c r="AF402" s="348">
        <v>25</v>
      </c>
      <c r="AG402" s="348">
        <v>26</v>
      </c>
      <c r="AH402" s="348">
        <v>27</v>
      </c>
      <c r="AI402" s="348">
        <v>28</v>
      </c>
      <c r="AJ402" s="348">
        <v>29</v>
      </c>
      <c r="AK402" s="348">
        <v>30</v>
      </c>
      <c r="AL402" s="348">
        <v>31</v>
      </c>
      <c r="AM402" s="348">
        <v>32</v>
      </c>
      <c r="AN402" s="348">
        <v>33</v>
      </c>
      <c r="AO402" s="348">
        <v>34</v>
      </c>
      <c r="AP402" s="348">
        <v>35</v>
      </c>
      <c r="AQ402" s="348">
        <v>36</v>
      </c>
      <c r="AR402" s="348">
        <v>37</v>
      </c>
      <c r="AS402" s="348">
        <v>38</v>
      </c>
      <c r="AT402" s="348">
        <v>39</v>
      </c>
      <c r="AU402" s="348">
        <v>40</v>
      </c>
      <c r="AV402" s="348">
        <v>41</v>
      </c>
      <c r="AW402" s="348">
        <v>42</v>
      </c>
      <c r="AX402" s="348">
        <v>43</v>
      </c>
      <c r="AY402" s="348">
        <v>44</v>
      </c>
      <c r="AZ402" s="348">
        <v>45</v>
      </c>
      <c r="BA402" s="348">
        <v>46</v>
      </c>
      <c r="BB402" s="348">
        <v>47</v>
      </c>
      <c r="BC402" s="348">
        <v>48</v>
      </c>
      <c r="BD402" s="348">
        <v>49</v>
      </c>
      <c r="BE402" s="348">
        <v>50</v>
      </c>
      <c r="BF402" s="348">
        <v>51</v>
      </c>
      <c r="BG402" s="348">
        <v>52</v>
      </c>
      <c r="BH402" s="348">
        <v>53</v>
      </c>
      <c r="BI402" s="348">
        <v>54</v>
      </c>
      <c r="BJ402" s="348">
        <v>55</v>
      </c>
      <c r="BK402" s="348">
        <v>56</v>
      </c>
      <c r="BL402" s="348">
        <v>57</v>
      </c>
      <c r="BM402" s="348">
        <v>58</v>
      </c>
      <c r="BN402" s="348">
        <v>59</v>
      </c>
      <c r="BO402" s="348">
        <v>60</v>
      </c>
      <c r="BP402" s="348">
        <v>61</v>
      </c>
      <c r="BQ402" s="348">
        <v>62</v>
      </c>
      <c r="BR402" s="348">
        <v>63</v>
      </c>
      <c r="BS402" s="348">
        <v>64</v>
      </c>
      <c r="BT402" s="348">
        <v>65</v>
      </c>
      <c r="BU402" s="348">
        <v>66</v>
      </c>
      <c r="BV402" s="348">
        <v>67</v>
      </c>
      <c r="BW402" s="348">
        <v>68</v>
      </c>
      <c r="BX402" s="348">
        <v>69</v>
      </c>
      <c r="BY402" s="348">
        <v>70</v>
      </c>
      <c r="BZ402" s="348">
        <v>71</v>
      </c>
      <c r="CA402" s="348">
        <v>72</v>
      </c>
      <c r="CB402" s="348">
        <v>73</v>
      </c>
      <c r="CC402" s="348">
        <v>74</v>
      </c>
      <c r="CD402" s="348">
        <v>75</v>
      </c>
      <c r="CE402" s="348">
        <v>76</v>
      </c>
      <c r="CF402" s="348">
        <v>77</v>
      </c>
      <c r="CG402" s="348">
        <v>78</v>
      </c>
      <c r="CH402" s="348">
        <v>79</v>
      </c>
      <c r="CI402" s="348">
        <v>80</v>
      </c>
      <c r="CJ402" s="348">
        <v>81</v>
      </c>
      <c r="CK402" s="348">
        <v>82</v>
      </c>
      <c r="CL402" s="348">
        <v>83</v>
      </c>
      <c r="CM402" s="348">
        <v>84</v>
      </c>
      <c r="CN402" s="348">
        <v>85</v>
      </c>
      <c r="CO402" s="348">
        <v>86</v>
      </c>
      <c r="CP402" s="348">
        <v>87</v>
      </c>
      <c r="CQ402" s="348">
        <v>88</v>
      </c>
      <c r="CR402" s="348">
        <v>89</v>
      </c>
      <c r="CS402" s="348">
        <v>90</v>
      </c>
      <c r="CT402" s="348">
        <v>91</v>
      </c>
      <c r="CU402" s="348">
        <v>92</v>
      </c>
      <c r="CV402" s="348">
        <v>93</v>
      </c>
      <c r="CW402" s="348">
        <v>94</v>
      </c>
      <c r="CX402" s="348">
        <v>95</v>
      </c>
      <c r="CY402" s="348">
        <v>96</v>
      </c>
      <c r="CZ402" s="348">
        <v>97</v>
      </c>
      <c r="DA402" s="348">
        <v>98</v>
      </c>
      <c r="DB402" s="348">
        <v>99</v>
      </c>
      <c r="DC402" s="348">
        <v>100</v>
      </c>
      <c r="DD402" s="348">
        <v>101</v>
      </c>
      <c r="DE402" s="348">
        <v>102</v>
      </c>
      <c r="DF402" s="348">
        <v>103</v>
      </c>
      <c r="DG402" s="348">
        <v>104</v>
      </c>
      <c r="DH402" s="348">
        <v>105</v>
      </c>
      <c r="DI402" s="348">
        <v>106</v>
      </c>
      <c r="DJ402" s="348">
        <v>107</v>
      </c>
      <c r="DK402" s="348">
        <v>108</v>
      </c>
      <c r="DL402" s="348">
        <v>109</v>
      </c>
      <c r="DM402" s="348">
        <v>110</v>
      </c>
      <c r="DN402" s="348">
        <v>111</v>
      </c>
      <c r="DO402" s="348">
        <v>112</v>
      </c>
      <c r="DP402" s="348">
        <v>113</v>
      </c>
      <c r="DQ402" s="348">
        <v>114</v>
      </c>
      <c r="DR402" s="348">
        <v>115</v>
      </c>
      <c r="DS402" s="348">
        <v>116</v>
      </c>
      <c r="DT402" s="348">
        <v>117</v>
      </c>
      <c r="DU402" s="348">
        <v>118</v>
      </c>
      <c r="DV402" s="348">
        <v>119</v>
      </c>
      <c r="DW402" s="348">
        <v>120</v>
      </c>
      <c r="DX402" s="348">
        <v>121</v>
      </c>
      <c r="DY402" s="348">
        <v>122</v>
      </c>
      <c r="DZ402" s="348">
        <v>123</v>
      </c>
      <c r="EA402" s="348">
        <v>124</v>
      </c>
      <c r="EB402" s="348">
        <v>125</v>
      </c>
      <c r="EC402" s="348">
        <v>126</v>
      </c>
      <c r="ED402" s="348">
        <v>127</v>
      </c>
      <c r="EE402" s="348">
        <v>128</v>
      </c>
      <c r="EF402" s="348">
        <v>129</v>
      </c>
      <c r="EG402" s="348">
        <v>130</v>
      </c>
      <c r="EH402" s="348">
        <v>131</v>
      </c>
      <c r="EI402" s="348">
        <v>132</v>
      </c>
      <c r="EJ402" s="348">
        <v>133</v>
      </c>
      <c r="EK402" s="348">
        <v>134</v>
      </c>
      <c r="EL402" s="348">
        <v>135</v>
      </c>
      <c r="EM402" s="348">
        <v>136</v>
      </c>
      <c r="EN402" s="348">
        <v>137</v>
      </c>
      <c r="EO402" s="348">
        <v>138</v>
      </c>
      <c r="EP402" s="348">
        <v>139</v>
      </c>
      <c r="EQ402" s="348">
        <v>140</v>
      </c>
      <c r="ER402" s="348">
        <v>141</v>
      </c>
      <c r="ES402" s="348">
        <v>142</v>
      </c>
      <c r="ET402" s="348">
        <v>143</v>
      </c>
      <c r="EU402" s="348">
        <v>144</v>
      </c>
      <c r="EV402" s="348">
        <v>145</v>
      </c>
      <c r="EW402" s="348">
        <v>146</v>
      </c>
      <c r="EX402" s="348">
        <v>147</v>
      </c>
      <c r="EY402" s="348">
        <v>148</v>
      </c>
      <c r="EZ402" s="348">
        <v>149</v>
      </c>
      <c r="FA402" s="348">
        <v>150</v>
      </c>
      <c r="FB402" s="348">
        <v>151</v>
      </c>
      <c r="FC402" s="348">
        <v>152</v>
      </c>
      <c r="FD402" s="348">
        <v>153</v>
      </c>
      <c r="FE402" s="348">
        <v>154</v>
      </c>
      <c r="FF402" s="348">
        <v>155</v>
      </c>
      <c r="FG402" s="348">
        <v>156</v>
      </c>
      <c r="FH402" s="348">
        <v>157</v>
      </c>
      <c r="FI402" s="348">
        <v>158</v>
      </c>
      <c r="FJ402" s="348">
        <v>159</v>
      </c>
      <c r="FK402" s="348">
        <v>160</v>
      </c>
      <c r="FL402" s="348">
        <v>161</v>
      </c>
      <c r="FM402" s="348">
        <v>162</v>
      </c>
      <c r="FN402" s="348">
        <v>163</v>
      </c>
      <c r="FO402" s="348">
        <v>164</v>
      </c>
      <c r="FP402" s="348">
        <v>165</v>
      </c>
      <c r="FQ402" s="348">
        <v>166</v>
      </c>
      <c r="FR402" s="348">
        <v>167</v>
      </c>
      <c r="FS402" s="348">
        <v>168</v>
      </c>
      <c r="FT402" s="348">
        <v>169</v>
      </c>
      <c r="FU402" s="348">
        <v>170</v>
      </c>
      <c r="FV402" s="348">
        <v>171</v>
      </c>
      <c r="FW402" s="348">
        <v>172</v>
      </c>
      <c r="FX402" s="348">
        <v>173</v>
      </c>
      <c r="FY402" s="348">
        <v>174</v>
      </c>
      <c r="FZ402" s="348">
        <v>175</v>
      </c>
      <c r="GA402" s="348">
        <v>176</v>
      </c>
      <c r="GB402" s="348">
        <v>177</v>
      </c>
      <c r="GC402" s="348">
        <v>178</v>
      </c>
      <c r="GD402" s="348">
        <v>179</v>
      </c>
      <c r="GE402" s="348">
        <v>180</v>
      </c>
      <c r="GF402" s="348">
        <v>181</v>
      </c>
      <c r="GG402" s="348">
        <v>182</v>
      </c>
      <c r="GH402" s="348">
        <v>183</v>
      </c>
      <c r="GI402" s="348">
        <v>184</v>
      </c>
      <c r="GJ402" s="348">
        <v>185</v>
      </c>
      <c r="GK402" s="348">
        <v>186</v>
      </c>
      <c r="GL402" s="348">
        <v>187</v>
      </c>
      <c r="GM402" s="348">
        <v>188</v>
      </c>
      <c r="GN402" s="348">
        <v>189</v>
      </c>
      <c r="GO402" s="348">
        <v>190</v>
      </c>
      <c r="GP402" s="348">
        <v>191</v>
      </c>
      <c r="GQ402" s="348">
        <v>192</v>
      </c>
      <c r="GR402" s="348">
        <v>193</v>
      </c>
      <c r="GS402" s="348">
        <v>194</v>
      </c>
      <c r="GT402" s="348">
        <v>195</v>
      </c>
      <c r="GU402" s="348">
        <v>196</v>
      </c>
      <c r="GV402" s="348">
        <v>197</v>
      </c>
      <c r="GW402" s="348">
        <v>198</v>
      </c>
      <c r="GX402" s="348">
        <v>199</v>
      </c>
      <c r="GY402" s="348">
        <v>200</v>
      </c>
      <c r="GZ402" s="348">
        <v>201</v>
      </c>
      <c r="HA402" s="348">
        <v>202</v>
      </c>
      <c r="HB402" s="348">
        <v>203</v>
      </c>
      <c r="HC402" s="348">
        <v>204</v>
      </c>
      <c r="HD402" s="348">
        <v>205</v>
      </c>
      <c r="HE402" s="348">
        <v>206</v>
      </c>
      <c r="HF402" s="348">
        <v>207</v>
      </c>
      <c r="HG402" s="348">
        <v>208</v>
      </c>
      <c r="HH402" s="348">
        <v>209</v>
      </c>
      <c r="HI402" s="348">
        <v>210</v>
      </c>
      <c r="HJ402" s="348">
        <v>211</v>
      </c>
      <c r="HK402" s="348">
        <v>212</v>
      </c>
      <c r="HL402" s="348">
        <v>213</v>
      </c>
      <c r="HM402" s="348">
        <v>214</v>
      </c>
      <c r="HN402" s="348">
        <v>215</v>
      </c>
      <c r="HO402" s="348">
        <v>216</v>
      </c>
      <c r="HP402" s="348">
        <v>217</v>
      </c>
      <c r="HQ402" s="348">
        <v>218</v>
      </c>
      <c r="HR402" s="348">
        <v>219</v>
      </c>
      <c r="HS402" s="348">
        <v>220</v>
      </c>
      <c r="HT402" s="348">
        <v>221</v>
      </c>
      <c r="HU402" s="348">
        <v>222</v>
      </c>
      <c r="HV402" s="348">
        <v>223</v>
      </c>
      <c r="HW402" s="348">
        <v>224</v>
      </c>
      <c r="HX402" s="348">
        <v>225</v>
      </c>
      <c r="HY402" s="348">
        <v>226</v>
      </c>
      <c r="HZ402" s="348">
        <v>227</v>
      </c>
      <c r="IA402" s="348">
        <v>228</v>
      </c>
      <c r="IB402" s="348">
        <v>229</v>
      </c>
      <c r="IC402" s="348">
        <v>230</v>
      </c>
      <c r="ID402" s="348">
        <v>231</v>
      </c>
      <c r="IE402" s="348">
        <v>232</v>
      </c>
      <c r="IF402" s="348">
        <v>233</v>
      </c>
      <c r="IG402" s="348">
        <v>234</v>
      </c>
      <c r="IH402" s="348">
        <v>235</v>
      </c>
      <c r="II402" s="348">
        <v>236</v>
      </c>
      <c r="IJ402" s="348">
        <v>237</v>
      </c>
      <c r="IK402" s="348">
        <v>238</v>
      </c>
    </row>
    <row r="403" spans="3:245" hidden="1" x14ac:dyDescent="0.35">
      <c r="H403" s="348">
        <f ca="1">IF(H400=1,H402,5000)</f>
        <v>5000</v>
      </c>
      <c r="I403" s="348">
        <f t="shared" ref="I403:BT403" ca="1" si="483">IF(I400=1,I402,5000)</f>
        <v>5000</v>
      </c>
      <c r="J403" s="348">
        <f t="shared" ca="1" si="483"/>
        <v>5000</v>
      </c>
      <c r="K403" s="348">
        <f t="shared" ca="1" si="483"/>
        <v>5000</v>
      </c>
      <c r="L403" s="348">
        <f t="shared" ca="1" si="483"/>
        <v>5000</v>
      </c>
      <c r="M403" s="348">
        <f t="shared" ca="1" si="483"/>
        <v>5000</v>
      </c>
      <c r="N403" s="348">
        <f t="shared" ca="1" si="483"/>
        <v>5000</v>
      </c>
      <c r="O403" s="348">
        <f t="shared" ca="1" si="483"/>
        <v>5000</v>
      </c>
      <c r="P403" s="348">
        <f t="shared" ca="1" si="483"/>
        <v>5000</v>
      </c>
      <c r="Q403" s="348">
        <f t="shared" ca="1" si="483"/>
        <v>5000</v>
      </c>
      <c r="R403" s="348">
        <f t="shared" ca="1" si="483"/>
        <v>5000</v>
      </c>
      <c r="S403" s="348">
        <f t="shared" ca="1" si="483"/>
        <v>5000</v>
      </c>
      <c r="T403" s="348">
        <f t="shared" ca="1" si="483"/>
        <v>5000</v>
      </c>
      <c r="U403" s="348">
        <f t="shared" ca="1" si="483"/>
        <v>5000</v>
      </c>
      <c r="V403" s="348">
        <f t="shared" ca="1" si="483"/>
        <v>5000</v>
      </c>
      <c r="W403" s="348">
        <f t="shared" ca="1" si="483"/>
        <v>5000</v>
      </c>
      <c r="X403" s="348">
        <f t="shared" ca="1" si="483"/>
        <v>5000</v>
      </c>
      <c r="Y403" s="348">
        <f t="shared" ca="1" si="483"/>
        <v>5000</v>
      </c>
      <c r="Z403" s="348">
        <f t="shared" ca="1" si="483"/>
        <v>5000</v>
      </c>
      <c r="AA403" s="348">
        <f t="shared" ca="1" si="483"/>
        <v>5000</v>
      </c>
      <c r="AB403" s="348">
        <f t="shared" ca="1" si="483"/>
        <v>5000</v>
      </c>
      <c r="AC403" s="348">
        <f t="shared" ca="1" si="483"/>
        <v>5000</v>
      </c>
      <c r="AD403" s="348">
        <f t="shared" ca="1" si="483"/>
        <v>5000</v>
      </c>
      <c r="AE403" s="348">
        <f t="shared" ca="1" si="483"/>
        <v>5000</v>
      </c>
      <c r="AF403" s="348">
        <f t="shared" ca="1" si="483"/>
        <v>5000</v>
      </c>
      <c r="AG403" s="348">
        <f t="shared" ca="1" si="483"/>
        <v>5000</v>
      </c>
      <c r="AH403" s="348">
        <f t="shared" ca="1" si="483"/>
        <v>5000</v>
      </c>
      <c r="AI403" s="348">
        <f t="shared" ca="1" si="483"/>
        <v>5000</v>
      </c>
      <c r="AJ403" s="348">
        <f t="shared" ca="1" si="483"/>
        <v>5000</v>
      </c>
      <c r="AK403" s="348">
        <f t="shared" ca="1" si="483"/>
        <v>5000</v>
      </c>
      <c r="AL403" s="348">
        <f t="shared" ca="1" si="483"/>
        <v>5000</v>
      </c>
      <c r="AM403" s="348">
        <f t="shared" ca="1" si="483"/>
        <v>32</v>
      </c>
      <c r="AN403" s="348">
        <f t="shared" ca="1" si="483"/>
        <v>5000</v>
      </c>
      <c r="AO403" s="348">
        <f t="shared" ca="1" si="483"/>
        <v>5000</v>
      </c>
      <c r="AP403" s="348">
        <f t="shared" ca="1" si="483"/>
        <v>5000</v>
      </c>
      <c r="AQ403" s="348">
        <f t="shared" ca="1" si="483"/>
        <v>5000</v>
      </c>
      <c r="AR403" s="348">
        <f t="shared" ca="1" si="483"/>
        <v>5000</v>
      </c>
      <c r="AS403" s="348">
        <f t="shared" ca="1" si="483"/>
        <v>5000</v>
      </c>
      <c r="AT403" s="348">
        <f t="shared" ca="1" si="483"/>
        <v>5000</v>
      </c>
      <c r="AU403" s="348">
        <f t="shared" ca="1" si="483"/>
        <v>5000</v>
      </c>
      <c r="AV403" s="348">
        <f t="shared" ca="1" si="483"/>
        <v>5000</v>
      </c>
      <c r="AW403" s="348">
        <f t="shared" ca="1" si="483"/>
        <v>5000</v>
      </c>
      <c r="AX403" s="348">
        <f t="shared" ca="1" si="483"/>
        <v>5000</v>
      </c>
      <c r="AY403" s="348">
        <f t="shared" ca="1" si="483"/>
        <v>5000</v>
      </c>
      <c r="AZ403" s="348">
        <f t="shared" ca="1" si="483"/>
        <v>5000</v>
      </c>
      <c r="BA403" s="348">
        <f t="shared" ca="1" si="483"/>
        <v>5000</v>
      </c>
      <c r="BB403" s="348">
        <f t="shared" ca="1" si="483"/>
        <v>5000</v>
      </c>
      <c r="BC403" s="348">
        <f t="shared" ca="1" si="483"/>
        <v>5000</v>
      </c>
      <c r="BD403" s="348">
        <f t="shared" ca="1" si="483"/>
        <v>5000</v>
      </c>
      <c r="BE403" s="348">
        <f t="shared" ca="1" si="483"/>
        <v>5000</v>
      </c>
      <c r="BF403" s="348">
        <f t="shared" ca="1" si="483"/>
        <v>5000</v>
      </c>
      <c r="BG403" s="348">
        <f t="shared" ca="1" si="483"/>
        <v>5000</v>
      </c>
      <c r="BH403" s="348">
        <f t="shared" ca="1" si="483"/>
        <v>5000</v>
      </c>
      <c r="BI403" s="348">
        <f t="shared" ca="1" si="483"/>
        <v>5000</v>
      </c>
      <c r="BJ403" s="348">
        <f t="shared" ca="1" si="483"/>
        <v>5000</v>
      </c>
      <c r="BK403" s="348">
        <f t="shared" ca="1" si="483"/>
        <v>5000</v>
      </c>
      <c r="BL403" s="348">
        <f t="shared" ca="1" si="483"/>
        <v>5000</v>
      </c>
      <c r="BM403" s="348">
        <f t="shared" ca="1" si="483"/>
        <v>5000</v>
      </c>
      <c r="BN403" s="348">
        <f t="shared" ca="1" si="483"/>
        <v>5000</v>
      </c>
      <c r="BO403" s="348">
        <f t="shared" ca="1" si="483"/>
        <v>5000</v>
      </c>
      <c r="BP403" s="348">
        <f t="shared" ca="1" si="483"/>
        <v>5000</v>
      </c>
      <c r="BQ403" s="348">
        <f t="shared" ca="1" si="483"/>
        <v>5000</v>
      </c>
      <c r="BR403" s="348">
        <f t="shared" ca="1" si="483"/>
        <v>5000</v>
      </c>
      <c r="BS403" s="348">
        <f t="shared" ca="1" si="483"/>
        <v>5000</v>
      </c>
      <c r="BT403" s="348">
        <f t="shared" ca="1" si="483"/>
        <v>5000</v>
      </c>
      <c r="BU403" s="348">
        <f t="shared" ref="BU403:EF403" ca="1" si="484">IF(BU400=1,BU402,5000)</f>
        <v>5000</v>
      </c>
      <c r="BV403" s="348">
        <f t="shared" ca="1" si="484"/>
        <v>5000</v>
      </c>
      <c r="BW403" s="348">
        <f t="shared" ca="1" si="484"/>
        <v>5000</v>
      </c>
      <c r="BX403" s="348">
        <f t="shared" ca="1" si="484"/>
        <v>5000</v>
      </c>
      <c r="BY403" s="348">
        <f t="shared" ca="1" si="484"/>
        <v>5000</v>
      </c>
      <c r="BZ403" s="348">
        <f t="shared" ca="1" si="484"/>
        <v>5000</v>
      </c>
      <c r="CA403" s="348">
        <f t="shared" ca="1" si="484"/>
        <v>5000</v>
      </c>
      <c r="CB403" s="348">
        <f t="shared" ca="1" si="484"/>
        <v>5000</v>
      </c>
      <c r="CC403" s="348">
        <f t="shared" ca="1" si="484"/>
        <v>5000</v>
      </c>
      <c r="CD403" s="348">
        <f t="shared" ca="1" si="484"/>
        <v>5000</v>
      </c>
      <c r="CE403" s="348">
        <f t="shared" ca="1" si="484"/>
        <v>5000</v>
      </c>
      <c r="CF403" s="348">
        <f t="shared" ca="1" si="484"/>
        <v>5000</v>
      </c>
      <c r="CG403" s="348">
        <f t="shared" ca="1" si="484"/>
        <v>5000</v>
      </c>
      <c r="CH403" s="348">
        <f t="shared" ca="1" si="484"/>
        <v>5000</v>
      </c>
      <c r="CI403" s="348">
        <f t="shared" ca="1" si="484"/>
        <v>5000</v>
      </c>
      <c r="CJ403" s="348">
        <f t="shared" ca="1" si="484"/>
        <v>5000</v>
      </c>
      <c r="CK403" s="348">
        <f t="shared" ca="1" si="484"/>
        <v>5000</v>
      </c>
      <c r="CL403" s="348">
        <f t="shared" ca="1" si="484"/>
        <v>5000</v>
      </c>
      <c r="CM403" s="348">
        <f t="shared" ca="1" si="484"/>
        <v>5000</v>
      </c>
      <c r="CN403" s="348">
        <f t="shared" ca="1" si="484"/>
        <v>5000</v>
      </c>
      <c r="CO403" s="348">
        <f t="shared" ca="1" si="484"/>
        <v>5000</v>
      </c>
      <c r="CP403" s="348">
        <f t="shared" ca="1" si="484"/>
        <v>5000</v>
      </c>
      <c r="CQ403" s="348">
        <f t="shared" ca="1" si="484"/>
        <v>5000</v>
      </c>
      <c r="CR403" s="348">
        <f t="shared" ca="1" si="484"/>
        <v>5000</v>
      </c>
      <c r="CS403" s="348">
        <f t="shared" ca="1" si="484"/>
        <v>5000</v>
      </c>
      <c r="CT403" s="348">
        <f t="shared" ca="1" si="484"/>
        <v>5000</v>
      </c>
      <c r="CU403" s="348">
        <f t="shared" ca="1" si="484"/>
        <v>5000</v>
      </c>
      <c r="CV403" s="348">
        <f t="shared" ca="1" si="484"/>
        <v>5000</v>
      </c>
      <c r="CW403" s="348">
        <f t="shared" ca="1" si="484"/>
        <v>5000</v>
      </c>
      <c r="CX403" s="348">
        <f t="shared" ca="1" si="484"/>
        <v>5000</v>
      </c>
      <c r="CY403" s="348">
        <f t="shared" ca="1" si="484"/>
        <v>5000</v>
      </c>
      <c r="CZ403" s="348">
        <f t="shared" ca="1" si="484"/>
        <v>5000</v>
      </c>
      <c r="DA403" s="348">
        <f t="shared" ca="1" si="484"/>
        <v>5000</v>
      </c>
      <c r="DB403" s="348">
        <f t="shared" ca="1" si="484"/>
        <v>5000</v>
      </c>
      <c r="DC403" s="348">
        <f t="shared" ca="1" si="484"/>
        <v>5000</v>
      </c>
      <c r="DD403" s="348">
        <f t="shared" ca="1" si="484"/>
        <v>5000</v>
      </c>
      <c r="DE403" s="348">
        <f t="shared" ca="1" si="484"/>
        <v>5000</v>
      </c>
      <c r="DF403" s="348">
        <f t="shared" ca="1" si="484"/>
        <v>5000</v>
      </c>
      <c r="DG403" s="348">
        <f t="shared" ca="1" si="484"/>
        <v>5000</v>
      </c>
      <c r="DH403" s="348">
        <f t="shared" ca="1" si="484"/>
        <v>5000</v>
      </c>
      <c r="DI403" s="348">
        <f t="shared" ca="1" si="484"/>
        <v>5000</v>
      </c>
      <c r="DJ403" s="348">
        <f t="shared" ca="1" si="484"/>
        <v>5000</v>
      </c>
      <c r="DK403" s="348">
        <f t="shared" ca="1" si="484"/>
        <v>5000</v>
      </c>
      <c r="DL403" s="348">
        <f t="shared" ca="1" si="484"/>
        <v>5000</v>
      </c>
      <c r="DM403" s="348">
        <f t="shared" ca="1" si="484"/>
        <v>5000</v>
      </c>
      <c r="DN403" s="348">
        <f t="shared" ca="1" si="484"/>
        <v>5000</v>
      </c>
      <c r="DO403" s="348">
        <f t="shared" ca="1" si="484"/>
        <v>5000</v>
      </c>
      <c r="DP403" s="348">
        <f t="shared" ca="1" si="484"/>
        <v>5000</v>
      </c>
      <c r="DQ403" s="348">
        <f t="shared" ca="1" si="484"/>
        <v>5000</v>
      </c>
      <c r="DR403" s="348">
        <f t="shared" ca="1" si="484"/>
        <v>5000</v>
      </c>
      <c r="DS403" s="348">
        <f t="shared" ca="1" si="484"/>
        <v>5000</v>
      </c>
      <c r="DT403" s="348">
        <f t="shared" ca="1" si="484"/>
        <v>5000</v>
      </c>
      <c r="DU403" s="348">
        <f t="shared" ca="1" si="484"/>
        <v>5000</v>
      </c>
      <c r="DV403" s="348">
        <f t="shared" ca="1" si="484"/>
        <v>5000</v>
      </c>
      <c r="DW403" s="348">
        <f t="shared" ca="1" si="484"/>
        <v>5000</v>
      </c>
      <c r="DX403" s="348">
        <f t="shared" ca="1" si="484"/>
        <v>5000</v>
      </c>
      <c r="DY403" s="348">
        <f t="shared" ca="1" si="484"/>
        <v>5000</v>
      </c>
      <c r="DZ403" s="348">
        <f t="shared" ca="1" si="484"/>
        <v>5000</v>
      </c>
      <c r="EA403" s="348">
        <f t="shared" ca="1" si="484"/>
        <v>5000</v>
      </c>
      <c r="EB403" s="348">
        <f t="shared" ca="1" si="484"/>
        <v>5000</v>
      </c>
      <c r="EC403" s="348">
        <f t="shared" ca="1" si="484"/>
        <v>5000</v>
      </c>
      <c r="ED403" s="348">
        <f t="shared" ca="1" si="484"/>
        <v>5000</v>
      </c>
      <c r="EE403" s="348">
        <f t="shared" ca="1" si="484"/>
        <v>5000</v>
      </c>
      <c r="EF403" s="348">
        <f t="shared" ca="1" si="484"/>
        <v>5000</v>
      </c>
      <c r="EG403" s="348">
        <f t="shared" ref="EG403:GR403" ca="1" si="485">IF(EG400=1,EG402,5000)</f>
        <v>5000</v>
      </c>
      <c r="EH403" s="348">
        <f t="shared" ca="1" si="485"/>
        <v>5000</v>
      </c>
      <c r="EI403" s="348">
        <f t="shared" ca="1" si="485"/>
        <v>5000</v>
      </c>
      <c r="EJ403" s="348">
        <f t="shared" ca="1" si="485"/>
        <v>5000</v>
      </c>
      <c r="EK403" s="348">
        <f t="shared" ca="1" si="485"/>
        <v>5000</v>
      </c>
      <c r="EL403" s="348">
        <f t="shared" ca="1" si="485"/>
        <v>5000</v>
      </c>
      <c r="EM403" s="348">
        <f t="shared" ca="1" si="485"/>
        <v>5000</v>
      </c>
      <c r="EN403" s="348">
        <f t="shared" ca="1" si="485"/>
        <v>5000</v>
      </c>
      <c r="EO403" s="348">
        <f t="shared" ca="1" si="485"/>
        <v>5000</v>
      </c>
      <c r="EP403" s="348">
        <f t="shared" ca="1" si="485"/>
        <v>5000</v>
      </c>
      <c r="EQ403" s="348">
        <f t="shared" ca="1" si="485"/>
        <v>5000</v>
      </c>
      <c r="ER403" s="348">
        <f t="shared" ca="1" si="485"/>
        <v>5000</v>
      </c>
      <c r="ES403" s="348">
        <f t="shared" ca="1" si="485"/>
        <v>5000</v>
      </c>
      <c r="ET403" s="348">
        <f t="shared" ca="1" si="485"/>
        <v>5000</v>
      </c>
      <c r="EU403" s="348">
        <f t="shared" ca="1" si="485"/>
        <v>5000</v>
      </c>
      <c r="EV403" s="348">
        <f t="shared" ca="1" si="485"/>
        <v>5000</v>
      </c>
      <c r="EW403" s="348">
        <f t="shared" ca="1" si="485"/>
        <v>5000</v>
      </c>
      <c r="EX403" s="348">
        <f t="shared" ca="1" si="485"/>
        <v>5000</v>
      </c>
      <c r="EY403" s="348">
        <f t="shared" ca="1" si="485"/>
        <v>5000</v>
      </c>
      <c r="EZ403" s="348">
        <f t="shared" ca="1" si="485"/>
        <v>5000</v>
      </c>
      <c r="FA403" s="348">
        <f t="shared" ca="1" si="485"/>
        <v>5000</v>
      </c>
      <c r="FB403" s="348">
        <f t="shared" ca="1" si="485"/>
        <v>5000</v>
      </c>
      <c r="FC403" s="348">
        <f t="shared" ca="1" si="485"/>
        <v>5000</v>
      </c>
      <c r="FD403" s="348">
        <f t="shared" ca="1" si="485"/>
        <v>5000</v>
      </c>
      <c r="FE403" s="348">
        <f t="shared" ca="1" si="485"/>
        <v>5000</v>
      </c>
      <c r="FF403" s="348">
        <f t="shared" ca="1" si="485"/>
        <v>5000</v>
      </c>
      <c r="FG403" s="348">
        <f t="shared" ca="1" si="485"/>
        <v>5000</v>
      </c>
      <c r="FH403" s="348">
        <f t="shared" ca="1" si="485"/>
        <v>5000</v>
      </c>
      <c r="FI403" s="348">
        <f t="shared" ca="1" si="485"/>
        <v>5000</v>
      </c>
      <c r="FJ403" s="348">
        <f t="shared" ca="1" si="485"/>
        <v>5000</v>
      </c>
      <c r="FK403" s="348">
        <f t="shared" ca="1" si="485"/>
        <v>5000</v>
      </c>
      <c r="FL403" s="348">
        <f t="shared" ca="1" si="485"/>
        <v>5000</v>
      </c>
      <c r="FM403" s="348">
        <f t="shared" ca="1" si="485"/>
        <v>5000</v>
      </c>
      <c r="FN403" s="348">
        <f t="shared" ca="1" si="485"/>
        <v>5000</v>
      </c>
      <c r="FO403" s="348">
        <f t="shared" ca="1" si="485"/>
        <v>5000</v>
      </c>
      <c r="FP403" s="348">
        <f t="shared" ca="1" si="485"/>
        <v>5000</v>
      </c>
      <c r="FQ403" s="348">
        <f t="shared" ca="1" si="485"/>
        <v>5000</v>
      </c>
      <c r="FR403" s="348">
        <f t="shared" ca="1" si="485"/>
        <v>5000</v>
      </c>
      <c r="FS403" s="348">
        <f t="shared" ca="1" si="485"/>
        <v>5000</v>
      </c>
      <c r="FT403" s="348">
        <f t="shared" ca="1" si="485"/>
        <v>5000</v>
      </c>
      <c r="FU403" s="348">
        <f t="shared" ca="1" si="485"/>
        <v>5000</v>
      </c>
      <c r="FV403" s="348">
        <f t="shared" ca="1" si="485"/>
        <v>5000</v>
      </c>
      <c r="FW403" s="348">
        <f t="shared" ca="1" si="485"/>
        <v>5000</v>
      </c>
      <c r="FX403" s="348">
        <f t="shared" ca="1" si="485"/>
        <v>5000</v>
      </c>
      <c r="FY403" s="348">
        <f t="shared" ca="1" si="485"/>
        <v>5000</v>
      </c>
      <c r="FZ403" s="348">
        <f t="shared" ca="1" si="485"/>
        <v>5000</v>
      </c>
      <c r="GA403" s="348">
        <f t="shared" ca="1" si="485"/>
        <v>5000</v>
      </c>
      <c r="GB403" s="348">
        <f t="shared" ca="1" si="485"/>
        <v>5000</v>
      </c>
      <c r="GC403" s="348">
        <f t="shared" ca="1" si="485"/>
        <v>5000</v>
      </c>
      <c r="GD403" s="348">
        <f t="shared" ca="1" si="485"/>
        <v>5000</v>
      </c>
      <c r="GE403" s="348">
        <f t="shared" ca="1" si="485"/>
        <v>5000</v>
      </c>
      <c r="GF403" s="348">
        <f t="shared" ca="1" si="485"/>
        <v>5000</v>
      </c>
      <c r="GG403" s="348">
        <f t="shared" ca="1" si="485"/>
        <v>5000</v>
      </c>
      <c r="GH403" s="348">
        <f t="shared" ca="1" si="485"/>
        <v>5000</v>
      </c>
      <c r="GI403" s="348">
        <f t="shared" ca="1" si="485"/>
        <v>5000</v>
      </c>
      <c r="GJ403" s="348">
        <f t="shared" ca="1" si="485"/>
        <v>5000</v>
      </c>
      <c r="GK403" s="348">
        <f t="shared" ca="1" si="485"/>
        <v>5000</v>
      </c>
      <c r="GL403" s="348">
        <f t="shared" ca="1" si="485"/>
        <v>5000</v>
      </c>
      <c r="GM403" s="348">
        <f t="shared" ca="1" si="485"/>
        <v>5000</v>
      </c>
      <c r="GN403" s="348">
        <f t="shared" ca="1" si="485"/>
        <v>5000</v>
      </c>
      <c r="GO403" s="348">
        <f t="shared" ca="1" si="485"/>
        <v>5000</v>
      </c>
      <c r="GP403" s="348">
        <f t="shared" ca="1" si="485"/>
        <v>5000</v>
      </c>
      <c r="GQ403" s="348">
        <f t="shared" ca="1" si="485"/>
        <v>5000</v>
      </c>
      <c r="GR403" s="348">
        <f t="shared" ca="1" si="485"/>
        <v>5000</v>
      </c>
      <c r="GS403" s="348">
        <f t="shared" ref="GS403:IK403" ca="1" si="486">IF(GS400=1,GS402,5000)</f>
        <v>5000</v>
      </c>
      <c r="GT403" s="348">
        <f t="shared" ca="1" si="486"/>
        <v>5000</v>
      </c>
      <c r="GU403" s="348">
        <f t="shared" ca="1" si="486"/>
        <v>5000</v>
      </c>
      <c r="GV403" s="348">
        <f t="shared" ca="1" si="486"/>
        <v>5000</v>
      </c>
      <c r="GW403" s="348">
        <f t="shared" ca="1" si="486"/>
        <v>5000</v>
      </c>
      <c r="GX403" s="348">
        <f t="shared" ca="1" si="486"/>
        <v>5000</v>
      </c>
      <c r="GY403" s="348">
        <f t="shared" ca="1" si="486"/>
        <v>5000</v>
      </c>
      <c r="GZ403" s="348">
        <f t="shared" ca="1" si="486"/>
        <v>5000</v>
      </c>
      <c r="HA403" s="348">
        <f t="shared" ca="1" si="486"/>
        <v>5000</v>
      </c>
      <c r="HB403" s="348">
        <f t="shared" ca="1" si="486"/>
        <v>5000</v>
      </c>
      <c r="HC403" s="348">
        <f t="shared" ca="1" si="486"/>
        <v>5000</v>
      </c>
      <c r="HD403" s="348">
        <f t="shared" ca="1" si="486"/>
        <v>5000</v>
      </c>
      <c r="HE403" s="348">
        <f t="shared" ca="1" si="486"/>
        <v>5000</v>
      </c>
      <c r="HF403" s="348">
        <f t="shared" ca="1" si="486"/>
        <v>5000</v>
      </c>
      <c r="HG403" s="348">
        <f t="shared" ca="1" si="486"/>
        <v>5000</v>
      </c>
      <c r="HH403" s="348">
        <f t="shared" ca="1" si="486"/>
        <v>5000</v>
      </c>
      <c r="HI403" s="348">
        <f t="shared" ca="1" si="486"/>
        <v>5000</v>
      </c>
      <c r="HJ403" s="348">
        <f t="shared" ca="1" si="486"/>
        <v>5000</v>
      </c>
      <c r="HK403" s="348">
        <f t="shared" ca="1" si="486"/>
        <v>5000</v>
      </c>
      <c r="HL403" s="348">
        <f t="shared" ca="1" si="486"/>
        <v>5000</v>
      </c>
      <c r="HM403" s="348">
        <f t="shared" ca="1" si="486"/>
        <v>5000</v>
      </c>
      <c r="HN403" s="348">
        <f t="shared" ca="1" si="486"/>
        <v>5000</v>
      </c>
      <c r="HO403" s="348">
        <f t="shared" ca="1" si="486"/>
        <v>5000</v>
      </c>
      <c r="HP403" s="348">
        <f t="shared" ca="1" si="486"/>
        <v>5000</v>
      </c>
      <c r="HQ403" s="348">
        <f t="shared" ca="1" si="486"/>
        <v>5000</v>
      </c>
      <c r="HR403" s="348">
        <f t="shared" ca="1" si="486"/>
        <v>5000</v>
      </c>
      <c r="HS403" s="348">
        <f t="shared" ca="1" si="486"/>
        <v>5000</v>
      </c>
      <c r="HT403" s="348">
        <f t="shared" ca="1" si="486"/>
        <v>5000</v>
      </c>
      <c r="HU403" s="348">
        <f t="shared" ca="1" si="486"/>
        <v>5000</v>
      </c>
      <c r="HV403" s="348">
        <f t="shared" ca="1" si="486"/>
        <v>5000</v>
      </c>
      <c r="HW403" s="348">
        <f t="shared" ca="1" si="486"/>
        <v>5000</v>
      </c>
      <c r="HX403" s="348">
        <f t="shared" ca="1" si="486"/>
        <v>5000</v>
      </c>
      <c r="HY403" s="348">
        <f t="shared" ca="1" si="486"/>
        <v>5000</v>
      </c>
      <c r="HZ403" s="348">
        <f t="shared" ca="1" si="486"/>
        <v>5000</v>
      </c>
      <c r="IA403" s="348">
        <f t="shared" ca="1" si="486"/>
        <v>5000</v>
      </c>
      <c r="IB403" s="348">
        <f t="shared" ca="1" si="486"/>
        <v>5000</v>
      </c>
      <c r="IC403" s="348">
        <f t="shared" ca="1" si="486"/>
        <v>5000</v>
      </c>
      <c r="ID403" s="348">
        <f t="shared" ca="1" si="486"/>
        <v>5000</v>
      </c>
      <c r="IE403" s="348">
        <f t="shared" ca="1" si="486"/>
        <v>5000</v>
      </c>
      <c r="IF403" s="348">
        <f t="shared" ca="1" si="486"/>
        <v>5000</v>
      </c>
      <c r="IG403" s="348">
        <f t="shared" ca="1" si="486"/>
        <v>5000</v>
      </c>
      <c r="IH403" s="348">
        <f t="shared" ca="1" si="486"/>
        <v>5000</v>
      </c>
      <c r="II403" s="348">
        <f t="shared" ca="1" si="486"/>
        <v>5000</v>
      </c>
      <c r="IJ403" s="348">
        <f t="shared" ca="1" si="486"/>
        <v>5000</v>
      </c>
      <c r="IK403" s="348">
        <f t="shared" ca="1" si="486"/>
        <v>5000</v>
      </c>
    </row>
    <row r="404" spans="3:245" hidden="1" x14ac:dyDescent="0.35">
      <c r="H404" s="348">
        <f ca="1">IF(H401=1,H402,0)</f>
        <v>0</v>
      </c>
      <c r="I404" s="348">
        <f t="shared" ref="I404:BT404" ca="1" si="487">IF(I401=1,I402,0)</f>
        <v>0</v>
      </c>
      <c r="J404" s="348">
        <f t="shared" ca="1" si="487"/>
        <v>0</v>
      </c>
      <c r="K404" s="348">
        <f t="shared" ca="1" si="487"/>
        <v>0</v>
      </c>
      <c r="L404" s="348">
        <f t="shared" ca="1" si="487"/>
        <v>0</v>
      </c>
      <c r="M404" s="348">
        <f t="shared" ca="1" si="487"/>
        <v>0</v>
      </c>
      <c r="N404" s="348">
        <f t="shared" ca="1" si="487"/>
        <v>0</v>
      </c>
      <c r="O404" s="348">
        <f t="shared" ca="1" si="487"/>
        <v>0</v>
      </c>
      <c r="P404" s="348">
        <f t="shared" ca="1" si="487"/>
        <v>0</v>
      </c>
      <c r="Q404" s="348">
        <f t="shared" ca="1" si="487"/>
        <v>0</v>
      </c>
      <c r="R404" s="348">
        <f t="shared" ca="1" si="487"/>
        <v>0</v>
      </c>
      <c r="S404" s="348">
        <f t="shared" ca="1" si="487"/>
        <v>0</v>
      </c>
      <c r="T404" s="348">
        <f t="shared" ca="1" si="487"/>
        <v>0</v>
      </c>
      <c r="U404" s="348">
        <f t="shared" ca="1" si="487"/>
        <v>0</v>
      </c>
      <c r="V404" s="348">
        <f t="shared" ca="1" si="487"/>
        <v>0</v>
      </c>
      <c r="W404" s="348">
        <f t="shared" ca="1" si="487"/>
        <v>0</v>
      </c>
      <c r="X404" s="348">
        <f t="shared" ca="1" si="487"/>
        <v>0</v>
      </c>
      <c r="Y404" s="348">
        <f t="shared" ca="1" si="487"/>
        <v>0</v>
      </c>
      <c r="Z404" s="348">
        <f t="shared" ca="1" si="487"/>
        <v>0</v>
      </c>
      <c r="AA404" s="348">
        <f t="shared" ca="1" si="487"/>
        <v>0</v>
      </c>
      <c r="AB404" s="348">
        <f t="shared" ca="1" si="487"/>
        <v>0</v>
      </c>
      <c r="AC404" s="348">
        <f t="shared" ca="1" si="487"/>
        <v>0</v>
      </c>
      <c r="AD404" s="348">
        <f t="shared" ca="1" si="487"/>
        <v>0</v>
      </c>
      <c r="AE404" s="348">
        <f t="shared" ca="1" si="487"/>
        <v>0</v>
      </c>
      <c r="AF404" s="348">
        <f t="shared" ca="1" si="487"/>
        <v>0</v>
      </c>
      <c r="AG404" s="348">
        <f t="shared" ca="1" si="487"/>
        <v>0</v>
      </c>
      <c r="AH404" s="348">
        <f t="shared" ca="1" si="487"/>
        <v>0</v>
      </c>
      <c r="AI404" s="348">
        <f t="shared" ca="1" si="487"/>
        <v>0</v>
      </c>
      <c r="AJ404" s="348">
        <f t="shared" ca="1" si="487"/>
        <v>0</v>
      </c>
      <c r="AK404" s="348">
        <f t="shared" ca="1" si="487"/>
        <v>0</v>
      </c>
      <c r="AL404" s="348">
        <f t="shared" ca="1" si="487"/>
        <v>0</v>
      </c>
      <c r="AM404" s="348">
        <f t="shared" ca="1" si="487"/>
        <v>0</v>
      </c>
      <c r="AN404" s="348">
        <f t="shared" ca="1" si="487"/>
        <v>0</v>
      </c>
      <c r="AO404" s="348">
        <f t="shared" ca="1" si="487"/>
        <v>0</v>
      </c>
      <c r="AP404" s="348">
        <f t="shared" ca="1" si="487"/>
        <v>0</v>
      </c>
      <c r="AQ404" s="348">
        <f t="shared" ca="1" si="487"/>
        <v>0</v>
      </c>
      <c r="AR404" s="348">
        <f t="shared" ca="1" si="487"/>
        <v>0</v>
      </c>
      <c r="AS404" s="348">
        <f t="shared" ca="1" si="487"/>
        <v>0</v>
      </c>
      <c r="AT404" s="348">
        <f t="shared" ca="1" si="487"/>
        <v>0</v>
      </c>
      <c r="AU404" s="348">
        <f t="shared" ca="1" si="487"/>
        <v>0</v>
      </c>
      <c r="AV404" s="348">
        <f t="shared" ca="1" si="487"/>
        <v>0</v>
      </c>
      <c r="AW404" s="348">
        <f t="shared" ca="1" si="487"/>
        <v>0</v>
      </c>
      <c r="AX404" s="348">
        <f t="shared" ca="1" si="487"/>
        <v>0</v>
      </c>
      <c r="AY404" s="348">
        <f t="shared" ca="1" si="487"/>
        <v>0</v>
      </c>
      <c r="AZ404" s="348">
        <f t="shared" ca="1" si="487"/>
        <v>0</v>
      </c>
      <c r="BA404" s="348">
        <f t="shared" ca="1" si="487"/>
        <v>0</v>
      </c>
      <c r="BB404" s="348">
        <f t="shared" ca="1" si="487"/>
        <v>0</v>
      </c>
      <c r="BC404" s="348">
        <f t="shared" ca="1" si="487"/>
        <v>0</v>
      </c>
      <c r="BD404" s="348">
        <f t="shared" ca="1" si="487"/>
        <v>0</v>
      </c>
      <c r="BE404" s="348">
        <f t="shared" ca="1" si="487"/>
        <v>0</v>
      </c>
      <c r="BF404" s="348">
        <f t="shared" ca="1" si="487"/>
        <v>0</v>
      </c>
      <c r="BG404" s="348">
        <f t="shared" ca="1" si="487"/>
        <v>0</v>
      </c>
      <c r="BH404" s="348">
        <f t="shared" ca="1" si="487"/>
        <v>0</v>
      </c>
      <c r="BI404" s="348">
        <f t="shared" ca="1" si="487"/>
        <v>0</v>
      </c>
      <c r="BJ404" s="348">
        <f t="shared" ca="1" si="487"/>
        <v>0</v>
      </c>
      <c r="BK404" s="348">
        <f t="shared" ca="1" si="487"/>
        <v>0</v>
      </c>
      <c r="BL404" s="348">
        <f t="shared" ca="1" si="487"/>
        <v>0</v>
      </c>
      <c r="BM404" s="348">
        <f t="shared" ca="1" si="487"/>
        <v>0</v>
      </c>
      <c r="BN404" s="348">
        <f t="shared" ca="1" si="487"/>
        <v>0</v>
      </c>
      <c r="BO404" s="348">
        <f t="shared" ca="1" si="487"/>
        <v>0</v>
      </c>
      <c r="BP404" s="348">
        <f t="shared" ca="1" si="487"/>
        <v>0</v>
      </c>
      <c r="BQ404" s="348">
        <f t="shared" ca="1" si="487"/>
        <v>0</v>
      </c>
      <c r="BR404" s="348">
        <f t="shared" ca="1" si="487"/>
        <v>0</v>
      </c>
      <c r="BS404" s="348">
        <f t="shared" ca="1" si="487"/>
        <v>0</v>
      </c>
      <c r="BT404" s="348">
        <f t="shared" ca="1" si="487"/>
        <v>0</v>
      </c>
      <c r="BU404" s="348">
        <f t="shared" ref="BU404:EF404" ca="1" si="488">IF(BU401=1,BU402,0)</f>
        <v>0</v>
      </c>
      <c r="BV404" s="348">
        <f t="shared" ca="1" si="488"/>
        <v>0</v>
      </c>
      <c r="BW404" s="348">
        <f t="shared" ca="1" si="488"/>
        <v>0</v>
      </c>
      <c r="BX404" s="348">
        <f t="shared" ca="1" si="488"/>
        <v>0</v>
      </c>
      <c r="BY404" s="348">
        <f t="shared" ca="1" si="488"/>
        <v>0</v>
      </c>
      <c r="BZ404" s="348">
        <f t="shared" ca="1" si="488"/>
        <v>0</v>
      </c>
      <c r="CA404" s="348">
        <f t="shared" ca="1" si="488"/>
        <v>0</v>
      </c>
      <c r="CB404" s="348">
        <f t="shared" ca="1" si="488"/>
        <v>0</v>
      </c>
      <c r="CC404" s="348">
        <f t="shared" ca="1" si="488"/>
        <v>0</v>
      </c>
      <c r="CD404" s="348">
        <f t="shared" ca="1" si="488"/>
        <v>0</v>
      </c>
      <c r="CE404" s="348">
        <f t="shared" ca="1" si="488"/>
        <v>0</v>
      </c>
      <c r="CF404" s="348">
        <f t="shared" ca="1" si="488"/>
        <v>0</v>
      </c>
      <c r="CG404" s="348">
        <f t="shared" ca="1" si="488"/>
        <v>0</v>
      </c>
      <c r="CH404" s="348">
        <f t="shared" ca="1" si="488"/>
        <v>0</v>
      </c>
      <c r="CI404" s="348">
        <f t="shared" ca="1" si="488"/>
        <v>0</v>
      </c>
      <c r="CJ404" s="348">
        <f t="shared" ca="1" si="488"/>
        <v>0</v>
      </c>
      <c r="CK404" s="348">
        <f t="shared" ca="1" si="488"/>
        <v>0</v>
      </c>
      <c r="CL404" s="348">
        <f t="shared" ca="1" si="488"/>
        <v>0</v>
      </c>
      <c r="CM404" s="348">
        <f t="shared" ca="1" si="488"/>
        <v>0</v>
      </c>
      <c r="CN404" s="348">
        <f t="shared" ca="1" si="488"/>
        <v>0</v>
      </c>
      <c r="CO404" s="348">
        <f t="shared" ca="1" si="488"/>
        <v>0</v>
      </c>
      <c r="CP404" s="348">
        <f t="shared" ca="1" si="488"/>
        <v>0</v>
      </c>
      <c r="CQ404" s="348">
        <f t="shared" ca="1" si="488"/>
        <v>0</v>
      </c>
      <c r="CR404" s="348">
        <f t="shared" ca="1" si="488"/>
        <v>0</v>
      </c>
      <c r="CS404" s="348">
        <f t="shared" ca="1" si="488"/>
        <v>0</v>
      </c>
      <c r="CT404" s="348">
        <f t="shared" ca="1" si="488"/>
        <v>0</v>
      </c>
      <c r="CU404" s="348">
        <f t="shared" ca="1" si="488"/>
        <v>0</v>
      </c>
      <c r="CV404" s="348">
        <f t="shared" ca="1" si="488"/>
        <v>0</v>
      </c>
      <c r="CW404" s="348">
        <f t="shared" ca="1" si="488"/>
        <v>0</v>
      </c>
      <c r="CX404" s="348">
        <f t="shared" ca="1" si="488"/>
        <v>0</v>
      </c>
      <c r="CY404" s="348">
        <f t="shared" ca="1" si="488"/>
        <v>0</v>
      </c>
      <c r="CZ404" s="348">
        <f t="shared" ca="1" si="488"/>
        <v>0</v>
      </c>
      <c r="DA404" s="348">
        <f t="shared" ca="1" si="488"/>
        <v>0</v>
      </c>
      <c r="DB404" s="348">
        <f t="shared" ca="1" si="488"/>
        <v>0</v>
      </c>
      <c r="DC404" s="348">
        <f t="shared" ca="1" si="488"/>
        <v>0</v>
      </c>
      <c r="DD404" s="348">
        <f t="shared" ca="1" si="488"/>
        <v>0</v>
      </c>
      <c r="DE404" s="348">
        <f t="shared" ca="1" si="488"/>
        <v>0</v>
      </c>
      <c r="DF404" s="348">
        <f t="shared" ca="1" si="488"/>
        <v>0</v>
      </c>
      <c r="DG404" s="348">
        <f t="shared" ca="1" si="488"/>
        <v>0</v>
      </c>
      <c r="DH404" s="348">
        <f t="shared" ca="1" si="488"/>
        <v>0</v>
      </c>
      <c r="DI404" s="348">
        <f t="shared" ca="1" si="488"/>
        <v>0</v>
      </c>
      <c r="DJ404" s="348">
        <f t="shared" ca="1" si="488"/>
        <v>0</v>
      </c>
      <c r="DK404" s="348">
        <f t="shared" ca="1" si="488"/>
        <v>0</v>
      </c>
      <c r="DL404" s="348">
        <f t="shared" ca="1" si="488"/>
        <v>0</v>
      </c>
      <c r="DM404" s="348">
        <f t="shared" ca="1" si="488"/>
        <v>0</v>
      </c>
      <c r="DN404" s="348">
        <f t="shared" ca="1" si="488"/>
        <v>0</v>
      </c>
      <c r="DO404" s="348">
        <f t="shared" ca="1" si="488"/>
        <v>0</v>
      </c>
      <c r="DP404" s="348">
        <f t="shared" ca="1" si="488"/>
        <v>0</v>
      </c>
      <c r="DQ404" s="348">
        <f t="shared" ca="1" si="488"/>
        <v>0</v>
      </c>
      <c r="DR404" s="348">
        <f t="shared" ca="1" si="488"/>
        <v>0</v>
      </c>
      <c r="DS404" s="348">
        <f t="shared" ca="1" si="488"/>
        <v>0</v>
      </c>
      <c r="DT404" s="348">
        <f t="shared" ca="1" si="488"/>
        <v>0</v>
      </c>
      <c r="DU404" s="348">
        <f t="shared" ca="1" si="488"/>
        <v>0</v>
      </c>
      <c r="DV404" s="348">
        <f t="shared" ca="1" si="488"/>
        <v>0</v>
      </c>
      <c r="DW404" s="348">
        <f t="shared" ca="1" si="488"/>
        <v>0</v>
      </c>
      <c r="DX404" s="348">
        <f t="shared" ca="1" si="488"/>
        <v>0</v>
      </c>
      <c r="DY404" s="348">
        <f t="shared" ca="1" si="488"/>
        <v>0</v>
      </c>
      <c r="DZ404" s="348">
        <f t="shared" ca="1" si="488"/>
        <v>0</v>
      </c>
      <c r="EA404" s="348">
        <f t="shared" ca="1" si="488"/>
        <v>0</v>
      </c>
      <c r="EB404" s="348">
        <f t="shared" ca="1" si="488"/>
        <v>0</v>
      </c>
      <c r="EC404" s="348">
        <f t="shared" ca="1" si="488"/>
        <v>0</v>
      </c>
      <c r="ED404" s="348">
        <f t="shared" ca="1" si="488"/>
        <v>0</v>
      </c>
      <c r="EE404" s="348">
        <f t="shared" ca="1" si="488"/>
        <v>0</v>
      </c>
      <c r="EF404" s="348">
        <f t="shared" ca="1" si="488"/>
        <v>0</v>
      </c>
      <c r="EG404" s="348">
        <f t="shared" ref="EG404:GR404" ca="1" si="489">IF(EG401=1,EG402,0)</f>
        <v>0</v>
      </c>
      <c r="EH404" s="348">
        <f t="shared" ca="1" si="489"/>
        <v>0</v>
      </c>
      <c r="EI404" s="348">
        <f t="shared" ca="1" si="489"/>
        <v>0</v>
      </c>
      <c r="EJ404" s="348">
        <f t="shared" ca="1" si="489"/>
        <v>133</v>
      </c>
      <c r="EK404" s="348">
        <f t="shared" ca="1" si="489"/>
        <v>0</v>
      </c>
      <c r="EL404" s="348">
        <f t="shared" ca="1" si="489"/>
        <v>0</v>
      </c>
      <c r="EM404" s="348">
        <f t="shared" ca="1" si="489"/>
        <v>0</v>
      </c>
      <c r="EN404" s="348">
        <f t="shared" ca="1" si="489"/>
        <v>0</v>
      </c>
      <c r="EO404" s="348">
        <f t="shared" ca="1" si="489"/>
        <v>0</v>
      </c>
      <c r="EP404" s="348">
        <f t="shared" ca="1" si="489"/>
        <v>0</v>
      </c>
      <c r="EQ404" s="348">
        <f t="shared" ca="1" si="489"/>
        <v>0</v>
      </c>
      <c r="ER404" s="348">
        <f t="shared" ca="1" si="489"/>
        <v>0</v>
      </c>
      <c r="ES404" s="348">
        <f t="shared" ca="1" si="489"/>
        <v>0</v>
      </c>
      <c r="ET404" s="348">
        <f t="shared" ca="1" si="489"/>
        <v>0</v>
      </c>
      <c r="EU404" s="348">
        <f t="shared" ca="1" si="489"/>
        <v>0</v>
      </c>
      <c r="EV404" s="348">
        <f t="shared" ca="1" si="489"/>
        <v>0</v>
      </c>
      <c r="EW404" s="348">
        <f t="shared" ca="1" si="489"/>
        <v>0</v>
      </c>
      <c r="EX404" s="348">
        <f t="shared" ca="1" si="489"/>
        <v>0</v>
      </c>
      <c r="EY404" s="348">
        <f t="shared" ca="1" si="489"/>
        <v>0</v>
      </c>
      <c r="EZ404" s="348">
        <f t="shared" ca="1" si="489"/>
        <v>0</v>
      </c>
      <c r="FA404" s="348">
        <f t="shared" ca="1" si="489"/>
        <v>0</v>
      </c>
      <c r="FB404" s="348">
        <f t="shared" ca="1" si="489"/>
        <v>0</v>
      </c>
      <c r="FC404" s="348">
        <f t="shared" ca="1" si="489"/>
        <v>0</v>
      </c>
      <c r="FD404" s="348">
        <f t="shared" ca="1" si="489"/>
        <v>0</v>
      </c>
      <c r="FE404" s="348">
        <f t="shared" ca="1" si="489"/>
        <v>0</v>
      </c>
      <c r="FF404" s="348">
        <f t="shared" ca="1" si="489"/>
        <v>0</v>
      </c>
      <c r="FG404" s="348">
        <f t="shared" ca="1" si="489"/>
        <v>0</v>
      </c>
      <c r="FH404" s="348">
        <f t="shared" ca="1" si="489"/>
        <v>0</v>
      </c>
      <c r="FI404" s="348">
        <f t="shared" ca="1" si="489"/>
        <v>0</v>
      </c>
      <c r="FJ404" s="348">
        <f t="shared" ca="1" si="489"/>
        <v>0</v>
      </c>
      <c r="FK404" s="348">
        <f t="shared" ca="1" si="489"/>
        <v>0</v>
      </c>
      <c r="FL404" s="348">
        <f t="shared" ca="1" si="489"/>
        <v>0</v>
      </c>
      <c r="FM404" s="348">
        <f t="shared" ca="1" si="489"/>
        <v>0</v>
      </c>
      <c r="FN404" s="348">
        <f t="shared" ca="1" si="489"/>
        <v>0</v>
      </c>
      <c r="FO404" s="348">
        <f t="shared" ca="1" si="489"/>
        <v>0</v>
      </c>
      <c r="FP404" s="348">
        <f t="shared" ca="1" si="489"/>
        <v>0</v>
      </c>
      <c r="FQ404" s="348">
        <f t="shared" ca="1" si="489"/>
        <v>0</v>
      </c>
      <c r="FR404" s="348">
        <f t="shared" ca="1" si="489"/>
        <v>0</v>
      </c>
      <c r="FS404" s="348">
        <f t="shared" ca="1" si="489"/>
        <v>0</v>
      </c>
      <c r="FT404" s="348">
        <f t="shared" ca="1" si="489"/>
        <v>0</v>
      </c>
      <c r="FU404" s="348">
        <f t="shared" ca="1" si="489"/>
        <v>0</v>
      </c>
      <c r="FV404" s="348">
        <f t="shared" ca="1" si="489"/>
        <v>0</v>
      </c>
      <c r="FW404" s="348">
        <f t="shared" ca="1" si="489"/>
        <v>0</v>
      </c>
      <c r="FX404" s="348">
        <f t="shared" ca="1" si="489"/>
        <v>0</v>
      </c>
      <c r="FY404" s="348">
        <f t="shared" ca="1" si="489"/>
        <v>0</v>
      </c>
      <c r="FZ404" s="348">
        <f t="shared" ca="1" si="489"/>
        <v>0</v>
      </c>
      <c r="GA404" s="348">
        <f t="shared" ca="1" si="489"/>
        <v>0</v>
      </c>
      <c r="GB404" s="348">
        <f t="shared" ca="1" si="489"/>
        <v>0</v>
      </c>
      <c r="GC404" s="348">
        <f t="shared" ca="1" si="489"/>
        <v>0</v>
      </c>
      <c r="GD404" s="348">
        <f t="shared" ca="1" si="489"/>
        <v>0</v>
      </c>
      <c r="GE404" s="348">
        <f t="shared" ca="1" si="489"/>
        <v>0</v>
      </c>
      <c r="GF404" s="348">
        <f t="shared" ca="1" si="489"/>
        <v>0</v>
      </c>
      <c r="GG404" s="348">
        <f t="shared" ca="1" si="489"/>
        <v>0</v>
      </c>
      <c r="GH404" s="348">
        <f t="shared" ca="1" si="489"/>
        <v>0</v>
      </c>
      <c r="GI404" s="348">
        <f t="shared" ca="1" si="489"/>
        <v>0</v>
      </c>
      <c r="GJ404" s="348">
        <f t="shared" ca="1" si="489"/>
        <v>0</v>
      </c>
      <c r="GK404" s="348">
        <f t="shared" ca="1" si="489"/>
        <v>0</v>
      </c>
      <c r="GL404" s="348">
        <f t="shared" ca="1" si="489"/>
        <v>0</v>
      </c>
      <c r="GM404" s="348">
        <f t="shared" ca="1" si="489"/>
        <v>0</v>
      </c>
      <c r="GN404" s="348">
        <f t="shared" ca="1" si="489"/>
        <v>0</v>
      </c>
      <c r="GO404" s="348">
        <f t="shared" ca="1" si="489"/>
        <v>0</v>
      </c>
      <c r="GP404" s="348">
        <f t="shared" ca="1" si="489"/>
        <v>0</v>
      </c>
      <c r="GQ404" s="348">
        <f t="shared" ca="1" si="489"/>
        <v>0</v>
      </c>
      <c r="GR404" s="348">
        <f t="shared" ca="1" si="489"/>
        <v>0</v>
      </c>
      <c r="GS404" s="348">
        <f t="shared" ref="GS404:IK404" ca="1" si="490">IF(GS401=1,GS402,0)</f>
        <v>0</v>
      </c>
      <c r="GT404" s="348">
        <f t="shared" ca="1" si="490"/>
        <v>0</v>
      </c>
      <c r="GU404" s="348">
        <f t="shared" ca="1" si="490"/>
        <v>0</v>
      </c>
      <c r="GV404" s="348">
        <f t="shared" ca="1" si="490"/>
        <v>0</v>
      </c>
      <c r="GW404" s="348">
        <f t="shared" ca="1" si="490"/>
        <v>0</v>
      </c>
      <c r="GX404" s="348">
        <f t="shared" ca="1" si="490"/>
        <v>0</v>
      </c>
      <c r="GY404" s="348">
        <f t="shared" ca="1" si="490"/>
        <v>0</v>
      </c>
      <c r="GZ404" s="348">
        <f t="shared" ca="1" si="490"/>
        <v>0</v>
      </c>
      <c r="HA404" s="348">
        <f t="shared" ca="1" si="490"/>
        <v>0</v>
      </c>
      <c r="HB404" s="348">
        <f t="shared" ca="1" si="490"/>
        <v>0</v>
      </c>
      <c r="HC404" s="348">
        <f t="shared" ca="1" si="490"/>
        <v>0</v>
      </c>
      <c r="HD404" s="348">
        <f t="shared" ca="1" si="490"/>
        <v>0</v>
      </c>
      <c r="HE404" s="348">
        <f t="shared" ca="1" si="490"/>
        <v>0</v>
      </c>
      <c r="HF404" s="348">
        <f t="shared" ca="1" si="490"/>
        <v>0</v>
      </c>
      <c r="HG404" s="348">
        <f t="shared" ca="1" si="490"/>
        <v>0</v>
      </c>
      <c r="HH404" s="348">
        <f t="shared" ca="1" si="490"/>
        <v>0</v>
      </c>
      <c r="HI404" s="348">
        <f t="shared" ca="1" si="490"/>
        <v>0</v>
      </c>
      <c r="HJ404" s="348">
        <f t="shared" ca="1" si="490"/>
        <v>0</v>
      </c>
      <c r="HK404" s="348">
        <f t="shared" ca="1" si="490"/>
        <v>0</v>
      </c>
      <c r="HL404" s="348">
        <f t="shared" ca="1" si="490"/>
        <v>0</v>
      </c>
      <c r="HM404" s="348">
        <f t="shared" ca="1" si="490"/>
        <v>0</v>
      </c>
      <c r="HN404" s="348">
        <f t="shared" ca="1" si="490"/>
        <v>0</v>
      </c>
      <c r="HO404" s="348">
        <f t="shared" ca="1" si="490"/>
        <v>0</v>
      </c>
      <c r="HP404" s="348">
        <f t="shared" ca="1" si="490"/>
        <v>0</v>
      </c>
      <c r="HQ404" s="348">
        <f t="shared" ca="1" si="490"/>
        <v>0</v>
      </c>
      <c r="HR404" s="348">
        <f t="shared" ca="1" si="490"/>
        <v>0</v>
      </c>
      <c r="HS404" s="348">
        <f t="shared" ca="1" si="490"/>
        <v>0</v>
      </c>
      <c r="HT404" s="348">
        <f t="shared" ca="1" si="490"/>
        <v>0</v>
      </c>
      <c r="HU404" s="348">
        <f t="shared" ca="1" si="490"/>
        <v>0</v>
      </c>
      <c r="HV404" s="348">
        <f t="shared" ca="1" si="490"/>
        <v>0</v>
      </c>
      <c r="HW404" s="348">
        <f t="shared" ca="1" si="490"/>
        <v>0</v>
      </c>
      <c r="HX404" s="348">
        <f t="shared" ca="1" si="490"/>
        <v>0</v>
      </c>
      <c r="HY404" s="348">
        <f t="shared" ca="1" si="490"/>
        <v>0</v>
      </c>
      <c r="HZ404" s="348">
        <f t="shared" ca="1" si="490"/>
        <v>0</v>
      </c>
      <c r="IA404" s="348">
        <f t="shared" ca="1" si="490"/>
        <v>0</v>
      </c>
      <c r="IB404" s="348">
        <f t="shared" ca="1" si="490"/>
        <v>0</v>
      </c>
      <c r="IC404" s="348">
        <f t="shared" ca="1" si="490"/>
        <v>0</v>
      </c>
      <c r="ID404" s="348">
        <f t="shared" ca="1" si="490"/>
        <v>0</v>
      </c>
      <c r="IE404" s="348">
        <f t="shared" ca="1" si="490"/>
        <v>0</v>
      </c>
      <c r="IF404" s="348">
        <f t="shared" ca="1" si="490"/>
        <v>0</v>
      </c>
      <c r="IG404" s="348">
        <f t="shared" ca="1" si="490"/>
        <v>0</v>
      </c>
      <c r="IH404" s="348">
        <f t="shared" ca="1" si="490"/>
        <v>0</v>
      </c>
      <c r="II404" s="348">
        <f t="shared" ca="1" si="490"/>
        <v>0</v>
      </c>
      <c r="IJ404" s="348">
        <f t="shared" ca="1" si="490"/>
        <v>0</v>
      </c>
      <c r="IK404" s="348">
        <f t="shared" ca="1" si="490"/>
        <v>0</v>
      </c>
    </row>
    <row r="405" spans="3:245" hidden="1" x14ac:dyDescent="0.35"/>
    <row r="406" spans="3:245" hidden="1" x14ac:dyDescent="0.35">
      <c r="H406" s="348">
        <f t="shared" ref="H406:BS406" ca="1" si="491">H383+H408</f>
        <v>1</v>
      </c>
      <c r="I406" s="348">
        <f t="shared" ca="1" si="491"/>
        <v>1</v>
      </c>
      <c r="J406" s="348">
        <f t="shared" ca="1" si="491"/>
        <v>1</v>
      </c>
      <c r="K406" s="348">
        <f t="shared" ca="1" si="491"/>
        <v>1</v>
      </c>
      <c r="L406" s="348">
        <f t="shared" ca="1" si="491"/>
        <v>1</v>
      </c>
      <c r="M406" s="348">
        <f t="shared" ca="1" si="491"/>
        <v>1</v>
      </c>
      <c r="N406" s="348">
        <f t="shared" ca="1" si="491"/>
        <v>1</v>
      </c>
      <c r="O406" s="348">
        <f t="shared" ca="1" si="491"/>
        <v>1</v>
      </c>
      <c r="P406" s="348">
        <f t="shared" ca="1" si="491"/>
        <v>1</v>
      </c>
      <c r="Q406" s="348">
        <f t="shared" ca="1" si="491"/>
        <v>1</v>
      </c>
      <c r="R406" s="348">
        <f t="shared" ca="1" si="491"/>
        <v>1</v>
      </c>
      <c r="S406" s="348">
        <f t="shared" ca="1" si="491"/>
        <v>1</v>
      </c>
      <c r="T406" s="348">
        <f t="shared" ca="1" si="491"/>
        <v>1</v>
      </c>
      <c r="U406" s="348">
        <f t="shared" ca="1" si="491"/>
        <v>1</v>
      </c>
      <c r="V406" s="348">
        <f t="shared" ca="1" si="491"/>
        <v>1</v>
      </c>
      <c r="W406" s="348">
        <f t="shared" ca="1" si="491"/>
        <v>1</v>
      </c>
      <c r="X406" s="348">
        <f t="shared" ca="1" si="491"/>
        <v>1</v>
      </c>
      <c r="Y406" s="348">
        <f t="shared" ca="1" si="491"/>
        <v>1</v>
      </c>
      <c r="Z406" s="348">
        <f t="shared" ca="1" si="491"/>
        <v>1</v>
      </c>
      <c r="AA406" s="348">
        <f t="shared" ca="1" si="491"/>
        <v>1</v>
      </c>
      <c r="AB406" s="348">
        <f t="shared" ca="1" si="491"/>
        <v>1</v>
      </c>
      <c r="AC406" s="348">
        <f t="shared" ca="1" si="491"/>
        <v>1</v>
      </c>
      <c r="AD406" s="348">
        <f t="shared" ca="1" si="491"/>
        <v>1</v>
      </c>
      <c r="AE406" s="348">
        <f t="shared" ca="1" si="491"/>
        <v>1</v>
      </c>
      <c r="AF406" s="348">
        <f t="shared" ca="1" si="491"/>
        <v>1</v>
      </c>
      <c r="AG406" s="348">
        <f t="shared" ca="1" si="491"/>
        <v>1</v>
      </c>
      <c r="AH406" s="348">
        <f t="shared" ca="1" si="491"/>
        <v>1</v>
      </c>
      <c r="AI406" s="348">
        <f t="shared" ca="1" si="491"/>
        <v>1</v>
      </c>
      <c r="AJ406" s="348">
        <f t="shared" ca="1" si="491"/>
        <v>1</v>
      </c>
      <c r="AK406" s="348">
        <f t="shared" ca="1" si="491"/>
        <v>1</v>
      </c>
      <c r="AL406" s="348">
        <f t="shared" ca="1" si="491"/>
        <v>1</v>
      </c>
      <c r="AM406" s="348">
        <f t="shared" ca="1" si="491"/>
        <v>1</v>
      </c>
      <c r="AN406" s="348">
        <f t="shared" ca="1" si="491"/>
        <v>1</v>
      </c>
      <c r="AO406" s="348">
        <f t="shared" ca="1" si="491"/>
        <v>1</v>
      </c>
      <c r="AP406" s="348">
        <f t="shared" ca="1" si="491"/>
        <v>1</v>
      </c>
      <c r="AQ406" s="348">
        <f t="shared" ca="1" si="491"/>
        <v>1</v>
      </c>
      <c r="AR406" s="348">
        <f t="shared" ca="1" si="491"/>
        <v>1</v>
      </c>
      <c r="AS406" s="348">
        <f t="shared" ca="1" si="491"/>
        <v>1</v>
      </c>
      <c r="AT406" s="348">
        <f t="shared" ca="1" si="491"/>
        <v>1</v>
      </c>
      <c r="AU406" s="348">
        <f t="shared" ca="1" si="491"/>
        <v>1</v>
      </c>
      <c r="AV406" s="348">
        <f t="shared" ca="1" si="491"/>
        <v>1</v>
      </c>
      <c r="AW406" s="348">
        <f t="shared" ca="1" si="491"/>
        <v>1</v>
      </c>
      <c r="AX406" s="348">
        <f t="shared" ca="1" si="491"/>
        <v>1</v>
      </c>
      <c r="AY406" s="348">
        <f t="shared" ca="1" si="491"/>
        <v>1</v>
      </c>
      <c r="AZ406" s="348">
        <f t="shared" ca="1" si="491"/>
        <v>1</v>
      </c>
      <c r="BA406" s="348">
        <f t="shared" ca="1" si="491"/>
        <v>1</v>
      </c>
      <c r="BB406" s="348">
        <f t="shared" ca="1" si="491"/>
        <v>1</v>
      </c>
      <c r="BC406" s="348">
        <f t="shared" ca="1" si="491"/>
        <v>1</v>
      </c>
      <c r="BD406" s="348">
        <f t="shared" ca="1" si="491"/>
        <v>1</v>
      </c>
      <c r="BE406" s="348">
        <f t="shared" ca="1" si="491"/>
        <v>1</v>
      </c>
      <c r="BF406" s="348">
        <f t="shared" ca="1" si="491"/>
        <v>1</v>
      </c>
      <c r="BG406" s="348">
        <f t="shared" ca="1" si="491"/>
        <v>1</v>
      </c>
      <c r="BH406" s="348">
        <f t="shared" ca="1" si="491"/>
        <v>1</v>
      </c>
      <c r="BI406" s="348">
        <f t="shared" ca="1" si="491"/>
        <v>1</v>
      </c>
      <c r="BJ406" s="348">
        <f t="shared" ca="1" si="491"/>
        <v>1</v>
      </c>
      <c r="BK406" s="348">
        <f t="shared" ca="1" si="491"/>
        <v>1</v>
      </c>
      <c r="BL406" s="348">
        <f t="shared" ca="1" si="491"/>
        <v>1</v>
      </c>
      <c r="BM406" s="348">
        <f t="shared" ca="1" si="491"/>
        <v>1</v>
      </c>
      <c r="BN406" s="348">
        <f t="shared" ca="1" si="491"/>
        <v>1</v>
      </c>
      <c r="BO406" s="348">
        <f t="shared" ca="1" si="491"/>
        <v>1</v>
      </c>
      <c r="BP406" s="348">
        <f t="shared" ca="1" si="491"/>
        <v>1</v>
      </c>
      <c r="BQ406" s="348">
        <f t="shared" ca="1" si="491"/>
        <v>1</v>
      </c>
      <c r="BR406" s="348">
        <f t="shared" ca="1" si="491"/>
        <v>1</v>
      </c>
      <c r="BS406" s="348">
        <f t="shared" ca="1" si="491"/>
        <v>1</v>
      </c>
      <c r="BT406" s="348">
        <f t="shared" ref="BT406:EE406" ca="1" si="492">BT383+BT408</f>
        <v>1</v>
      </c>
      <c r="BU406" s="348">
        <f t="shared" ca="1" si="492"/>
        <v>1</v>
      </c>
      <c r="BV406" s="348">
        <f t="shared" ca="1" si="492"/>
        <v>1</v>
      </c>
      <c r="BW406" s="348">
        <f t="shared" ca="1" si="492"/>
        <v>1</v>
      </c>
      <c r="BX406" s="348">
        <f t="shared" ca="1" si="492"/>
        <v>1</v>
      </c>
      <c r="BY406" s="348">
        <f t="shared" ca="1" si="492"/>
        <v>1</v>
      </c>
      <c r="BZ406" s="348">
        <f t="shared" ca="1" si="492"/>
        <v>1</v>
      </c>
      <c r="CA406" s="348">
        <f t="shared" ca="1" si="492"/>
        <v>1</v>
      </c>
      <c r="CB406" s="348">
        <f t="shared" ca="1" si="492"/>
        <v>1</v>
      </c>
      <c r="CC406" s="348">
        <f t="shared" ca="1" si="492"/>
        <v>1</v>
      </c>
      <c r="CD406" s="348">
        <f t="shared" ca="1" si="492"/>
        <v>1</v>
      </c>
      <c r="CE406" s="348">
        <f t="shared" ca="1" si="492"/>
        <v>1</v>
      </c>
      <c r="CF406" s="348">
        <f t="shared" ca="1" si="492"/>
        <v>1</v>
      </c>
      <c r="CG406" s="348">
        <f t="shared" ca="1" si="492"/>
        <v>1</v>
      </c>
      <c r="CH406" s="348">
        <f t="shared" ca="1" si="492"/>
        <v>1</v>
      </c>
      <c r="CI406" s="348">
        <f t="shared" ca="1" si="492"/>
        <v>1</v>
      </c>
      <c r="CJ406" s="348">
        <f t="shared" ca="1" si="492"/>
        <v>1</v>
      </c>
      <c r="CK406" s="348">
        <f t="shared" ca="1" si="492"/>
        <v>1</v>
      </c>
      <c r="CL406" s="348">
        <f t="shared" ca="1" si="492"/>
        <v>1</v>
      </c>
      <c r="CM406" s="348">
        <f t="shared" ca="1" si="492"/>
        <v>1</v>
      </c>
      <c r="CN406" s="348">
        <f t="shared" ca="1" si="492"/>
        <v>1</v>
      </c>
      <c r="CO406" s="348">
        <f t="shared" ca="1" si="492"/>
        <v>1</v>
      </c>
      <c r="CP406" s="348">
        <f t="shared" ca="1" si="492"/>
        <v>1</v>
      </c>
      <c r="CQ406" s="348">
        <f t="shared" ca="1" si="492"/>
        <v>1</v>
      </c>
      <c r="CR406" s="348">
        <f t="shared" ca="1" si="492"/>
        <v>1</v>
      </c>
      <c r="CS406" s="348">
        <f t="shared" ca="1" si="492"/>
        <v>1</v>
      </c>
      <c r="CT406" s="348">
        <f t="shared" ca="1" si="492"/>
        <v>1</v>
      </c>
      <c r="CU406" s="348">
        <f t="shared" ca="1" si="492"/>
        <v>1</v>
      </c>
      <c r="CV406" s="348">
        <f t="shared" ca="1" si="492"/>
        <v>1</v>
      </c>
      <c r="CW406" s="348">
        <f t="shared" ca="1" si="492"/>
        <v>1</v>
      </c>
      <c r="CX406" s="348">
        <f t="shared" ca="1" si="492"/>
        <v>1</v>
      </c>
      <c r="CY406" s="348">
        <f t="shared" ca="1" si="492"/>
        <v>1</v>
      </c>
      <c r="CZ406" s="348">
        <f t="shared" ca="1" si="492"/>
        <v>1</v>
      </c>
      <c r="DA406" s="348">
        <f t="shared" ca="1" si="492"/>
        <v>1</v>
      </c>
      <c r="DB406" s="348">
        <f t="shared" ca="1" si="492"/>
        <v>1</v>
      </c>
      <c r="DC406" s="348">
        <f t="shared" ca="1" si="492"/>
        <v>1</v>
      </c>
      <c r="DD406" s="348">
        <f t="shared" ca="1" si="492"/>
        <v>1</v>
      </c>
      <c r="DE406" s="348">
        <f t="shared" ca="1" si="492"/>
        <v>1</v>
      </c>
      <c r="DF406" s="348">
        <f t="shared" ca="1" si="492"/>
        <v>1</v>
      </c>
      <c r="DG406" s="348">
        <f t="shared" ca="1" si="492"/>
        <v>1</v>
      </c>
      <c r="DH406" s="348">
        <f t="shared" ca="1" si="492"/>
        <v>1</v>
      </c>
      <c r="DI406" s="348">
        <f t="shared" ca="1" si="492"/>
        <v>1</v>
      </c>
      <c r="DJ406" s="348">
        <f t="shared" ca="1" si="492"/>
        <v>1</v>
      </c>
      <c r="DK406" s="348">
        <f t="shared" ca="1" si="492"/>
        <v>1</v>
      </c>
      <c r="DL406" s="348">
        <f t="shared" ca="1" si="492"/>
        <v>1</v>
      </c>
      <c r="DM406" s="348">
        <f t="shared" ca="1" si="492"/>
        <v>1</v>
      </c>
      <c r="DN406" s="348">
        <f t="shared" ca="1" si="492"/>
        <v>1</v>
      </c>
      <c r="DO406" s="348">
        <f t="shared" ca="1" si="492"/>
        <v>1</v>
      </c>
      <c r="DP406" s="348">
        <f t="shared" ca="1" si="492"/>
        <v>1</v>
      </c>
      <c r="DQ406" s="348">
        <f t="shared" ca="1" si="492"/>
        <v>1</v>
      </c>
      <c r="DR406" s="348">
        <f t="shared" ca="1" si="492"/>
        <v>1</v>
      </c>
      <c r="DS406" s="348">
        <f t="shared" ca="1" si="492"/>
        <v>1</v>
      </c>
      <c r="DT406" s="348">
        <f t="shared" ca="1" si="492"/>
        <v>1</v>
      </c>
      <c r="DU406" s="348">
        <f t="shared" ca="1" si="492"/>
        <v>1</v>
      </c>
      <c r="DV406" s="348">
        <f t="shared" ca="1" si="492"/>
        <v>1</v>
      </c>
      <c r="DW406" s="348">
        <f t="shared" ca="1" si="492"/>
        <v>1</v>
      </c>
      <c r="DX406" s="348">
        <f t="shared" ca="1" si="492"/>
        <v>1</v>
      </c>
      <c r="DY406" s="348">
        <f t="shared" ca="1" si="492"/>
        <v>1</v>
      </c>
      <c r="DZ406" s="348">
        <f t="shared" ca="1" si="492"/>
        <v>1</v>
      </c>
      <c r="EA406" s="348">
        <f t="shared" ca="1" si="492"/>
        <v>1</v>
      </c>
      <c r="EB406" s="348">
        <f t="shared" ca="1" si="492"/>
        <v>1</v>
      </c>
      <c r="EC406" s="348">
        <f t="shared" ca="1" si="492"/>
        <v>1</v>
      </c>
      <c r="ED406" s="348">
        <f t="shared" ca="1" si="492"/>
        <v>1</v>
      </c>
      <c r="EE406" s="348">
        <f t="shared" ca="1" si="492"/>
        <v>1</v>
      </c>
      <c r="EF406" s="348">
        <f t="shared" ref="EF406:GQ406" ca="1" si="493">EF383+EF408</f>
        <v>1</v>
      </c>
      <c r="EG406" s="348">
        <f t="shared" ca="1" si="493"/>
        <v>1</v>
      </c>
      <c r="EH406" s="348">
        <f t="shared" ca="1" si="493"/>
        <v>1</v>
      </c>
      <c r="EI406" s="348">
        <f t="shared" ca="1" si="493"/>
        <v>1</v>
      </c>
      <c r="EJ406" s="348">
        <f t="shared" ca="1" si="493"/>
        <v>1</v>
      </c>
      <c r="EK406" s="348">
        <f t="shared" ca="1" si="493"/>
        <v>1</v>
      </c>
      <c r="EL406" s="348">
        <f t="shared" ca="1" si="493"/>
        <v>1</v>
      </c>
      <c r="EM406" s="348">
        <f t="shared" ca="1" si="493"/>
        <v>1</v>
      </c>
      <c r="EN406" s="348">
        <f t="shared" ca="1" si="493"/>
        <v>1</v>
      </c>
      <c r="EO406" s="348">
        <f t="shared" ca="1" si="493"/>
        <v>1</v>
      </c>
      <c r="EP406" s="348">
        <f t="shared" ca="1" si="493"/>
        <v>1</v>
      </c>
      <c r="EQ406" s="348">
        <f t="shared" ca="1" si="493"/>
        <v>1</v>
      </c>
      <c r="ER406" s="348">
        <f t="shared" ca="1" si="493"/>
        <v>1</v>
      </c>
      <c r="ES406" s="348">
        <f t="shared" ca="1" si="493"/>
        <v>1</v>
      </c>
      <c r="ET406" s="348">
        <f t="shared" ca="1" si="493"/>
        <v>1</v>
      </c>
      <c r="EU406" s="348">
        <f t="shared" ca="1" si="493"/>
        <v>1</v>
      </c>
      <c r="EV406" s="348">
        <f t="shared" ca="1" si="493"/>
        <v>1</v>
      </c>
      <c r="EW406" s="348">
        <f t="shared" ca="1" si="493"/>
        <v>1</v>
      </c>
      <c r="EX406" s="348">
        <f t="shared" ca="1" si="493"/>
        <v>1</v>
      </c>
      <c r="EY406" s="348">
        <f t="shared" ca="1" si="493"/>
        <v>1</v>
      </c>
      <c r="EZ406" s="348">
        <f t="shared" ca="1" si="493"/>
        <v>1</v>
      </c>
      <c r="FA406" s="348">
        <f t="shared" ca="1" si="493"/>
        <v>1</v>
      </c>
      <c r="FB406" s="348">
        <f t="shared" ca="1" si="493"/>
        <v>1</v>
      </c>
      <c r="FC406" s="348">
        <f t="shared" ca="1" si="493"/>
        <v>1</v>
      </c>
      <c r="FD406" s="348">
        <f t="shared" ca="1" si="493"/>
        <v>1</v>
      </c>
      <c r="FE406" s="348">
        <f t="shared" ca="1" si="493"/>
        <v>1</v>
      </c>
      <c r="FF406" s="348">
        <f t="shared" ca="1" si="493"/>
        <v>1</v>
      </c>
      <c r="FG406" s="348">
        <f t="shared" ca="1" si="493"/>
        <v>1</v>
      </c>
      <c r="FH406" s="348">
        <f t="shared" ca="1" si="493"/>
        <v>1</v>
      </c>
      <c r="FI406" s="348">
        <f t="shared" ca="1" si="493"/>
        <v>1</v>
      </c>
      <c r="FJ406" s="348">
        <f t="shared" ca="1" si="493"/>
        <v>1</v>
      </c>
      <c r="FK406" s="348">
        <f t="shared" ca="1" si="493"/>
        <v>1</v>
      </c>
      <c r="FL406" s="348">
        <f t="shared" ca="1" si="493"/>
        <v>1</v>
      </c>
      <c r="FM406" s="348">
        <f t="shared" ca="1" si="493"/>
        <v>1</v>
      </c>
      <c r="FN406" s="348">
        <f t="shared" ca="1" si="493"/>
        <v>1</v>
      </c>
      <c r="FO406" s="348">
        <f t="shared" ca="1" si="493"/>
        <v>1</v>
      </c>
      <c r="FP406" s="348">
        <f t="shared" ca="1" si="493"/>
        <v>1</v>
      </c>
      <c r="FQ406" s="348">
        <f t="shared" ca="1" si="493"/>
        <v>1</v>
      </c>
      <c r="FR406" s="348">
        <f t="shared" ca="1" si="493"/>
        <v>1</v>
      </c>
      <c r="FS406" s="348">
        <f t="shared" ca="1" si="493"/>
        <v>1</v>
      </c>
      <c r="FT406" s="348">
        <f t="shared" ca="1" si="493"/>
        <v>1</v>
      </c>
      <c r="FU406" s="348">
        <f t="shared" ca="1" si="493"/>
        <v>1</v>
      </c>
      <c r="FV406" s="348">
        <f t="shared" ca="1" si="493"/>
        <v>1</v>
      </c>
      <c r="FW406" s="348">
        <f t="shared" ca="1" si="493"/>
        <v>1</v>
      </c>
      <c r="FX406" s="348">
        <f t="shared" ca="1" si="493"/>
        <v>1</v>
      </c>
      <c r="FY406" s="348">
        <f t="shared" ca="1" si="493"/>
        <v>1</v>
      </c>
      <c r="FZ406" s="348">
        <f t="shared" ca="1" si="493"/>
        <v>1</v>
      </c>
      <c r="GA406" s="348">
        <f t="shared" ca="1" si="493"/>
        <v>1</v>
      </c>
      <c r="GB406" s="348">
        <f t="shared" ca="1" si="493"/>
        <v>1</v>
      </c>
      <c r="GC406" s="348">
        <f t="shared" ca="1" si="493"/>
        <v>1</v>
      </c>
      <c r="GD406" s="348">
        <f t="shared" ca="1" si="493"/>
        <v>1</v>
      </c>
      <c r="GE406" s="348">
        <f t="shared" ca="1" si="493"/>
        <v>1</v>
      </c>
      <c r="GF406" s="348">
        <f t="shared" ca="1" si="493"/>
        <v>1</v>
      </c>
      <c r="GG406" s="348">
        <f t="shared" ca="1" si="493"/>
        <v>1</v>
      </c>
      <c r="GH406" s="348">
        <f t="shared" ca="1" si="493"/>
        <v>1</v>
      </c>
      <c r="GI406" s="348">
        <f t="shared" ca="1" si="493"/>
        <v>1</v>
      </c>
      <c r="GJ406" s="348">
        <f t="shared" ca="1" si="493"/>
        <v>1</v>
      </c>
      <c r="GK406" s="348">
        <f t="shared" ca="1" si="493"/>
        <v>1</v>
      </c>
      <c r="GL406" s="348">
        <f t="shared" ca="1" si="493"/>
        <v>1</v>
      </c>
      <c r="GM406" s="348">
        <f t="shared" ca="1" si="493"/>
        <v>1</v>
      </c>
      <c r="GN406" s="348">
        <f t="shared" ca="1" si="493"/>
        <v>1</v>
      </c>
      <c r="GO406" s="348">
        <f t="shared" ca="1" si="493"/>
        <v>1</v>
      </c>
      <c r="GP406" s="348">
        <f t="shared" ca="1" si="493"/>
        <v>1</v>
      </c>
      <c r="GQ406" s="348">
        <f t="shared" ca="1" si="493"/>
        <v>1</v>
      </c>
      <c r="GR406" s="348">
        <f t="shared" ref="GR406:IK406" ca="1" si="494">GR383+GR408</f>
        <v>1</v>
      </c>
      <c r="GS406" s="348">
        <f t="shared" ca="1" si="494"/>
        <v>1</v>
      </c>
      <c r="GT406" s="348">
        <f t="shared" ca="1" si="494"/>
        <v>1</v>
      </c>
      <c r="GU406" s="348">
        <f t="shared" ca="1" si="494"/>
        <v>1</v>
      </c>
      <c r="GV406" s="348">
        <f t="shared" ca="1" si="494"/>
        <v>1</v>
      </c>
      <c r="GW406" s="348">
        <f t="shared" ca="1" si="494"/>
        <v>1</v>
      </c>
      <c r="GX406" s="348">
        <f t="shared" ca="1" si="494"/>
        <v>1</v>
      </c>
      <c r="GY406" s="348">
        <f t="shared" ca="1" si="494"/>
        <v>1</v>
      </c>
      <c r="GZ406" s="348">
        <f t="shared" ca="1" si="494"/>
        <v>1</v>
      </c>
      <c r="HA406" s="348">
        <f t="shared" ca="1" si="494"/>
        <v>1</v>
      </c>
      <c r="HB406" s="348">
        <f t="shared" ca="1" si="494"/>
        <v>1</v>
      </c>
      <c r="HC406" s="348">
        <f t="shared" ca="1" si="494"/>
        <v>1</v>
      </c>
      <c r="HD406" s="348">
        <f t="shared" ca="1" si="494"/>
        <v>1</v>
      </c>
      <c r="HE406" s="348">
        <f t="shared" ca="1" si="494"/>
        <v>1</v>
      </c>
      <c r="HF406" s="348">
        <f t="shared" ca="1" si="494"/>
        <v>1</v>
      </c>
      <c r="HG406" s="348">
        <f t="shared" ca="1" si="494"/>
        <v>1</v>
      </c>
      <c r="HH406" s="348">
        <f t="shared" ca="1" si="494"/>
        <v>1</v>
      </c>
      <c r="HI406" s="348">
        <f t="shared" ca="1" si="494"/>
        <v>1</v>
      </c>
      <c r="HJ406" s="348">
        <f t="shared" ca="1" si="494"/>
        <v>1</v>
      </c>
      <c r="HK406" s="348">
        <f t="shared" ca="1" si="494"/>
        <v>1</v>
      </c>
      <c r="HL406" s="348">
        <f t="shared" ca="1" si="494"/>
        <v>1</v>
      </c>
      <c r="HM406" s="348">
        <f t="shared" ca="1" si="494"/>
        <v>1</v>
      </c>
      <c r="HN406" s="348">
        <f t="shared" ca="1" si="494"/>
        <v>1</v>
      </c>
      <c r="HO406" s="348">
        <f t="shared" ca="1" si="494"/>
        <v>1</v>
      </c>
      <c r="HP406" s="348">
        <f t="shared" ca="1" si="494"/>
        <v>1</v>
      </c>
      <c r="HQ406" s="348">
        <f t="shared" ca="1" si="494"/>
        <v>1</v>
      </c>
      <c r="HR406" s="348">
        <f t="shared" ca="1" si="494"/>
        <v>1</v>
      </c>
      <c r="HS406" s="348">
        <f t="shared" ca="1" si="494"/>
        <v>1</v>
      </c>
      <c r="HT406" s="348">
        <f t="shared" ca="1" si="494"/>
        <v>1</v>
      </c>
      <c r="HU406" s="348">
        <f t="shared" ca="1" si="494"/>
        <v>1</v>
      </c>
      <c r="HV406" s="348">
        <f t="shared" ca="1" si="494"/>
        <v>1</v>
      </c>
      <c r="HW406" s="348">
        <f t="shared" ca="1" si="494"/>
        <v>1</v>
      </c>
      <c r="HX406" s="348">
        <f t="shared" ca="1" si="494"/>
        <v>1</v>
      </c>
      <c r="HY406" s="348">
        <f t="shared" ca="1" si="494"/>
        <v>1</v>
      </c>
      <c r="HZ406" s="348">
        <f t="shared" ca="1" si="494"/>
        <v>1</v>
      </c>
      <c r="IA406" s="348">
        <f t="shared" ca="1" si="494"/>
        <v>1</v>
      </c>
      <c r="IB406" s="348">
        <f t="shared" ca="1" si="494"/>
        <v>1</v>
      </c>
      <c r="IC406" s="348">
        <f t="shared" ca="1" si="494"/>
        <v>1</v>
      </c>
      <c r="ID406" s="348">
        <f t="shared" ca="1" si="494"/>
        <v>1</v>
      </c>
      <c r="IE406" s="348">
        <f t="shared" ca="1" si="494"/>
        <v>1</v>
      </c>
      <c r="IF406" s="348">
        <f t="shared" ca="1" si="494"/>
        <v>1</v>
      </c>
      <c r="IG406" s="348">
        <f t="shared" ca="1" si="494"/>
        <v>1</v>
      </c>
      <c r="IH406" s="348">
        <f t="shared" ca="1" si="494"/>
        <v>1</v>
      </c>
      <c r="II406" s="348">
        <f t="shared" ca="1" si="494"/>
        <v>1</v>
      </c>
      <c r="IJ406" s="348">
        <f t="shared" ca="1" si="494"/>
        <v>1</v>
      </c>
      <c r="IK406" s="348">
        <f t="shared" ca="1" si="494"/>
        <v>1</v>
      </c>
    </row>
    <row r="407" spans="3:245" hidden="1" x14ac:dyDescent="0.35">
      <c r="H407" s="348">
        <f ca="1">LARGE($H$406:$IK$406,1)</f>
        <v>1</v>
      </c>
      <c r="I407" s="348">
        <f t="shared" ref="I407:BT407" ca="1" si="495">LARGE($H$406:$IK$406,1)</f>
        <v>1</v>
      </c>
      <c r="J407" s="348">
        <f t="shared" ca="1" si="495"/>
        <v>1</v>
      </c>
      <c r="K407" s="348">
        <f t="shared" ca="1" si="495"/>
        <v>1</v>
      </c>
      <c r="L407" s="348">
        <f t="shared" ca="1" si="495"/>
        <v>1</v>
      </c>
      <c r="M407" s="348">
        <f t="shared" ca="1" si="495"/>
        <v>1</v>
      </c>
      <c r="N407" s="348">
        <f t="shared" ca="1" si="495"/>
        <v>1</v>
      </c>
      <c r="O407" s="348">
        <f t="shared" ca="1" si="495"/>
        <v>1</v>
      </c>
      <c r="P407" s="348">
        <f t="shared" ca="1" si="495"/>
        <v>1</v>
      </c>
      <c r="Q407" s="348">
        <f t="shared" ca="1" si="495"/>
        <v>1</v>
      </c>
      <c r="R407" s="348">
        <f t="shared" ca="1" si="495"/>
        <v>1</v>
      </c>
      <c r="S407" s="348">
        <f t="shared" ca="1" si="495"/>
        <v>1</v>
      </c>
      <c r="T407" s="348">
        <f t="shared" ca="1" si="495"/>
        <v>1</v>
      </c>
      <c r="U407" s="348">
        <f t="shared" ca="1" si="495"/>
        <v>1</v>
      </c>
      <c r="V407" s="348">
        <f t="shared" ca="1" si="495"/>
        <v>1</v>
      </c>
      <c r="W407" s="348">
        <f t="shared" ca="1" si="495"/>
        <v>1</v>
      </c>
      <c r="X407" s="348">
        <f t="shared" ca="1" si="495"/>
        <v>1</v>
      </c>
      <c r="Y407" s="348">
        <f t="shared" ca="1" si="495"/>
        <v>1</v>
      </c>
      <c r="Z407" s="348">
        <f t="shared" ca="1" si="495"/>
        <v>1</v>
      </c>
      <c r="AA407" s="348">
        <f t="shared" ca="1" si="495"/>
        <v>1</v>
      </c>
      <c r="AB407" s="348">
        <f t="shared" ca="1" si="495"/>
        <v>1</v>
      </c>
      <c r="AC407" s="348">
        <f t="shared" ca="1" si="495"/>
        <v>1</v>
      </c>
      <c r="AD407" s="348">
        <f t="shared" ca="1" si="495"/>
        <v>1</v>
      </c>
      <c r="AE407" s="348">
        <f t="shared" ca="1" si="495"/>
        <v>1</v>
      </c>
      <c r="AF407" s="348">
        <f t="shared" ca="1" si="495"/>
        <v>1</v>
      </c>
      <c r="AG407" s="348">
        <f t="shared" ca="1" si="495"/>
        <v>1</v>
      </c>
      <c r="AH407" s="348">
        <f t="shared" ca="1" si="495"/>
        <v>1</v>
      </c>
      <c r="AI407" s="348">
        <f t="shared" ca="1" si="495"/>
        <v>1</v>
      </c>
      <c r="AJ407" s="348">
        <f t="shared" ca="1" si="495"/>
        <v>1</v>
      </c>
      <c r="AK407" s="348">
        <f t="shared" ca="1" si="495"/>
        <v>1</v>
      </c>
      <c r="AL407" s="348">
        <f t="shared" ca="1" si="495"/>
        <v>1</v>
      </c>
      <c r="AM407" s="348">
        <f t="shared" ca="1" si="495"/>
        <v>1</v>
      </c>
      <c r="AN407" s="348">
        <f t="shared" ca="1" si="495"/>
        <v>1</v>
      </c>
      <c r="AO407" s="348">
        <f t="shared" ca="1" si="495"/>
        <v>1</v>
      </c>
      <c r="AP407" s="348">
        <f t="shared" ca="1" si="495"/>
        <v>1</v>
      </c>
      <c r="AQ407" s="348">
        <f t="shared" ca="1" si="495"/>
        <v>1</v>
      </c>
      <c r="AR407" s="348">
        <f t="shared" ca="1" si="495"/>
        <v>1</v>
      </c>
      <c r="AS407" s="348">
        <f t="shared" ca="1" si="495"/>
        <v>1</v>
      </c>
      <c r="AT407" s="348">
        <f t="shared" ca="1" si="495"/>
        <v>1</v>
      </c>
      <c r="AU407" s="348">
        <f t="shared" ca="1" si="495"/>
        <v>1</v>
      </c>
      <c r="AV407" s="348">
        <f t="shared" ca="1" si="495"/>
        <v>1</v>
      </c>
      <c r="AW407" s="348">
        <f t="shared" ca="1" si="495"/>
        <v>1</v>
      </c>
      <c r="AX407" s="348">
        <f t="shared" ca="1" si="495"/>
        <v>1</v>
      </c>
      <c r="AY407" s="348">
        <f t="shared" ca="1" si="495"/>
        <v>1</v>
      </c>
      <c r="AZ407" s="348">
        <f t="shared" ca="1" si="495"/>
        <v>1</v>
      </c>
      <c r="BA407" s="348">
        <f t="shared" ca="1" si="495"/>
        <v>1</v>
      </c>
      <c r="BB407" s="348">
        <f t="shared" ca="1" si="495"/>
        <v>1</v>
      </c>
      <c r="BC407" s="348">
        <f t="shared" ca="1" si="495"/>
        <v>1</v>
      </c>
      <c r="BD407" s="348">
        <f t="shared" ca="1" si="495"/>
        <v>1</v>
      </c>
      <c r="BE407" s="348">
        <f t="shared" ca="1" si="495"/>
        <v>1</v>
      </c>
      <c r="BF407" s="348">
        <f t="shared" ca="1" si="495"/>
        <v>1</v>
      </c>
      <c r="BG407" s="348">
        <f t="shared" ca="1" si="495"/>
        <v>1</v>
      </c>
      <c r="BH407" s="348">
        <f t="shared" ca="1" si="495"/>
        <v>1</v>
      </c>
      <c r="BI407" s="348">
        <f t="shared" ca="1" si="495"/>
        <v>1</v>
      </c>
      <c r="BJ407" s="348">
        <f t="shared" ca="1" si="495"/>
        <v>1</v>
      </c>
      <c r="BK407" s="348">
        <f t="shared" ca="1" si="495"/>
        <v>1</v>
      </c>
      <c r="BL407" s="348">
        <f t="shared" ca="1" si="495"/>
        <v>1</v>
      </c>
      <c r="BM407" s="348">
        <f t="shared" ca="1" si="495"/>
        <v>1</v>
      </c>
      <c r="BN407" s="348">
        <f t="shared" ca="1" si="495"/>
        <v>1</v>
      </c>
      <c r="BO407" s="348">
        <f t="shared" ca="1" si="495"/>
        <v>1</v>
      </c>
      <c r="BP407" s="348">
        <f t="shared" ca="1" si="495"/>
        <v>1</v>
      </c>
      <c r="BQ407" s="348">
        <f t="shared" ca="1" si="495"/>
        <v>1</v>
      </c>
      <c r="BR407" s="348">
        <f t="shared" ca="1" si="495"/>
        <v>1</v>
      </c>
      <c r="BS407" s="348">
        <f t="shared" ca="1" si="495"/>
        <v>1</v>
      </c>
      <c r="BT407" s="348">
        <f t="shared" ca="1" si="495"/>
        <v>1</v>
      </c>
      <c r="BU407" s="348">
        <f t="shared" ref="BU407:EF407" ca="1" si="496">LARGE($H$406:$IK$406,1)</f>
        <v>1</v>
      </c>
      <c r="BV407" s="348">
        <f t="shared" ca="1" si="496"/>
        <v>1</v>
      </c>
      <c r="BW407" s="348">
        <f t="shared" ca="1" si="496"/>
        <v>1</v>
      </c>
      <c r="BX407" s="348">
        <f t="shared" ca="1" si="496"/>
        <v>1</v>
      </c>
      <c r="BY407" s="348">
        <f t="shared" ca="1" si="496"/>
        <v>1</v>
      </c>
      <c r="BZ407" s="348">
        <f t="shared" ca="1" si="496"/>
        <v>1</v>
      </c>
      <c r="CA407" s="348">
        <f t="shared" ca="1" si="496"/>
        <v>1</v>
      </c>
      <c r="CB407" s="348">
        <f t="shared" ca="1" si="496"/>
        <v>1</v>
      </c>
      <c r="CC407" s="348">
        <f t="shared" ca="1" si="496"/>
        <v>1</v>
      </c>
      <c r="CD407" s="348">
        <f t="shared" ca="1" si="496"/>
        <v>1</v>
      </c>
      <c r="CE407" s="348">
        <f t="shared" ca="1" si="496"/>
        <v>1</v>
      </c>
      <c r="CF407" s="348">
        <f t="shared" ca="1" si="496"/>
        <v>1</v>
      </c>
      <c r="CG407" s="348">
        <f t="shared" ca="1" si="496"/>
        <v>1</v>
      </c>
      <c r="CH407" s="348">
        <f t="shared" ca="1" si="496"/>
        <v>1</v>
      </c>
      <c r="CI407" s="348">
        <f t="shared" ca="1" si="496"/>
        <v>1</v>
      </c>
      <c r="CJ407" s="348">
        <f t="shared" ca="1" si="496"/>
        <v>1</v>
      </c>
      <c r="CK407" s="348">
        <f t="shared" ca="1" si="496"/>
        <v>1</v>
      </c>
      <c r="CL407" s="348">
        <f t="shared" ca="1" si="496"/>
        <v>1</v>
      </c>
      <c r="CM407" s="348">
        <f t="shared" ca="1" si="496"/>
        <v>1</v>
      </c>
      <c r="CN407" s="348">
        <f t="shared" ca="1" si="496"/>
        <v>1</v>
      </c>
      <c r="CO407" s="348">
        <f t="shared" ca="1" si="496"/>
        <v>1</v>
      </c>
      <c r="CP407" s="348">
        <f t="shared" ca="1" si="496"/>
        <v>1</v>
      </c>
      <c r="CQ407" s="348">
        <f t="shared" ca="1" si="496"/>
        <v>1</v>
      </c>
      <c r="CR407" s="348">
        <f t="shared" ca="1" si="496"/>
        <v>1</v>
      </c>
      <c r="CS407" s="348">
        <f t="shared" ca="1" si="496"/>
        <v>1</v>
      </c>
      <c r="CT407" s="348">
        <f t="shared" ca="1" si="496"/>
        <v>1</v>
      </c>
      <c r="CU407" s="348">
        <f t="shared" ca="1" si="496"/>
        <v>1</v>
      </c>
      <c r="CV407" s="348">
        <f t="shared" ca="1" si="496"/>
        <v>1</v>
      </c>
      <c r="CW407" s="348">
        <f t="shared" ca="1" si="496"/>
        <v>1</v>
      </c>
      <c r="CX407" s="348">
        <f t="shared" ca="1" si="496"/>
        <v>1</v>
      </c>
      <c r="CY407" s="348">
        <f t="shared" ca="1" si="496"/>
        <v>1</v>
      </c>
      <c r="CZ407" s="348">
        <f t="shared" ca="1" si="496"/>
        <v>1</v>
      </c>
      <c r="DA407" s="348">
        <f t="shared" ca="1" si="496"/>
        <v>1</v>
      </c>
      <c r="DB407" s="348">
        <f t="shared" ca="1" si="496"/>
        <v>1</v>
      </c>
      <c r="DC407" s="348">
        <f t="shared" ca="1" si="496"/>
        <v>1</v>
      </c>
      <c r="DD407" s="348">
        <f t="shared" ca="1" si="496"/>
        <v>1</v>
      </c>
      <c r="DE407" s="348">
        <f t="shared" ca="1" si="496"/>
        <v>1</v>
      </c>
      <c r="DF407" s="348">
        <f t="shared" ca="1" si="496"/>
        <v>1</v>
      </c>
      <c r="DG407" s="348">
        <f t="shared" ca="1" si="496"/>
        <v>1</v>
      </c>
      <c r="DH407" s="348">
        <f t="shared" ca="1" si="496"/>
        <v>1</v>
      </c>
      <c r="DI407" s="348">
        <f t="shared" ca="1" si="496"/>
        <v>1</v>
      </c>
      <c r="DJ407" s="348">
        <f t="shared" ca="1" si="496"/>
        <v>1</v>
      </c>
      <c r="DK407" s="348">
        <f t="shared" ca="1" si="496"/>
        <v>1</v>
      </c>
      <c r="DL407" s="348">
        <f t="shared" ca="1" si="496"/>
        <v>1</v>
      </c>
      <c r="DM407" s="348">
        <f t="shared" ca="1" si="496"/>
        <v>1</v>
      </c>
      <c r="DN407" s="348">
        <f t="shared" ca="1" si="496"/>
        <v>1</v>
      </c>
      <c r="DO407" s="348">
        <f t="shared" ca="1" si="496"/>
        <v>1</v>
      </c>
      <c r="DP407" s="348">
        <f t="shared" ca="1" si="496"/>
        <v>1</v>
      </c>
      <c r="DQ407" s="348">
        <f t="shared" ca="1" si="496"/>
        <v>1</v>
      </c>
      <c r="DR407" s="348">
        <f t="shared" ca="1" si="496"/>
        <v>1</v>
      </c>
      <c r="DS407" s="348">
        <f t="shared" ca="1" si="496"/>
        <v>1</v>
      </c>
      <c r="DT407" s="348">
        <f t="shared" ca="1" si="496"/>
        <v>1</v>
      </c>
      <c r="DU407" s="348">
        <f t="shared" ca="1" si="496"/>
        <v>1</v>
      </c>
      <c r="DV407" s="348">
        <f t="shared" ca="1" si="496"/>
        <v>1</v>
      </c>
      <c r="DW407" s="348">
        <f t="shared" ca="1" si="496"/>
        <v>1</v>
      </c>
      <c r="DX407" s="348">
        <f t="shared" ca="1" si="496"/>
        <v>1</v>
      </c>
      <c r="DY407" s="348">
        <f t="shared" ca="1" si="496"/>
        <v>1</v>
      </c>
      <c r="DZ407" s="348">
        <f t="shared" ca="1" si="496"/>
        <v>1</v>
      </c>
      <c r="EA407" s="348">
        <f t="shared" ca="1" si="496"/>
        <v>1</v>
      </c>
      <c r="EB407" s="348">
        <f t="shared" ca="1" si="496"/>
        <v>1</v>
      </c>
      <c r="EC407" s="348">
        <f t="shared" ca="1" si="496"/>
        <v>1</v>
      </c>
      <c r="ED407" s="348">
        <f t="shared" ca="1" si="496"/>
        <v>1</v>
      </c>
      <c r="EE407" s="348">
        <f t="shared" ca="1" si="496"/>
        <v>1</v>
      </c>
      <c r="EF407" s="348">
        <f t="shared" ca="1" si="496"/>
        <v>1</v>
      </c>
      <c r="EG407" s="348">
        <f t="shared" ref="EG407:GR407" ca="1" si="497">LARGE($H$406:$IK$406,1)</f>
        <v>1</v>
      </c>
      <c r="EH407" s="348">
        <f t="shared" ca="1" si="497"/>
        <v>1</v>
      </c>
      <c r="EI407" s="348">
        <f t="shared" ca="1" si="497"/>
        <v>1</v>
      </c>
      <c r="EJ407" s="348">
        <f t="shared" ca="1" si="497"/>
        <v>1</v>
      </c>
      <c r="EK407" s="348">
        <f t="shared" ca="1" si="497"/>
        <v>1</v>
      </c>
      <c r="EL407" s="348">
        <f t="shared" ca="1" si="497"/>
        <v>1</v>
      </c>
      <c r="EM407" s="348">
        <f t="shared" ca="1" si="497"/>
        <v>1</v>
      </c>
      <c r="EN407" s="348">
        <f t="shared" ca="1" si="497"/>
        <v>1</v>
      </c>
      <c r="EO407" s="348">
        <f t="shared" ca="1" si="497"/>
        <v>1</v>
      </c>
      <c r="EP407" s="348">
        <f t="shared" ca="1" si="497"/>
        <v>1</v>
      </c>
      <c r="EQ407" s="348">
        <f t="shared" ca="1" si="497"/>
        <v>1</v>
      </c>
      <c r="ER407" s="348">
        <f t="shared" ca="1" si="497"/>
        <v>1</v>
      </c>
      <c r="ES407" s="348">
        <f t="shared" ca="1" si="497"/>
        <v>1</v>
      </c>
      <c r="ET407" s="348">
        <f t="shared" ca="1" si="497"/>
        <v>1</v>
      </c>
      <c r="EU407" s="348">
        <f t="shared" ca="1" si="497"/>
        <v>1</v>
      </c>
      <c r="EV407" s="348">
        <f t="shared" ca="1" si="497"/>
        <v>1</v>
      </c>
      <c r="EW407" s="348">
        <f t="shared" ca="1" si="497"/>
        <v>1</v>
      </c>
      <c r="EX407" s="348">
        <f t="shared" ca="1" si="497"/>
        <v>1</v>
      </c>
      <c r="EY407" s="348">
        <f t="shared" ca="1" si="497"/>
        <v>1</v>
      </c>
      <c r="EZ407" s="348">
        <f t="shared" ca="1" si="497"/>
        <v>1</v>
      </c>
      <c r="FA407" s="348">
        <f t="shared" ca="1" si="497"/>
        <v>1</v>
      </c>
      <c r="FB407" s="348">
        <f t="shared" ca="1" si="497"/>
        <v>1</v>
      </c>
      <c r="FC407" s="348">
        <f t="shared" ca="1" si="497"/>
        <v>1</v>
      </c>
      <c r="FD407" s="348">
        <f t="shared" ca="1" si="497"/>
        <v>1</v>
      </c>
      <c r="FE407" s="348">
        <f t="shared" ca="1" si="497"/>
        <v>1</v>
      </c>
      <c r="FF407" s="348">
        <f t="shared" ca="1" si="497"/>
        <v>1</v>
      </c>
      <c r="FG407" s="348">
        <f t="shared" ca="1" si="497"/>
        <v>1</v>
      </c>
      <c r="FH407" s="348">
        <f t="shared" ca="1" si="497"/>
        <v>1</v>
      </c>
      <c r="FI407" s="348">
        <f t="shared" ca="1" si="497"/>
        <v>1</v>
      </c>
      <c r="FJ407" s="348">
        <f t="shared" ca="1" si="497"/>
        <v>1</v>
      </c>
      <c r="FK407" s="348">
        <f t="shared" ca="1" si="497"/>
        <v>1</v>
      </c>
      <c r="FL407" s="348">
        <f t="shared" ca="1" si="497"/>
        <v>1</v>
      </c>
      <c r="FM407" s="348">
        <f t="shared" ca="1" si="497"/>
        <v>1</v>
      </c>
      <c r="FN407" s="348">
        <f t="shared" ca="1" si="497"/>
        <v>1</v>
      </c>
      <c r="FO407" s="348">
        <f t="shared" ca="1" si="497"/>
        <v>1</v>
      </c>
      <c r="FP407" s="348">
        <f t="shared" ca="1" si="497"/>
        <v>1</v>
      </c>
      <c r="FQ407" s="348">
        <f t="shared" ca="1" si="497"/>
        <v>1</v>
      </c>
      <c r="FR407" s="348">
        <f t="shared" ca="1" si="497"/>
        <v>1</v>
      </c>
      <c r="FS407" s="348">
        <f t="shared" ca="1" si="497"/>
        <v>1</v>
      </c>
      <c r="FT407" s="348">
        <f t="shared" ca="1" si="497"/>
        <v>1</v>
      </c>
      <c r="FU407" s="348">
        <f t="shared" ca="1" si="497"/>
        <v>1</v>
      </c>
      <c r="FV407" s="348">
        <f t="shared" ca="1" si="497"/>
        <v>1</v>
      </c>
      <c r="FW407" s="348">
        <f t="shared" ca="1" si="497"/>
        <v>1</v>
      </c>
      <c r="FX407" s="348">
        <f t="shared" ca="1" si="497"/>
        <v>1</v>
      </c>
      <c r="FY407" s="348">
        <f t="shared" ca="1" si="497"/>
        <v>1</v>
      </c>
      <c r="FZ407" s="348">
        <f t="shared" ca="1" si="497"/>
        <v>1</v>
      </c>
      <c r="GA407" s="348">
        <f t="shared" ca="1" si="497"/>
        <v>1</v>
      </c>
      <c r="GB407" s="348">
        <f t="shared" ca="1" si="497"/>
        <v>1</v>
      </c>
      <c r="GC407" s="348">
        <f t="shared" ca="1" si="497"/>
        <v>1</v>
      </c>
      <c r="GD407" s="348">
        <f t="shared" ca="1" si="497"/>
        <v>1</v>
      </c>
      <c r="GE407" s="348">
        <f t="shared" ca="1" si="497"/>
        <v>1</v>
      </c>
      <c r="GF407" s="348">
        <f t="shared" ca="1" si="497"/>
        <v>1</v>
      </c>
      <c r="GG407" s="348">
        <f t="shared" ca="1" si="497"/>
        <v>1</v>
      </c>
      <c r="GH407" s="348">
        <f t="shared" ca="1" si="497"/>
        <v>1</v>
      </c>
      <c r="GI407" s="348">
        <f t="shared" ca="1" si="497"/>
        <v>1</v>
      </c>
      <c r="GJ407" s="348">
        <f t="shared" ca="1" si="497"/>
        <v>1</v>
      </c>
      <c r="GK407" s="348">
        <f t="shared" ca="1" si="497"/>
        <v>1</v>
      </c>
      <c r="GL407" s="348">
        <f t="shared" ca="1" si="497"/>
        <v>1</v>
      </c>
      <c r="GM407" s="348">
        <f t="shared" ca="1" si="497"/>
        <v>1</v>
      </c>
      <c r="GN407" s="348">
        <f t="shared" ca="1" si="497"/>
        <v>1</v>
      </c>
      <c r="GO407" s="348">
        <f t="shared" ca="1" si="497"/>
        <v>1</v>
      </c>
      <c r="GP407" s="348">
        <f t="shared" ca="1" si="497"/>
        <v>1</v>
      </c>
      <c r="GQ407" s="348">
        <f t="shared" ca="1" si="497"/>
        <v>1</v>
      </c>
      <c r="GR407" s="348">
        <f t="shared" ca="1" si="497"/>
        <v>1</v>
      </c>
      <c r="GS407" s="348">
        <f t="shared" ref="GS407:IK407" ca="1" si="498">LARGE($H$406:$IK$406,1)</f>
        <v>1</v>
      </c>
      <c r="GT407" s="348">
        <f t="shared" ca="1" si="498"/>
        <v>1</v>
      </c>
      <c r="GU407" s="348">
        <f t="shared" ca="1" si="498"/>
        <v>1</v>
      </c>
      <c r="GV407" s="348">
        <f t="shared" ca="1" si="498"/>
        <v>1</v>
      </c>
      <c r="GW407" s="348">
        <f t="shared" ca="1" si="498"/>
        <v>1</v>
      </c>
      <c r="GX407" s="348">
        <f t="shared" ca="1" si="498"/>
        <v>1</v>
      </c>
      <c r="GY407" s="348">
        <f t="shared" ca="1" si="498"/>
        <v>1</v>
      </c>
      <c r="GZ407" s="348">
        <f t="shared" ca="1" si="498"/>
        <v>1</v>
      </c>
      <c r="HA407" s="348">
        <f t="shared" ca="1" si="498"/>
        <v>1</v>
      </c>
      <c r="HB407" s="348">
        <f t="shared" ca="1" si="498"/>
        <v>1</v>
      </c>
      <c r="HC407" s="348">
        <f t="shared" ca="1" si="498"/>
        <v>1</v>
      </c>
      <c r="HD407" s="348">
        <f t="shared" ca="1" si="498"/>
        <v>1</v>
      </c>
      <c r="HE407" s="348">
        <f t="shared" ca="1" si="498"/>
        <v>1</v>
      </c>
      <c r="HF407" s="348">
        <f t="shared" ca="1" si="498"/>
        <v>1</v>
      </c>
      <c r="HG407" s="348">
        <f t="shared" ca="1" si="498"/>
        <v>1</v>
      </c>
      <c r="HH407" s="348">
        <f t="shared" ca="1" si="498"/>
        <v>1</v>
      </c>
      <c r="HI407" s="348">
        <f t="shared" ca="1" si="498"/>
        <v>1</v>
      </c>
      <c r="HJ407" s="348">
        <f t="shared" ca="1" si="498"/>
        <v>1</v>
      </c>
      <c r="HK407" s="348">
        <f t="shared" ca="1" si="498"/>
        <v>1</v>
      </c>
      <c r="HL407" s="348">
        <f t="shared" ca="1" si="498"/>
        <v>1</v>
      </c>
      <c r="HM407" s="348">
        <f t="shared" ca="1" si="498"/>
        <v>1</v>
      </c>
      <c r="HN407" s="348">
        <f t="shared" ca="1" si="498"/>
        <v>1</v>
      </c>
      <c r="HO407" s="348">
        <f t="shared" ca="1" si="498"/>
        <v>1</v>
      </c>
      <c r="HP407" s="348">
        <f t="shared" ca="1" si="498"/>
        <v>1</v>
      </c>
      <c r="HQ407" s="348">
        <f t="shared" ca="1" si="498"/>
        <v>1</v>
      </c>
      <c r="HR407" s="348">
        <f t="shared" ca="1" si="498"/>
        <v>1</v>
      </c>
      <c r="HS407" s="348">
        <f t="shared" ca="1" si="498"/>
        <v>1</v>
      </c>
      <c r="HT407" s="348">
        <f t="shared" ca="1" si="498"/>
        <v>1</v>
      </c>
      <c r="HU407" s="348">
        <f t="shared" ca="1" si="498"/>
        <v>1</v>
      </c>
      <c r="HV407" s="348">
        <f t="shared" ca="1" si="498"/>
        <v>1</v>
      </c>
      <c r="HW407" s="348">
        <f t="shared" ca="1" si="498"/>
        <v>1</v>
      </c>
      <c r="HX407" s="348">
        <f t="shared" ca="1" si="498"/>
        <v>1</v>
      </c>
      <c r="HY407" s="348">
        <f t="shared" ca="1" si="498"/>
        <v>1</v>
      </c>
      <c r="HZ407" s="348">
        <f t="shared" ca="1" si="498"/>
        <v>1</v>
      </c>
      <c r="IA407" s="348">
        <f t="shared" ca="1" si="498"/>
        <v>1</v>
      </c>
      <c r="IB407" s="348">
        <f t="shared" ca="1" si="498"/>
        <v>1</v>
      </c>
      <c r="IC407" s="348">
        <f t="shared" ca="1" si="498"/>
        <v>1</v>
      </c>
      <c r="ID407" s="348">
        <f t="shared" ca="1" si="498"/>
        <v>1</v>
      </c>
      <c r="IE407" s="348">
        <f t="shared" ca="1" si="498"/>
        <v>1</v>
      </c>
      <c r="IF407" s="348">
        <f t="shared" ca="1" si="498"/>
        <v>1</v>
      </c>
      <c r="IG407" s="348">
        <f t="shared" ca="1" si="498"/>
        <v>1</v>
      </c>
      <c r="IH407" s="348">
        <f t="shared" ca="1" si="498"/>
        <v>1</v>
      </c>
      <c r="II407" s="348">
        <f t="shared" ca="1" si="498"/>
        <v>1</v>
      </c>
      <c r="IJ407" s="348">
        <f t="shared" ca="1" si="498"/>
        <v>1</v>
      </c>
      <c r="IK407" s="348">
        <f t="shared" ca="1" si="498"/>
        <v>1</v>
      </c>
    </row>
    <row r="408" spans="3:245" hidden="1" x14ac:dyDescent="0.35">
      <c r="C408" s="627" t="s">
        <v>1630</v>
      </c>
      <c r="H408" s="32">
        <f t="shared" ref="H408:BS408" ca="1" si="499">IF(G408&gt;=1,G408+1,IF(AND(G383=1,H383=1000),G408+1,0))</f>
        <v>0</v>
      </c>
      <c r="I408" s="32">
        <f t="shared" ca="1" si="499"/>
        <v>0</v>
      </c>
      <c r="J408" s="32">
        <f t="shared" ca="1" si="499"/>
        <v>0</v>
      </c>
      <c r="K408" s="32">
        <f t="shared" ca="1" si="499"/>
        <v>0</v>
      </c>
      <c r="L408" s="32">
        <f t="shared" ca="1" si="499"/>
        <v>0</v>
      </c>
      <c r="M408" s="32">
        <f t="shared" ca="1" si="499"/>
        <v>0</v>
      </c>
      <c r="N408" s="32">
        <f t="shared" ca="1" si="499"/>
        <v>0</v>
      </c>
      <c r="O408" s="32">
        <f t="shared" ca="1" si="499"/>
        <v>0</v>
      </c>
      <c r="P408" s="32">
        <f t="shared" ca="1" si="499"/>
        <v>0</v>
      </c>
      <c r="Q408" s="32">
        <f t="shared" ca="1" si="499"/>
        <v>0</v>
      </c>
      <c r="R408" s="32">
        <f t="shared" ca="1" si="499"/>
        <v>0</v>
      </c>
      <c r="S408" s="32">
        <f t="shared" ca="1" si="499"/>
        <v>0</v>
      </c>
      <c r="T408" s="32">
        <f t="shared" ca="1" si="499"/>
        <v>0</v>
      </c>
      <c r="U408" s="32">
        <f t="shared" ca="1" si="499"/>
        <v>0</v>
      </c>
      <c r="V408" s="32">
        <f t="shared" ca="1" si="499"/>
        <v>0</v>
      </c>
      <c r="W408" s="32">
        <f t="shared" ca="1" si="499"/>
        <v>0</v>
      </c>
      <c r="X408" s="32">
        <f t="shared" ca="1" si="499"/>
        <v>0</v>
      </c>
      <c r="Y408" s="32">
        <f t="shared" ca="1" si="499"/>
        <v>0</v>
      </c>
      <c r="Z408" s="32">
        <f t="shared" ca="1" si="499"/>
        <v>0</v>
      </c>
      <c r="AA408" s="32">
        <f t="shared" ca="1" si="499"/>
        <v>0</v>
      </c>
      <c r="AB408" s="32">
        <f t="shared" ca="1" si="499"/>
        <v>0</v>
      </c>
      <c r="AC408" s="32">
        <f t="shared" ca="1" si="499"/>
        <v>0</v>
      </c>
      <c r="AD408" s="32">
        <f t="shared" ca="1" si="499"/>
        <v>0</v>
      </c>
      <c r="AE408" s="32">
        <f t="shared" ca="1" si="499"/>
        <v>0</v>
      </c>
      <c r="AF408" s="32">
        <f t="shared" ca="1" si="499"/>
        <v>0</v>
      </c>
      <c r="AG408" s="32">
        <f t="shared" ca="1" si="499"/>
        <v>0</v>
      </c>
      <c r="AH408" s="32">
        <f t="shared" ca="1" si="499"/>
        <v>0</v>
      </c>
      <c r="AI408" s="32">
        <f t="shared" ca="1" si="499"/>
        <v>0</v>
      </c>
      <c r="AJ408" s="32">
        <f t="shared" ca="1" si="499"/>
        <v>0</v>
      </c>
      <c r="AK408" s="32">
        <f t="shared" ca="1" si="499"/>
        <v>0</v>
      </c>
      <c r="AL408" s="32">
        <f t="shared" ca="1" si="499"/>
        <v>0</v>
      </c>
      <c r="AM408" s="32">
        <f t="shared" ca="1" si="499"/>
        <v>0</v>
      </c>
      <c r="AN408" s="32">
        <f t="shared" ca="1" si="499"/>
        <v>0</v>
      </c>
      <c r="AO408" s="32">
        <f t="shared" ca="1" si="499"/>
        <v>0</v>
      </c>
      <c r="AP408" s="32">
        <f t="shared" ca="1" si="499"/>
        <v>0</v>
      </c>
      <c r="AQ408" s="32">
        <f t="shared" ca="1" si="499"/>
        <v>0</v>
      </c>
      <c r="AR408" s="32">
        <f t="shared" ca="1" si="499"/>
        <v>0</v>
      </c>
      <c r="AS408" s="32">
        <f t="shared" ca="1" si="499"/>
        <v>0</v>
      </c>
      <c r="AT408" s="32">
        <f t="shared" ca="1" si="499"/>
        <v>0</v>
      </c>
      <c r="AU408" s="32">
        <f t="shared" ca="1" si="499"/>
        <v>0</v>
      </c>
      <c r="AV408" s="32">
        <f t="shared" ca="1" si="499"/>
        <v>0</v>
      </c>
      <c r="AW408" s="32">
        <f t="shared" ca="1" si="499"/>
        <v>0</v>
      </c>
      <c r="AX408" s="32">
        <f t="shared" ca="1" si="499"/>
        <v>0</v>
      </c>
      <c r="AY408" s="32">
        <f t="shared" ca="1" si="499"/>
        <v>0</v>
      </c>
      <c r="AZ408" s="32">
        <f t="shared" ca="1" si="499"/>
        <v>0</v>
      </c>
      <c r="BA408" s="32">
        <f t="shared" ca="1" si="499"/>
        <v>0</v>
      </c>
      <c r="BB408" s="32">
        <f t="shared" ca="1" si="499"/>
        <v>0</v>
      </c>
      <c r="BC408" s="32">
        <f t="shared" ca="1" si="499"/>
        <v>0</v>
      </c>
      <c r="BD408" s="32">
        <f t="shared" ca="1" si="499"/>
        <v>0</v>
      </c>
      <c r="BE408" s="32">
        <f t="shared" ca="1" si="499"/>
        <v>0</v>
      </c>
      <c r="BF408" s="32">
        <f t="shared" ca="1" si="499"/>
        <v>0</v>
      </c>
      <c r="BG408" s="32">
        <f t="shared" ca="1" si="499"/>
        <v>0</v>
      </c>
      <c r="BH408" s="32">
        <f t="shared" ca="1" si="499"/>
        <v>0</v>
      </c>
      <c r="BI408" s="32">
        <f t="shared" ca="1" si="499"/>
        <v>0</v>
      </c>
      <c r="BJ408" s="32">
        <f t="shared" ca="1" si="499"/>
        <v>0</v>
      </c>
      <c r="BK408" s="32">
        <f t="shared" ca="1" si="499"/>
        <v>0</v>
      </c>
      <c r="BL408" s="32">
        <f t="shared" ca="1" si="499"/>
        <v>0</v>
      </c>
      <c r="BM408" s="32">
        <f t="shared" ca="1" si="499"/>
        <v>0</v>
      </c>
      <c r="BN408" s="32">
        <f t="shared" ca="1" si="499"/>
        <v>0</v>
      </c>
      <c r="BO408" s="32">
        <f t="shared" ca="1" si="499"/>
        <v>0</v>
      </c>
      <c r="BP408" s="32">
        <f t="shared" ca="1" si="499"/>
        <v>0</v>
      </c>
      <c r="BQ408" s="32">
        <f t="shared" ca="1" si="499"/>
        <v>0</v>
      </c>
      <c r="BR408" s="32">
        <f t="shared" ca="1" si="499"/>
        <v>0</v>
      </c>
      <c r="BS408" s="32">
        <f t="shared" ca="1" si="499"/>
        <v>0</v>
      </c>
      <c r="BT408" s="32">
        <f t="shared" ref="BT408:EE408" ca="1" si="500">IF(BS408&gt;=1,BS408+1,IF(AND(BS383=1,BT383=1000),BS408+1,0))</f>
        <v>0</v>
      </c>
      <c r="BU408" s="32">
        <f t="shared" ca="1" si="500"/>
        <v>0</v>
      </c>
      <c r="BV408" s="32">
        <f t="shared" ca="1" si="500"/>
        <v>0</v>
      </c>
      <c r="BW408" s="32">
        <f t="shared" ca="1" si="500"/>
        <v>0</v>
      </c>
      <c r="BX408" s="32">
        <f t="shared" ca="1" si="500"/>
        <v>0</v>
      </c>
      <c r="BY408" s="32">
        <f t="shared" ca="1" si="500"/>
        <v>0</v>
      </c>
      <c r="BZ408" s="32">
        <f t="shared" ca="1" si="500"/>
        <v>0</v>
      </c>
      <c r="CA408" s="32">
        <f t="shared" ca="1" si="500"/>
        <v>0</v>
      </c>
      <c r="CB408" s="32">
        <f t="shared" ca="1" si="500"/>
        <v>0</v>
      </c>
      <c r="CC408" s="32">
        <f t="shared" ca="1" si="500"/>
        <v>0</v>
      </c>
      <c r="CD408" s="32">
        <f t="shared" ca="1" si="500"/>
        <v>0</v>
      </c>
      <c r="CE408" s="32">
        <f t="shared" ca="1" si="500"/>
        <v>0</v>
      </c>
      <c r="CF408" s="32">
        <f t="shared" ca="1" si="500"/>
        <v>0</v>
      </c>
      <c r="CG408" s="32">
        <f t="shared" ca="1" si="500"/>
        <v>0</v>
      </c>
      <c r="CH408" s="32">
        <f t="shared" ca="1" si="500"/>
        <v>0</v>
      </c>
      <c r="CI408" s="32">
        <f t="shared" ca="1" si="500"/>
        <v>0</v>
      </c>
      <c r="CJ408" s="32">
        <f t="shared" ca="1" si="500"/>
        <v>0</v>
      </c>
      <c r="CK408" s="32">
        <f t="shared" ca="1" si="500"/>
        <v>0</v>
      </c>
      <c r="CL408" s="32">
        <f t="shared" ca="1" si="500"/>
        <v>0</v>
      </c>
      <c r="CM408" s="32">
        <f t="shared" ca="1" si="500"/>
        <v>0</v>
      </c>
      <c r="CN408" s="32">
        <f t="shared" ca="1" si="500"/>
        <v>0</v>
      </c>
      <c r="CO408" s="32">
        <f t="shared" ca="1" si="500"/>
        <v>0</v>
      </c>
      <c r="CP408" s="32">
        <f t="shared" ca="1" si="500"/>
        <v>0</v>
      </c>
      <c r="CQ408" s="32">
        <f t="shared" ca="1" si="500"/>
        <v>0</v>
      </c>
      <c r="CR408" s="32">
        <f t="shared" ca="1" si="500"/>
        <v>0</v>
      </c>
      <c r="CS408" s="32">
        <f t="shared" ca="1" si="500"/>
        <v>0</v>
      </c>
      <c r="CT408" s="32">
        <f t="shared" ca="1" si="500"/>
        <v>0</v>
      </c>
      <c r="CU408" s="32">
        <f t="shared" ca="1" si="500"/>
        <v>0</v>
      </c>
      <c r="CV408" s="32">
        <f t="shared" ca="1" si="500"/>
        <v>0</v>
      </c>
      <c r="CW408" s="32">
        <f t="shared" ca="1" si="500"/>
        <v>0</v>
      </c>
      <c r="CX408" s="32">
        <f t="shared" ca="1" si="500"/>
        <v>0</v>
      </c>
      <c r="CY408" s="32">
        <f t="shared" ca="1" si="500"/>
        <v>0</v>
      </c>
      <c r="CZ408" s="32">
        <f t="shared" ca="1" si="500"/>
        <v>0</v>
      </c>
      <c r="DA408" s="32">
        <f t="shared" ca="1" si="500"/>
        <v>0</v>
      </c>
      <c r="DB408" s="32">
        <f t="shared" ca="1" si="500"/>
        <v>0</v>
      </c>
      <c r="DC408" s="32">
        <f t="shared" ca="1" si="500"/>
        <v>0</v>
      </c>
      <c r="DD408" s="32">
        <f t="shared" ca="1" si="500"/>
        <v>0</v>
      </c>
      <c r="DE408" s="32">
        <f t="shared" ca="1" si="500"/>
        <v>0</v>
      </c>
      <c r="DF408" s="32">
        <f t="shared" ca="1" si="500"/>
        <v>0</v>
      </c>
      <c r="DG408" s="32">
        <f t="shared" ca="1" si="500"/>
        <v>0</v>
      </c>
      <c r="DH408" s="32">
        <f t="shared" ca="1" si="500"/>
        <v>0</v>
      </c>
      <c r="DI408" s="32">
        <f t="shared" ca="1" si="500"/>
        <v>0</v>
      </c>
      <c r="DJ408" s="32">
        <f t="shared" ca="1" si="500"/>
        <v>0</v>
      </c>
      <c r="DK408" s="32">
        <f t="shared" ca="1" si="500"/>
        <v>0</v>
      </c>
      <c r="DL408" s="32">
        <f t="shared" ca="1" si="500"/>
        <v>0</v>
      </c>
      <c r="DM408" s="32">
        <f t="shared" ca="1" si="500"/>
        <v>0</v>
      </c>
      <c r="DN408" s="32">
        <f t="shared" ca="1" si="500"/>
        <v>0</v>
      </c>
      <c r="DO408" s="32">
        <f t="shared" ca="1" si="500"/>
        <v>0</v>
      </c>
      <c r="DP408" s="32">
        <f t="shared" ca="1" si="500"/>
        <v>0</v>
      </c>
      <c r="DQ408" s="32">
        <f t="shared" ca="1" si="500"/>
        <v>0</v>
      </c>
      <c r="DR408" s="32">
        <f t="shared" ca="1" si="500"/>
        <v>0</v>
      </c>
      <c r="DS408" s="32">
        <f t="shared" ca="1" si="500"/>
        <v>0</v>
      </c>
      <c r="DT408" s="32">
        <f t="shared" ca="1" si="500"/>
        <v>0</v>
      </c>
      <c r="DU408" s="32">
        <f t="shared" ca="1" si="500"/>
        <v>0</v>
      </c>
      <c r="DV408" s="32">
        <f t="shared" ca="1" si="500"/>
        <v>0</v>
      </c>
      <c r="DW408" s="32">
        <f t="shared" ca="1" si="500"/>
        <v>0</v>
      </c>
      <c r="DX408" s="32">
        <f t="shared" ca="1" si="500"/>
        <v>0</v>
      </c>
      <c r="DY408" s="32">
        <f t="shared" ca="1" si="500"/>
        <v>0</v>
      </c>
      <c r="DZ408" s="32">
        <f t="shared" ca="1" si="500"/>
        <v>0</v>
      </c>
      <c r="EA408" s="32">
        <f t="shared" ca="1" si="500"/>
        <v>0</v>
      </c>
      <c r="EB408" s="32">
        <f t="shared" ca="1" si="500"/>
        <v>0</v>
      </c>
      <c r="EC408" s="32">
        <f t="shared" ca="1" si="500"/>
        <v>0</v>
      </c>
      <c r="ED408" s="32">
        <f t="shared" ca="1" si="500"/>
        <v>0</v>
      </c>
      <c r="EE408" s="32">
        <f t="shared" ca="1" si="500"/>
        <v>0</v>
      </c>
      <c r="EF408" s="32">
        <f t="shared" ref="EF408:GQ408" ca="1" si="501">IF(EE408&gt;=1,EE408+1,IF(AND(EE383=1,EF383=1000),EE408+1,0))</f>
        <v>0</v>
      </c>
      <c r="EG408" s="32">
        <f t="shared" ca="1" si="501"/>
        <v>0</v>
      </c>
      <c r="EH408" s="32">
        <f t="shared" ca="1" si="501"/>
        <v>0</v>
      </c>
      <c r="EI408" s="32">
        <f t="shared" ca="1" si="501"/>
        <v>0</v>
      </c>
      <c r="EJ408" s="32">
        <f t="shared" ca="1" si="501"/>
        <v>0</v>
      </c>
      <c r="EK408" s="32">
        <f t="shared" ca="1" si="501"/>
        <v>0</v>
      </c>
      <c r="EL408" s="32">
        <f t="shared" ca="1" si="501"/>
        <v>0</v>
      </c>
      <c r="EM408" s="32">
        <f t="shared" ca="1" si="501"/>
        <v>0</v>
      </c>
      <c r="EN408" s="32">
        <f t="shared" ca="1" si="501"/>
        <v>0</v>
      </c>
      <c r="EO408" s="32">
        <f t="shared" ca="1" si="501"/>
        <v>0</v>
      </c>
      <c r="EP408" s="32">
        <f t="shared" ca="1" si="501"/>
        <v>0</v>
      </c>
      <c r="EQ408" s="32">
        <f t="shared" ca="1" si="501"/>
        <v>0</v>
      </c>
      <c r="ER408" s="32">
        <f t="shared" ca="1" si="501"/>
        <v>0</v>
      </c>
      <c r="ES408" s="32">
        <f t="shared" ca="1" si="501"/>
        <v>0</v>
      </c>
      <c r="ET408" s="32">
        <f t="shared" ca="1" si="501"/>
        <v>0</v>
      </c>
      <c r="EU408" s="32">
        <f t="shared" ca="1" si="501"/>
        <v>0</v>
      </c>
      <c r="EV408" s="32">
        <f t="shared" ca="1" si="501"/>
        <v>0</v>
      </c>
      <c r="EW408" s="32">
        <f t="shared" ca="1" si="501"/>
        <v>0</v>
      </c>
      <c r="EX408" s="32">
        <f t="shared" ca="1" si="501"/>
        <v>0</v>
      </c>
      <c r="EY408" s="32">
        <f t="shared" ca="1" si="501"/>
        <v>0</v>
      </c>
      <c r="EZ408" s="32">
        <f t="shared" ca="1" si="501"/>
        <v>0</v>
      </c>
      <c r="FA408" s="32">
        <f t="shared" ca="1" si="501"/>
        <v>0</v>
      </c>
      <c r="FB408" s="32">
        <f t="shared" ca="1" si="501"/>
        <v>0</v>
      </c>
      <c r="FC408" s="32">
        <f t="shared" ca="1" si="501"/>
        <v>0</v>
      </c>
      <c r="FD408" s="32">
        <f t="shared" ca="1" si="501"/>
        <v>0</v>
      </c>
      <c r="FE408" s="32">
        <f t="shared" ca="1" si="501"/>
        <v>0</v>
      </c>
      <c r="FF408" s="32">
        <f t="shared" ca="1" si="501"/>
        <v>0</v>
      </c>
      <c r="FG408" s="32">
        <f t="shared" ca="1" si="501"/>
        <v>0</v>
      </c>
      <c r="FH408" s="32">
        <f t="shared" ca="1" si="501"/>
        <v>0</v>
      </c>
      <c r="FI408" s="32">
        <f t="shared" ca="1" si="501"/>
        <v>0</v>
      </c>
      <c r="FJ408" s="32">
        <f t="shared" ca="1" si="501"/>
        <v>0</v>
      </c>
      <c r="FK408" s="32">
        <f t="shared" ca="1" si="501"/>
        <v>0</v>
      </c>
      <c r="FL408" s="32">
        <f t="shared" ca="1" si="501"/>
        <v>0</v>
      </c>
      <c r="FM408" s="32">
        <f t="shared" ca="1" si="501"/>
        <v>0</v>
      </c>
      <c r="FN408" s="32">
        <f t="shared" ca="1" si="501"/>
        <v>0</v>
      </c>
      <c r="FO408" s="32">
        <f t="shared" ca="1" si="501"/>
        <v>0</v>
      </c>
      <c r="FP408" s="32">
        <f t="shared" ca="1" si="501"/>
        <v>0</v>
      </c>
      <c r="FQ408" s="32">
        <f t="shared" ca="1" si="501"/>
        <v>0</v>
      </c>
      <c r="FR408" s="32">
        <f t="shared" ca="1" si="501"/>
        <v>0</v>
      </c>
      <c r="FS408" s="32">
        <f t="shared" ca="1" si="501"/>
        <v>0</v>
      </c>
      <c r="FT408" s="32">
        <f t="shared" ca="1" si="501"/>
        <v>0</v>
      </c>
      <c r="FU408" s="32">
        <f t="shared" ca="1" si="501"/>
        <v>0</v>
      </c>
      <c r="FV408" s="32">
        <f t="shared" ca="1" si="501"/>
        <v>0</v>
      </c>
      <c r="FW408" s="32">
        <f t="shared" ca="1" si="501"/>
        <v>0</v>
      </c>
      <c r="FX408" s="32">
        <f t="shared" ca="1" si="501"/>
        <v>0</v>
      </c>
      <c r="FY408" s="32">
        <f t="shared" ca="1" si="501"/>
        <v>0</v>
      </c>
      <c r="FZ408" s="32">
        <f t="shared" ca="1" si="501"/>
        <v>0</v>
      </c>
      <c r="GA408" s="32">
        <f t="shared" ca="1" si="501"/>
        <v>0</v>
      </c>
      <c r="GB408" s="32">
        <f t="shared" ca="1" si="501"/>
        <v>0</v>
      </c>
      <c r="GC408" s="32">
        <f t="shared" ca="1" si="501"/>
        <v>0</v>
      </c>
      <c r="GD408" s="32">
        <f t="shared" ca="1" si="501"/>
        <v>0</v>
      </c>
      <c r="GE408" s="32">
        <f t="shared" ca="1" si="501"/>
        <v>0</v>
      </c>
      <c r="GF408" s="32">
        <f t="shared" ca="1" si="501"/>
        <v>0</v>
      </c>
      <c r="GG408" s="32">
        <f t="shared" ca="1" si="501"/>
        <v>0</v>
      </c>
      <c r="GH408" s="32">
        <f t="shared" ca="1" si="501"/>
        <v>0</v>
      </c>
      <c r="GI408" s="32">
        <f t="shared" ca="1" si="501"/>
        <v>0</v>
      </c>
      <c r="GJ408" s="32">
        <f t="shared" ca="1" si="501"/>
        <v>0</v>
      </c>
      <c r="GK408" s="32">
        <f t="shared" ca="1" si="501"/>
        <v>0</v>
      </c>
      <c r="GL408" s="32">
        <f t="shared" ca="1" si="501"/>
        <v>0</v>
      </c>
      <c r="GM408" s="32">
        <f t="shared" ca="1" si="501"/>
        <v>0</v>
      </c>
      <c r="GN408" s="32">
        <f t="shared" ca="1" si="501"/>
        <v>0</v>
      </c>
      <c r="GO408" s="32">
        <f t="shared" ca="1" si="501"/>
        <v>0</v>
      </c>
      <c r="GP408" s="32">
        <f t="shared" ca="1" si="501"/>
        <v>0</v>
      </c>
      <c r="GQ408" s="32">
        <f t="shared" ca="1" si="501"/>
        <v>0</v>
      </c>
      <c r="GR408" s="32">
        <f t="shared" ref="GR408:IK408" ca="1" si="502">IF(GQ408&gt;=1,GQ408+1,IF(AND(GQ383=1,GR383=1000),GQ408+1,0))</f>
        <v>0</v>
      </c>
      <c r="GS408" s="32">
        <f t="shared" ca="1" si="502"/>
        <v>0</v>
      </c>
      <c r="GT408" s="32">
        <f t="shared" ca="1" si="502"/>
        <v>0</v>
      </c>
      <c r="GU408" s="32">
        <f t="shared" ca="1" si="502"/>
        <v>0</v>
      </c>
      <c r="GV408" s="32">
        <f t="shared" ca="1" si="502"/>
        <v>0</v>
      </c>
      <c r="GW408" s="32">
        <f t="shared" ca="1" si="502"/>
        <v>0</v>
      </c>
      <c r="GX408" s="32">
        <f t="shared" ca="1" si="502"/>
        <v>0</v>
      </c>
      <c r="GY408" s="32">
        <f t="shared" ca="1" si="502"/>
        <v>0</v>
      </c>
      <c r="GZ408" s="32">
        <f t="shared" ca="1" si="502"/>
        <v>0</v>
      </c>
      <c r="HA408" s="32">
        <f t="shared" ca="1" si="502"/>
        <v>0</v>
      </c>
      <c r="HB408" s="32">
        <f t="shared" ca="1" si="502"/>
        <v>0</v>
      </c>
      <c r="HC408" s="32">
        <f t="shared" ca="1" si="502"/>
        <v>0</v>
      </c>
      <c r="HD408" s="32">
        <f t="shared" ca="1" si="502"/>
        <v>0</v>
      </c>
      <c r="HE408" s="32">
        <f t="shared" ca="1" si="502"/>
        <v>0</v>
      </c>
      <c r="HF408" s="32">
        <f t="shared" ca="1" si="502"/>
        <v>0</v>
      </c>
      <c r="HG408" s="32">
        <f t="shared" ca="1" si="502"/>
        <v>0</v>
      </c>
      <c r="HH408" s="32">
        <f t="shared" ca="1" si="502"/>
        <v>0</v>
      </c>
      <c r="HI408" s="32">
        <f t="shared" ca="1" si="502"/>
        <v>0</v>
      </c>
      <c r="HJ408" s="32">
        <f t="shared" ca="1" si="502"/>
        <v>0</v>
      </c>
      <c r="HK408" s="32">
        <f t="shared" ca="1" si="502"/>
        <v>0</v>
      </c>
      <c r="HL408" s="32">
        <f t="shared" ca="1" si="502"/>
        <v>0</v>
      </c>
      <c r="HM408" s="32">
        <f t="shared" ca="1" si="502"/>
        <v>0</v>
      </c>
      <c r="HN408" s="32">
        <f t="shared" ca="1" si="502"/>
        <v>0</v>
      </c>
      <c r="HO408" s="32">
        <f t="shared" ca="1" si="502"/>
        <v>0</v>
      </c>
      <c r="HP408" s="32">
        <f t="shared" ca="1" si="502"/>
        <v>0</v>
      </c>
      <c r="HQ408" s="32">
        <f t="shared" ca="1" si="502"/>
        <v>0</v>
      </c>
      <c r="HR408" s="32">
        <f t="shared" ca="1" si="502"/>
        <v>0</v>
      </c>
      <c r="HS408" s="32">
        <f t="shared" ca="1" si="502"/>
        <v>0</v>
      </c>
      <c r="HT408" s="32">
        <f t="shared" ca="1" si="502"/>
        <v>0</v>
      </c>
      <c r="HU408" s="32">
        <f t="shared" ca="1" si="502"/>
        <v>0</v>
      </c>
      <c r="HV408" s="32">
        <f t="shared" ca="1" si="502"/>
        <v>0</v>
      </c>
      <c r="HW408" s="32">
        <f t="shared" ca="1" si="502"/>
        <v>0</v>
      </c>
      <c r="HX408" s="32">
        <f t="shared" ca="1" si="502"/>
        <v>0</v>
      </c>
      <c r="HY408" s="32">
        <f t="shared" ca="1" si="502"/>
        <v>0</v>
      </c>
      <c r="HZ408" s="32">
        <f t="shared" ca="1" si="502"/>
        <v>0</v>
      </c>
      <c r="IA408" s="32">
        <f t="shared" ca="1" si="502"/>
        <v>0</v>
      </c>
      <c r="IB408" s="32">
        <f t="shared" ca="1" si="502"/>
        <v>0</v>
      </c>
      <c r="IC408" s="32">
        <f t="shared" ca="1" si="502"/>
        <v>0</v>
      </c>
      <c r="ID408" s="32">
        <f t="shared" ca="1" si="502"/>
        <v>0</v>
      </c>
      <c r="IE408" s="32">
        <f t="shared" ca="1" si="502"/>
        <v>0</v>
      </c>
      <c r="IF408" s="32">
        <f t="shared" ca="1" si="502"/>
        <v>0</v>
      </c>
      <c r="IG408" s="32">
        <f t="shared" ca="1" si="502"/>
        <v>0</v>
      </c>
      <c r="IH408" s="32">
        <f t="shared" ca="1" si="502"/>
        <v>0</v>
      </c>
      <c r="II408" s="32">
        <f t="shared" ca="1" si="502"/>
        <v>0</v>
      </c>
      <c r="IJ408" s="32">
        <f t="shared" ca="1" si="502"/>
        <v>0</v>
      </c>
      <c r="IK408" s="32">
        <f t="shared" ca="1" si="502"/>
        <v>0</v>
      </c>
    </row>
    <row r="409" spans="3:245" hidden="1" x14ac:dyDescent="0.35">
      <c r="C409" s="627" t="s">
        <v>1631</v>
      </c>
      <c r="H409" s="32">
        <f ca="1">IF(H407=H406,1,0)</f>
        <v>1</v>
      </c>
      <c r="I409" s="32">
        <f t="shared" ref="I409:BT409" ca="1" si="503">IF(I407=I406,1,0)</f>
        <v>1</v>
      </c>
      <c r="J409" s="32">
        <f t="shared" ca="1" si="503"/>
        <v>1</v>
      </c>
      <c r="K409" s="32">
        <f t="shared" ca="1" si="503"/>
        <v>1</v>
      </c>
      <c r="L409" s="32">
        <f t="shared" ca="1" si="503"/>
        <v>1</v>
      </c>
      <c r="M409" s="32">
        <f t="shared" ca="1" si="503"/>
        <v>1</v>
      </c>
      <c r="N409" s="32">
        <f t="shared" ca="1" si="503"/>
        <v>1</v>
      </c>
      <c r="O409" s="32">
        <f t="shared" ca="1" si="503"/>
        <v>1</v>
      </c>
      <c r="P409" s="32">
        <f t="shared" ca="1" si="503"/>
        <v>1</v>
      </c>
      <c r="Q409" s="32">
        <f t="shared" ca="1" si="503"/>
        <v>1</v>
      </c>
      <c r="R409" s="32">
        <f t="shared" ca="1" si="503"/>
        <v>1</v>
      </c>
      <c r="S409" s="32">
        <f t="shared" ca="1" si="503"/>
        <v>1</v>
      </c>
      <c r="T409" s="32">
        <f t="shared" ca="1" si="503"/>
        <v>1</v>
      </c>
      <c r="U409" s="32">
        <f t="shared" ca="1" si="503"/>
        <v>1</v>
      </c>
      <c r="V409" s="32">
        <f t="shared" ca="1" si="503"/>
        <v>1</v>
      </c>
      <c r="W409" s="32">
        <f t="shared" ca="1" si="503"/>
        <v>1</v>
      </c>
      <c r="X409" s="32">
        <f t="shared" ca="1" si="503"/>
        <v>1</v>
      </c>
      <c r="Y409" s="32">
        <f t="shared" ca="1" si="503"/>
        <v>1</v>
      </c>
      <c r="Z409" s="32">
        <f t="shared" ca="1" si="503"/>
        <v>1</v>
      </c>
      <c r="AA409" s="32">
        <f t="shared" ca="1" si="503"/>
        <v>1</v>
      </c>
      <c r="AB409" s="32">
        <f t="shared" ca="1" si="503"/>
        <v>1</v>
      </c>
      <c r="AC409" s="32">
        <f t="shared" ca="1" si="503"/>
        <v>1</v>
      </c>
      <c r="AD409" s="32">
        <f t="shared" ca="1" si="503"/>
        <v>1</v>
      </c>
      <c r="AE409" s="32">
        <f t="shared" ca="1" si="503"/>
        <v>1</v>
      </c>
      <c r="AF409" s="32">
        <f t="shared" ca="1" si="503"/>
        <v>1</v>
      </c>
      <c r="AG409" s="32">
        <f t="shared" ca="1" si="503"/>
        <v>1</v>
      </c>
      <c r="AH409" s="32">
        <f t="shared" ca="1" si="503"/>
        <v>1</v>
      </c>
      <c r="AI409" s="32">
        <f t="shared" ca="1" si="503"/>
        <v>1</v>
      </c>
      <c r="AJ409" s="32">
        <f t="shared" ca="1" si="503"/>
        <v>1</v>
      </c>
      <c r="AK409" s="32">
        <f t="shared" ca="1" si="503"/>
        <v>1</v>
      </c>
      <c r="AL409" s="32">
        <f t="shared" ca="1" si="503"/>
        <v>1</v>
      </c>
      <c r="AM409" s="32">
        <f t="shared" ca="1" si="503"/>
        <v>1</v>
      </c>
      <c r="AN409" s="32">
        <f t="shared" ca="1" si="503"/>
        <v>1</v>
      </c>
      <c r="AO409" s="32">
        <f t="shared" ca="1" si="503"/>
        <v>1</v>
      </c>
      <c r="AP409" s="32">
        <f t="shared" ca="1" si="503"/>
        <v>1</v>
      </c>
      <c r="AQ409" s="32">
        <f t="shared" ca="1" si="503"/>
        <v>1</v>
      </c>
      <c r="AR409" s="32">
        <f t="shared" ca="1" si="503"/>
        <v>1</v>
      </c>
      <c r="AS409" s="32">
        <f t="shared" ca="1" si="503"/>
        <v>1</v>
      </c>
      <c r="AT409" s="32">
        <f t="shared" ca="1" si="503"/>
        <v>1</v>
      </c>
      <c r="AU409" s="32">
        <f t="shared" ca="1" si="503"/>
        <v>1</v>
      </c>
      <c r="AV409" s="32">
        <f t="shared" ca="1" si="503"/>
        <v>1</v>
      </c>
      <c r="AW409" s="32">
        <f t="shared" ca="1" si="503"/>
        <v>1</v>
      </c>
      <c r="AX409" s="32">
        <f t="shared" ca="1" si="503"/>
        <v>1</v>
      </c>
      <c r="AY409" s="32">
        <f t="shared" ca="1" si="503"/>
        <v>1</v>
      </c>
      <c r="AZ409" s="32">
        <f t="shared" ca="1" si="503"/>
        <v>1</v>
      </c>
      <c r="BA409" s="32">
        <f t="shared" ca="1" si="503"/>
        <v>1</v>
      </c>
      <c r="BB409" s="32">
        <f t="shared" ca="1" si="503"/>
        <v>1</v>
      </c>
      <c r="BC409" s="32">
        <f t="shared" ca="1" si="503"/>
        <v>1</v>
      </c>
      <c r="BD409" s="32">
        <f t="shared" ca="1" si="503"/>
        <v>1</v>
      </c>
      <c r="BE409" s="32">
        <f t="shared" ca="1" si="503"/>
        <v>1</v>
      </c>
      <c r="BF409" s="32">
        <f t="shared" ca="1" si="503"/>
        <v>1</v>
      </c>
      <c r="BG409" s="32">
        <f t="shared" ca="1" si="503"/>
        <v>1</v>
      </c>
      <c r="BH409" s="32">
        <f t="shared" ca="1" si="503"/>
        <v>1</v>
      </c>
      <c r="BI409" s="32">
        <f t="shared" ca="1" si="503"/>
        <v>1</v>
      </c>
      <c r="BJ409" s="32">
        <f t="shared" ca="1" si="503"/>
        <v>1</v>
      </c>
      <c r="BK409" s="32">
        <f t="shared" ca="1" si="503"/>
        <v>1</v>
      </c>
      <c r="BL409" s="32">
        <f t="shared" ca="1" si="503"/>
        <v>1</v>
      </c>
      <c r="BM409" s="32">
        <f t="shared" ca="1" si="503"/>
        <v>1</v>
      </c>
      <c r="BN409" s="32">
        <f t="shared" ca="1" si="503"/>
        <v>1</v>
      </c>
      <c r="BO409" s="32">
        <f t="shared" ca="1" si="503"/>
        <v>1</v>
      </c>
      <c r="BP409" s="32">
        <f t="shared" ca="1" si="503"/>
        <v>1</v>
      </c>
      <c r="BQ409" s="32">
        <f t="shared" ca="1" si="503"/>
        <v>1</v>
      </c>
      <c r="BR409" s="32">
        <f t="shared" ca="1" si="503"/>
        <v>1</v>
      </c>
      <c r="BS409" s="32">
        <f t="shared" ca="1" si="503"/>
        <v>1</v>
      </c>
      <c r="BT409" s="32">
        <f t="shared" ca="1" si="503"/>
        <v>1</v>
      </c>
      <c r="BU409" s="32">
        <f t="shared" ref="BU409:EF409" ca="1" si="504">IF(BU407=BU406,1,0)</f>
        <v>1</v>
      </c>
      <c r="BV409" s="32">
        <f t="shared" ca="1" si="504"/>
        <v>1</v>
      </c>
      <c r="BW409" s="32">
        <f t="shared" ca="1" si="504"/>
        <v>1</v>
      </c>
      <c r="BX409" s="32">
        <f t="shared" ca="1" si="504"/>
        <v>1</v>
      </c>
      <c r="BY409" s="32">
        <f t="shared" ca="1" si="504"/>
        <v>1</v>
      </c>
      <c r="BZ409" s="32">
        <f t="shared" ca="1" si="504"/>
        <v>1</v>
      </c>
      <c r="CA409" s="32">
        <f t="shared" ca="1" si="504"/>
        <v>1</v>
      </c>
      <c r="CB409" s="32">
        <f t="shared" ca="1" si="504"/>
        <v>1</v>
      </c>
      <c r="CC409" s="32">
        <f t="shared" ca="1" si="504"/>
        <v>1</v>
      </c>
      <c r="CD409" s="32">
        <f t="shared" ca="1" si="504"/>
        <v>1</v>
      </c>
      <c r="CE409" s="32">
        <f t="shared" ca="1" si="504"/>
        <v>1</v>
      </c>
      <c r="CF409" s="32">
        <f t="shared" ca="1" si="504"/>
        <v>1</v>
      </c>
      <c r="CG409" s="32">
        <f t="shared" ca="1" si="504"/>
        <v>1</v>
      </c>
      <c r="CH409" s="32">
        <f t="shared" ca="1" si="504"/>
        <v>1</v>
      </c>
      <c r="CI409" s="32">
        <f t="shared" ca="1" si="504"/>
        <v>1</v>
      </c>
      <c r="CJ409" s="32">
        <f t="shared" ca="1" si="504"/>
        <v>1</v>
      </c>
      <c r="CK409" s="32">
        <f t="shared" ca="1" si="504"/>
        <v>1</v>
      </c>
      <c r="CL409" s="32">
        <f t="shared" ca="1" si="504"/>
        <v>1</v>
      </c>
      <c r="CM409" s="32">
        <f t="shared" ca="1" si="504"/>
        <v>1</v>
      </c>
      <c r="CN409" s="32">
        <f t="shared" ca="1" si="504"/>
        <v>1</v>
      </c>
      <c r="CO409" s="32">
        <f t="shared" ca="1" si="504"/>
        <v>1</v>
      </c>
      <c r="CP409" s="32">
        <f t="shared" ca="1" si="504"/>
        <v>1</v>
      </c>
      <c r="CQ409" s="32">
        <f t="shared" ca="1" si="504"/>
        <v>1</v>
      </c>
      <c r="CR409" s="32">
        <f t="shared" ca="1" si="504"/>
        <v>1</v>
      </c>
      <c r="CS409" s="32">
        <f t="shared" ca="1" si="504"/>
        <v>1</v>
      </c>
      <c r="CT409" s="32">
        <f t="shared" ca="1" si="504"/>
        <v>1</v>
      </c>
      <c r="CU409" s="32">
        <f t="shared" ca="1" si="504"/>
        <v>1</v>
      </c>
      <c r="CV409" s="32">
        <f t="shared" ca="1" si="504"/>
        <v>1</v>
      </c>
      <c r="CW409" s="32">
        <f t="shared" ca="1" si="504"/>
        <v>1</v>
      </c>
      <c r="CX409" s="32">
        <f t="shared" ca="1" si="504"/>
        <v>1</v>
      </c>
      <c r="CY409" s="32">
        <f t="shared" ca="1" si="504"/>
        <v>1</v>
      </c>
      <c r="CZ409" s="32">
        <f t="shared" ca="1" si="504"/>
        <v>1</v>
      </c>
      <c r="DA409" s="32">
        <f t="shared" ca="1" si="504"/>
        <v>1</v>
      </c>
      <c r="DB409" s="32">
        <f t="shared" ca="1" si="504"/>
        <v>1</v>
      </c>
      <c r="DC409" s="32">
        <f t="shared" ca="1" si="504"/>
        <v>1</v>
      </c>
      <c r="DD409" s="32">
        <f t="shared" ca="1" si="504"/>
        <v>1</v>
      </c>
      <c r="DE409" s="32">
        <f t="shared" ca="1" si="504"/>
        <v>1</v>
      </c>
      <c r="DF409" s="32">
        <f t="shared" ca="1" si="504"/>
        <v>1</v>
      </c>
      <c r="DG409" s="32">
        <f t="shared" ca="1" si="504"/>
        <v>1</v>
      </c>
      <c r="DH409" s="32">
        <f t="shared" ca="1" si="504"/>
        <v>1</v>
      </c>
      <c r="DI409" s="32">
        <f t="shared" ca="1" si="504"/>
        <v>1</v>
      </c>
      <c r="DJ409" s="32">
        <f t="shared" ca="1" si="504"/>
        <v>1</v>
      </c>
      <c r="DK409" s="32">
        <f t="shared" ca="1" si="504"/>
        <v>1</v>
      </c>
      <c r="DL409" s="32">
        <f t="shared" ca="1" si="504"/>
        <v>1</v>
      </c>
      <c r="DM409" s="32">
        <f t="shared" ca="1" si="504"/>
        <v>1</v>
      </c>
      <c r="DN409" s="32">
        <f t="shared" ca="1" si="504"/>
        <v>1</v>
      </c>
      <c r="DO409" s="32">
        <f t="shared" ca="1" si="504"/>
        <v>1</v>
      </c>
      <c r="DP409" s="32">
        <f t="shared" ca="1" si="504"/>
        <v>1</v>
      </c>
      <c r="DQ409" s="32">
        <f t="shared" ca="1" si="504"/>
        <v>1</v>
      </c>
      <c r="DR409" s="32">
        <f t="shared" ca="1" si="504"/>
        <v>1</v>
      </c>
      <c r="DS409" s="32">
        <f t="shared" ca="1" si="504"/>
        <v>1</v>
      </c>
      <c r="DT409" s="32">
        <f t="shared" ca="1" si="504"/>
        <v>1</v>
      </c>
      <c r="DU409" s="32">
        <f t="shared" ca="1" si="504"/>
        <v>1</v>
      </c>
      <c r="DV409" s="32">
        <f t="shared" ca="1" si="504"/>
        <v>1</v>
      </c>
      <c r="DW409" s="32">
        <f t="shared" ca="1" si="504"/>
        <v>1</v>
      </c>
      <c r="DX409" s="32">
        <f t="shared" ca="1" si="504"/>
        <v>1</v>
      </c>
      <c r="DY409" s="32">
        <f t="shared" ca="1" si="504"/>
        <v>1</v>
      </c>
      <c r="DZ409" s="32">
        <f t="shared" ca="1" si="504"/>
        <v>1</v>
      </c>
      <c r="EA409" s="32">
        <f t="shared" ca="1" si="504"/>
        <v>1</v>
      </c>
      <c r="EB409" s="32">
        <f t="shared" ca="1" si="504"/>
        <v>1</v>
      </c>
      <c r="EC409" s="32">
        <f t="shared" ca="1" si="504"/>
        <v>1</v>
      </c>
      <c r="ED409" s="32">
        <f t="shared" ca="1" si="504"/>
        <v>1</v>
      </c>
      <c r="EE409" s="32">
        <f t="shared" ca="1" si="504"/>
        <v>1</v>
      </c>
      <c r="EF409" s="32">
        <f t="shared" ca="1" si="504"/>
        <v>1</v>
      </c>
      <c r="EG409" s="32">
        <f t="shared" ref="EG409:GR409" ca="1" si="505">IF(EG407=EG406,1,0)</f>
        <v>1</v>
      </c>
      <c r="EH409" s="32">
        <f t="shared" ca="1" si="505"/>
        <v>1</v>
      </c>
      <c r="EI409" s="32">
        <f t="shared" ca="1" si="505"/>
        <v>1</v>
      </c>
      <c r="EJ409" s="32">
        <f t="shared" ca="1" si="505"/>
        <v>1</v>
      </c>
      <c r="EK409" s="32">
        <f t="shared" ca="1" si="505"/>
        <v>1</v>
      </c>
      <c r="EL409" s="32">
        <f t="shared" ca="1" si="505"/>
        <v>1</v>
      </c>
      <c r="EM409" s="32">
        <f t="shared" ca="1" si="505"/>
        <v>1</v>
      </c>
      <c r="EN409" s="32">
        <f t="shared" ca="1" si="505"/>
        <v>1</v>
      </c>
      <c r="EO409" s="32">
        <f t="shared" ca="1" si="505"/>
        <v>1</v>
      </c>
      <c r="EP409" s="32">
        <f t="shared" ca="1" si="505"/>
        <v>1</v>
      </c>
      <c r="EQ409" s="32">
        <f t="shared" ca="1" si="505"/>
        <v>1</v>
      </c>
      <c r="ER409" s="32">
        <f t="shared" ca="1" si="505"/>
        <v>1</v>
      </c>
      <c r="ES409" s="32">
        <f t="shared" ca="1" si="505"/>
        <v>1</v>
      </c>
      <c r="ET409" s="32">
        <f t="shared" ca="1" si="505"/>
        <v>1</v>
      </c>
      <c r="EU409" s="32">
        <f t="shared" ca="1" si="505"/>
        <v>1</v>
      </c>
      <c r="EV409" s="32">
        <f t="shared" ca="1" si="505"/>
        <v>1</v>
      </c>
      <c r="EW409" s="32">
        <f t="shared" ca="1" si="505"/>
        <v>1</v>
      </c>
      <c r="EX409" s="32">
        <f t="shared" ca="1" si="505"/>
        <v>1</v>
      </c>
      <c r="EY409" s="32">
        <f t="shared" ca="1" si="505"/>
        <v>1</v>
      </c>
      <c r="EZ409" s="32">
        <f t="shared" ca="1" si="505"/>
        <v>1</v>
      </c>
      <c r="FA409" s="32">
        <f t="shared" ca="1" si="505"/>
        <v>1</v>
      </c>
      <c r="FB409" s="32">
        <f t="shared" ca="1" si="505"/>
        <v>1</v>
      </c>
      <c r="FC409" s="32">
        <f t="shared" ca="1" si="505"/>
        <v>1</v>
      </c>
      <c r="FD409" s="32">
        <f t="shared" ca="1" si="505"/>
        <v>1</v>
      </c>
      <c r="FE409" s="32">
        <f t="shared" ca="1" si="505"/>
        <v>1</v>
      </c>
      <c r="FF409" s="32">
        <f t="shared" ca="1" si="505"/>
        <v>1</v>
      </c>
      <c r="FG409" s="32">
        <f t="shared" ca="1" si="505"/>
        <v>1</v>
      </c>
      <c r="FH409" s="32">
        <f t="shared" ca="1" si="505"/>
        <v>1</v>
      </c>
      <c r="FI409" s="32">
        <f t="shared" ca="1" si="505"/>
        <v>1</v>
      </c>
      <c r="FJ409" s="32">
        <f t="shared" ca="1" si="505"/>
        <v>1</v>
      </c>
      <c r="FK409" s="32">
        <f t="shared" ca="1" si="505"/>
        <v>1</v>
      </c>
      <c r="FL409" s="32">
        <f t="shared" ca="1" si="505"/>
        <v>1</v>
      </c>
      <c r="FM409" s="32">
        <f t="shared" ca="1" si="505"/>
        <v>1</v>
      </c>
      <c r="FN409" s="32">
        <f t="shared" ca="1" si="505"/>
        <v>1</v>
      </c>
      <c r="FO409" s="32">
        <f t="shared" ca="1" si="505"/>
        <v>1</v>
      </c>
      <c r="FP409" s="32">
        <f t="shared" ca="1" si="505"/>
        <v>1</v>
      </c>
      <c r="FQ409" s="32">
        <f t="shared" ca="1" si="505"/>
        <v>1</v>
      </c>
      <c r="FR409" s="32">
        <f t="shared" ca="1" si="505"/>
        <v>1</v>
      </c>
      <c r="FS409" s="32">
        <f t="shared" ca="1" si="505"/>
        <v>1</v>
      </c>
      <c r="FT409" s="32">
        <f t="shared" ca="1" si="505"/>
        <v>1</v>
      </c>
      <c r="FU409" s="32">
        <f t="shared" ca="1" si="505"/>
        <v>1</v>
      </c>
      <c r="FV409" s="32">
        <f t="shared" ca="1" si="505"/>
        <v>1</v>
      </c>
      <c r="FW409" s="32">
        <f t="shared" ca="1" si="505"/>
        <v>1</v>
      </c>
      <c r="FX409" s="32">
        <f t="shared" ca="1" si="505"/>
        <v>1</v>
      </c>
      <c r="FY409" s="32">
        <f t="shared" ca="1" si="505"/>
        <v>1</v>
      </c>
      <c r="FZ409" s="32">
        <f t="shared" ca="1" si="505"/>
        <v>1</v>
      </c>
      <c r="GA409" s="32">
        <f t="shared" ca="1" si="505"/>
        <v>1</v>
      </c>
      <c r="GB409" s="32">
        <f t="shared" ca="1" si="505"/>
        <v>1</v>
      </c>
      <c r="GC409" s="32">
        <f t="shared" ca="1" si="505"/>
        <v>1</v>
      </c>
      <c r="GD409" s="32">
        <f t="shared" ca="1" si="505"/>
        <v>1</v>
      </c>
      <c r="GE409" s="32">
        <f t="shared" ca="1" si="505"/>
        <v>1</v>
      </c>
      <c r="GF409" s="32">
        <f t="shared" ca="1" si="505"/>
        <v>1</v>
      </c>
      <c r="GG409" s="32">
        <f t="shared" ca="1" si="505"/>
        <v>1</v>
      </c>
      <c r="GH409" s="32">
        <f t="shared" ca="1" si="505"/>
        <v>1</v>
      </c>
      <c r="GI409" s="32">
        <f t="shared" ca="1" si="505"/>
        <v>1</v>
      </c>
      <c r="GJ409" s="32">
        <f t="shared" ca="1" si="505"/>
        <v>1</v>
      </c>
      <c r="GK409" s="32">
        <f t="shared" ca="1" si="505"/>
        <v>1</v>
      </c>
      <c r="GL409" s="32">
        <f t="shared" ca="1" si="505"/>
        <v>1</v>
      </c>
      <c r="GM409" s="32">
        <f t="shared" ca="1" si="505"/>
        <v>1</v>
      </c>
      <c r="GN409" s="32">
        <f t="shared" ca="1" si="505"/>
        <v>1</v>
      </c>
      <c r="GO409" s="32">
        <f t="shared" ca="1" si="505"/>
        <v>1</v>
      </c>
      <c r="GP409" s="32">
        <f t="shared" ca="1" si="505"/>
        <v>1</v>
      </c>
      <c r="GQ409" s="32">
        <f t="shared" ca="1" si="505"/>
        <v>1</v>
      </c>
      <c r="GR409" s="32">
        <f t="shared" ca="1" si="505"/>
        <v>1</v>
      </c>
      <c r="GS409" s="32">
        <f t="shared" ref="GS409:IK409" ca="1" si="506">IF(GS407=GS406,1,0)</f>
        <v>1</v>
      </c>
      <c r="GT409" s="32">
        <f t="shared" ca="1" si="506"/>
        <v>1</v>
      </c>
      <c r="GU409" s="32">
        <f t="shared" ca="1" si="506"/>
        <v>1</v>
      </c>
      <c r="GV409" s="32">
        <f t="shared" ca="1" si="506"/>
        <v>1</v>
      </c>
      <c r="GW409" s="32">
        <f t="shared" ca="1" si="506"/>
        <v>1</v>
      </c>
      <c r="GX409" s="32">
        <f t="shared" ca="1" si="506"/>
        <v>1</v>
      </c>
      <c r="GY409" s="32">
        <f t="shared" ca="1" si="506"/>
        <v>1</v>
      </c>
      <c r="GZ409" s="32">
        <f t="shared" ca="1" si="506"/>
        <v>1</v>
      </c>
      <c r="HA409" s="32">
        <f t="shared" ca="1" si="506"/>
        <v>1</v>
      </c>
      <c r="HB409" s="32">
        <f t="shared" ca="1" si="506"/>
        <v>1</v>
      </c>
      <c r="HC409" s="32">
        <f t="shared" ca="1" si="506"/>
        <v>1</v>
      </c>
      <c r="HD409" s="32">
        <f t="shared" ca="1" si="506"/>
        <v>1</v>
      </c>
      <c r="HE409" s="32">
        <f t="shared" ca="1" si="506"/>
        <v>1</v>
      </c>
      <c r="HF409" s="32">
        <f t="shared" ca="1" si="506"/>
        <v>1</v>
      </c>
      <c r="HG409" s="32">
        <f t="shared" ca="1" si="506"/>
        <v>1</v>
      </c>
      <c r="HH409" s="32">
        <f t="shared" ca="1" si="506"/>
        <v>1</v>
      </c>
      <c r="HI409" s="32">
        <f t="shared" ca="1" si="506"/>
        <v>1</v>
      </c>
      <c r="HJ409" s="32">
        <f t="shared" ca="1" si="506"/>
        <v>1</v>
      </c>
      <c r="HK409" s="32">
        <f t="shared" ca="1" si="506"/>
        <v>1</v>
      </c>
      <c r="HL409" s="32">
        <f t="shared" ca="1" si="506"/>
        <v>1</v>
      </c>
      <c r="HM409" s="32">
        <f t="shared" ca="1" si="506"/>
        <v>1</v>
      </c>
      <c r="HN409" s="32">
        <f t="shared" ca="1" si="506"/>
        <v>1</v>
      </c>
      <c r="HO409" s="32">
        <f t="shared" ca="1" si="506"/>
        <v>1</v>
      </c>
      <c r="HP409" s="32">
        <f t="shared" ca="1" si="506"/>
        <v>1</v>
      </c>
      <c r="HQ409" s="32">
        <f t="shared" ca="1" si="506"/>
        <v>1</v>
      </c>
      <c r="HR409" s="32">
        <f t="shared" ca="1" si="506"/>
        <v>1</v>
      </c>
      <c r="HS409" s="32">
        <f t="shared" ca="1" si="506"/>
        <v>1</v>
      </c>
      <c r="HT409" s="32">
        <f t="shared" ca="1" si="506"/>
        <v>1</v>
      </c>
      <c r="HU409" s="32">
        <f t="shared" ca="1" si="506"/>
        <v>1</v>
      </c>
      <c r="HV409" s="32">
        <f t="shared" ca="1" si="506"/>
        <v>1</v>
      </c>
      <c r="HW409" s="32">
        <f t="shared" ca="1" si="506"/>
        <v>1</v>
      </c>
      <c r="HX409" s="32">
        <f t="shared" ca="1" si="506"/>
        <v>1</v>
      </c>
      <c r="HY409" s="32">
        <f t="shared" ca="1" si="506"/>
        <v>1</v>
      </c>
      <c r="HZ409" s="32">
        <f t="shared" ca="1" si="506"/>
        <v>1</v>
      </c>
      <c r="IA409" s="32">
        <f t="shared" ca="1" si="506"/>
        <v>1</v>
      </c>
      <c r="IB409" s="32">
        <f t="shared" ca="1" si="506"/>
        <v>1</v>
      </c>
      <c r="IC409" s="32">
        <f t="shared" ca="1" si="506"/>
        <v>1</v>
      </c>
      <c r="ID409" s="32">
        <f t="shared" ca="1" si="506"/>
        <v>1</v>
      </c>
      <c r="IE409" s="32">
        <f t="shared" ca="1" si="506"/>
        <v>1</v>
      </c>
      <c r="IF409" s="32">
        <f t="shared" ca="1" si="506"/>
        <v>1</v>
      </c>
      <c r="IG409" s="32">
        <f t="shared" ca="1" si="506"/>
        <v>1</v>
      </c>
      <c r="IH409" s="32">
        <f t="shared" ca="1" si="506"/>
        <v>1</v>
      </c>
      <c r="II409" s="32">
        <f t="shared" ca="1" si="506"/>
        <v>1</v>
      </c>
      <c r="IJ409" s="32">
        <f t="shared" ca="1" si="506"/>
        <v>1</v>
      </c>
      <c r="IK409" s="32">
        <f t="shared" ca="1" si="506"/>
        <v>1</v>
      </c>
    </row>
    <row r="410" spans="3:245" hidden="1" x14ac:dyDescent="0.35">
      <c r="H410" s="348">
        <v>1</v>
      </c>
      <c r="I410" s="348">
        <v>2</v>
      </c>
      <c r="J410" s="348">
        <v>3</v>
      </c>
      <c r="K410" s="348">
        <v>4</v>
      </c>
      <c r="L410" s="348">
        <v>5</v>
      </c>
      <c r="M410" s="348">
        <v>6</v>
      </c>
      <c r="N410" s="348">
        <v>7</v>
      </c>
      <c r="O410" s="348">
        <v>8</v>
      </c>
      <c r="P410" s="348">
        <v>9</v>
      </c>
      <c r="Q410" s="348">
        <v>10</v>
      </c>
      <c r="R410" s="348">
        <v>11</v>
      </c>
      <c r="S410" s="348">
        <v>12</v>
      </c>
      <c r="T410" s="348">
        <v>13</v>
      </c>
      <c r="U410" s="348">
        <v>14</v>
      </c>
      <c r="V410" s="348">
        <v>15</v>
      </c>
      <c r="W410" s="348">
        <v>16</v>
      </c>
      <c r="X410" s="348">
        <v>17</v>
      </c>
      <c r="Y410" s="348">
        <v>18</v>
      </c>
      <c r="Z410" s="348">
        <v>19</v>
      </c>
      <c r="AA410" s="348">
        <v>20</v>
      </c>
      <c r="AB410" s="348">
        <v>21</v>
      </c>
      <c r="AC410" s="348">
        <v>22</v>
      </c>
      <c r="AD410" s="348">
        <v>23</v>
      </c>
      <c r="AE410" s="348">
        <v>24</v>
      </c>
      <c r="AF410" s="348">
        <v>25</v>
      </c>
      <c r="AG410" s="348">
        <v>26</v>
      </c>
      <c r="AH410" s="348">
        <v>27</v>
      </c>
      <c r="AI410" s="348">
        <v>28</v>
      </c>
      <c r="AJ410" s="348">
        <v>29</v>
      </c>
      <c r="AK410" s="348">
        <v>30</v>
      </c>
      <c r="AL410" s="348">
        <v>31</v>
      </c>
      <c r="AM410" s="348">
        <v>32</v>
      </c>
      <c r="AN410" s="348">
        <v>33</v>
      </c>
      <c r="AO410" s="348">
        <v>34</v>
      </c>
      <c r="AP410" s="348">
        <v>35</v>
      </c>
      <c r="AQ410" s="348">
        <v>36</v>
      </c>
      <c r="AR410" s="348">
        <v>37</v>
      </c>
      <c r="AS410" s="348">
        <v>38</v>
      </c>
      <c r="AT410" s="348">
        <v>39</v>
      </c>
      <c r="AU410" s="348">
        <v>40</v>
      </c>
      <c r="AV410" s="348">
        <v>41</v>
      </c>
      <c r="AW410" s="348">
        <v>42</v>
      </c>
      <c r="AX410" s="348">
        <v>43</v>
      </c>
      <c r="AY410" s="348">
        <v>44</v>
      </c>
      <c r="AZ410" s="348">
        <v>45</v>
      </c>
      <c r="BA410" s="348">
        <v>46</v>
      </c>
      <c r="BB410" s="348">
        <v>47</v>
      </c>
      <c r="BC410" s="348">
        <v>48</v>
      </c>
      <c r="BD410" s="348">
        <v>49</v>
      </c>
      <c r="BE410" s="348">
        <v>50</v>
      </c>
      <c r="BF410" s="348">
        <v>51</v>
      </c>
      <c r="BG410" s="348">
        <v>52</v>
      </c>
      <c r="BH410" s="348">
        <v>53</v>
      </c>
      <c r="BI410" s="348">
        <v>54</v>
      </c>
      <c r="BJ410" s="348">
        <v>55</v>
      </c>
      <c r="BK410" s="348">
        <v>56</v>
      </c>
      <c r="BL410" s="348">
        <v>57</v>
      </c>
      <c r="BM410" s="348">
        <v>58</v>
      </c>
      <c r="BN410" s="348">
        <v>59</v>
      </c>
      <c r="BO410" s="348">
        <v>60</v>
      </c>
      <c r="BP410" s="348">
        <v>61</v>
      </c>
      <c r="BQ410" s="348">
        <v>62</v>
      </c>
      <c r="BR410" s="348">
        <v>63</v>
      </c>
      <c r="BS410" s="348">
        <v>64</v>
      </c>
      <c r="BT410" s="348">
        <v>65</v>
      </c>
      <c r="BU410" s="348">
        <v>66</v>
      </c>
      <c r="BV410" s="348">
        <v>67</v>
      </c>
      <c r="BW410" s="348">
        <v>68</v>
      </c>
      <c r="BX410" s="348">
        <v>69</v>
      </c>
      <c r="BY410" s="348">
        <v>70</v>
      </c>
      <c r="BZ410" s="348">
        <v>71</v>
      </c>
      <c r="CA410" s="348">
        <v>72</v>
      </c>
      <c r="CB410" s="348">
        <v>73</v>
      </c>
      <c r="CC410" s="348">
        <v>74</v>
      </c>
      <c r="CD410" s="348">
        <v>75</v>
      </c>
      <c r="CE410" s="348">
        <v>76</v>
      </c>
      <c r="CF410" s="348">
        <v>77</v>
      </c>
      <c r="CG410" s="348">
        <v>78</v>
      </c>
      <c r="CH410" s="348">
        <v>79</v>
      </c>
      <c r="CI410" s="348">
        <v>80</v>
      </c>
      <c r="CJ410" s="348">
        <v>81</v>
      </c>
      <c r="CK410" s="348">
        <v>82</v>
      </c>
      <c r="CL410" s="348">
        <v>83</v>
      </c>
      <c r="CM410" s="348">
        <v>84</v>
      </c>
      <c r="CN410" s="348">
        <v>85</v>
      </c>
      <c r="CO410" s="348">
        <v>86</v>
      </c>
      <c r="CP410" s="348">
        <v>87</v>
      </c>
      <c r="CQ410" s="348">
        <v>88</v>
      </c>
      <c r="CR410" s="348">
        <v>89</v>
      </c>
      <c r="CS410" s="348">
        <v>90</v>
      </c>
      <c r="CT410" s="348">
        <v>91</v>
      </c>
      <c r="CU410" s="348">
        <v>92</v>
      </c>
      <c r="CV410" s="348">
        <v>93</v>
      </c>
      <c r="CW410" s="348">
        <v>94</v>
      </c>
      <c r="CX410" s="348">
        <v>95</v>
      </c>
      <c r="CY410" s="348">
        <v>96</v>
      </c>
      <c r="CZ410" s="348">
        <v>97</v>
      </c>
      <c r="DA410" s="348">
        <v>98</v>
      </c>
      <c r="DB410" s="348">
        <v>99</v>
      </c>
      <c r="DC410" s="348">
        <v>100</v>
      </c>
      <c r="DD410" s="348">
        <v>101</v>
      </c>
      <c r="DE410" s="348">
        <v>102</v>
      </c>
      <c r="DF410" s="348">
        <v>103</v>
      </c>
      <c r="DG410" s="348">
        <v>104</v>
      </c>
      <c r="DH410" s="348">
        <v>105</v>
      </c>
      <c r="DI410" s="348">
        <v>106</v>
      </c>
      <c r="DJ410" s="348">
        <v>107</v>
      </c>
      <c r="DK410" s="348">
        <v>108</v>
      </c>
      <c r="DL410" s="348">
        <v>109</v>
      </c>
      <c r="DM410" s="348">
        <v>110</v>
      </c>
      <c r="DN410" s="348">
        <v>111</v>
      </c>
      <c r="DO410" s="348">
        <v>112</v>
      </c>
      <c r="DP410" s="348">
        <v>113</v>
      </c>
      <c r="DQ410" s="348">
        <v>114</v>
      </c>
      <c r="DR410" s="348">
        <v>115</v>
      </c>
      <c r="DS410" s="348">
        <v>116</v>
      </c>
      <c r="DT410" s="348">
        <v>117</v>
      </c>
      <c r="DU410" s="348">
        <v>118</v>
      </c>
      <c r="DV410" s="348">
        <v>119</v>
      </c>
      <c r="DW410" s="348">
        <v>120</v>
      </c>
      <c r="DX410" s="348">
        <v>121</v>
      </c>
      <c r="DY410" s="348">
        <v>122</v>
      </c>
      <c r="DZ410" s="348">
        <v>123</v>
      </c>
      <c r="EA410" s="348">
        <v>124</v>
      </c>
      <c r="EB410" s="348">
        <v>125</v>
      </c>
      <c r="EC410" s="348">
        <v>126</v>
      </c>
      <c r="ED410" s="348">
        <v>127</v>
      </c>
      <c r="EE410" s="348">
        <v>128</v>
      </c>
      <c r="EF410" s="348">
        <v>129</v>
      </c>
      <c r="EG410" s="348">
        <v>130</v>
      </c>
      <c r="EH410" s="348">
        <v>131</v>
      </c>
      <c r="EI410" s="348">
        <v>132</v>
      </c>
      <c r="EJ410" s="348">
        <v>133</v>
      </c>
      <c r="EK410" s="348">
        <v>134</v>
      </c>
      <c r="EL410" s="348">
        <v>135</v>
      </c>
      <c r="EM410" s="348">
        <v>136</v>
      </c>
      <c r="EN410" s="348">
        <v>137</v>
      </c>
      <c r="EO410" s="348">
        <v>138</v>
      </c>
      <c r="EP410" s="348">
        <v>139</v>
      </c>
      <c r="EQ410" s="348">
        <v>140</v>
      </c>
      <c r="ER410" s="348">
        <v>141</v>
      </c>
      <c r="ES410" s="348">
        <v>142</v>
      </c>
      <c r="ET410" s="348">
        <v>143</v>
      </c>
      <c r="EU410" s="348">
        <v>144</v>
      </c>
      <c r="EV410" s="348">
        <v>145</v>
      </c>
      <c r="EW410" s="348">
        <v>146</v>
      </c>
      <c r="EX410" s="348">
        <v>147</v>
      </c>
      <c r="EY410" s="348">
        <v>148</v>
      </c>
      <c r="EZ410" s="348">
        <v>149</v>
      </c>
      <c r="FA410" s="348">
        <v>150</v>
      </c>
      <c r="FB410" s="348">
        <v>151</v>
      </c>
      <c r="FC410" s="348">
        <v>152</v>
      </c>
      <c r="FD410" s="348">
        <v>153</v>
      </c>
      <c r="FE410" s="348">
        <v>154</v>
      </c>
      <c r="FF410" s="348">
        <v>155</v>
      </c>
      <c r="FG410" s="348">
        <v>156</v>
      </c>
      <c r="FH410" s="348">
        <v>157</v>
      </c>
      <c r="FI410" s="348">
        <v>158</v>
      </c>
      <c r="FJ410" s="348">
        <v>159</v>
      </c>
      <c r="FK410" s="348">
        <v>160</v>
      </c>
      <c r="FL410" s="348">
        <v>161</v>
      </c>
      <c r="FM410" s="348">
        <v>162</v>
      </c>
      <c r="FN410" s="348">
        <v>163</v>
      </c>
      <c r="FO410" s="348">
        <v>164</v>
      </c>
      <c r="FP410" s="348">
        <v>165</v>
      </c>
      <c r="FQ410" s="348">
        <v>166</v>
      </c>
      <c r="FR410" s="348">
        <v>167</v>
      </c>
      <c r="FS410" s="348">
        <v>168</v>
      </c>
      <c r="FT410" s="348">
        <v>169</v>
      </c>
      <c r="FU410" s="348">
        <v>170</v>
      </c>
      <c r="FV410" s="348">
        <v>171</v>
      </c>
      <c r="FW410" s="348">
        <v>172</v>
      </c>
      <c r="FX410" s="348">
        <v>173</v>
      </c>
      <c r="FY410" s="348">
        <v>174</v>
      </c>
      <c r="FZ410" s="348">
        <v>175</v>
      </c>
      <c r="GA410" s="348">
        <v>176</v>
      </c>
      <c r="GB410" s="348">
        <v>177</v>
      </c>
      <c r="GC410" s="348">
        <v>178</v>
      </c>
      <c r="GD410" s="348">
        <v>179</v>
      </c>
      <c r="GE410" s="348">
        <v>180</v>
      </c>
      <c r="GF410" s="348">
        <v>181</v>
      </c>
      <c r="GG410" s="348">
        <v>182</v>
      </c>
      <c r="GH410" s="348">
        <v>183</v>
      </c>
      <c r="GI410" s="348">
        <v>184</v>
      </c>
      <c r="GJ410" s="348">
        <v>185</v>
      </c>
      <c r="GK410" s="348">
        <v>186</v>
      </c>
      <c r="GL410" s="348">
        <v>187</v>
      </c>
      <c r="GM410" s="348">
        <v>188</v>
      </c>
      <c r="GN410" s="348">
        <v>189</v>
      </c>
      <c r="GO410" s="348">
        <v>190</v>
      </c>
      <c r="GP410" s="348">
        <v>191</v>
      </c>
      <c r="GQ410" s="348">
        <v>192</v>
      </c>
      <c r="GR410" s="348">
        <v>193</v>
      </c>
      <c r="GS410" s="348">
        <v>194</v>
      </c>
      <c r="GT410" s="348">
        <v>195</v>
      </c>
      <c r="GU410" s="348">
        <v>196</v>
      </c>
      <c r="GV410" s="348">
        <v>197</v>
      </c>
      <c r="GW410" s="348">
        <v>198</v>
      </c>
      <c r="GX410" s="348">
        <v>199</v>
      </c>
      <c r="GY410" s="348">
        <v>200</v>
      </c>
      <c r="GZ410" s="348">
        <v>201</v>
      </c>
      <c r="HA410" s="348">
        <v>202</v>
      </c>
      <c r="HB410" s="348">
        <v>203</v>
      </c>
      <c r="HC410" s="348">
        <v>204</v>
      </c>
      <c r="HD410" s="348">
        <v>205</v>
      </c>
      <c r="HE410" s="348">
        <v>206</v>
      </c>
      <c r="HF410" s="348">
        <v>207</v>
      </c>
      <c r="HG410" s="348">
        <v>208</v>
      </c>
      <c r="HH410" s="348">
        <v>209</v>
      </c>
      <c r="HI410" s="348">
        <v>210</v>
      </c>
      <c r="HJ410" s="348">
        <v>211</v>
      </c>
      <c r="HK410" s="348">
        <v>212</v>
      </c>
      <c r="HL410" s="348">
        <v>213</v>
      </c>
      <c r="HM410" s="348">
        <v>214</v>
      </c>
      <c r="HN410" s="348">
        <v>215</v>
      </c>
      <c r="HO410" s="348">
        <v>216</v>
      </c>
      <c r="HP410" s="348">
        <v>217</v>
      </c>
      <c r="HQ410" s="348">
        <v>218</v>
      </c>
      <c r="HR410" s="348">
        <v>219</v>
      </c>
      <c r="HS410" s="348">
        <v>220</v>
      </c>
      <c r="HT410" s="348">
        <v>221</v>
      </c>
      <c r="HU410" s="348">
        <v>222</v>
      </c>
      <c r="HV410" s="348">
        <v>223</v>
      </c>
      <c r="HW410" s="348">
        <v>224</v>
      </c>
      <c r="HX410" s="348">
        <v>225</v>
      </c>
      <c r="HY410" s="348">
        <v>226</v>
      </c>
      <c r="HZ410" s="348">
        <v>227</v>
      </c>
      <c r="IA410" s="348">
        <v>228</v>
      </c>
      <c r="IB410" s="348">
        <v>229</v>
      </c>
      <c r="IC410" s="348">
        <v>230</v>
      </c>
      <c r="ID410" s="348">
        <v>231</v>
      </c>
      <c r="IE410" s="348">
        <v>232</v>
      </c>
      <c r="IF410" s="348">
        <v>233</v>
      </c>
      <c r="IG410" s="348">
        <v>234</v>
      </c>
      <c r="IH410" s="348">
        <v>235</v>
      </c>
      <c r="II410" s="348">
        <v>236</v>
      </c>
      <c r="IJ410" s="348">
        <v>237</v>
      </c>
      <c r="IK410" s="348">
        <v>238</v>
      </c>
    </row>
    <row r="411" spans="3:245" hidden="1" x14ac:dyDescent="0.35">
      <c r="H411" s="348">
        <f ca="1">IF(H408=1,H410,5000)</f>
        <v>5000</v>
      </c>
      <c r="I411" s="348">
        <f t="shared" ref="I411" ca="1" si="507">IF(I408=1,I410,5000)</f>
        <v>5000</v>
      </c>
      <c r="J411" s="348">
        <f t="shared" ref="J411" ca="1" si="508">IF(J408=1,J410,5000)</f>
        <v>5000</v>
      </c>
      <c r="K411" s="348">
        <f t="shared" ref="K411" ca="1" si="509">IF(K408=1,K410,5000)</f>
        <v>5000</v>
      </c>
      <c r="L411" s="348">
        <f ca="1">IF(L408=1,L410,5000)</f>
        <v>5000</v>
      </c>
      <c r="M411" s="348">
        <f t="shared" ref="M411" ca="1" si="510">IF(M408=1,M410,5000)</f>
        <v>5000</v>
      </c>
      <c r="N411" s="348">
        <f t="shared" ref="N411" ca="1" si="511">IF(N408=1,N410,5000)</f>
        <v>5000</v>
      </c>
      <c r="O411" s="348">
        <f t="shared" ref="O411" ca="1" si="512">IF(O408=1,O410,5000)</f>
        <v>5000</v>
      </c>
      <c r="P411" s="348">
        <f t="shared" ref="P411" ca="1" si="513">IF(P408=1,P410,5000)</f>
        <v>5000</v>
      </c>
      <c r="Q411" s="348">
        <f t="shared" ref="Q411" ca="1" si="514">IF(Q408=1,Q410,5000)</f>
        <v>5000</v>
      </c>
      <c r="R411" s="348">
        <f t="shared" ref="R411" ca="1" si="515">IF(R408=1,R410,5000)</f>
        <v>5000</v>
      </c>
      <c r="S411" s="348">
        <f t="shared" ref="S411" ca="1" si="516">IF(S408=1,S410,5000)</f>
        <v>5000</v>
      </c>
      <c r="T411" s="348">
        <f t="shared" ref="T411" ca="1" si="517">IF(T408=1,T410,5000)</f>
        <v>5000</v>
      </c>
      <c r="U411" s="348">
        <f t="shared" ref="U411" ca="1" si="518">IF(U408=1,U410,5000)</f>
        <v>5000</v>
      </c>
      <c r="V411" s="348">
        <f t="shared" ref="V411" ca="1" si="519">IF(V408=1,V410,5000)</f>
        <v>5000</v>
      </c>
      <c r="W411" s="348">
        <f t="shared" ref="W411" ca="1" si="520">IF(W408=1,W410,5000)</f>
        <v>5000</v>
      </c>
      <c r="X411" s="348">
        <f t="shared" ref="X411" ca="1" si="521">IF(X408=1,X410,5000)</f>
        <v>5000</v>
      </c>
      <c r="Y411" s="348">
        <f t="shared" ref="Y411" ca="1" si="522">IF(Y408=1,Y410,5000)</f>
        <v>5000</v>
      </c>
      <c r="Z411" s="348">
        <f t="shared" ref="Z411" ca="1" si="523">IF(Z408=1,Z410,5000)</f>
        <v>5000</v>
      </c>
      <c r="AA411" s="348">
        <f t="shared" ref="AA411" ca="1" si="524">IF(AA408=1,AA410,5000)</f>
        <v>5000</v>
      </c>
      <c r="AB411" s="348">
        <f t="shared" ref="AB411" ca="1" si="525">IF(AB408=1,AB410,5000)</f>
        <v>5000</v>
      </c>
      <c r="AC411" s="348">
        <f t="shared" ref="AC411" ca="1" si="526">IF(AC408=1,AC410,5000)</f>
        <v>5000</v>
      </c>
      <c r="AD411" s="348">
        <f t="shared" ref="AD411" ca="1" si="527">IF(AD408=1,AD410,5000)</f>
        <v>5000</v>
      </c>
      <c r="AE411" s="348">
        <f t="shared" ref="AE411" ca="1" si="528">IF(AE408=1,AE410,5000)</f>
        <v>5000</v>
      </c>
      <c r="AF411" s="348">
        <f t="shared" ref="AF411" ca="1" si="529">IF(AF408=1,AF410,5000)</f>
        <v>5000</v>
      </c>
      <c r="AG411" s="348">
        <f t="shared" ref="AG411" ca="1" si="530">IF(AG408=1,AG410,5000)</f>
        <v>5000</v>
      </c>
      <c r="AH411" s="348">
        <f t="shared" ref="AH411" ca="1" si="531">IF(AH408=1,AH410,5000)</f>
        <v>5000</v>
      </c>
      <c r="AI411" s="348">
        <f t="shared" ref="AI411" ca="1" si="532">IF(AI408=1,AI410,5000)</f>
        <v>5000</v>
      </c>
      <c r="AJ411" s="348">
        <f t="shared" ref="AJ411" ca="1" si="533">IF(AJ408=1,AJ410,5000)</f>
        <v>5000</v>
      </c>
      <c r="AK411" s="348">
        <f t="shared" ref="AK411" ca="1" si="534">IF(AK408=1,AK410,5000)</f>
        <v>5000</v>
      </c>
      <c r="AL411" s="348">
        <f t="shared" ref="AL411" ca="1" si="535">IF(AL408=1,AL410,5000)</f>
        <v>5000</v>
      </c>
      <c r="AM411" s="348">
        <f t="shared" ref="AM411" ca="1" si="536">IF(AM408=1,AM410,5000)</f>
        <v>5000</v>
      </c>
      <c r="AN411" s="348">
        <f t="shared" ref="AN411" ca="1" si="537">IF(AN408=1,AN410,5000)</f>
        <v>5000</v>
      </c>
      <c r="AO411" s="348">
        <f t="shared" ref="AO411" ca="1" si="538">IF(AO408=1,AO410,5000)</f>
        <v>5000</v>
      </c>
      <c r="AP411" s="348">
        <f t="shared" ref="AP411" ca="1" si="539">IF(AP408=1,AP410,5000)</f>
        <v>5000</v>
      </c>
      <c r="AQ411" s="348">
        <f t="shared" ref="AQ411" ca="1" si="540">IF(AQ408=1,AQ410,5000)</f>
        <v>5000</v>
      </c>
      <c r="AR411" s="348">
        <f t="shared" ref="AR411" ca="1" si="541">IF(AR408=1,AR410,5000)</f>
        <v>5000</v>
      </c>
      <c r="AS411" s="348">
        <f t="shared" ref="AS411" ca="1" si="542">IF(AS408=1,AS410,5000)</f>
        <v>5000</v>
      </c>
      <c r="AT411" s="348">
        <f t="shared" ref="AT411" ca="1" si="543">IF(AT408=1,AT410,5000)</f>
        <v>5000</v>
      </c>
      <c r="AU411" s="348">
        <f t="shared" ref="AU411" ca="1" si="544">IF(AU408=1,AU410,5000)</f>
        <v>5000</v>
      </c>
      <c r="AV411" s="348">
        <f t="shared" ref="AV411" ca="1" si="545">IF(AV408=1,AV410,5000)</f>
        <v>5000</v>
      </c>
      <c r="AW411" s="348">
        <f t="shared" ref="AW411" ca="1" si="546">IF(AW408=1,AW410,5000)</f>
        <v>5000</v>
      </c>
      <c r="AX411" s="348">
        <f t="shared" ref="AX411" ca="1" si="547">IF(AX408=1,AX410,5000)</f>
        <v>5000</v>
      </c>
      <c r="AY411" s="348">
        <f t="shared" ref="AY411" ca="1" si="548">IF(AY408=1,AY410,5000)</f>
        <v>5000</v>
      </c>
      <c r="AZ411" s="348">
        <f t="shared" ref="AZ411" ca="1" si="549">IF(AZ408=1,AZ410,5000)</f>
        <v>5000</v>
      </c>
      <c r="BA411" s="348">
        <f t="shared" ref="BA411" ca="1" si="550">IF(BA408=1,BA410,5000)</f>
        <v>5000</v>
      </c>
      <c r="BB411" s="348">
        <f t="shared" ref="BB411" ca="1" si="551">IF(BB408=1,BB410,5000)</f>
        <v>5000</v>
      </c>
      <c r="BC411" s="348">
        <f t="shared" ref="BC411" ca="1" si="552">IF(BC408=1,BC410,5000)</f>
        <v>5000</v>
      </c>
      <c r="BD411" s="348">
        <f t="shared" ref="BD411" ca="1" si="553">IF(BD408=1,BD410,5000)</f>
        <v>5000</v>
      </c>
      <c r="BE411" s="348">
        <f t="shared" ref="BE411" ca="1" si="554">IF(BE408=1,BE410,5000)</f>
        <v>5000</v>
      </c>
      <c r="BF411" s="348">
        <f t="shared" ref="BF411" ca="1" si="555">IF(BF408=1,BF410,5000)</f>
        <v>5000</v>
      </c>
      <c r="BG411" s="348">
        <f t="shared" ref="BG411" ca="1" si="556">IF(BG408=1,BG410,5000)</f>
        <v>5000</v>
      </c>
      <c r="BH411" s="348">
        <f t="shared" ref="BH411" ca="1" si="557">IF(BH408=1,BH410,5000)</f>
        <v>5000</v>
      </c>
      <c r="BI411" s="348">
        <f t="shared" ref="BI411" ca="1" si="558">IF(BI408=1,BI410,5000)</f>
        <v>5000</v>
      </c>
      <c r="BJ411" s="348">
        <f t="shared" ref="BJ411" ca="1" si="559">IF(BJ408=1,BJ410,5000)</f>
        <v>5000</v>
      </c>
      <c r="BK411" s="348">
        <f t="shared" ref="BK411" ca="1" si="560">IF(BK408=1,BK410,5000)</f>
        <v>5000</v>
      </c>
      <c r="BL411" s="348">
        <f t="shared" ref="BL411" ca="1" si="561">IF(BL408=1,BL410,5000)</f>
        <v>5000</v>
      </c>
      <c r="BM411" s="348">
        <f t="shared" ref="BM411" ca="1" si="562">IF(BM408=1,BM410,5000)</f>
        <v>5000</v>
      </c>
      <c r="BN411" s="348">
        <f t="shared" ref="BN411" ca="1" si="563">IF(BN408=1,BN410,5000)</f>
        <v>5000</v>
      </c>
      <c r="BO411" s="348">
        <f t="shared" ref="BO411" ca="1" si="564">IF(BO408=1,BO410,5000)</f>
        <v>5000</v>
      </c>
      <c r="BP411" s="348">
        <f t="shared" ref="BP411" ca="1" si="565">IF(BP408=1,BP410,5000)</f>
        <v>5000</v>
      </c>
      <c r="BQ411" s="348">
        <f t="shared" ref="BQ411" ca="1" si="566">IF(BQ408=1,BQ410,5000)</f>
        <v>5000</v>
      </c>
      <c r="BR411" s="348">
        <f t="shared" ref="BR411" ca="1" si="567">IF(BR408=1,BR410,5000)</f>
        <v>5000</v>
      </c>
      <c r="BS411" s="348">
        <f t="shared" ref="BS411" ca="1" si="568">IF(BS408=1,BS410,5000)</f>
        <v>5000</v>
      </c>
      <c r="BT411" s="348">
        <f t="shared" ref="BT411" ca="1" si="569">IF(BT408=1,BT410,5000)</f>
        <v>5000</v>
      </c>
      <c r="BU411" s="348">
        <f t="shared" ref="BU411" ca="1" si="570">IF(BU408=1,BU410,5000)</f>
        <v>5000</v>
      </c>
      <c r="BV411" s="348">
        <f t="shared" ref="BV411" ca="1" si="571">IF(BV408=1,BV410,5000)</f>
        <v>5000</v>
      </c>
      <c r="BW411" s="348">
        <f t="shared" ref="BW411" ca="1" si="572">IF(BW408=1,BW410,5000)</f>
        <v>5000</v>
      </c>
      <c r="BX411" s="348">
        <f t="shared" ref="BX411" ca="1" si="573">IF(BX408=1,BX410,5000)</f>
        <v>5000</v>
      </c>
      <c r="BY411" s="348">
        <f t="shared" ref="BY411" ca="1" si="574">IF(BY408=1,BY410,5000)</f>
        <v>5000</v>
      </c>
      <c r="BZ411" s="348">
        <f t="shared" ref="BZ411" ca="1" si="575">IF(BZ408=1,BZ410,5000)</f>
        <v>5000</v>
      </c>
      <c r="CA411" s="348">
        <f t="shared" ref="CA411" ca="1" si="576">IF(CA408=1,CA410,5000)</f>
        <v>5000</v>
      </c>
      <c r="CB411" s="348">
        <f t="shared" ref="CB411" ca="1" si="577">IF(CB408=1,CB410,5000)</f>
        <v>5000</v>
      </c>
      <c r="CC411" s="348">
        <f t="shared" ref="CC411" ca="1" si="578">IF(CC408=1,CC410,5000)</f>
        <v>5000</v>
      </c>
      <c r="CD411" s="348">
        <f t="shared" ref="CD411" ca="1" si="579">IF(CD408=1,CD410,5000)</f>
        <v>5000</v>
      </c>
      <c r="CE411" s="348">
        <f t="shared" ref="CE411" ca="1" si="580">IF(CE408=1,CE410,5000)</f>
        <v>5000</v>
      </c>
      <c r="CF411" s="348">
        <f t="shared" ref="CF411" ca="1" si="581">IF(CF408=1,CF410,5000)</f>
        <v>5000</v>
      </c>
      <c r="CG411" s="348">
        <f t="shared" ref="CG411" ca="1" si="582">IF(CG408=1,CG410,5000)</f>
        <v>5000</v>
      </c>
      <c r="CH411" s="348">
        <f t="shared" ref="CH411" ca="1" si="583">IF(CH408=1,CH410,5000)</f>
        <v>5000</v>
      </c>
      <c r="CI411" s="348">
        <f t="shared" ref="CI411" ca="1" si="584">IF(CI408=1,CI410,5000)</f>
        <v>5000</v>
      </c>
      <c r="CJ411" s="348">
        <f t="shared" ref="CJ411" ca="1" si="585">IF(CJ408=1,CJ410,5000)</f>
        <v>5000</v>
      </c>
      <c r="CK411" s="348">
        <f t="shared" ref="CK411" ca="1" si="586">IF(CK408=1,CK410,5000)</f>
        <v>5000</v>
      </c>
      <c r="CL411" s="348">
        <f t="shared" ref="CL411" ca="1" si="587">IF(CL408=1,CL410,5000)</f>
        <v>5000</v>
      </c>
      <c r="CM411" s="348">
        <f t="shared" ref="CM411" ca="1" si="588">IF(CM408=1,CM410,5000)</f>
        <v>5000</v>
      </c>
      <c r="CN411" s="348">
        <f t="shared" ref="CN411" ca="1" si="589">IF(CN408=1,CN410,5000)</f>
        <v>5000</v>
      </c>
      <c r="CO411" s="348">
        <f t="shared" ref="CO411" ca="1" si="590">IF(CO408=1,CO410,5000)</f>
        <v>5000</v>
      </c>
      <c r="CP411" s="348">
        <f t="shared" ref="CP411" ca="1" si="591">IF(CP408=1,CP410,5000)</f>
        <v>5000</v>
      </c>
      <c r="CQ411" s="348">
        <f t="shared" ref="CQ411" ca="1" si="592">IF(CQ408=1,CQ410,5000)</f>
        <v>5000</v>
      </c>
      <c r="CR411" s="348">
        <f t="shared" ref="CR411" ca="1" si="593">IF(CR408=1,CR410,5000)</f>
        <v>5000</v>
      </c>
      <c r="CS411" s="348">
        <f t="shared" ref="CS411" ca="1" si="594">IF(CS408=1,CS410,5000)</f>
        <v>5000</v>
      </c>
      <c r="CT411" s="348">
        <f t="shared" ref="CT411" ca="1" si="595">IF(CT408=1,CT410,5000)</f>
        <v>5000</v>
      </c>
      <c r="CU411" s="348">
        <f t="shared" ref="CU411" ca="1" si="596">IF(CU408=1,CU410,5000)</f>
        <v>5000</v>
      </c>
      <c r="CV411" s="348">
        <f t="shared" ref="CV411" ca="1" si="597">IF(CV408=1,CV410,5000)</f>
        <v>5000</v>
      </c>
      <c r="CW411" s="348">
        <f t="shared" ref="CW411" ca="1" si="598">IF(CW408=1,CW410,5000)</f>
        <v>5000</v>
      </c>
      <c r="CX411" s="348">
        <f t="shared" ref="CX411" ca="1" si="599">IF(CX408=1,CX410,5000)</f>
        <v>5000</v>
      </c>
      <c r="CY411" s="348">
        <f t="shared" ref="CY411" ca="1" si="600">IF(CY408=1,CY410,5000)</f>
        <v>5000</v>
      </c>
      <c r="CZ411" s="348">
        <f t="shared" ref="CZ411" ca="1" si="601">IF(CZ408=1,CZ410,5000)</f>
        <v>5000</v>
      </c>
      <c r="DA411" s="348">
        <f t="shared" ref="DA411" ca="1" si="602">IF(DA408=1,DA410,5000)</f>
        <v>5000</v>
      </c>
      <c r="DB411" s="348">
        <f t="shared" ref="DB411" ca="1" si="603">IF(DB408=1,DB410,5000)</f>
        <v>5000</v>
      </c>
      <c r="DC411" s="348">
        <f t="shared" ref="DC411" ca="1" si="604">IF(DC408=1,DC410,5000)</f>
        <v>5000</v>
      </c>
      <c r="DD411" s="348">
        <f t="shared" ref="DD411" ca="1" si="605">IF(DD408=1,DD410,5000)</f>
        <v>5000</v>
      </c>
      <c r="DE411" s="348">
        <f t="shared" ref="DE411" ca="1" si="606">IF(DE408=1,DE410,5000)</f>
        <v>5000</v>
      </c>
      <c r="DF411" s="348">
        <f t="shared" ref="DF411" ca="1" si="607">IF(DF408=1,DF410,5000)</f>
        <v>5000</v>
      </c>
      <c r="DG411" s="348">
        <f t="shared" ref="DG411" ca="1" si="608">IF(DG408=1,DG410,5000)</f>
        <v>5000</v>
      </c>
      <c r="DH411" s="348">
        <f t="shared" ref="DH411" ca="1" si="609">IF(DH408=1,DH410,5000)</f>
        <v>5000</v>
      </c>
      <c r="DI411" s="348">
        <f t="shared" ref="DI411" ca="1" si="610">IF(DI408=1,DI410,5000)</f>
        <v>5000</v>
      </c>
      <c r="DJ411" s="348">
        <f t="shared" ref="DJ411" ca="1" si="611">IF(DJ408=1,DJ410,5000)</f>
        <v>5000</v>
      </c>
      <c r="DK411" s="348">
        <f t="shared" ref="DK411" ca="1" si="612">IF(DK408=1,DK410,5000)</f>
        <v>5000</v>
      </c>
      <c r="DL411" s="348">
        <f t="shared" ref="DL411" ca="1" si="613">IF(DL408=1,DL410,5000)</f>
        <v>5000</v>
      </c>
      <c r="DM411" s="348">
        <f t="shared" ref="DM411" ca="1" si="614">IF(DM408=1,DM410,5000)</f>
        <v>5000</v>
      </c>
      <c r="DN411" s="348">
        <f t="shared" ref="DN411" ca="1" si="615">IF(DN408=1,DN410,5000)</f>
        <v>5000</v>
      </c>
      <c r="DO411" s="348">
        <f t="shared" ref="DO411" ca="1" si="616">IF(DO408=1,DO410,5000)</f>
        <v>5000</v>
      </c>
      <c r="DP411" s="348">
        <f t="shared" ref="DP411" ca="1" si="617">IF(DP408=1,DP410,5000)</f>
        <v>5000</v>
      </c>
      <c r="DQ411" s="348">
        <f t="shared" ref="DQ411" ca="1" si="618">IF(DQ408=1,DQ410,5000)</f>
        <v>5000</v>
      </c>
      <c r="DR411" s="348">
        <f t="shared" ref="DR411" ca="1" si="619">IF(DR408=1,DR410,5000)</f>
        <v>5000</v>
      </c>
      <c r="DS411" s="348">
        <f t="shared" ref="DS411" ca="1" si="620">IF(DS408=1,DS410,5000)</f>
        <v>5000</v>
      </c>
      <c r="DT411" s="348">
        <f t="shared" ref="DT411" ca="1" si="621">IF(DT408=1,DT410,5000)</f>
        <v>5000</v>
      </c>
      <c r="DU411" s="348">
        <f t="shared" ref="DU411" ca="1" si="622">IF(DU408=1,DU410,5000)</f>
        <v>5000</v>
      </c>
      <c r="DV411" s="348">
        <f t="shared" ref="DV411" ca="1" si="623">IF(DV408=1,DV410,5000)</f>
        <v>5000</v>
      </c>
      <c r="DW411" s="348">
        <f t="shared" ref="DW411" ca="1" si="624">IF(DW408=1,DW410,5000)</f>
        <v>5000</v>
      </c>
      <c r="DX411" s="348">
        <f t="shared" ref="DX411" ca="1" si="625">IF(DX408=1,DX410,5000)</f>
        <v>5000</v>
      </c>
      <c r="DY411" s="348">
        <f t="shared" ref="DY411" ca="1" si="626">IF(DY408=1,DY410,5000)</f>
        <v>5000</v>
      </c>
      <c r="DZ411" s="348">
        <f t="shared" ref="DZ411" ca="1" si="627">IF(DZ408=1,DZ410,5000)</f>
        <v>5000</v>
      </c>
      <c r="EA411" s="348">
        <f t="shared" ref="EA411" ca="1" si="628">IF(EA408=1,EA410,5000)</f>
        <v>5000</v>
      </c>
      <c r="EB411" s="348">
        <f t="shared" ref="EB411" ca="1" si="629">IF(EB408=1,EB410,5000)</f>
        <v>5000</v>
      </c>
      <c r="EC411" s="348">
        <f t="shared" ref="EC411" ca="1" si="630">IF(EC408=1,EC410,5000)</f>
        <v>5000</v>
      </c>
      <c r="ED411" s="348">
        <f t="shared" ref="ED411" ca="1" si="631">IF(ED408=1,ED410,5000)</f>
        <v>5000</v>
      </c>
      <c r="EE411" s="348">
        <f t="shared" ref="EE411" ca="1" si="632">IF(EE408=1,EE410,5000)</f>
        <v>5000</v>
      </c>
      <c r="EF411" s="348">
        <f t="shared" ref="EF411" ca="1" si="633">IF(EF408=1,EF410,5000)</f>
        <v>5000</v>
      </c>
      <c r="EG411" s="348">
        <f t="shared" ref="EG411" ca="1" si="634">IF(EG408=1,EG410,5000)</f>
        <v>5000</v>
      </c>
      <c r="EH411" s="348">
        <f t="shared" ref="EH411" ca="1" si="635">IF(EH408=1,EH410,5000)</f>
        <v>5000</v>
      </c>
      <c r="EI411" s="348">
        <f t="shared" ref="EI411" ca="1" si="636">IF(EI408=1,EI410,5000)</f>
        <v>5000</v>
      </c>
      <c r="EJ411" s="348">
        <f t="shared" ref="EJ411" ca="1" si="637">IF(EJ408=1,EJ410,5000)</f>
        <v>5000</v>
      </c>
      <c r="EK411" s="348">
        <f t="shared" ref="EK411" ca="1" si="638">IF(EK408=1,EK410,5000)</f>
        <v>5000</v>
      </c>
      <c r="EL411" s="348">
        <f t="shared" ref="EL411" ca="1" si="639">IF(EL408=1,EL410,5000)</f>
        <v>5000</v>
      </c>
      <c r="EM411" s="348">
        <f t="shared" ref="EM411" ca="1" si="640">IF(EM408=1,EM410,5000)</f>
        <v>5000</v>
      </c>
      <c r="EN411" s="348">
        <f t="shared" ref="EN411" ca="1" si="641">IF(EN408=1,EN410,5000)</f>
        <v>5000</v>
      </c>
      <c r="EO411" s="348">
        <f t="shared" ref="EO411" ca="1" si="642">IF(EO408=1,EO410,5000)</f>
        <v>5000</v>
      </c>
      <c r="EP411" s="348">
        <f t="shared" ref="EP411" ca="1" si="643">IF(EP408=1,EP410,5000)</f>
        <v>5000</v>
      </c>
      <c r="EQ411" s="348">
        <f t="shared" ref="EQ411" ca="1" si="644">IF(EQ408=1,EQ410,5000)</f>
        <v>5000</v>
      </c>
      <c r="ER411" s="348">
        <f t="shared" ref="ER411" ca="1" si="645">IF(ER408=1,ER410,5000)</f>
        <v>5000</v>
      </c>
      <c r="ES411" s="348">
        <f t="shared" ref="ES411" ca="1" si="646">IF(ES408=1,ES410,5000)</f>
        <v>5000</v>
      </c>
      <c r="ET411" s="348">
        <f t="shared" ref="ET411" ca="1" si="647">IF(ET408=1,ET410,5000)</f>
        <v>5000</v>
      </c>
      <c r="EU411" s="348">
        <f t="shared" ref="EU411" ca="1" si="648">IF(EU408=1,EU410,5000)</f>
        <v>5000</v>
      </c>
      <c r="EV411" s="348">
        <f t="shared" ref="EV411" ca="1" si="649">IF(EV408=1,EV410,5000)</f>
        <v>5000</v>
      </c>
      <c r="EW411" s="348">
        <f t="shared" ref="EW411" ca="1" si="650">IF(EW408=1,EW410,5000)</f>
        <v>5000</v>
      </c>
      <c r="EX411" s="348">
        <f t="shared" ref="EX411" ca="1" si="651">IF(EX408=1,EX410,5000)</f>
        <v>5000</v>
      </c>
      <c r="EY411" s="348">
        <f t="shared" ref="EY411" ca="1" si="652">IF(EY408=1,EY410,5000)</f>
        <v>5000</v>
      </c>
      <c r="EZ411" s="348">
        <f t="shared" ref="EZ411" ca="1" si="653">IF(EZ408=1,EZ410,5000)</f>
        <v>5000</v>
      </c>
      <c r="FA411" s="348">
        <f t="shared" ref="FA411" ca="1" si="654">IF(FA408=1,FA410,5000)</f>
        <v>5000</v>
      </c>
      <c r="FB411" s="348">
        <f t="shared" ref="FB411" ca="1" si="655">IF(FB408=1,FB410,5000)</f>
        <v>5000</v>
      </c>
      <c r="FC411" s="348">
        <f t="shared" ref="FC411" ca="1" si="656">IF(FC408=1,FC410,5000)</f>
        <v>5000</v>
      </c>
      <c r="FD411" s="348">
        <f t="shared" ref="FD411" ca="1" si="657">IF(FD408=1,FD410,5000)</f>
        <v>5000</v>
      </c>
      <c r="FE411" s="348">
        <f t="shared" ref="FE411" ca="1" si="658">IF(FE408=1,FE410,5000)</f>
        <v>5000</v>
      </c>
      <c r="FF411" s="348">
        <f t="shared" ref="FF411" ca="1" si="659">IF(FF408=1,FF410,5000)</f>
        <v>5000</v>
      </c>
      <c r="FG411" s="348">
        <f t="shared" ref="FG411" ca="1" si="660">IF(FG408=1,FG410,5000)</f>
        <v>5000</v>
      </c>
      <c r="FH411" s="348">
        <f t="shared" ref="FH411" ca="1" si="661">IF(FH408=1,FH410,5000)</f>
        <v>5000</v>
      </c>
      <c r="FI411" s="348">
        <f t="shared" ref="FI411" ca="1" si="662">IF(FI408=1,FI410,5000)</f>
        <v>5000</v>
      </c>
      <c r="FJ411" s="348">
        <f t="shared" ref="FJ411" ca="1" si="663">IF(FJ408=1,FJ410,5000)</f>
        <v>5000</v>
      </c>
      <c r="FK411" s="348">
        <f t="shared" ref="FK411" ca="1" si="664">IF(FK408=1,FK410,5000)</f>
        <v>5000</v>
      </c>
      <c r="FL411" s="348">
        <f t="shared" ref="FL411" ca="1" si="665">IF(FL408=1,FL410,5000)</f>
        <v>5000</v>
      </c>
      <c r="FM411" s="348">
        <f t="shared" ref="FM411" ca="1" si="666">IF(FM408=1,FM410,5000)</f>
        <v>5000</v>
      </c>
      <c r="FN411" s="348">
        <f t="shared" ref="FN411" ca="1" si="667">IF(FN408=1,FN410,5000)</f>
        <v>5000</v>
      </c>
      <c r="FO411" s="348">
        <f t="shared" ref="FO411" ca="1" si="668">IF(FO408=1,FO410,5000)</f>
        <v>5000</v>
      </c>
      <c r="FP411" s="348">
        <f t="shared" ref="FP411" ca="1" si="669">IF(FP408=1,FP410,5000)</f>
        <v>5000</v>
      </c>
      <c r="FQ411" s="348">
        <f t="shared" ref="FQ411" ca="1" si="670">IF(FQ408=1,FQ410,5000)</f>
        <v>5000</v>
      </c>
      <c r="FR411" s="348">
        <f t="shared" ref="FR411" ca="1" si="671">IF(FR408=1,FR410,5000)</f>
        <v>5000</v>
      </c>
      <c r="FS411" s="348">
        <f t="shared" ref="FS411" ca="1" si="672">IF(FS408=1,FS410,5000)</f>
        <v>5000</v>
      </c>
      <c r="FT411" s="348">
        <f t="shared" ref="FT411" ca="1" si="673">IF(FT408=1,FT410,5000)</f>
        <v>5000</v>
      </c>
      <c r="FU411" s="348">
        <f t="shared" ref="FU411" ca="1" si="674">IF(FU408=1,FU410,5000)</f>
        <v>5000</v>
      </c>
      <c r="FV411" s="348">
        <f t="shared" ref="FV411" ca="1" si="675">IF(FV408=1,FV410,5000)</f>
        <v>5000</v>
      </c>
      <c r="FW411" s="348">
        <f t="shared" ref="FW411" ca="1" si="676">IF(FW408=1,FW410,5000)</f>
        <v>5000</v>
      </c>
      <c r="FX411" s="348">
        <f t="shared" ref="FX411" ca="1" si="677">IF(FX408=1,FX410,5000)</f>
        <v>5000</v>
      </c>
      <c r="FY411" s="348">
        <f t="shared" ref="FY411" ca="1" si="678">IF(FY408=1,FY410,5000)</f>
        <v>5000</v>
      </c>
      <c r="FZ411" s="348">
        <f t="shared" ref="FZ411" ca="1" si="679">IF(FZ408=1,FZ410,5000)</f>
        <v>5000</v>
      </c>
      <c r="GA411" s="348">
        <f t="shared" ref="GA411" ca="1" si="680">IF(GA408=1,GA410,5000)</f>
        <v>5000</v>
      </c>
      <c r="GB411" s="348">
        <f t="shared" ref="GB411" ca="1" si="681">IF(GB408=1,GB410,5000)</f>
        <v>5000</v>
      </c>
      <c r="GC411" s="348">
        <f t="shared" ref="GC411" ca="1" si="682">IF(GC408=1,GC410,5000)</f>
        <v>5000</v>
      </c>
      <c r="GD411" s="348">
        <f t="shared" ref="GD411" ca="1" si="683">IF(GD408=1,GD410,5000)</f>
        <v>5000</v>
      </c>
      <c r="GE411" s="348">
        <f t="shared" ref="GE411" ca="1" si="684">IF(GE408=1,GE410,5000)</f>
        <v>5000</v>
      </c>
      <c r="GF411" s="348">
        <f t="shared" ref="GF411" ca="1" si="685">IF(GF408=1,GF410,5000)</f>
        <v>5000</v>
      </c>
      <c r="GG411" s="348">
        <f t="shared" ref="GG411" ca="1" si="686">IF(GG408=1,GG410,5000)</f>
        <v>5000</v>
      </c>
      <c r="GH411" s="348">
        <f t="shared" ref="GH411" ca="1" si="687">IF(GH408=1,GH410,5000)</f>
        <v>5000</v>
      </c>
      <c r="GI411" s="348">
        <f t="shared" ref="GI411" ca="1" si="688">IF(GI408=1,GI410,5000)</f>
        <v>5000</v>
      </c>
      <c r="GJ411" s="348">
        <f t="shared" ref="GJ411" ca="1" si="689">IF(GJ408=1,GJ410,5000)</f>
        <v>5000</v>
      </c>
      <c r="GK411" s="348">
        <f t="shared" ref="GK411" ca="1" si="690">IF(GK408=1,GK410,5000)</f>
        <v>5000</v>
      </c>
      <c r="GL411" s="348">
        <f t="shared" ref="GL411" ca="1" si="691">IF(GL408=1,GL410,5000)</f>
        <v>5000</v>
      </c>
      <c r="GM411" s="348">
        <f t="shared" ref="GM411" ca="1" si="692">IF(GM408=1,GM410,5000)</f>
        <v>5000</v>
      </c>
      <c r="GN411" s="348">
        <f t="shared" ref="GN411" ca="1" si="693">IF(GN408=1,GN410,5000)</f>
        <v>5000</v>
      </c>
      <c r="GO411" s="348">
        <f t="shared" ref="GO411" ca="1" si="694">IF(GO408=1,GO410,5000)</f>
        <v>5000</v>
      </c>
      <c r="GP411" s="348">
        <f t="shared" ref="GP411" ca="1" si="695">IF(GP408=1,GP410,5000)</f>
        <v>5000</v>
      </c>
      <c r="GQ411" s="348">
        <f t="shared" ref="GQ411" ca="1" si="696">IF(GQ408=1,GQ410,5000)</f>
        <v>5000</v>
      </c>
      <c r="GR411" s="348">
        <f t="shared" ref="GR411" ca="1" si="697">IF(GR408=1,GR410,5000)</f>
        <v>5000</v>
      </c>
      <c r="GS411" s="348">
        <f t="shared" ref="GS411" ca="1" si="698">IF(GS408=1,GS410,5000)</f>
        <v>5000</v>
      </c>
      <c r="GT411" s="348">
        <f t="shared" ref="GT411" ca="1" si="699">IF(GT408=1,GT410,5000)</f>
        <v>5000</v>
      </c>
      <c r="GU411" s="348">
        <f t="shared" ref="GU411" ca="1" si="700">IF(GU408=1,GU410,5000)</f>
        <v>5000</v>
      </c>
      <c r="GV411" s="348">
        <f t="shared" ref="GV411" ca="1" si="701">IF(GV408=1,GV410,5000)</f>
        <v>5000</v>
      </c>
      <c r="GW411" s="348">
        <f t="shared" ref="GW411" ca="1" si="702">IF(GW408=1,GW410,5000)</f>
        <v>5000</v>
      </c>
      <c r="GX411" s="348">
        <f t="shared" ref="GX411" ca="1" si="703">IF(GX408=1,GX410,5000)</f>
        <v>5000</v>
      </c>
      <c r="GY411" s="348">
        <f t="shared" ref="GY411" ca="1" si="704">IF(GY408=1,GY410,5000)</f>
        <v>5000</v>
      </c>
      <c r="GZ411" s="348">
        <f t="shared" ref="GZ411" ca="1" si="705">IF(GZ408=1,GZ410,5000)</f>
        <v>5000</v>
      </c>
      <c r="HA411" s="348">
        <f t="shared" ref="HA411" ca="1" si="706">IF(HA408=1,HA410,5000)</f>
        <v>5000</v>
      </c>
      <c r="HB411" s="348">
        <f t="shared" ref="HB411" ca="1" si="707">IF(HB408=1,HB410,5000)</f>
        <v>5000</v>
      </c>
      <c r="HC411" s="348">
        <f t="shared" ref="HC411" ca="1" si="708">IF(HC408=1,HC410,5000)</f>
        <v>5000</v>
      </c>
      <c r="HD411" s="348">
        <f t="shared" ref="HD411" ca="1" si="709">IF(HD408=1,HD410,5000)</f>
        <v>5000</v>
      </c>
      <c r="HE411" s="348">
        <f t="shared" ref="HE411" ca="1" si="710">IF(HE408=1,HE410,5000)</f>
        <v>5000</v>
      </c>
      <c r="HF411" s="348">
        <f t="shared" ref="HF411" ca="1" si="711">IF(HF408=1,HF410,5000)</f>
        <v>5000</v>
      </c>
      <c r="HG411" s="348">
        <f t="shared" ref="HG411" ca="1" si="712">IF(HG408=1,HG410,5000)</f>
        <v>5000</v>
      </c>
      <c r="HH411" s="348">
        <f t="shared" ref="HH411" ca="1" si="713">IF(HH408=1,HH410,5000)</f>
        <v>5000</v>
      </c>
      <c r="HI411" s="348">
        <f t="shared" ref="HI411" ca="1" si="714">IF(HI408=1,HI410,5000)</f>
        <v>5000</v>
      </c>
      <c r="HJ411" s="348">
        <f t="shared" ref="HJ411" ca="1" si="715">IF(HJ408=1,HJ410,5000)</f>
        <v>5000</v>
      </c>
      <c r="HK411" s="348">
        <f t="shared" ref="HK411" ca="1" si="716">IF(HK408=1,HK410,5000)</f>
        <v>5000</v>
      </c>
      <c r="HL411" s="348">
        <f t="shared" ref="HL411" ca="1" si="717">IF(HL408=1,HL410,5000)</f>
        <v>5000</v>
      </c>
      <c r="HM411" s="348">
        <f t="shared" ref="HM411" ca="1" si="718">IF(HM408=1,HM410,5000)</f>
        <v>5000</v>
      </c>
      <c r="HN411" s="348">
        <f t="shared" ref="HN411" ca="1" si="719">IF(HN408=1,HN410,5000)</f>
        <v>5000</v>
      </c>
      <c r="HO411" s="348">
        <f t="shared" ref="HO411" ca="1" si="720">IF(HO408=1,HO410,5000)</f>
        <v>5000</v>
      </c>
      <c r="HP411" s="348">
        <f t="shared" ref="HP411" ca="1" si="721">IF(HP408=1,HP410,5000)</f>
        <v>5000</v>
      </c>
      <c r="HQ411" s="348">
        <f t="shared" ref="HQ411" ca="1" si="722">IF(HQ408=1,HQ410,5000)</f>
        <v>5000</v>
      </c>
      <c r="HR411" s="348">
        <f t="shared" ref="HR411" ca="1" si="723">IF(HR408=1,HR410,5000)</f>
        <v>5000</v>
      </c>
      <c r="HS411" s="348">
        <f t="shared" ref="HS411" ca="1" si="724">IF(HS408=1,HS410,5000)</f>
        <v>5000</v>
      </c>
      <c r="HT411" s="348">
        <f t="shared" ref="HT411" ca="1" si="725">IF(HT408=1,HT410,5000)</f>
        <v>5000</v>
      </c>
      <c r="HU411" s="348">
        <f t="shared" ref="HU411" ca="1" si="726">IF(HU408=1,HU410,5000)</f>
        <v>5000</v>
      </c>
      <c r="HV411" s="348">
        <f t="shared" ref="HV411" ca="1" si="727">IF(HV408=1,HV410,5000)</f>
        <v>5000</v>
      </c>
      <c r="HW411" s="348">
        <f t="shared" ref="HW411" ca="1" si="728">IF(HW408=1,HW410,5000)</f>
        <v>5000</v>
      </c>
      <c r="HX411" s="348">
        <f t="shared" ref="HX411" ca="1" si="729">IF(HX408=1,HX410,5000)</f>
        <v>5000</v>
      </c>
      <c r="HY411" s="348">
        <f t="shared" ref="HY411" ca="1" si="730">IF(HY408=1,HY410,5000)</f>
        <v>5000</v>
      </c>
      <c r="HZ411" s="348">
        <f t="shared" ref="HZ411" ca="1" si="731">IF(HZ408=1,HZ410,5000)</f>
        <v>5000</v>
      </c>
      <c r="IA411" s="348">
        <f t="shared" ref="IA411" ca="1" si="732">IF(IA408=1,IA410,5000)</f>
        <v>5000</v>
      </c>
      <c r="IB411" s="348">
        <f t="shared" ref="IB411" ca="1" si="733">IF(IB408=1,IB410,5000)</f>
        <v>5000</v>
      </c>
      <c r="IC411" s="348">
        <f t="shared" ref="IC411" ca="1" si="734">IF(IC408=1,IC410,5000)</f>
        <v>5000</v>
      </c>
      <c r="ID411" s="348">
        <f t="shared" ref="ID411" ca="1" si="735">IF(ID408=1,ID410,5000)</f>
        <v>5000</v>
      </c>
      <c r="IE411" s="348">
        <f t="shared" ref="IE411" ca="1" si="736">IF(IE408=1,IE410,5000)</f>
        <v>5000</v>
      </c>
      <c r="IF411" s="348">
        <f t="shared" ref="IF411" ca="1" si="737">IF(IF408=1,IF410,5000)</f>
        <v>5000</v>
      </c>
      <c r="IG411" s="348">
        <f t="shared" ref="IG411" ca="1" si="738">IF(IG408=1,IG410,5000)</f>
        <v>5000</v>
      </c>
      <c r="IH411" s="348">
        <f t="shared" ref="IH411" ca="1" si="739">IF(IH408=1,IH410,5000)</f>
        <v>5000</v>
      </c>
      <c r="II411" s="348">
        <f t="shared" ref="II411" ca="1" si="740">IF(II408=1,II410,5000)</f>
        <v>5000</v>
      </c>
      <c r="IJ411" s="348">
        <f t="shared" ref="IJ411" ca="1" si="741">IF(IJ408=1,IJ410,5000)</f>
        <v>5000</v>
      </c>
      <c r="IK411" s="348">
        <f t="shared" ref="IK411" ca="1" si="742">IF(IK408=1,IK410,5000)</f>
        <v>5000</v>
      </c>
    </row>
    <row r="412" spans="3:245" hidden="1" x14ac:dyDescent="0.35">
      <c r="H412" s="348">
        <f ca="1">IF(H409=1,H410,0)</f>
        <v>1</v>
      </c>
      <c r="I412" s="348">
        <f t="shared" ref="I412:BS412" ca="1" si="743">IF(I409=1,I410,0)</f>
        <v>2</v>
      </c>
      <c r="J412" s="348">
        <f t="shared" ca="1" si="743"/>
        <v>3</v>
      </c>
      <c r="K412" s="348">
        <f t="shared" ca="1" si="743"/>
        <v>4</v>
      </c>
      <c r="L412" s="348">
        <f t="shared" ca="1" si="743"/>
        <v>5</v>
      </c>
      <c r="M412" s="348">
        <f t="shared" ca="1" si="743"/>
        <v>6</v>
      </c>
      <c r="N412" s="348">
        <f t="shared" ca="1" si="743"/>
        <v>7</v>
      </c>
      <c r="O412" s="348">
        <f t="shared" ca="1" si="743"/>
        <v>8</v>
      </c>
      <c r="P412" s="348">
        <f t="shared" ca="1" si="743"/>
        <v>9</v>
      </c>
      <c r="Q412" s="348">
        <f t="shared" ca="1" si="743"/>
        <v>10</v>
      </c>
      <c r="R412" s="348">
        <f t="shared" ca="1" si="743"/>
        <v>11</v>
      </c>
      <c r="S412" s="348">
        <f t="shared" ca="1" si="743"/>
        <v>12</v>
      </c>
      <c r="T412" s="348">
        <f t="shared" ca="1" si="743"/>
        <v>13</v>
      </c>
      <c r="U412" s="348">
        <f t="shared" ca="1" si="743"/>
        <v>14</v>
      </c>
      <c r="V412" s="348">
        <f t="shared" ca="1" si="743"/>
        <v>15</v>
      </c>
      <c r="W412" s="348">
        <f t="shared" ca="1" si="743"/>
        <v>16</v>
      </c>
      <c r="X412" s="348">
        <f t="shared" ca="1" si="743"/>
        <v>17</v>
      </c>
      <c r="Y412" s="348">
        <f t="shared" ca="1" si="743"/>
        <v>18</v>
      </c>
      <c r="Z412" s="348">
        <f t="shared" ca="1" si="743"/>
        <v>19</v>
      </c>
      <c r="AA412" s="348">
        <f t="shared" ca="1" si="743"/>
        <v>20</v>
      </c>
      <c r="AB412" s="348">
        <f t="shared" ca="1" si="743"/>
        <v>21</v>
      </c>
      <c r="AC412" s="348">
        <f t="shared" ca="1" si="743"/>
        <v>22</v>
      </c>
      <c r="AD412" s="348">
        <f t="shared" ca="1" si="743"/>
        <v>23</v>
      </c>
      <c r="AE412" s="348">
        <f t="shared" ca="1" si="743"/>
        <v>24</v>
      </c>
      <c r="AF412" s="348">
        <f t="shared" ca="1" si="743"/>
        <v>25</v>
      </c>
      <c r="AG412" s="348">
        <f t="shared" ca="1" si="743"/>
        <v>26</v>
      </c>
      <c r="AH412" s="348">
        <f t="shared" ca="1" si="743"/>
        <v>27</v>
      </c>
      <c r="AI412" s="348">
        <f t="shared" ca="1" si="743"/>
        <v>28</v>
      </c>
      <c r="AJ412" s="348">
        <f t="shared" ca="1" si="743"/>
        <v>29</v>
      </c>
      <c r="AK412" s="348">
        <f t="shared" ca="1" si="743"/>
        <v>30</v>
      </c>
      <c r="AL412" s="348">
        <f t="shared" ca="1" si="743"/>
        <v>31</v>
      </c>
      <c r="AM412" s="348">
        <f t="shared" ca="1" si="743"/>
        <v>32</v>
      </c>
      <c r="AN412" s="348">
        <f t="shared" ca="1" si="743"/>
        <v>33</v>
      </c>
      <c r="AO412" s="348">
        <f t="shared" ca="1" si="743"/>
        <v>34</v>
      </c>
      <c r="AP412" s="348">
        <f t="shared" ca="1" si="743"/>
        <v>35</v>
      </c>
      <c r="AQ412" s="348">
        <f t="shared" ca="1" si="743"/>
        <v>36</v>
      </c>
      <c r="AR412" s="348">
        <f t="shared" ca="1" si="743"/>
        <v>37</v>
      </c>
      <c r="AS412" s="348">
        <f t="shared" ca="1" si="743"/>
        <v>38</v>
      </c>
      <c r="AT412" s="348">
        <f t="shared" ca="1" si="743"/>
        <v>39</v>
      </c>
      <c r="AU412" s="348">
        <f t="shared" ca="1" si="743"/>
        <v>40</v>
      </c>
      <c r="AV412" s="348">
        <f t="shared" ca="1" si="743"/>
        <v>41</v>
      </c>
      <c r="AW412" s="348">
        <f t="shared" ca="1" si="743"/>
        <v>42</v>
      </c>
      <c r="AX412" s="348">
        <f t="shared" ca="1" si="743"/>
        <v>43</v>
      </c>
      <c r="AY412" s="348">
        <f t="shared" ca="1" si="743"/>
        <v>44</v>
      </c>
      <c r="AZ412" s="348">
        <f t="shared" ca="1" si="743"/>
        <v>45</v>
      </c>
      <c r="BA412" s="348">
        <f t="shared" ca="1" si="743"/>
        <v>46</v>
      </c>
      <c r="BB412" s="348">
        <f t="shared" ca="1" si="743"/>
        <v>47</v>
      </c>
      <c r="BC412" s="348">
        <f t="shared" ca="1" si="743"/>
        <v>48</v>
      </c>
      <c r="BD412" s="348">
        <f t="shared" ca="1" si="743"/>
        <v>49</v>
      </c>
      <c r="BE412" s="348">
        <f t="shared" ca="1" si="743"/>
        <v>50</v>
      </c>
      <c r="BF412" s="348">
        <f t="shared" ca="1" si="743"/>
        <v>51</v>
      </c>
      <c r="BG412" s="348">
        <f t="shared" ca="1" si="743"/>
        <v>52</v>
      </c>
      <c r="BH412" s="348">
        <f t="shared" ca="1" si="743"/>
        <v>53</v>
      </c>
      <c r="BI412" s="348">
        <f t="shared" ca="1" si="743"/>
        <v>54</v>
      </c>
      <c r="BJ412" s="348">
        <f t="shared" ca="1" si="743"/>
        <v>55</v>
      </c>
      <c r="BK412" s="348">
        <f t="shared" ca="1" si="743"/>
        <v>56</v>
      </c>
      <c r="BL412" s="348">
        <f t="shared" ca="1" si="743"/>
        <v>57</v>
      </c>
      <c r="BM412" s="348">
        <f t="shared" ca="1" si="743"/>
        <v>58</v>
      </c>
      <c r="BN412" s="348">
        <f t="shared" ca="1" si="743"/>
        <v>59</v>
      </c>
      <c r="BO412" s="348">
        <f t="shared" ca="1" si="743"/>
        <v>60</v>
      </c>
      <c r="BP412" s="348">
        <f t="shared" ca="1" si="743"/>
        <v>61</v>
      </c>
      <c r="BQ412" s="348">
        <f t="shared" ca="1" si="743"/>
        <v>62</v>
      </c>
      <c r="BR412" s="348">
        <f t="shared" ca="1" si="743"/>
        <v>63</v>
      </c>
      <c r="BS412" s="348">
        <f t="shared" ca="1" si="743"/>
        <v>64</v>
      </c>
      <c r="BT412" s="348">
        <f t="shared" ref="BT412:EE412" ca="1" si="744">IF(BT409=1,BT410,0)</f>
        <v>65</v>
      </c>
      <c r="BU412" s="348">
        <f t="shared" ca="1" si="744"/>
        <v>66</v>
      </c>
      <c r="BV412" s="348">
        <f t="shared" ca="1" si="744"/>
        <v>67</v>
      </c>
      <c r="BW412" s="348">
        <f t="shared" ca="1" si="744"/>
        <v>68</v>
      </c>
      <c r="BX412" s="348">
        <f t="shared" ca="1" si="744"/>
        <v>69</v>
      </c>
      <c r="BY412" s="348">
        <f t="shared" ca="1" si="744"/>
        <v>70</v>
      </c>
      <c r="BZ412" s="348">
        <f t="shared" ca="1" si="744"/>
        <v>71</v>
      </c>
      <c r="CA412" s="348">
        <f t="shared" ca="1" si="744"/>
        <v>72</v>
      </c>
      <c r="CB412" s="348">
        <f t="shared" ca="1" si="744"/>
        <v>73</v>
      </c>
      <c r="CC412" s="348">
        <f t="shared" ca="1" si="744"/>
        <v>74</v>
      </c>
      <c r="CD412" s="348">
        <f t="shared" ca="1" si="744"/>
        <v>75</v>
      </c>
      <c r="CE412" s="348">
        <f t="shared" ca="1" si="744"/>
        <v>76</v>
      </c>
      <c r="CF412" s="348">
        <f t="shared" ca="1" si="744"/>
        <v>77</v>
      </c>
      <c r="CG412" s="348">
        <f t="shared" ca="1" si="744"/>
        <v>78</v>
      </c>
      <c r="CH412" s="348">
        <f t="shared" ca="1" si="744"/>
        <v>79</v>
      </c>
      <c r="CI412" s="348">
        <f t="shared" ca="1" si="744"/>
        <v>80</v>
      </c>
      <c r="CJ412" s="348">
        <f t="shared" ca="1" si="744"/>
        <v>81</v>
      </c>
      <c r="CK412" s="348">
        <f t="shared" ca="1" si="744"/>
        <v>82</v>
      </c>
      <c r="CL412" s="348">
        <f t="shared" ca="1" si="744"/>
        <v>83</v>
      </c>
      <c r="CM412" s="348">
        <f t="shared" ca="1" si="744"/>
        <v>84</v>
      </c>
      <c r="CN412" s="348">
        <f t="shared" ca="1" si="744"/>
        <v>85</v>
      </c>
      <c r="CO412" s="348">
        <f t="shared" ca="1" si="744"/>
        <v>86</v>
      </c>
      <c r="CP412" s="348">
        <f t="shared" ca="1" si="744"/>
        <v>87</v>
      </c>
      <c r="CQ412" s="348">
        <f t="shared" ca="1" si="744"/>
        <v>88</v>
      </c>
      <c r="CR412" s="348">
        <f t="shared" ca="1" si="744"/>
        <v>89</v>
      </c>
      <c r="CS412" s="348">
        <f t="shared" ca="1" si="744"/>
        <v>90</v>
      </c>
      <c r="CT412" s="348">
        <f t="shared" ca="1" si="744"/>
        <v>91</v>
      </c>
      <c r="CU412" s="348">
        <f t="shared" ca="1" si="744"/>
        <v>92</v>
      </c>
      <c r="CV412" s="348">
        <f t="shared" ca="1" si="744"/>
        <v>93</v>
      </c>
      <c r="CW412" s="348">
        <f t="shared" ca="1" si="744"/>
        <v>94</v>
      </c>
      <c r="CX412" s="348">
        <f t="shared" ca="1" si="744"/>
        <v>95</v>
      </c>
      <c r="CY412" s="348">
        <f t="shared" ca="1" si="744"/>
        <v>96</v>
      </c>
      <c r="CZ412" s="348">
        <f t="shared" ca="1" si="744"/>
        <v>97</v>
      </c>
      <c r="DA412" s="348">
        <f t="shared" ca="1" si="744"/>
        <v>98</v>
      </c>
      <c r="DB412" s="348">
        <f t="shared" ca="1" si="744"/>
        <v>99</v>
      </c>
      <c r="DC412" s="348">
        <f t="shared" ca="1" si="744"/>
        <v>100</v>
      </c>
      <c r="DD412" s="348">
        <f t="shared" ca="1" si="744"/>
        <v>101</v>
      </c>
      <c r="DE412" s="348">
        <f t="shared" ca="1" si="744"/>
        <v>102</v>
      </c>
      <c r="DF412" s="348">
        <f t="shared" ca="1" si="744"/>
        <v>103</v>
      </c>
      <c r="DG412" s="348">
        <f t="shared" ca="1" si="744"/>
        <v>104</v>
      </c>
      <c r="DH412" s="348">
        <f t="shared" ca="1" si="744"/>
        <v>105</v>
      </c>
      <c r="DI412" s="348">
        <f t="shared" ca="1" si="744"/>
        <v>106</v>
      </c>
      <c r="DJ412" s="348">
        <f t="shared" ca="1" si="744"/>
        <v>107</v>
      </c>
      <c r="DK412" s="348">
        <f t="shared" ca="1" si="744"/>
        <v>108</v>
      </c>
      <c r="DL412" s="348">
        <f t="shared" ca="1" si="744"/>
        <v>109</v>
      </c>
      <c r="DM412" s="348">
        <f t="shared" ca="1" si="744"/>
        <v>110</v>
      </c>
      <c r="DN412" s="348">
        <f t="shared" ca="1" si="744"/>
        <v>111</v>
      </c>
      <c r="DO412" s="348">
        <f t="shared" ca="1" si="744"/>
        <v>112</v>
      </c>
      <c r="DP412" s="348">
        <f t="shared" ca="1" si="744"/>
        <v>113</v>
      </c>
      <c r="DQ412" s="348">
        <f t="shared" ca="1" si="744"/>
        <v>114</v>
      </c>
      <c r="DR412" s="348">
        <f t="shared" ca="1" si="744"/>
        <v>115</v>
      </c>
      <c r="DS412" s="348">
        <f t="shared" ca="1" si="744"/>
        <v>116</v>
      </c>
      <c r="DT412" s="348">
        <f t="shared" ca="1" si="744"/>
        <v>117</v>
      </c>
      <c r="DU412" s="348">
        <f t="shared" ca="1" si="744"/>
        <v>118</v>
      </c>
      <c r="DV412" s="348">
        <f t="shared" ca="1" si="744"/>
        <v>119</v>
      </c>
      <c r="DW412" s="348">
        <f t="shared" ca="1" si="744"/>
        <v>120</v>
      </c>
      <c r="DX412" s="348">
        <f t="shared" ca="1" si="744"/>
        <v>121</v>
      </c>
      <c r="DY412" s="348">
        <f t="shared" ca="1" si="744"/>
        <v>122</v>
      </c>
      <c r="DZ412" s="348">
        <f t="shared" ca="1" si="744"/>
        <v>123</v>
      </c>
      <c r="EA412" s="348">
        <f t="shared" ca="1" si="744"/>
        <v>124</v>
      </c>
      <c r="EB412" s="348">
        <f t="shared" ca="1" si="744"/>
        <v>125</v>
      </c>
      <c r="EC412" s="348">
        <f t="shared" ca="1" si="744"/>
        <v>126</v>
      </c>
      <c r="ED412" s="348">
        <f t="shared" ca="1" si="744"/>
        <v>127</v>
      </c>
      <c r="EE412" s="348">
        <f t="shared" ca="1" si="744"/>
        <v>128</v>
      </c>
      <c r="EF412" s="348">
        <f t="shared" ref="EF412:GQ412" ca="1" si="745">IF(EF409=1,EF410,0)</f>
        <v>129</v>
      </c>
      <c r="EG412" s="348">
        <f t="shared" ca="1" si="745"/>
        <v>130</v>
      </c>
      <c r="EH412" s="348">
        <f t="shared" ca="1" si="745"/>
        <v>131</v>
      </c>
      <c r="EI412" s="348">
        <f t="shared" ca="1" si="745"/>
        <v>132</v>
      </c>
      <c r="EJ412" s="348">
        <f t="shared" ca="1" si="745"/>
        <v>133</v>
      </c>
      <c r="EK412" s="348">
        <f t="shared" ca="1" si="745"/>
        <v>134</v>
      </c>
      <c r="EL412" s="348">
        <f t="shared" ca="1" si="745"/>
        <v>135</v>
      </c>
      <c r="EM412" s="348">
        <f t="shared" ca="1" si="745"/>
        <v>136</v>
      </c>
      <c r="EN412" s="348">
        <f t="shared" ca="1" si="745"/>
        <v>137</v>
      </c>
      <c r="EO412" s="348">
        <f t="shared" ca="1" si="745"/>
        <v>138</v>
      </c>
      <c r="EP412" s="348">
        <f t="shared" ca="1" si="745"/>
        <v>139</v>
      </c>
      <c r="EQ412" s="348">
        <f t="shared" ca="1" si="745"/>
        <v>140</v>
      </c>
      <c r="ER412" s="348">
        <f t="shared" ca="1" si="745"/>
        <v>141</v>
      </c>
      <c r="ES412" s="348">
        <f t="shared" ca="1" si="745"/>
        <v>142</v>
      </c>
      <c r="ET412" s="348">
        <f t="shared" ca="1" si="745"/>
        <v>143</v>
      </c>
      <c r="EU412" s="348">
        <f t="shared" ca="1" si="745"/>
        <v>144</v>
      </c>
      <c r="EV412" s="348">
        <f t="shared" ca="1" si="745"/>
        <v>145</v>
      </c>
      <c r="EW412" s="348">
        <f t="shared" ca="1" si="745"/>
        <v>146</v>
      </c>
      <c r="EX412" s="348">
        <f t="shared" ca="1" si="745"/>
        <v>147</v>
      </c>
      <c r="EY412" s="348">
        <f t="shared" ca="1" si="745"/>
        <v>148</v>
      </c>
      <c r="EZ412" s="348">
        <f t="shared" ca="1" si="745"/>
        <v>149</v>
      </c>
      <c r="FA412" s="348">
        <f t="shared" ca="1" si="745"/>
        <v>150</v>
      </c>
      <c r="FB412" s="348">
        <f t="shared" ca="1" si="745"/>
        <v>151</v>
      </c>
      <c r="FC412" s="348">
        <f t="shared" ca="1" si="745"/>
        <v>152</v>
      </c>
      <c r="FD412" s="348">
        <f t="shared" ca="1" si="745"/>
        <v>153</v>
      </c>
      <c r="FE412" s="348">
        <f t="shared" ca="1" si="745"/>
        <v>154</v>
      </c>
      <c r="FF412" s="348">
        <f t="shared" ca="1" si="745"/>
        <v>155</v>
      </c>
      <c r="FG412" s="348">
        <f t="shared" ca="1" si="745"/>
        <v>156</v>
      </c>
      <c r="FH412" s="348">
        <f t="shared" ca="1" si="745"/>
        <v>157</v>
      </c>
      <c r="FI412" s="348">
        <f t="shared" ca="1" si="745"/>
        <v>158</v>
      </c>
      <c r="FJ412" s="348">
        <f t="shared" ca="1" si="745"/>
        <v>159</v>
      </c>
      <c r="FK412" s="348">
        <f t="shared" ca="1" si="745"/>
        <v>160</v>
      </c>
      <c r="FL412" s="348">
        <f t="shared" ca="1" si="745"/>
        <v>161</v>
      </c>
      <c r="FM412" s="348">
        <f t="shared" ca="1" si="745"/>
        <v>162</v>
      </c>
      <c r="FN412" s="348">
        <f t="shared" ca="1" si="745"/>
        <v>163</v>
      </c>
      <c r="FO412" s="348">
        <f t="shared" ca="1" si="745"/>
        <v>164</v>
      </c>
      <c r="FP412" s="348">
        <f t="shared" ca="1" si="745"/>
        <v>165</v>
      </c>
      <c r="FQ412" s="348">
        <f t="shared" ca="1" si="745"/>
        <v>166</v>
      </c>
      <c r="FR412" s="348">
        <f t="shared" ca="1" si="745"/>
        <v>167</v>
      </c>
      <c r="FS412" s="348">
        <f t="shared" ca="1" si="745"/>
        <v>168</v>
      </c>
      <c r="FT412" s="348">
        <f t="shared" ca="1" si="745"/>
        <v>169</v>
      </c>
      <c r="FU412" s="348">
        <f t="shared" ca="1" si="745"/>
        <v>170</v>
      </c>
      <c r="FV412" s="348">
        <f t="shared" ca="1" si="745"/>
        <v>171</v>
      </c>
      <c r="FW412" s="348">
        <f t="shared" ca="1" si="745"/>
        <v>172</v>
      </c>
      <c r="FX412" s="348">
        <f t="shared" ca="1" si="745"/>
        <v>173</v>
      </c>
      <c r="FY412" s="348">
        <f t="shared" ca="1" si="745"/>
        <v>174</v>
      </c>
      <c r="FZ412" s="348">
        <f t="shared" ca="1" si="745"/>
        <v>175</v>
      </c>
      <c r="GA412" s="348">
        <f t="shared" ca="1" si="745"/>
        <v>176</v>
      </c>
      <c r="GB412" s="348">
        <f t="shared" ca="1" si="745"/>
        <v>177</v>
      </c>
      <c r="GC412" s="348">
        <f t="shared" ca="1" si="745"/>
        <v>178</v>
      </c>
      <c r="GD412" s="348">
        <f t="shared" ca="1" si="745"/>
        <v>179</v>
      </c>
      <c r="GE412" s="348">
        <f t="shared" ca="1" si="745"/>
        <v>180</v>
      </c>
      <c r="GF412" s="348">
        <f t="shared" ca="1" si="745"/>
        <v>181</v>
      </c>
      <c r="GG412" s="348">
        <f t="shared" ca="1" si="745"/>
        <v>182</v>
      </c>
      <c r="GH412" s="348">
        <f t="shared" ca="1" si="745"/>
        <v>183</v>
      </c>
      <c r="GI412" s="348">
        <f t="shared" ca="1" si="745"/>
        <v>184</v>
      </c>
      <c r="GJ412" s="348">
        <f t="shared" ca="1" si="745"/>
        <v>185</v>
      </c>
      <c r="GK412" s="348">
        <f t="shared" ca="1" si="745"/>
        <v>186</v>
      </c>
      <c r="GL412" s="348">
        <f t="shared" ca="1" si="745"/>
        <v>187</v>
      </c>
      <c r="GM412" s="348">
        <f t="shared" ca="1" si="745"/>
        <v>188</v>
      </c>
      <c r="GN412" s="348">
        <f t="shared" ca="1" si="745"/>
        <v>189</v>
      </c>
      <c r="GO412" s="348">
        <f t="shared" ca="1" si="745"/>
        <v>190</v>
      </c>
      <c r="GP412" s="348">
        <f t="shared" ca="1" si="745"/>
        <v>191</v>
      </c>
      <c r="GQ412" s="348">
        <f t="shared" ca="1" si="745"/>
        <v>192</v>
      </c>
      <c r="GR412" s="348">
        <f t="shared" ref="GR412:IK412" ca="1" si="746">IF(GR409=1,GR410,0)</f>
        <v>193</v>
      </c>
      <c r="GS412" s="348">
        <f t="shared" ca="1" si="746"/>
        <v>194</v>
      </c>
      <c r="GT412" s="348">
        <f t="shared" ca="1" si="746"/>
        <v>195</v>
      </c>
      <c r="GU412" s="348">
        <f t="shared" ca="1" si="746"/>
        <v>196</v>
      </c>
      <c r="GV412" s="348">
        <f t="shared" ca="1" si="746"/>
        <v>197</v>
      </c>
      <c r="GW412" s="348">
        <f t="shared" ca="1" si="746"/>
        <v>198</v>
      </c>
      <c r="GX412" s="348">
        <f t="shared" ca="1" si="746"/>
        <v>199</v>
      </c>
      <c r="GY412" s="348">
        <f t="shared" ca="1" si="746"/>
        <v>200</v>
      </c>
      <c r="GZ412" s="348">
        <f t="shared" ca="1" si="746"/>
        <v>201</v>
      </c>
      <c r="HA412" s="348">
        <f t="shared" ca="1" si="746"/>
        <v>202</v>
      </c>
      <c r="HB412" s="348">
        <f t="shared" ca="1" si="746"/>
        <v>203</v>
      </c>
      <c r="HC412" s="348">
        <f t="shared" ca="1" si="746"/>
        <v>204</v>
      </c>
      <c r="HD412" s="348">
        <f t="shared" ca="1" si="746"/>
        <v>205</v>
      </c>
      <c r="HE412" s="348">
        <f t="shared" ca="1" si="746"/>
        <v>206</v>
      </c>
      <c r="HF412" s="348">
        <f t="shared" ca="1" si="746"/>
        <v>207</v>
      </c>
      <c r="HG412" s="348">
        <f t="shared" ca="1" si="746"/>
        <v>208</v>
      </c>
      <c r="HH412" s="348">
        <f t="shared" ca="1" si="746"/>
        <v>209</v>
      </c>
      <c r="HI412" s="348">
        <f t="shared" ca="1" si="746"/>
        <v>210</v>
      </c>
      <c r="HJ412" s="348">
        <f t="shared" ca="1" si="746"/>
        <v>211</v>
      </c>
      <c r="HK412" s="348">
        <f t="shared" ca="1" si="746"/>
        <v>212</v>
      </c>
      <c r="HL412" s="348">
        <f t="shared" ca="1" si="746"/>
        <v>213</v>
      </c>
      <c r="HM412" s="348">
        <f t="shared" ca="1" si="746"/>
        <v>214</v>
      </c>
      <c r="HN412" s="348">
        <f t="shared" ca="1" si="746"/>
        <v>215</v>
      </c>
      <c r="HO412" s="348">
        <f t="shared" ca="1" si="746"/>
        <v>216</v>
      </c>
      <c r="HP412" s="348">
        <f t="shared" ca="1" si="746"/>
        <v>217</v>
      </c>
      <c r="HQ412" s="348">
        <f t="shared" ca="1" si="746"/>
        <v>218</v>
      </c>
      <c r="HR412" s="348">
        <f t="shared" ca="1" si="746"/>
        <v>219</v>
      </c>
      <c r="HS412" s="348">
        <f t="shared" ca="1" si="746"/>
        <v>220</v>
      </c>
      <c r="HT412" s="348">
        <f t="shared" ca="1" si="746"/>
        <v>221</v>
      </c>
      <c r="HU412" s="348">
        <f t="shared" ca="1" si="746"/>
        <v>222</v>
      </c>
      <c r="HV412" s="348">
        <f t="shared" ca="1" si="746"/>
        <v>223</v>
      </c>
      <c r="HW412" s="348">
        <f t="shared" ca="1" si="746"/>
        <v>224</v>
      </c>
      <c r="HX412" s="348">
        <f t="shared" ca="1" si="746"/>
        <v>225</v>
      </c>
      <c r="HY412" s="348">
        <f t="shared" ca="1" si="746"/>
        <v>226</v>
      </c>
      <c r="HZ412" s="348">
        <f t="shared" ca="1" si="746"/>
        <v>227</v>
      </c>
      <c r="IA412" s="348">
        <f t="shared" ca="1" si="746"/>
        <v>228</v>
      </c>
      <c r="IB412" s="348">
        <f t="shared" ca="1" si="746"/>
        <v>229</v>
      </c>
      <c r="IC412" s="348">
        <f t="shared" ca="1" si="746"/>
        <v>230</v>
      </c>
      <c r="ID412" s="348">
        <f t="shared" ca="1" si="746"/>
        <v>231</v>
      </c>
      <c r="IE412" s="348">
        <f t="shared" ca="1" si="746"/>
        <v>232</v>
      </c>
      <c r="IF412" s="348">
        <f t="shared" ca="1" si="746"/>
        <v>233</v>
      </c>
      <c r="IG412" s="348">
        <f t="shared" ca="1" si="746"/>
        <v>234</v>
      </c>
      <c r="IH412" s="348">
        <f t="shared" ca="1" si="746"/>
        <v>235</v>
      </c>
      <c r="II412" s="348">
        <f t="shared" ca="1" si="746"/>
        <v>236</v>
      </c>
      <c r="IJ412" s="348">
        <f t="shared" ca="1" si="746"/>
        <v>237</v>
      </c>
      <c r="IK412" s="348">
        <f t="shared" ca="1" si="746"/>
        <v>238</v>
      </c>
    </row>
  </sheetData>
  <sheetProtection algorithmName="SHA-512" hashValue="wS2lVE3gfGGVLFUayUegbjWpwGaQHPsTyg6ciK1g0Eb33xx1Czi/Nl6vM7/KGrmWwreRaQx2olOHjxurDlKIkg==" saltValue="eAhZZvSJdxXLIB/QoWvR2A==" spinCount="100000" sheet="1" autoFilter="0"/>
  <protectedRanges>
    <protectedRange sqref="GH3:GN3" name="Intervalo5"/>
    <protectedRange sqref="Q2:AI2" name="Intervalo6"/>
    <protectedRange sqref="Y4:AB4 H4" name="Intervalo4"/>
    <protectedRange sqref="F30:G30 F114:G114 F116:G116 F198:G198 F200:G200 F282:G282 F284:G284 F32:G32 F34:G34 F36:G36 F38:G38 F118:G118 F120:G120 F122:G122 F202:G202 F204:G204 F206:G206 F286:G286 F288:G288 F290:G290" name="Intervalo1"/>
  </protectedRanges>
  <autoFilter ref="A12:A412" xr:uid="{C574FEE8-8872-4E92-9B0F-79B7A2575305}">
    <filterColumn colId="0">
      <customFilters>
        <customFilter operator="notEqual" val=" "/>
      </customFilters>
    </filterColumn>
  </autoFilter>
  <mergeCells count="11219">
    <mergeCell ref="C376:D376"/>
    <mergeCell ref="F376:G376"/>
    <mergeCell ref="C381:D381"/>
    <mergeCell ref="F381:G381"/>
    <mergeCell ref="C386:D386"/>
    <mergeCell ref="F386:G386"/>
    <mergeCell ref="F348:G348"/>
    <mergeCell ref="C348:D348"/>
    <mergeCell ref="C349:D349"/>
    <mergeCell ref="F349:G349"/>
    <mergeCell ref="C350:D350"/>
    <mergeCell ref="F350:G350"/>
    <mergeCell ref="C355:D355"/>
    <mergeCell ref="F355:G355"/>
    <mergeCell ref="C356:D356"/>
    <mergeCell ref="F356:G356"/>
    <mergeCell ref="C357:D357"/>
    <mergeCell ref="F357:G357"/>
    <mergeCell ref="C362:D362"/>
    <mergeCell ref="F362:G362"/>
    <mergeCell ref="C363:D363"/>
    <mergeCell ref="F363:G363"/>
    <mergeCell ref="C364:D364"/>
    <mergeCell ref="F364:G364"/>
    <mergeCell ref="C373:D373"/>
    <mergeCell ref="F373:G373"/>
    <mergeCell ref="C371:D371"/>
    <mergeCell ref="F371:G371"/>
    <mergeCell ref="C375:D375"/>
    <mergeCell ref="F375:G375"/>
    <mergeCell ref="C378:D378"/>
    <mergeCell ref="F378:G378"/>
    <mergeCell ref="C380:D380"/>
    <mergeCell ref="F380:G380"/>
    <mergeCell ref="C383:D383"/>
    <mergeCell ref="F383:G383"/>
    <mergeCell ref="C385:D385"/>
    <mergeCell ref="F385:G385"/>
    <mergeCell ref="GH3:GN3"/>
    <mergeCell ref="GO3:GR3"/>
    <mergeCell ref="IH283:IH284"/>
    <mergeCell ref="II283:II284"/>
    <mergeCell ref="HW283:HW284"/>
    <mergeCell ref="HX283:HX284"/>
    <mergeCell ref="HY283:HY284"/>
    <mergeCell ref="HZ283:HZ284"/>
    <mergeCell ref="IA283:IA284"/>
    <mergeCell ref="HP283:HP284"/>
    <mergeCell ref="FO283:FO284"/>
    <mergeCell ref="FP283:FP284"/>
    <mergeCell ref="FQ283:FQ284"/>
    <mergeCell ref="FR283:FR284"/>
    <mergeCell ref="FS283:FS284"/>
    <mergeCell ref="FH283:FH284"/>
    <mergeCell ref="FI283:FI284"/>
    <mergeCell ref="FJ283:FJ284"/>
    <mergeCell ref="FK283:FK284"/>
    <mergeCell ref="FL283:FL284"/>
    <mergeCell ref="FM283:FM284"/>
    <mergeCell ref="FB283:FB284"/>
    <mergeCell ref="FC283:FC284"/>
    <mergeCell ref="FD283:FD284"/>
    <mergeCell ref="FE283:FE284"/>
    <mergeCell ref="FF283:FF284"/>
    <mergeCell ref="FG283:FG284"/>
    <mergeCell ref="EV283:EV284"/>
    <mergeCell ref="EW283:EW284"/>
    <mergeCell ref="EX283:EX284"/>
    <mergeCell ref="EY283:EY284"/>
    <mergeCell ref="EZ283:EZ284"/>
    <mergeCell ref="FA283:FA284"/>
    <mergeCell ref="FX283:FX284"/>
    <mergeCell ref="FY283:FY284"/>
    <mergeCell ref="FN283:FN284"/>
    <mergeCell ref="HG281:HG282"/>
    <mergeCell ref="HH281:HH282"/>
    <mergeCell ref="HI281:HI282"/>
    <mergeCell ref="HJ281:HJ282"/>
    <mergeCell ref="HK281:HK282"/>
    <mergeCell ref="HL281:HL282"/>
    <mergeCell ref="HA281:HA282"/>
    <mergeCell ref="HB281:HB282"/>
    <mergeCell ref="HC281:HC282"/>
    <mergeCell ref="HD281:HD282"/>
    <mergeCell ref="HE281:HE282"/>
    <mergeCell ref="HF281:HF282"/>
    <mergeCell ref="GU281:GU282"/>
    <mergeCell ref="GV281:GV282"/>
    <mergeCell ref="GW281:GW282"/>
    <mergeCell ref="GX281:GX282"/>
    <mergeCell ref="GY281:GY282"/>
    <mergeCell ref="GZ281:GZ282"/>
    <mergeCell ref="GO281:GO282"/>
    <mergeCell ref="GP281:GP282"/>
    <mergeCell ref="GQ281:GQ282"/>
    <mergeCell ref="GR281:GR282"/>
    <mergeCell ref="GS281:GS282"/>
    <mergeCell ref="GT281:GT282"/>
    <mergeCell ref="GI281:GI282"/>
    <mergeCell ref="GJ281:GJ282"/>
    <mergeCell ref="GK281:GK282"/>
    <mergeCell ref="GL281:GL282"/>
    <mergeCell ref="IJ283:IJ284"/>
    <mergeCell ref="IK283:IK284"/>
    <mergeCell ref="F284:G284"/>
    <mergeCell ref="IB283:IB284"/>
    <mergeCell ref="IC283:IC284"/>
    <mergeCell ref="ID283:ID284"/>
    <mergeCell ref="IE283:IE284"/>
    <mergeCell ref="IF283:IF284"/>
    <mergeCell ref="IG283:IG284"/>
    <mergeCell ref="HV283:HV284"/>
    <mergeCell ref="HQ283:HQ284"/>
    <mergeCell ref="HR283:HR284"/>
    <mergeCell ref="HS283:HS284"/>
    <mergeCell ref="HT283:HT284"/>
    <mergeCell ref="HU283:HU284"/>
    <mergeCell ref="HJ283:HJ284"/>
    <mergeCell ref="HK283:HK284"/>
    <mergeCell ref="HL283:HL284"/>
    <mergeCell ref="HM283:HM284"/>
    <mergeCell ref="HN283:HN284"/>
    <mergeCell ref="HO283:HO284"/>
    <mergeCell ref="HD283:HD284"/>
    <mergeCell ref="HE283:HE284"/>
    <mergeCell ref="HF283:HF284"/>
    <mergeCell ref="HG283:HG284"/>
    <mergeCell ref="HH283:HH284"/>
    <mergeCell ref="HI283:HI284"/>
    <mergeCell ref="GX283:GX284"/>
    <mergeCell ref="GY283:GY284"/>
    <mergeCell ref="GZ283:GZ284"/>
    <mergeCell ref="HA283:HA284"/>
    <mergeCell ref="HB283:HB284"/>
    <mergeCell ref="HC283:HC284"/>
    <mergeCell ref="GR283:GR284"/>
    <mergeCell ref="GS283:GS284"/>
    <mergeCell ref="GT283:GT284"/>
    <mergeCell ref="GU283:GU284"/>
    <mergeCell ref="GV283:GV284"/>
    <mergeCell ref="GW283:GW284"/>
    <mergeCell ref="GL283:GL284"/>
    <mergeCell ref="GM283:GM284"/>
    <mergeCell ref="GN283:GN284"/>
    <mergeCell ref="GO283:GO284"/>
    <mergeCell ref="GP283:GP284"/>
    <mergeCell ref="GQ283:GQ284"/>
    <mergeCell ref="GF283:GF284"/>
    <mergeCell ref="GG283:GG284"/>
    <mergeCell ref="GH283:GH284"/>
    <mergeCell ref="GI283:GI284"/>
    <mergeCell ref="GJ283:GJ284"/>
    <mergeCell ref="GK283:GK284"/>
    <mergeCell ref="FZ283:FZ284"/>
    <mergeCell ref="GA283:GA284"/>
    <mergeCell ref="GB283:GB284"/>
    <mergeCell ref="GC283:GC284"/>
    <mergeCell ref="GD283:GD284"/>
    <mergeCell ref="GE283:GE284"/>
    <mergeCell ref="FT283:FT284"/>
    <mergeCell ref="FU283:FU284"/>
    <mergeCell ref="FV283:FV284"/>
    <mergeCell ref="FW283:FW284"/>
    <mergeCell ref="ES283:ES284"/>
    <mergeCell ref="ET283:ET284"/>
    <mergeCell ref="EU283:EU284"/>
    <mergeCell ref="EJ283:EJ284"/>
    <mergeCell ref="EK283:EK284"/>
    <mergeCell ref="EL283:EL284"/>
    <mergeCell ref="EM283:EM284"/>
    <mergeCell ref="EN283:EN284"/>
    <mergeCell ref="EO283:EO284"/>
    <mergeCell ref="ED283:ED284"/>
    <mergeCell ref="EE283:EE284"/>
    <mergeCell ref="EF283:EF284"/>
    <mergeCell ref="EG283:EG284"/>
    <mergeCell ref="EH283:EH284"/>
    <mergeCell ref="EI283:EI284"/>
    <mergeCell ref="DX283:DX284"/>
    <mergeCell ref="DY283:DY284"/>
    <mergeCell ref="DZ283:DZ284"/>
    <mergeCell ref="EA283:EA284"/>
    <mergeCell ref="EB283:EB284"/>
    <mergeCell ref="EC283:EC284"/>
    <mergeCell ref="DR283:DR284"/>
    <mergeCell ref="DS283:DS284"/>
    <mergeCell ref="DT283:DT284"/>
    <mergeCell ref="DU283:DU284"/>
    <mergeCell ref="DV283:DV284"/>
    <mergeCell ref="DW283:DW284"/>
    <mergeCell ref="DL283:DL284"/>
    <mergeCell ref="DM283:DM284"/>
    <mergeCell ref="DN283:DN284"/>
    <mergeCell ref="DO283:DO284"/>
    <mergeCell ref="DP283:DP284"/>
    <mergeCell ref="DQ283:DQ284"/>
    <mergeCell ref="EP283:EP284"/>
    <mergeCell ref="EQ283:EQ284"/>
    <mergeCell ref="ER283:ER284"/>
    <mergeCell ref="DF283:DF284"/>
    <mergeCell ref="DG283:DG284"/>
    <mergeCell ref="DH283:DH284"/>
    <mergeCell ref="DI283:DI284"/>
    <mergeCell ref="DJ283:DJ284"/>
    <mergeCell ref="DK283:DK284"/>
    <mergeCell ref="CZ283:CZ284"/>
    <mergeCell ref="DA283:DA284"/>
    <mergeCell ref="DB283:DB284"/>
    <mergeCell ref="DC283:DC284"/>
    <mergeCell ref="DD283:DD284"/>
    <mergeCell ref="DE283:DE284"/>
    <mergeCell ref="CT283:CT284"/>
    <mergeCell ref="CU283:CU284"/>
    <mergeCell ref="CV283:CV284"/>
    <mergeCell ref="CW283:CW284"/>
    <mergeCell ref="CX283:CX284"/>
    <mergeCell ref="CY283:CY284"/>
    <mergeCell ref="CN283:CN284"/>
    <mergeCell ref="CO283:CO284"/>
    <mergeCell ref="CP283:CP284"/>
    <mergeCell ref="CQ283:CQ284"/>
    <mergeCell ref="CR283:CR284"/>
    <mergeCell ref="CS283:CS284"/>
    <mergeCell ref="CH283:CH284"/>
    <mergeCell ref="CI283:CI284"/>
    <mergeCell ref="CJ283:CJ284"/>
    <mergeCell ref="CK283:CK284"/>
    <mergeCell ref="CL283:CL284"/>
    <mergeCell ref="CM283:CM284"/>
    <mergeCell ref="CB283:CB284"/>
    <mergeCell ref="CC283:CC284"/>
    <mergeCell ref="CD283:CD284"/>
    <mergeCell ref="CE283:CE284"/>
    <mergeCell ref="CF283:CF284"/>
    <mergeCell ref="CG283:CG284"/>
    <mergeCell ref="BV283:BV284"/>
    <mergeCell ref="BW283:BW284"/>
    <mergeCell ref="BX283:BX284"/>
    <mergeCell ref="BY283:BY284"/>
    <mergeCell ref="BZ283:BZ284"/>
    <mergeCell ref="CA283:CA284"/>
    <mergeCell ref="BP283:BP284"/>
    <mergeCell ref="BQ283:BQ284"/>
    <mergeCell ref="BR283:BR284"/>
    <mergeCell ref="BS283:BS284"/>
    <mergeCell ref="BT283:BT284"/>
    <mergeCell ref="BU283:BU284"/>
    <mergeCell ref="BJ283:BJ284"/>
    <mergeCell ref="BK283:BK284"/>
    <mergeCell ref="BL283:BL284"/>
    <mergeCell ref="BM283:BM284"/>
    <mergeCell ref="BN283:BN284"/>
    <mergeCell ref="BO283:BO284"/>
    <mergeCell ref="BD283:BD284"/>
    <mergeCell ref="BE283:BE284"/>
    <mergeCell ref="BF283:BF284"/>
    <mergeCell ref="BG283:BG284"/>
    <mergeCell ref="BH283:BH284"/>
    <mergeCell ref="BI283:BI284"/>
    <mergeCell ref="AX283:AX284"/>
    <mergeCell ref="AY283:AY284"/>
    <mergeCell ref="AZ283:AZ284"/>
    <mergeCell ref="BA283:BA284"/>
    <mergeCell ref="BB283:BB284"/>
    <mergeCell ref="BC283:BC284"/>
    <mergeCell ref="AR283:AR284"/>
    <mergeCell ref="AS283:AS284"/>
    <mergeCell ref="AT283:AT284"/>
    <mergeCell ref="AU283:AU284"/>
    <mergeCell ref="AV283:AV284"/>
    <mergeCell ref="AW283:AW284"/>
    <mergeCell ref="AL283:AL284"/>
    <mergeCell ref="AM283:AM284"/>
    <mergeCell ref="AN283:AN284"/>
    <mergeCell ref="AO283:AO284"/>
    <mergeCell ref="AP283:AP284"/>
    <mergeCell ref="AQ283:AQ284"/>
    <mergeCell ref="AF283:AF284"/>
    <mergeCell ref="AG283:AG284"/>
    <mergeCell ref="AH283:AH284"/>
    <mergeCell ref="AI283:AI284"/>
    <mergeCell ref="AJ283:AJ284"/>
    <mergeCell ref="AK283:AK284"/>
    <mergeCell ref="Z283:Z284"/>
    <mergeCell ref="AA283:AA284"/>
    <mergeCell ref="AB283:AB284"/>
    <mergeCell ref="AC283:AC284"/>
    <mergeCell ref="AD283:AD284"/>
    <mergeCell ref="AE283:AE284"/>
    <mergeCell ref="T283:T284"/>
    <mergeCell ref="U283:U284"/>
    <mergeCell ref="V283:V284"/>
    <mergeCell ref="W283:W284"/>
    <mergeCell ref="X283:X284"/>
    <mergeCell ref="Y283:Y284"/>
    <mergeCell ref="N283:N284"/>
    <mergeCell ref="O283:O284"/>
    <mergeCell ref="P283:P284"/>
    <mergeCell ref="Q283:Q284"/>
    <mergeCell ref="R283:R284"/>
    <mergeCell ref="S283:S284"/>
    <mergeCell ref="IK281:IK282"/>
    <mergeCell ref="F282:G282"/>
    <mergeCell ref="B283:B284"/>
    <mergeCell ref="C283:C284"/>
    <mergeCell ref="H283:H284"/>
    <mergeCell ref="I283:I284"/>
    <mergeCell ref="J283:J284"/>
    <mergeCell ref="K283:K284"/>
    <mergeCell ref="L283:L284"/>
    <mergeCell ref="M283:M284"/>
    <mergeCell ref="IE281:IE282"/>
    <mergeCell ref="IF281:IF282"/>
    <mergeCell ref="IG281:IG282"/>
    <mergeCell ref="IH281:IH282"/>
    <mergeCell ref="II281:II282"/>
    <mergeCell ref="IJ281:IJ282"/>
    <mergeCell ref="HY281:HY282"/>
    <mergeCell ref="HZ281:HZ282"/>
    <mergeCell ref="IA281:IA282"/>
    <mergeCell ref="IB281:IB282"/>
    <mergeCell ref="IC281:IC282"/>
    <mergeCell ref="ID281:ID282"/>
    <mergeCell ref="HS281:HS282"/>
    <mergeCell ref="HT281:HT282"/>
    <mergeCell ref="HU281:HU282"/>
    <mergeCell ref="HV281:HV282"/>
    <mergeCell ref="HW281:HW282"/>
    <mergeCell ref="HX281:HX282"/>
    <mergeCell ref="HM281:HM282"/>
    <mergeCell ref="HN281:HN282"/>
    <mergeCell ref="HO281:HO282"/>
    <mergeCell ref="HP281:HP282"/>
    <mergeCell ref="HQ281:HQ282"/>
    <mergeCell ref="HR281:HR282"/>
    <mergeCell ref="GM281:GM282"/>
    <mergeCell ref="GN281:GN282"/>
    <mergeCell ref="GC281:GC282"/>
    <mergeCell ref="GD281:GD282"/>
    <mergeCell ref="GE281:GE282"/>
    <mergeCell ref="GF281:GF282"/>
    <mergeCell ref="GG281:GG282"/>
    <mergeCell ref="GH281:GH282"/>
    <mergeCell ref="FW281:FW282"/>
    <mergeCell ref="FX281:FX282"/>
    <mergeCell ref="FY281:FY282"/>
    <mergeCell ref="FZ281:FZ282"/>
    <mergeCell ref="GA281:GA282"/>
    <mergeCell ref="GB281:GB282"/>
    <mergeCell ref="FQ281:FQ282"/>
    <mergeCell ref="FR281:FR282"/>
    <mergeCell ref="FS281:FS282"/>
    <mergeCell ref="FT281:FT282"/>
    <mergeCell ref="FU281:FU282"/>
    <mergeCell ref="FV281:FV282"/>
    <mergeCell ref="FK281:FK282"/>
    <mergeCell ref="FL281:FL282"/>
    <mergeCell ref="FM281:FM282"/>
    <mergeCell ref="FN281:FN282"/>
    <mergeCell ref="FO281:FO282"/>
    <mergeCell ref="FP281:FP282"/>
    <mergeCell ref="FE281:FE282"/>
    <mergeCell ref="FF281:FF282"/>
    <mergeCell ref="FG281:FG282"/>
    <mergeCell ref="FH281:FH282"/>
    <mergeCell ref="FI281:FI282"/>
    <mergeCell ref="FJ281:FJ282"/>
    <mergeCell ref="EY281:EY282"/>
    <mergeCell ref="EZ281:EZ282"/>
    <mergeCell ref="FA281:FA282"/>
    <mergeCell ref="FB281:FB282"/>
    <mergeCell ref="FC281:FC282"/>
    <mergeCell ref="FD281:FD282"/>
    <mergeCell ref="ES281:ES282"/>
    <mergeCell ref="ET281:ET282"/>
    <mergeCell ref="EU281:EU282"/>
    <mergeCell ref="EV281:EV282"/>
    <mergeCell ref="EW281:EW282"/>
    <mergeCell ref="EX281:EX282"/>
    <mergeCell ref="EM281:EM282"/>
    <mergeCell ref="EN281:EN282"/>
    <mergeCell ref="EO281:EO282"/>
    <mergeCell ref="EP281:EP282"/>
    <mergeCell ref="EQ281:EQ282"/>
    <mergeCell ref="ER281:ER282"/>
    <mergeCell ref="EG281:EG282"/>
    <mergeCell ref="EH281:EH282"/>
    <mergeCell ref="EI281:EI282"/>
    <mergeCell ref="EJ281:EJ282"/>
    <mergeCell ref="EK281:EK282"/>
    <mergeCell ref="EL281:EL282"/>
    <mergeCell ref="EA281:EA282"/>
    <mergeCell ref="EB281:EB282"/>
    <mergeCell ref="EC281:EC282"/>
    <mergeCell ref="ED281:ED282"/>
    <mergeCell ref="EE281:EE282"/>
    <mergeCell ref="EF281:EF282"/>
    <mergeCell ref="DU281:DU282"/>
    <mergeCell ref="DV281:DV282"/>
    <mergeCell ref="DW281:DW282"/>
    <mergeCell ref="DX281:DX282"/>
    <mergeCell ref="DY281:DY282"/>
    <mergeCell ref="DZ281:DZ282"/>
    <mergeCell ref="DO281:DO282"/>
    <mergeCell ref="DP281:DP282"/>
    <mergeCell ref="DQ281:DQ282"/>
    <mergeCell ref="DR281:DR282"/>
    <mergeCell ref="DS281:DS282"/>
    <mergeCell ref="DT281:DT282"/>
    <mergeCell ref="DI281:DI282"/>
    <mergeCell ref="DJ281:DJ282"/>
    <mergeCell ref="DK281:DK282"/>
    <mergeCell ref="DL281:DL282"/>
    <mergeCell ref="DM281:DM282"/>
    <mergeCell ref="DN281:DN282"/>
    <mergeCell ref="DC281:DC282"/>
    <mergeCell ref="DD281:DD282"/>
    <mergeCell ref="DE281:DE282"/>
    <mergeCell ref="DF281:DF282"/>
    <mergeCell ref="DG281:DG282"/>
    <mergeCell ref="DH281:DH282"/>
    <mergeCell ref="CW281:CW282"/>
    <mergeCell ref="CX281:CX282"/>
    <mergeCell ref="CY281:CY282"/>
    <mergeCell ref="CZ281:CZ282"/>
    <mergeCell ref="DA281:DA282"/>
    <mergeCell ref="DB281:DB282"/>
    <mergeCell ref="CQ281:CQ282"/>
    <mergeCell ref="CR281:CR282"/>
    <mergeCell ref="CS281:CS282"/>
    <mergeCell ref="CT281:CT282"/>
    <mergeCell ref="CU281:CU282"/>
    <mergeCell ref="CV281:CV282"/>
    <mergeCell ref="CK281:CK282"/>
    <mergeCell ref="CL281:CL282"/>
    <mergeCell ref="CM281:CM282"/>
    <mergeCell ref="CN281:CN282"/>
    <mergeCell ref="CO281:CO282"/>
    <mergeCell ref="CP281:CP282"/>
    <mergeCell ref="CE281:CE282"/>
    <mergeCell ref="CF281:CF282"/>
    <mergeCell ref="CG281:CG282"/>
    <mergeCell ref="CH281:CH282"/>
    <mergeCell ref="CI281:CI282"/>
    <mergeCell ref="CJ281:CJ282"/>
    <mergeCell ref="BY281:BY282"/>
    <mergeCell ref="BZ281:BZ282"/>
    <mergeCell ref="CA281:CA282"/>
    <mergeCell ref="CB281:CB282"/>
    <mergeCell ref="CC281:CC282"/>
    <mergeCell ref="CD281:CD282"/>
    <mergeCell ref="BU281:BU282"/>
    <mergeCell ref="BV281:BV282"/>
    <mergeCell ref="BW281:BW282"/>
    <mergeCell ref="BX281:BX282"/>
    <mergeCell ref="BM281:BM282"/>
    <mergeCell ref="BN281:BN282"/>
    <mergeCell ref="BO281:BO282"/>
    <mergeCell ref="BP281:BP282"/>
    <mergeCell ref="BQ281:BQ282"/>
    <mergeCell ref="BR281:BR282"/>
    <mergeCell ref="BG281:BG282"/>
    <mergeCell ref="BH281:BH282"/>
    <mergeCell ref="BI281:BI282"/>
    <mergeCell ref="BJ281:BJ282"/>
    <mergeCell ref="BK281:BK282"/>
    <mergeCell ref="BL281:BL282"/>
    <mergeCell ref="BA281:BA282"/>
    <mergeCell ref="BB281:BB282"/>
    <mergeCell ref="BC281:BC282"/>
    <mergeCell ref="BD281:BD282"/>
    <mergeCell ref="BE281:BE282"/>
    <mergeCell ref="BF281:BF282"/>
    <mergeCell ref="AU281:AU282"/>
    <mergeCell ref="AV281:AV282"/>
    <mergeCell ref="AW281:AW282"/>
    <mergeCell ref="AX281:AX282"/>
    <mergeCell ref="AY281:AY282"/>
    <mergeCell ref="AZ281:AZ282"/>
    <mergeCell ref="BS281:BS282"/>
    <mergeCell ref="BT281:BT282"/>
    <mergeCell ref="AO281:AO282"/>
    <mergeCell ref="AP281:AP282"/>
    <mergeCell ref="AQ281:AQ282"/>
    <mergeCell ref="AR281:AR282"/>
    <mergeCell ref="AS281:AS282"/>
    <mergeCell ref="AT281:AT282"/>
    <mergeCell ref="AK281:AK282"/>
    <mergeCell ref="AL281:AL282"/>
    <mergeCell ref="AM281:AM282"/>
    <mergeCell ref="AN281:AN282"/>
    <mergeCell ref="AC281:AC282"/>
    <mergeCell ref="AD281:AD282"/>
    <mergeCell ref="AE281:AE282"/>
    <mergeCell ref="AF281:AF282"/>
    <mergeCell ref="AG281:AG282"/>
    <mergeCell ref="AH281:AH282"/>
    <mergeCell ref="W281:W282"/>
    <mergeCell ref="X281:X282"/>
    <mergeCell ref="Y281:Y282"/>
    <mergeCell ref="Z281:Z282"/>
    <mergeCell ref="AA281:AA282"/>
    <mergeCell ref="AB281:AB282"/>
    <mergeCell ref="Q281:Q282"/>
    <mergeCell ref="R281:R282"/>
    <mergeCell ref="S281:S282"/>
    <mergeCell ref="T281:T282"/>
    <mergeCell ref="U281:U282"/>
    <mergeCell ref="V281:V282"/>
    <mergeCell ref="K281:K282"/>
    <mergeCell ref="L281:L282"/>
    <mergeCell ref="M281:M282"/>
    <mergeCell ref="N281:N282"/>
    <mergeCell ref="O281:O282"/>
    <mergeCell ref="P281:P282"/>
    <mergeCell ref="IG279:IG280"/>
    <mergeCell ref="IH279:IH280"/>
    <mergeCell ref="II279:II280"/>
    <mergeCell ref="GB279:GB280"/>
    <mergeCell ref="GC279:GC280"/>
    <mergeCell ref="GD279:GD280"/>
    <mergeCell ref="FS279:FS280"/>
    <mergeCell ref="FT279:FT280"/>
    <mergeCell ref="FU279:FU280"/>
    <mergeCell ref="FV279:FV280"/>
    <mergeCell ref="FW279:FW280"/>
    <mergeCell ref="FX279:FX280"/>
    <mergeCell ref="FM279:FM280"/>
    <mergeCell ref="FN279:FN280"/>
    <mergeCell ref="FO279:FO280"/>
    <mergeCell ref="FP279:FP280"/>
    <mergeCell ref="FQ279:FQ280"/>
    <mergeCell ref="FR279:FR280"/>
    <mergeCell ref="FG279:FG280"/>
    <mergeCell ref="FH279:FH280"/>
    <mergeCell ref="FI279:FI280"/>
    <mergeCell ref="FJ279:FJ280"/>
    <mergeCell ref="FK279:FK280"/>
    <mergeCell ref="FL279:FL280"/>
    <mergeCell ref="FA279:FA280"/>
    <mergeCell ref="FB279:FB280"/>
    <mergeCell ref="FC279:FC280"/>
    <mergeCell ref="FD279:FD280"/>
    <mergeCell ref="FE279:FE280"/>
    <mergeCell ref="FF279:FF280"/>
    <mergeCell ref="EU279:EU280"/>
    <mergeCell ref="EV279:EV280"/>
    <mergeCell ref="EW279:EW280"/>
    <mergeCell ref="EX279:EX280"/>
    <mergeCell ref="FZ279:FZ280"/>
    <mergeCell ref="GA279:GA280"/>
    <mergeCell ref="EY279:EY280"/>
    <mergeCell ref="EZ279:EZ280"/>
    <mergeCell ref="IJ279:IJ280"/>
    <mergeCell ref="IK279:IK280"/>
    <mergeCell ref="B281:B282"/>
    <mergeCell ref="C281:C282"/>
    <mergeCell ref="H281:H282"/>
    <mergeCell ref="I281:I282"/>
    <mergeCell ref="J281:J282"/>
    <mergeCell ref="IA279:IA280"/>
    <mergeCell ref="IB279:IB280"/>
    <mergeCell ref="IC279:IC280"/>
    <mergeCell ref="ID279:ID280"/>
    <mergeCell ref="IE279:IE280"/>
    <mergeCell ref="IF279:IF280"/>
    <mergeCell ref="HU279:HU280"/>
    <mergeCell ref="HV279:HV280"/>
    <mergeCell ref="HW279:HW280"/>
    <mergeCell ref="HX279:HX280"/>
    <mergeCell ref="HY279:HY280"/>
    <mergeCell ref="HZ279:HZ280"/>
    <mergeCell ref="HO279:HO280"/>
    <mergeCell ref="HP279:HP280"/>
    <mergeCell ref="HQ279:HQ280"/>
    <mergeCell ref="HR279:HR280"/>
    <mergeCell ref="HS279:HS280"/>
    <mergeCell ref="HT279:HT280"/>
    <mergeCell ref="HI279:HI280"/>
    <mergeCell ref="HJ279:HJ280"/>
    <mergeCell ref="HK279:HK280"/>
    <mergeCell ref="HL279:HL280"/>
    <mergeCell ref="HM279:HM280"/>
    <mergeCell ref="HN279:HN280"/>
    <mergeCell ref="HC279:HC280"/>
    <mergeCell ref="HD279:HD280"/>
    <mergeCell ref="HE279:HE280"/>
    <mergeCell ref="HF279:HF280"/>
    <mergeCell ref="HG279:HG280"/>
    <mergeCell ref="HH279:HH280"/>
    <mergeCell ref="GW279:GW280"/>
    <mergeCell ref="GX279:GX280"/>
    <mergeCell ref="GY279:GY280"/>
    <mergeCell ref="GZ279:GZ280"/>
    <mergeCell ref="HA279:HA280"/>
    <mergeCell ref="HB279:HB280"/>
    <mergeCell ref="GQ279:GQ280"/>
    <mergeCell ref="GR279:GR280"/>
    <mergeCell ref="GS279:GS280"/>
    <mergeCell ref="GT279:GT280"/>
    <mergeCell ref="GU279:GU280"/>
    <mergeCell ref="GV279:GV280"/>
    <mergeCell ref="GK279:GK280"/>
    <mergeCell ref="GL279:GL280"/>
    <mergeCell ref="GM279:GM280"/>
    <mergeCell ref="GN279:GN280"/>
    <mergeCell ref="GO279:GO280"/>
    <mergeCell ref="GP279:GP280"/>
    <mergeCell ref="GE279:GE280"/>
    <mergeCell ref="GF279:GF280"/>
    <mergeCell ref="GG279:GG280"/>
    <mergeCell ref="GH279:GH280"/>
    <mergeCell ref="GI279:GI280"/>
    <mergeCell ref="GJ279:GJ280"/>
    <mergeCell ref="FY279:FY280"/>
    <mergeCell ref="AI281:AI282"/>
    <mergeCell ref="AJ281:AJ282"/>
    <mergeCell ref="EO279:EO280"/>
    <mergeCell ref="EP279:EP280"/>
    <mergeCell ref="EQ279:EQ280"/>
    <mergeCell ref="ER279:ER280"/>
    <mergeCell ref="ES279:ES280"/>
    <mergeCell ref="ET279:ET280"/>
    <mergeCell ref="EI279:EI280"/>
    <mergeCell ref="EJ279:EJ280"/>
    <mergeCell ref="EK279:EK280"/>
    <mergeCell ref="EL279:EL280"/>
    <mergeCell ref="EM279:EM280"/>
    <mergeCell ref="EN279:EN280"/>
    <mergeCell ref="EC279:EC280"/>
    <mergeCell ref="ED279:ED280"/>
    <mergeCell ref="EE279:EE280"/>
    <mergeCell ref="EF279:EF280"/>
    <mergeCell ref="EG279:EG280"/>
    <mergeCell ref="EH279:EH280"/>
    <mergeCell ref="DW279:DW280"/>
    <mergeCell ref="DX279:DX280"/>
    <mergeCell ref="DY279:DY280"/>
    <mergeCell ref="DZ279:DZ280"/>
    <mergeCell ref="EA279:EA280"/>
    <mergeCell ref="EB279:EB280"/>
    <mergeCell ref="DQ279:DQ280"/>
    <mergeCell ref="DR279:DR280"/>
    <mergeCell ref="DS279:DS280"/>
    <mergeCell ref="DT279:DT280"/>
    <mergeCell ref="DU279:DU280"/>
    <mergeCell ref="DV279:DV280"/>
    <mergeCell ref="DK279:DK280"/>
    <mergeCell ref="DL279:DL280"/>
    <mergeCell ref="DM279:DM280"/>
    <mergeCell ref="DN279:DN280"/>
    <mergeCell ref="DO279:DO280"/>
    <mergeCell ref="DP279:DP280"/>
    <mergeCell ref="DE279:DE280"/>
    <mergeCell ref="DF279:DF280"/>
    <mergeCell ref="DG279:DG280"/>
    <mergeCell ref="DH279:DH280"/>
    <mergeCell ref="DI279:DI280"/>
    <mergeCell ref="DJ279:DJ280"/>
    <mergeCell ref="CY279:CY280"/>
    <mergeCell ref="CZ279:CZ280"/>
    <mergeCell ref="DA279:DA280"/>
    <mergeCell ref="DB279:DB280"/>
    <mergeCell ref="DC279:DC280"/>
    <mergeCell ref="DD279:DD280"/>
    <mergeCell ref="CS279:CS280"/>
    <mergeCell ref="CT279:CT280"/>
    <mergeCell ref="CU279:CU280"/>
    <mergeCell ref="CV279:CV280"/>
    <mergeCell ref="CW279:CW280"/>
    <mergeCell ref="CX279:CX280"/>
    <mergeCell ref="CM279:CM280"/>
    <mergeCell ref="CN279:CN280"/>
    <mergeCell ref="CO279:CO280"/>
    <mergeCell ref="CP279:CP280"/>
    <mergeCell ref="CQ279:CQ280"/>
    <mergeCell ref="CR279:CR280"/>
    <mergeCell ref="CG279:CG280"/>
    <mergeCell ref="CH279:CH280"/>
    <mergeCell ref="CI279:CI280"/>
    <mergeCell ref="CJ279:CJ280"/>
    <mergeCell ref="CK279:CK280"/>
    <mergeCell ref="CL279:CL280"/>
    <mergeCell ref="CA279:CA280"/>
    <mergeCell ref="CB279:CB280"/>
    <mergeCell ref="CC279:CC280"/>
    <mergeCell ref="CD279:CD280"/>
    <mergeCell ref="CE279:CE280"/>
    <mergeCell ref="CF279:CF280"/>
    <mergeCell ref="BU279:BU280"/>
    <mergeCell ref="BV279:BV280"/>
    <mergeCell ref="BW279:BW280"/>
    <mergeCell ref="BX279:BX280"/>
    <mergeCell ref="BY279:BY280"/>
    <mergeCell ref="BZ279:BZ280"/>
    <mergeCell ref="BO279:BO280"/>
    <mergeCell ref="BP279:BP280"/>
    <mergeCell ref="BQ279:BQ280"/>
    <mergeCell ref="BR279:BR280"/>
    <mergeCell ref="BS279:BS280"/>
    <mergeCell ref="BT279:BT280"/>
    <mergeCell ref="BI279:BI280"/>
    <mergeCell ref="BJ279:BJ280"/>
    <mergeCell ref="BK279:BK280"/>
    <mergeCell ref="BL279:BL280"/>
    <mergeCell ref="BM279:BM280"/>
    <mergeCell ref="BN279:BN280"/>
    <mergeCell ref="BC279:BC280"/>
    <mergeCell ref="BD279:BD280"/>
    <mergeCell ref="BE279:BE280"/>
    <mergeCell ref="BF279:BF280"/>
    <mergeCell ref="BG279:BG280"/>
    <mergeCell ref="BH279:BH280"/>
    <mergeCell ref="AW279:AW280"/>
    <mergeCell ref="AX279:AX280"/>
    <mergeCell ref="AY279:AY280"/>
    <mergeCell ref="AZ279:AZ280"/>
    <mergeCell ref="BA279:BA280"/>
    <mergeCell ref="BB279:BB280"/>
    <mergeCell ref="AQ279:AQ280"/>
    <mergeCell ref="AR279:AR280"/>
    <mergeCell ref="AS279:AS280"/>
    <mergeCell ref="AT279:AT280"/>
    <mergeCell ref="AU279:AU280"/>
    <mergeCell ref="AV279:AV280"/>
    <mergeCell ref="AK279:AK280"/>
    <mergeCell ref="AL279:AL280"/>
    <mergeCell ref="AM279:AM280"/>
    <mergeCell ref="AN279:AN280"/>
    <mergeCell ref="AO279:AO280"/>
    <mergeCell ref="AP279:AP280"/>
    <mergeCell ref="AE279:AE280"/>
    <mergeCell ref="AF279:AF280"/>
    <mergeCell ref="AG279:AG280"/>
    <mergeCell ref="AH279:AH280"/>
    <mergeCell ref="AI279:AI280"/>
    <mergeCell ref="AJ279:AJ280"/>
    <mergeCell ref="Y279:Y280"/>
    <mergeCell ref="Z279:Z280"/>
    <mergeCell ref="AA279:AA280"/>
    <mergeCell ref="AB279:AB280"/>
    <mergeCell ref="AC279:AC280"/>
    <mergeCell ref="AD279:AD280"/>
    <mergeCell ref="S279:S280"/>
    <mergeCell ref="T279:T280"/>
    <mergeCell ref="U279:U280"/>
    <mergeCell ref="V279:V280"/>
    <mergeCell ref="W279:W280"/>
    <mergeCell ref="X279:X280"/>
    <mergeCell ref="M279:M280"/>
    <mergeCell ref="N279:N280"/>
    <mergeCell ref="O279:O280"/>
    <mergeCell ref="P279:P280"/>
    <mergeCell ref="Q279:Q280"/>
    <mergeCell ref="R279:R280"/>
    <mergeCell ref="IJ277:IJ278"/>
    <mergeCell ref="IK277:IK278"/>
    <mergeCell ref="B279:B280"/>
    <mergeCell ref="F279:F280"/>
    <mergeCell ref="G279:G280"/>
    <mergeCell ref="H279:H280"/>
    <mergeCell ref="I279:I280"/>
    <mergeCell ref="J279:J280"/>
    <mergeCell ref="K279:K280"/>
    <mergeCell ref="L279:L280"/>
    <mergeCell ref="ID277:ID278"/>
    <mergeCell ref="IE277:IE278"/>
    <mergeCell ref="IF277:IF278"/>
    <mergeCell ref="IG277:IG278"/>
    <mergeCell ref="IH277:IH278"/>
    <mergeCell ref="II277:II278"/>
    <mergeCell ref="HX277:HX278"/>
    <mergeCell ref="HY277:HY278"/>
    <mergeCell ref="HZ277:HZ278"/>
    <mergeCell ref="IA277:IA278"/>
    <mergeCell ref="IB277:IB278"/>
    <mergeCell ref="IC277:IC278"/>
    <mergeCell ref="HR277:HR278"/>
    <mergeCell ref="HS277:HS278"/>
    <mergeCell ref="HT277:HT278"/>
    <mergeCell ref="HU277:HU278"/>
    <mergeCell ref="HV277:HV278"/>
    <mergeCell ref="HW277:HW278"/>
    <mergeCell ref="HL277:HL278"/>
    <mergeCell ref="HM277:HM278"/>
    <mergeCell ref="HN277:HN278"/>
    <mergeCell ref="HO277:HO278"/>
    <mergeCell ref="HP277:HP278"/>
    <mergeCell ref="HQ277:HQ278"/>
    <mergeCell ref="HF277:HF278"/>
    <mergeCell ref="HG277:HG278"/>
    <mergeCell ref="HH277:HH278"/>
    <mergeCell ref="HI277:HI278"/>
    <mergeCell ref="HJ277:HJ278"/>
    <mergeCell ref="HK277:HK278"/>
    <mergeCell ref="GZ277:GZ278"/>
    <mergeCell ref="HA277:HA278"/>
    <mergeCell ref="HB277:HB278"/>
    <mergeCell ref="HC277:HC278"/>
    <mergeCell ref="HD277:HD278"/>
    <mergeCell ref="HE277:HE278"/>
    <mergeCell ref="GT277:GT278"/>
    <mergeCell ref="GU277:GU278"/>
    <mergeCell ref="GV277:GV278"/>
    <mergeCell ref="GW277:GW278"/>
    <mergeCell ref="GX277:GX278"/>
    <mergeCell ref="GY277:GY278"/>
    <mergeCell ref="GN277:GN278"/>
    <mergeCell ref="GO277:GO278"/>
    <mergeCell ref="GP277:GP278"/>
    <mergeCell ref="GQ277:GQ278"/>
    <mergeCell ref="GR277:GR278"/>
    <mergeCell ref="GS277:GS278"/>
    <mergeCell ref="GH277:GH278"/>
    <mergeCell ref="GI277:GI278"/>
    <mergeCell ref="GJ277:GJ278"/>
    <mergeCell ref="GK277:GK278"/>
    <mergeCell ref="GL277:GL278"/>
    <mergeCell ref="GM277:GM278"/>
    <mergeCell ref="GB277:GB278"/>
    <mergeCell ref="GC277:GC278"/>
    <mergeCell ref="GD277:GD278"/>
    <mergeCell ref="GE277:GE278"/>
    <mergeCell ref="GF277:GF278"/>
    <mergeCell ref="GG277:GG278"/>
    <mergeCell ref="FV277:FV278"/>
    <mergeCell ref="FW277:FW278"/>
    <mergeCell ref="FX277:FX278"/>
    <mergeCell ref="FY277:FY278"/>
    <mergeCell ref="FZ277:FZ278"/>
    <mergeCell ref="GA277:GA278"/>
    <mergeCell ref="FP277:FP278"/>
    <mergeCell ref="FQ277:FQ278"/>
    <mergeCell ref="FR277:FR278"/>
    <mergeCell ref="FS277:FS278"/>
    <mergeCell ref="FT277:FT278"/>
    <mergeCell ref="FU277:FU278"/>
    <mergeCell ref="FJ277:FJ278"/>
    <mergeCell ref="FK277:FK278"/>
    <mergeCell ref="FL277:FL278"/>
    <mergeCell ref="FM277:FM278"/>
    <mergeCell ref="FN277:FN278"/>
    <mergeCell ref="FO277:FO278"/>
    <mergeCell ref="FD277:FD278"/>
    <mergeCell ref="FE277:FE278"/>
    <mergeCell ref="FF277:FF278"/>
    <mergeCell ref="FG277:FG278"/>
    <mergeCell ref="FH277:FH278"/>
    <mergeCell ref="FI277:FI278"/>
    <mergeCell ref="EX277:EX278"/>
    <mergeCell ref="EY277:EY278"/>
    <mergeCell ref="EZ277:EZ278"/>
    <mergeCell ref="FA277:FA278"/>
    <mergeCell ref="FB277:FB278"/>
    <mergeCell ref="FC277:FC278"/>
    <mergeCell ref="ER277:ER278"/>
    <mergeCell ref="ES277:ES278"/>
    <mergeCell ref="ET277:ET278"/>
    <mergeCell ref="EU277:EU278"/>
    <mergeCell ref="EV277:EV278"/>
    <mergeCell ref="EW277:EW278"/>
    <mergeCell ref="EL277:EL278"/>
    <mergeCell ref="EM277:EM278"/>
    <mergeCell ref="EN277:EN278"/>
    <mergeCell ref="EO277:EO278"/>
    <mergeCell ref="EP277:EP278"/>
    <mergeCell ref="EQ277:EQ278"/>
    <mergeCell ref="EF277:EF278"/>
    <mergeCell ref="EG277:EG278"/>
    <mergeCell ref="EH277:EH278"/>
    <mergeCell ref="EI277:EI278"/>
    <mergeCell ref="EJ277:EJ278"/>
    <mergeCell ref="EK277:EK278"/>
    <mergeCell ref="DZ277:DZ278"/>
    <mergeCell ref="EA277:EA278"/>
    <mergeCell ref="EB277:EB278"/>
    <mergeCell ref="EC277:EC278"/>
    <mergeCell ref="ED277:ED278"/>
    <mergeCell ref="EE277:EE278"/>
    <mergeCell ref="DT277:DT278"/>
    <mergeCell ref="DU277:DU278"/>
    <mergeCell ref="DV277:DV278"/>
    <mergeCell ref="DW277:DW278"/>
    <mergeCell ref="DX277:DX278"/>
    <mergeCell ref="DY277:DY278"/>
    <mergeCell ref="DN277:DN278"/>
    <mergeCell ref="DO277:DO278"/>
    <mergeCell ref="DP277:DP278"/>
    <mergeCell ref="DQ277:DQ278"/>
    <mergeCell ref="DR277:DR278"/>
    <mergeCell ref="DS277:DS278"/>
    <mergeCell ref="DH277:DH278"/>
    <mergeCell ref="DI277:DI278"/>
    <mergeCell ref="DJ277:DJ278"/>
    <mergeCell ref="DK277:DK278"/>
    <mergeCell ref="DL277:DL278"/>
    <mergeCell ref="DM277:DM278"/>
    <mergeCell ref="DB277:DB278"/>
    <mergeCell ref="DC277:DC278"/>
    <mergeCell ref="DD277:DD278"/>
    <mergeCell ref="DE277:DE278"/>
    <mergeCell ref="DF277:DF278"/>
    <mergeCell ref="DG277:DG278"/>
    <mergeCell ref="CV277:CV278"/>
    <mergeCell ref="CW277:CW278"/>
    <mergeCell ref="CX277:CX278"/>
    <mergeCell ref="CY277:CY278"/>
    <mergeCell ref="CZ277:CZ278"/>
    <mergeCell ref="DA277:DA278"/>
    <mergeCell ref="CP277:CP278"/>
    <mergeCell ref="CQ277:CQ278"/>
    <mergeCell ref="CR277:CR278"/>
    <mergeCell ref="CS277:CS278"/>
    <mergeCell ref="CT277:CT278"/>
    <mergeCell ref="CU277:CU278"/>
    <mergeCell ref="CJ277:CJ278"/>
    <mergeCell ref="CK277:CK278"/>
    <mergeCell ref="CL277:CL278"/>
    <mergeCell ref="CM277:CM278"/>
    <mergeCell ref="CN277:CN278"/>
    <mergeCell ref="CO277:CO278"/>
    <mergeCell ref="CD277:CD278"/>
    <mergeCell ref="CE277:CE278"/>
    <mergeCell ref="CF277:CF278"/>
    <mergeCell ref="CG277:CG278"/>
    <mergeCell ref="CH277:CH278"/>
    <mergeCell ref="CI277:CI278"/>
    <mergeCell ref="BX277:BX278"/>
    <mergeCell ref="BY277:BY278"/>
    <mergeCell ref="BZ277:BZ278"/>
    <mergeCell ref="CA277:CA278"/>
    <mergeCell ref="CB277:CB278"/>
    <mergeCell ref="CC277:CC278"/>
    <mergeCell ref="BR277:BR278"/>
    <mergeCell ref="BS277:BS278"/>
    <mergeCell ref="BT277:BT278"/>
    <mergeCell ref="BU277:BU278"/>
    <mergeCell ref="BV277:BV278"/>
    <mergeCell ref="BW277:BW278"/>
    <mergeCell ref="BL277:BL278"/>
    <mergeCell ref="BM277:BM278"/>
    <mergeCell ref="BN277:BN278"/>
    <mergeCell ref="BO277:BO278"/>
    <mergeCell ref="BP277:BP278"/>
    <mergeCell ref="BQ277:BQ278"/>
    <mergeCell ref="BF277:BF278"/>
    <mergeCell ref="BG277:BG278"/>
    <mergeCell ref="BH277:BH278"/>
    <mergeCell ref="BI277:BI278"/>
    <mergeCell ref="BJ277:BJ278"/>
    <mergeCell ref="BK277:BK278"/>
    <mergeCell ref="AZ277:AZ278"/>
    <mergeCell ref="BA277:BA278"/>
    <mergeCell ref="BB277:BB278"/>
    <mergeCell ref="BC277:BC278"/>
    <mergeCell ref="BD277:BD278"/>
    <mergeCell ref="BE277:BE278"/>
    <mergeCell ref="AT277:AT278"/>
    <mergeCell ref="AU277:AU278"/>
    <mergeCell ref="AV277:AV278"/>
    <mergeCell ref="AW277:AW278"/>
    <mergeCell ref="AX277:AX278"/>
    <mergeCell ref="AY277:AY278"/>
    <mergeCell ref="AN277:AN278"/>
    <mergeCell ref="AO277:AO278"/>
    <mergeCell ref="AP277:AP278"/>
    <mergeCell ref="AQ277:AQ278"/>
    <mergeCell ref="AR277:AR278"/>
    <mergeCell ref="AS277:AS278"/>
    <mergeCell ref="AH277:AH278"/>
    <mergeCell ref="AI277:AI278"/>
    <mergeCell ref="AJ277:AJ278"/>
    <mergeCell ref="AK277:AK278"/>
    <mergeCell ref="AL277:AL278"/>
    <mergeCell ref="AM277:AM278"/>
    <mergeCell ref="AB277:AB278"/>
    <mergeCell ref="AC277:AC278"/>
    <mergeCell ref="AD277:AD278"/>
    <mergeCell ref="AE277:AE278"/>
    <mergeCell ref="AF277:AF278"/>
    <mergeCell ref="AG277:AG278"/>
    <mergeCell ref="V277:V278"/>
    <mergeCell ref="W277:W278"/>
    <mergeCell ref="X277:X278"/>
    <mergeCell ref="Y277:Y278"/>
    <mergeCell ref="Z277:Z278"/>
    <mergeCell ref="AA277:AA278"/>
    <mergeCell ref="P277:P278"/>
    <mergeCell ref="Q277:Q278"/>
    <mergeCell ref="R277:R278"/>
    <mergeCell ref="S277:S278"/>
    <mergeCell ref="T277:T278"/>
    <mergeCell ref="U277:U278"/>
    <mergeCell ref="J277:J278"/>
    <mergeCell ref="K277:K278"/>
    <mergeCell ref="L277:L278"/>
    <mergeCell ref="M277:M278"/>
    <mergeCell ref="N277:N278"/>
    <mergeCell ref="O277:O278"/>
    <mergeCell ref="IG275:IG276"/>
    <mergeCell ref="IH275:IH276"/>
    <mergeCell ref="II275:II276"/>
    <mergeCell ref="GB275:GB276"/>
    <mergeCell ref="GC275:GC276"/>
    <mergeCell ref="GD275:GD276"/>
    <mergeCell ref="FS275:FS276"/>
    <mergeCell ref="FT275:FT276"/>
    <mergeCell ref="FU275:FU276"/>
    <mergeCell ref="FV275:FV276"/>
    <mergeCell ref="FW275:FW276"/>
    <mergeCell ref="FX275:FX276"/>
    <mergeCell ref="FM275:FM276"/>
    <mergeCell ref="FN275:FN276"/>
    <mergeCell ref="FO275:FO276"/>
    <mergeCell ref="FP275:FP276"/>
    <mergeCell ref="FQ275:FQ276"/>
    <mergeCell ref="FR275:FR276"/>
    <mergeCell ref="FG275:FG276"/>
    <mergeCell ref="FH275:FH276"/>
    <mergeCell ref="FI275:FI276"/>
    <mergeCell ref="FJ275:FJ276"/>
    <mergeCell ref="FK275:FK276"/>
    <mergeCell ref="FL275:FL276"/>
    <mergeCell ref="FA275:FA276"/>
    <mergeCell ref="FB275:FB276"/>
    <mergeCell ref="FC275:FC276"/>
    <mergeCell ref="FD275:FD276"/>
    <mergeCell ref="FE275:FE276"/>
    <mergeCell ref="FF275:FF276"/>
    <mergeCell ref="EU275:EU276"/>
    <mergeCell ref="EV275:EV276"/>
    <mergeCell ref="EW275:EW276"/>
    <mergeCell ref="EX275:EX276"/>
    <mergeCell ref="IJ275:IJ276"/>
    <mergeCell ref="IK275:IK276"/>
    <mergeCell ref="B277:B278"/>
    <mergeCell ref="F277:F278"/>
    <mergeCell ref="G277:G278"/>
    <mergeCell ref="H277:H278"/>
    <mergeCell ref="I277:I278"/>
    <mergeCell ref="IA275:IA276"/>
    <mergeCell ref="IB275:IB276"/>
    <mergeCell ref="IC275:IC276"/>
    <mergeCell ref="ID275:ID276"/>
    <mergeCell ref="IE275:IE276"/>
    <mergeCell ref="IF275:IF276"/>
    <mergeCell ref="HU275:HU276"/>
    <mergeCell ref="HV275:HV276"/>
    <mergeCell ref="HW275:HW276"/>
    <mergeCell ref="HX275:HX276"/>
    <mergeCell ref="HY275:HY276"/>
    <mergeCell ref="HZ275:HZ276"/>
    <mergeCell ref="HO275:HO276"/>
    <mergeCell ref="HP275:HP276"/>
    <mergeCell ref="HQ275:HQ276"/>
    <mergeCell ref="HR275:HR276"/>
    <mergeCell ref="HS275:HS276"/>
    <mergeCell ref="HT275:HT276"/>
    <mergeCell ref="HI275:HI276"/>
    <mergeCell ref="HJ275:HJ276"/>
    <mergeCell ref="HK275:HK276"/>
    <mergeCell ref="HL275:HL276"/>
    <mergeCell ref="HM275:HM276"/>
    <mergeCell ref="HN275:HN276"/>
    <mergeCell ref="HC275:HC276"/>
    <mergeCell ref="HD275:HD276"/>
    <mergeCell ref="HE275:HE276"/>
    <mergeCell ref="HF275:HF276"/>
    <mergeCell ref="HG275:HG276"/>
    <mergeCell ref="HH275:HH276"/>
    <mergeCell ref="GW275:GW276"/>
    <mergeCell ref="GX275:GX276"/>
    <mergeCell ref="GY275:GY276"/>
    <mergeCell ref="GZ275:GZ276"/>
    <mergeCell ref="HA275:HA276"/>
    <mergeCell ref="HB275:HB276"/>
    <mergeCell ref="GQ275:GQ276"/>
    <mergeCell ref="GR275:GR276"/>
    <mergeCell ref="GS275:GS276"/>
    <mergeCell ref="GT275:GT276"/>
    <mergeCell ref="GU275:GU276"/>
    <mergeCell ref="GV275:GV276"/>
    <mergeCell ref="GK275:GK276"/>
    <mergeCell ref="GL275:GL276"/>
    <mergeCell ref="GM275:GM276"/>
    <mergeCell ref="GN275:GN276"/>
    <mergeCell ref="GO275:GO276"/>
    <mergeCell ref="GP275:GP276"/>
    <mergeCell ref="GE275:GE276"/>
    <mergeCell ref="GF275:GF276"/>
    <mergeCell ref="GG275:GG276"/>
    <mergeCell ref="GH275:GH276"/>
    <mergeCell ref="GI275:GI276"/>
    <mergeCell ref="GJ275:GJ276"/>
    <mergeCell ref="FY275:FY276"/>
    <mergeCell ref="FZ275:FZ276"/>
    <mergeCell ref="GA275:GA276"/>
    <mergeCell ref="EY275:EY276"/>
    <mergeCell ref="EZ275:EZ276"/>
    <mergeCell ref="EO275:EO276"/>
    <mergeCell ref="EP275:EP276"/>
    <mergeCell ref="EQ275:EQ276"/>
    <mergeCell ref="ER275:ER276"/>
    <mergeCell ref="ES275:ES276"/>
    <mergeCell ref="ET275:ET276"/>
    <mergeCell ref="EI275:EI276"/>
    <mergeCell ref="EJ275:EJ276"/>
    <mergeCell ref="EK275:EK276"/>
    <mergeCell ref="EL275:EL276"/>
    <mergeCell ref="EM275:EM276"/>
    <mergeCell ref="EN275:EN276"/>
    <mergeCell ref="EC275:EC276"/>
    <mergeCell ref="ED275:ED276"/>
    <mergeCell ref="EE275:EE276"/>
    <mergeCell ref="EF275:EF276"/>
    <mergeCell ref="EG275:EG276"/>
    <mergeCell ref="EH275:EH276"/>
    <mergeCell ref="DW275:DW276"/>
    <mergeCell ref="DX275:DX276"/>
    <mergeCell ref="DY275:DY276"/>
    <mergeCell ref="DZ275:DZ276"/>
    <mergeCell ref="EA275:EA276"/>
    <mergeCell ref="EB275:EB276"/>
    <mergeCell ref="DQ275:DQ276"/>
    <mergeCell ref="DR275:DR276"/>
    <mergeCell ref="DS275:DS276"/>
    <mergeCell ref="DT275:DT276"/>
    <mergeCell ref="DU275:DU276"/>
    <mergeCell ref="DV275:DV276"/>
    <mergeCell ref="DK275:DK276"/>
    <mergeCell ref="DL275:DL276"/>
    <mergeCell ref="DM275:DM276"/>
    <mergeCell ref="DN275:DN276"/>
    <mergeCell ref="DO275:DO276"/>
    <mergeCell ref="DP275:DP276"/>
    <mergeCell ref="DE275:DE276"/>
    <mergeCell ref="DF275:DF276"/>
    <mergeCell ref="DG275:DG276"/>
    <mergeCell ref="DH275:DH276"/>
    <mergeCell ref="DI275:DI276"/>
    <mergeCell ref="DJ275:DJ276"/>
    <mergeCell ref="CY275:CY276"/>
    <mergeCell ref="CZ275:CZ276"/>
    <mergeCell ref="DA275:DA276"/>
    <mergeCell ref="DB275:DB276"/>
    <mergeCell ref="DC275:DC276"/>
    <mergeCell ref="DD275:DD276"/>
    <mergeCell ref="CS275:CS276"/>
    <mergeCell ref="CT275:CT276"/>
    <mergeCell ref="CU275:CU276"/>
    <mergeCell ref="CV275:CV276"/>
    <mergeCell ref="CW275:CW276"/>
    <mergeCell ref="CX275:CX276"/>
    <mergeCell ref="CM275:CM276"/>
    <mergeCell ref="CN275:CN276"/>
    <mergeCell ref="CO275:CO276"/>
    <mergeCell ref="CP275:CP276"/>
    <mergeCell ref="CQ275:CQ276"/>
    <mergeCell ref="CR275:CR276"/>
    <mergeCell ref="CG275:CG276"/>
    <mergeCell ref="CH275:CH276"/>
    <mergeCell ref="CI275:CI276"/>
    <mergeCell ref="CJ275:CJ276"/>
    <mergeCell ref="CK275:CK276"/>
    <mergeCell ref="CL275:CL276"/>
    <mergeCell ref="CA275:CA276"/>
    <mergeCell ref="CB275:CB276"/>
    <mergeCell ref="CC275:CC276"/>
    <mergeCell ref="CD275:CD276"/>
    <mergeCell ref="CE275:CE276"/>
    <mergeCell ref="CF275:CF276"/>
    <mergeCell ref="BU275:BU276"/>
    <mergeCell ref="BV275:BV276"/>
    <mergeCell ref="BW275:BW276"/>
    <mergeCell ref="BX275:BX276"/>
    <mergeCell ref="BY275:BY276"/>
    <mergeCell ref="BZ275:BZ276"/>
    <mergeCell ref="BO275:BO276"/>
    <mergeCell ref="BP275:BP276"/>
    <mergeCell ref="BQ275:BQ276"/>
    <mergeCell ref="BR275:BR276"/>
    <mergeCell ref="BS275:BS276"/>
    <mergeCell ref="BT275:BT276"/>
    <mergeCell ref="BI275:BI276"/>
    <mergeCell ref="BJ275:BJ276"/>
    <mergeCell ref="BK275:BK276"/>
    <mergeCell ref="BL275:BL276"/>
    <mergeCell ref="BM275:BM276"/>
    <mergeCell ref="BN275:BN276"/>
    <mergeCell ref="BC275:BC276"/>
    <mergeCell ref="BD275:BD276"/>
    <mergeCell ref="BE275:BE276"/>
    <mergeCell ref="BF275:BF276"/>
    <mergeCell ref="BG275:BG276"/>
    <mergeCell ref="BH275:BH276"/>
    <mergeCell ref="AW275:AW276"/>
    <mergeCell ref="AX275:AX276"/>
    <mergeCell ref="AY275:AY276"/>
    <mergeCell ref="AZ275:AZ276"/>
    <mergeCell ref="BA275:BA276"/>
    <mergeCell ref="BB275:BB276"/>
    <mergeCell ref="AQ275:AQ276"/>
    <mergeCell ref="AR275:AR276"/>
    <mergeCell ref="AS275:AS276"/>
    <mergeCell ref="AT275:AT276"/>
    <mergeCell ref="AU275:AU276"/>
    <mergeCell ref="AV275:AV276"/>
    <mergeCell ref="AK275:AK276"/>
    <mergeCell ref="AL275:AL276"/>
    <mergeCell ref="AM275:AM276"/>
    <mergeCell ref="AN275:AN276"/>
    <mergeCell ref="AO275:AO276"/>
    <mergeCell ref="AP275:AP276"/>
    <mergeCell ref="AE275:AE276"/>
    <mergeCell ref="AF275:AF276"/>
    <mergeCell ref="AG275:AG276"/>
    <mergeCell ref="AH275:AH276"/>
    <mergeCell ref="AI275:AI276"/>
    <mergeCell ref="AJ275:AJ276"/>
    <mergeCell ref="Y275:Y276"/>
    <mergeCell ref="Z275:Z276"/>
    <mergeCell ref="AA275:AA276"/>
    <mergeCell ref="AB275:AB276"/>
    <mergeCell ref="AC275:AC276"/>
    <mergeCell ref="AD275:AD276"/>
    <mergeCell ref="S275:S276"/>
    <mergeCell ref="T275:T276"/>
    <mergeCell ref="U275:U276"/>
    <mergeCell ref="V275:V276"/>
    <mergeCell ref="W275:W276"/>
    <mergeCell ref="X275:X276"/>
    <mergeCell ref="M275:M276"/>
    <mergeCell ref="N275:N276"/>
    <mergeCell ref="O275:O276"/>
    <mergeCell ref="P275:P276"/>
    <mergeCell ref="Q275:Q276"/>
    <mergeCell ref="R275:R276"/>
    <mergeCell ref="IK273:IK274"/>
    <mergeCell ref="B275:B276"/>
    <mergeCell ref="C275:C276"/>
    <mergeCell ref="F275:F276"/>
    <mergeCell ref="G275:G276"/>
    <mergeCell ref="H275:H276"/>
    <mergeCell ref="I275:I276"/>
    <mergeCell ref="J275:J276"/>
    <mergeCell ref="K275:K276"/>
    <mergeCell ref="L275:L276"/>
    <mergeCell ref="IE273:IE274"/>
    <mergeCell ref="IF273:IF274"/>
    <mergeCell ref="IG273:IG274"/>
    <mergeCell ref="IH273:IH274"/>
    <mergeCell ref="II273:II274"/>
    <mergeCell ref="IJ273:IJ274"/>
    <mergeCell ref="HY273:HY274"/>
    <mergeCell ref="HZ273:HZ274"/>
    <mergeCell ref="IA273:IA274"/>
    <mergeCell ref="IB273:IB274"/>
    <mergeCell ref="IC273:IC274"/>
    <mergeCell ref="ID273:ID274"/>
    <mergeCell ref="HS273:HS274"/>
    <mergeCell ref="HT273:HT274"/>
    <mergeCell ref="HU273:HU274"/>
    <mergeCell ref="HV273:HV274"/>
    <mergeCell ref="HW273:HW274"/>
    <mergeCell ref="HX273:HX274"/>
    <mergeCell ref="HM273:HM274"/>
    <mergeCell ref="HN273:HN274"/>
    <mergeCell ref="HO273:HO274"/>
    <mergeCell ref="HP273:HP274"/>
    <mergeCell ref="HQ273:HQ274"/>
    <mergeCell ref="HR273:HR274"/>
    <mergeCell ref="HG273:HG274"/>
    <mergeCell ref="HH273:HH274"/>
    <mergeCell ref="HI273:HI274"/>
    <mergeCell ref="HJ273:HJ274"/>
    <mergeCell ref="HK273:HK274"/>
    <mergeCell ref="HL273:HL274"/>
    <mergeCell ref="HA273:HA274"/>
    <mergeCell ref="HB273:HB274"/>
    <mergeCell ref="HC273:HC274"/>
    <mergeCell ref="HD273:HD274"/>
    <mergeCell ref="HE273:HE274"/>
    <mergeCell ref="HF273:HF274"/>
    <mergeCell ref="GU273:GU274"/>
    <mergeCell ref="GV273:GV274"/>
    <mergeCell ref="GW273:GW274"/>
    <mergeCell ref="GX273:GX274"/>
    <mergeCell ref="GY273:GY274"/>
    <mergeCell ref="GZ273:GZ274"/>
    <mergeCell ref="GO273:GO274"/>
    <mergeCell ref="GP273:GP274"/>
    <mergeCell ref="GQ273:GQ274"/>
    <mergeCell ref="GR273:GR274"/>
    <mergeCell ref="GS273:GS274"/>
    <mergeCell ref="GT273:GT274"/>
    <mergeCell ref="GI273:GI274"/>
    <mergeCell ref="GJ273:GJ274"/>
    <mergeCell ref="GK273:GK274"/>
    <mergeCell ref="GL273:GL274"/>
    <mergeCell ref="GM273:GM274"/>
    <mergeCell ref="GN273:GN274"/>
    <mergeCell ref="GC273:GC274"/>
    <mergeCell ref="GD273:GD274"/>
    <mergeCell ref="GE273:GE274"/>
    <mergeCell ref="GF273:GF274"/>
    <mergeCell ref="GG273:GG274"/>
    <mergeCell ref="GH273:GH274"/>
    <mergeCell ref="FW273:FW274"/>
    <mergeCell ref="FX273:FX274"/>
    <mergeCell ref="FY273:FY274"/>
    <mergeCell ref="FZ273:FZ274"/>
    <mergeCell ref="GA273:GA274"/>
    <mergeCell ref="GB273:GB274"/>
    <mergeCell ref="FQ273:FQ274"/>
    <mergeCell ref="FR273:FR274"/>
    <mergeCell ref="FS273:FS274"/>
    <mergeCell ref="FT273:FT274"/>
    <mergeCell ref="FU273:FU274"/>
    <mergeCell ref="FV273:FV274"/>
    <mergeCell ref="FK273:FK274"/>
    <mergeCell ref="FL273:FL274"/>
    <mergeCell ref="FM273:FM274"/>
    <mergeCell ref="FN273:FN274"/>
    <mergeCell ref="FO273:FO274"/>
    <mergeCell ref="FP273:FP274"/>
    <mergeCell ref="FE273:FE274"/>
    <mergeCell ref="FF273:FF274"/>
    <mergeCell ref="FG273:FG274"/>
    <mergeCell ref="FH273:FH274"/>
    <mergeCell ref="FI273:FI274"/>
    <mergeCell ref="FJ273:FJ274"/>
    <mergeCell ref="EY273:EY274"/>
    <mergeCell ref="EZ273:EZ274"/>
    <mergeCell ref="FA273:FA274"/>
    <mergeCell ref="FB273:FB274"/>
    <mergeCell ref="FC273:FC274"/>
    <mergeCell ref="FD273:FD274"/>
    <mergeCell ref="ES273:ES274"/>
    <mergeCell ref="ET273:ET274"/>
    <mergeCell ref="EU273:EU274"/>
    <mergeCell ref="EV273:EV274"/>
    <mergeCell ref="EW273:EW274"/>
    <mergeCell ref="EX273:EX274"/>
    <mergeCell ref="EM273:EM274"/>
    <mergeCell ref="EN273:EN274"/>
    <mergeCell ref="EO273:EO274"/>
    <mergeCell ref="EP273:EP274"/>
    <mergeCell ref="EQ273:EQ274"/>
    <mergeCell ref="ER273:ER274"/>
    <mergeCell ref="EG273:EG274"/>
    <mergeCell ref="EH273:EH274"/>
    <mergeCell ref="EI273:EI274"/>
    <mergeCell ref="EJ273:EJ274"/>
    <mergeCell ref="EK273:EK274"/>
    <mergeCell ref="EL273:EL274"/>
    <mergeCell ref="EA273:EA274"/>
    <mergeCell ref="EB273:EB274"/>
    <mergeCell ref="EC273:EC274"/>
    <mergeCell ref="ED273:ED274"/>
    <mergeCell ref="EE273:EE274"/>
    <mergeCell ref="EF273:EF274"/>
    <mergeCell ref="DU273:DU274"/>
    <mergeCell ref="DV273:DV274"/>
    <mergeCell ref="DW273:DW274"/>
    <mergeCell ref="DX273:DX274"/>
    <mergeCell ref="DY273:DY274"/>
    <mergeCell ref="DZ273:DZ274"/>
    <mergeCell ref="DO273:DO274"/>
    <mergeCell ref="DP273:DP274"/>
    <mergeCell ref="DQ273:DQ274"/>
    <mergeCell ref="DR273:DR274"/>
    <mergeCell ref="DS273:DS274"/>
    <mergeCell ref="DT273:DT274"/>
    <mergeCell ref="DI273:DI274"/>
    <mergeCell ref="DJ273:DJ274"/>
    <mergeCell ref="DK273:DK274"/>
    <mergeCell ref="DL273:DL274"/>
    <mergeCell ref="DM273:DM274"/>
    <mergeCell ref="DN273:DN274"/>
    <mergeCell ref="DC273:DC274"/>
    <mergeCell ref="DD273:DD274"/>
    <mergeCell ref="DE273:DE274"/>
    <mergeCell ref="DF273:DF274"/>
    <mergeCell ref="DG273:DG274"/>
    <mergeCell ref="DH273:DH274"/>
    <mergeCell ref="CW273:CW274"/>
    <mergeCell ref="CX273:CX274"/>
    <mergeCell ref="CY273:CY274"/>
    <mergeCell ref="CZ273:CZ274"/>
    <mergeCell ref="DA273:DA274"/>
    <mergeCell ref="DB273:DB274"/>
    <mergeCell ref="CQ273:CQ274"/>
    <mergeCell ref="CR273:CR274"/>
    <mergeCell ref="CS273:CS274"/>
    <mergeCell ref="CT273:CT274"/>
    <mergeCell ref="CU273:CU274"/>
    <mergeCell ref="CV273:CV274"/>
    <mergeCell ref="CK273:CK274"/>
    <mergeCell ref="CL273:CL274"/>
    <mergeCell ref="CM273:CM274"/>
    <mergeCell ref="CN273:CN274"/>
    <mergeCell ref="CO273:CO274"/>
    <mergeCell ref="CP273:CP274"/>
    <mergeCell ref="CE273:CE274"/>
    <mergeCell ref="CF273:CF274"/>
    <mergeCell ref="CG273:CG274"/>
    <mergeCell ref="CH273:CH274"/>
    <mergeCell ref="CI273:CI274"/>
    <mergeCell ref="CJ273:CJ274"/>
    <mergeCell ref="BY273:BY274"/>
    <mergeCell ref="BZ273:BZ274"/>
    <mergeCell ref="CA273:CA274"/>
    <mergeCell ref="CB273:CB274"/>
    <mergeCell ref="CC273:CC274"/>
    <mergeCell ref="CD273:CD274"/>
    <mergeCell ref="BS273:BS274"/>
    <mergeCell ref="BT273:BT274"/>
    <mergeCell ref="BU273:BU274"/>
    <mergeCell ref="BV273:BV274"/>
    <mergeCell ref="BW273:BW274"/>
    <mergeCell ref="BX273:BX274"/>
    <mergeCell ref="BM273:BM274"/>
    <mergeCell ref="BN273:BN274"/>
    <mergeCell ref="BO273:BO274"/>
    <mergeCell ref="BP273:BP274"/>
    <mergeCell ref="BQ273:BQ274"/>
    <mergeCell ref="BR273:BR274"/>
    <mergeCell ref="BG273:BG274"/>
    <mergeCell ref="BH273:BH274"/>
    <mergeCell ref="BI273:BI274"/>
    <mergeCell ref="BJ273:BJ274"/>
    <mergeCell ref="BK273:BK274"/>
    <mergeCell ref="BL273:BL274"/>
    <mergeCell ref="BA273:BA274"/>
    <mergeCell ref="BB273:BB274"/>
    <mergeCell ref="BC273:BC274"/>
    <mergeCell ref="BD273:BD274"/>
    <mergeCell ref="BE273:BE274"/>
    <mergeCell ref="BF273:BF274"/>
    <mergeCell ref="AU273:AU274"/>
    <mergeCell ref="AV273:AV274"/>
    <mergeCell ref="AW273:AW274"/>
    <mergeCell ref="AX273:AX274"/>
    <mergeCell ref="AY273:AY274"/>
    <mergeCell ref="AZ273:AZ274"/>
    <mergeCell ref="AO273:AO274"/>
    <mergeCell ref="AP273:AP274"/>
    <mergeCell ref="AQ273:AQ274"/>
    <mergeCell ref="AR273:AR274"/>
    <mergeCell ref="AS273:AS274"/>
    <mergeCell ref="AT273:AT274"/>
    <mergeCell ref="AI273:AI274"/>
    <mergeCell ref="AJ273:AJ274"/>
    <mergeCell ref="AK273:AK274"/>
    <mergeCell ref="AL273:AL274"/>
    <mergeCell ref="AM273:AM274"/>
    <mergeCell ref="AN273:AN274"/>
    <mergeCell ref="AC273:AC274"/>
    <mergeCell ref="AD273:AD274"/>
    <mergeCell ref="AE273:AE274"/>
    <mergeCell ref="AF273:AF274"/>
    <mergeCell ref="AG273:AG274"/>
    <mergeCell ref="AH273:AH274"/>
    <mergeCell ref="W273:W274"/>
    <mergeCell ref="X273:X274"/>
    <mergeCell ref="Y273:Y274"/>
    <mergeCell ref="Z273:Z274"/>
    <mergeCell ref="AA273:AA274"/>
    <mergeCell ref="AB273:AB274"/>
    <mergeCell ref="Q273:Q274"/>
    <mergeCell ref="R273:R274"/>
    <mergeCell ref="S273:S274"/>
    <mergeCell ref="T273:T274"/>
    <mergeCell ref="U273:U274"/>
    <mergeCell ref="V273:V274"/>
    <mergeCell ref="K273:K274"/>
    <mergeCell ref="L273:L274"/>
    <mergeCell ref="M273:M274"/>
    <mergeCell ref="N273:N274"/>
    <mergeCell ref="O273:O274"/>
    <mergeCell ref="P273:P274"/>
    <mergeCell ref="II270:II271"/>
    <mergeCell ref="IJ270:IJ271"/>
    <mergeCell ref="IK270:IK271"/>
    <mergeCell ref="GD270:GD271"/>
    <mergeCell ref="GE270:GE271"/>
    <mergeCell ref="GF270:GF271"/>
    <mergeCell ref="FU270:FU271"/>
    <mergeCell ref="FV270:FV271"/>
    <mergeCell ref="FW270:FW271"/>
    <mergeCell ref="FX270:FX271"/>
    <mergeCell ref="FY270:FY271"/>
    <mergeCell ref="FZ270:FZ271"/>
    <mergeCell ref="FO270:FO271"/>
    <mergeCell ref="FP270:FP271"/>
    <mergeCell ref="FQ270:FQ271"/>
    <mergeCell ref="FR270:FR271"/>
    <mergeCell ref="FS270:FS271"/>
    <mergeCell ref="FT270:FT271"/>
    <mergeCell ref="FI270:FI271"/>
    <mergeCell ref="FJ270:FJ271"/>
    <mergeCell ref="FK270:FK271"/>
    <mergeCell ref="FL270:FL271"/>
    <mergeCell ref="FM270:FM271"/>
    <mergeCell ref="FN270:FN271"/>
    <mergeCell ref="FC270:FC271"/>
    <mergeCell ref="FD270:FD271"/>
    <mergeCell ref="FE270:FE271"/>
    <mergeCell ref="FF270:FF271"/>
    <mergeCell ref="FG270:FG271"/>
    <mergeCell ref="FH270:FH271"/>
    <mergeCell ref="EW270:EW271"/>
    <mergeCell ref="EX270:EX271"/>
    <mergeCell ref="EY270:EY271"/>
    <mergeCell ref="EZ270:EZ271"/>
    <mergeCell ref="B273:B274"/>
    <mergeCell ref="C273:C274"/>
    <mergeCell ref="F273:F274"/>
    <mergeCell ref="G273:G274"/>
    <mergeCell ref="H273:H274"/>
    <mergeCell ref="I273:I274"/>
    <mergeCell ref="J273:J274"/>
    <mergeCell ref="IC270:IC271"/>
    <mergeCell ref="ID270:ID271"/>
    <mergeCell ref="IE270:IE271"/>
    <mergeCell ref="IF270:IF271"/>
    <mergeCell ref="IG270:IG271"/>
    <mergeCell ref="IH270:IH271"/>
    <mergeCell ref="HW270:HW271"/>
    <mergeCell ref="HX270:HX271"/>
    <mergeCell ref="HY270:HY271"/>
    <mergeCell ref="HZ270:HZ271"/>
    <mergeCell ref="IA270:IA271"/>
    <mergeCell ref="IB270:IB271"/>
    <mergeCell ref="HQ270:HQ271"/>
    <mergeCell ref="HR270:HR271"/>
    <mergeCell ref="HS270:HS271"/>
    <mergeCell ref="HT270:HT271"/>
    <mergeCell ref="HU270:HU271"/>
    <mergeCell ref="HV270:HV271"/>
    <mergeCell ref="HK270:HK271"/>
    <mergeCell ref="HL270:HL271"/>
    <mergeCell ref="HM270:HM271"/>
    <mergeCell ref="HN270:HN271"/>
    <mergeCell ref="HO270:HO271"/>
    <mergeCell ref="HP270:HP271"/>
    <mergeCell ref="HE270:HE271"/>
    <mergeCell ref="HF270:HF271"/>
    <mergeCell ref="HG270:HG271"/>
    <mergeCell ref="HH270:HH271"/>
    <mergeCell ref="HI270:HI271"/>
    <mergeCell ref="HJ270:HJ271"/>
    <mergeCell ref="GY270:GY271"/>
    <mergeCell ref="GZ270:GZ271"/>
    <mergeCell ref="HA270:HA271"/>
    <mergeCell ref="HB270:HB271"/>
    <mergeCell ref="HC270:HC271"/>
    <mergeCell ref="HD270:HD271"/>
    <mergeCell ref="GS270:GS271"/>
    <mergeCell ref="GT270:GT271"/>
    <mergeCell ref="GU270:GU271"/>
    <mergeCell ref="GV270:GV271"/>
    <mergeCell ref="GW270:GW271"/>
    <mergeCell ref="GX270:GX271"/>
    <mergeCell ref="GM270:GM271"/>
    <mergeCell ref="GN270:GN271"/>
    <mergeCell ref="GO270:GO271"/>
    <mergeCell ref="GP270:GP271"/>
    <mergeCell ref="GQ270:GQ271"/>
    <mergeCell ref="GR270:GR271"/>
    <mergeCell ref="GG270:GG271"/>
    <mergeCell ref="GH270:GH271"/>
    <mergeCell ref="GI270:GI271"/>
    <mergeCell ref="GJ270:GJ271"/>
    <mergeCell ref="GK270:GK271"/>
    <mergeCell ref="GL270:GL271"/>
    <mergeCell ref="GA270:GA271"/>
    <mergeCell ref="GB270:GB271"/>
    <mergeCell ref="GC270:GC271"/>
    <mergeCell ref="CM270:CM271"/>
    <mergeCell ref="CN270:CN271"/>
    <mergeCell ref="CC270:CC271"/>
    <mergeCell ref="CD270:CD271"/>
    <mergeCell ref="CE270:CE271"/>
    <mergeCell ref="CF270:CF271"/>
    <mergeCell ref="CG270:CG271"/>
    <mergeCell ref="CH270:CH271"/>
    <mergeCell ref="FA270:FA271"/>
    <mergeCell ref="FB270:FB271"/>
    <mergeCell ref="EQ270:EQ271"/>
    <mergeCell ref="ER270:ER271"/>
    <mergeCell ref="ES270:ES271"/>
    <mergeCell ref="ET270:ET271"/>
    <mergeCell ref="EU270:EU271"/>
    <mergeCell ref="EV270:EV271"/>
    <mergeCell ref="EK270:EK271"/>
    <mergeCell ref="EL270:EL271"/>
    <mergeCell ref="EM270:EM271"/>
    <mergeCell ref="EN270:EN271"/>
    <mergeCell ref="EO270:EO271"/>
    <mergeCell ref="EP270:EP271"/>
    <mergeCell ref="EE270:EE271"/>
    <mergeCell ref="EF270:EF271"/>
    <mergeCell ref="EG270:EG271"/>
    <mergeCell ref="EH270:EH271"/>
    <mergeCell ref="EI270:EI271"/>
    <mergeCell ref="EJ270:EJ271"/>
    <mergeCell ref="DY270:DY271"/>
    <mergeCell ref="DZ270:DZ271"/>
    <mergeCell ref="EA270:EA271"/>
    <mergeCell ref="EB270:EB271"/>
    <mergeCell ref="EC270:EC271"/>
    <mergeCell ref="ED270:ED271"/>
    <mergeCell ref="DS270:DS271"/>
    <mergeCell ref="DT270:DT271"/>
    <mergeCell ref="DU270:DU271"/>
    <mergeCell ref="DV270:DV271"/>
    <mergeCell ref="DW270:DW271"/>
    <mergeCell ref="DX270:DX271"/>
    <mergeCell ref="DM270:DM271"/>
    <mergeCell ref="DN270:DN271"/>
    <mergeCell ref="DO270:DO271"/>
    <mergeCell ref="DP270:DP271"/>
    <mergeCell ref="DQ270:DQ271"/>
    <mergeCell ref="DR270:DR271"/>
    <mergeCell ref="O270:O271"/>
    <mergeCell ref="P270:P271"/>
    <mergeCell ref="Q270:Q271"/>
    <mergeCell ref="R270:R271"/>
    <mergeCell ref="S270:S271"/>
    <mergeCell ref="T270:T271"/>
    <mergeCell ref="I270:I271"/>
    <mergeCell ref="J270:J271"/>
    <mergeCell ref="K270:K271"/>
    <mergeCell ref="L270:L271"/>
    <mergeCell ref="M270:M271"/>
    <mergeCell ref="N270:N271"/>
    <mergeCell ref="BW270:BW271"/>
    <mergeCell ref="BX270:BX271"/>
    <mergeCell ref="BY270:BY271"/>
    <mergeCell ref="BZ270:BZ271"/>
    <mergeCell ref="CA270:CA271"/>
    <mergeCell ref="CB270:CB271"/>
    <mergeCell ref="BQ270:BQ271"/>
    <mergeCell ref="BR270:BR271"/>
    <mergeCell ref="BS270:BS271"/>
    <mergeCell ref="BT270:BT271"/>
    <mergeCell ref="BU270:BU271"/>
    <mergeCell ref="BV270:BV271"/>
    <mergeCell ref="BK270:BK271"/>
    <mergeCell ref="BL270:BL271"/>
    <mergeCell ref="BM270:BM271"/>
    <mergeCell ref="BN270:BN271"/>
    <mergeCell ref="BO270:BO271"/>
    <mergeCell ref="BP270:BP271"/>
    <mergeCell ref="BE270:BE271"/>
    <mergeCell ref="BF270:BF271"/>
    <mergeCell ref="BG270:BG271"/>
    <mergeCell ref="BH270:BH271"/>
    <mergeCell ref="BI270:BI271"/>
    <mergeCell ref="BJ270:BJ271"/>
    <mergeCell ref="AY270:AY271"/>
    <mergeCell ref="AZ270:AZ271"/>
    <mergeCell ref="BA270:BA271"/>
    <mergeCell ref="BB270:BB271"/>
    <mergeCell ref="BC270:BC271"/>
    <mergeCell ref="BD270:BD271"/>
    <mergeCell ref="AS270:AS271"/>
    <mergeCell ref="AT270:AT271"/>
    <mergeCell ref="AU270:AU271"/>
    <mergeCell ref="AV270:AV271"/>
    <mergeCell ref="AW270:AW271"/>
    <mergeCell ref="AX270:AX271"/>
    <mergeCell ref="DT266:DV269"/>
    <mergeCell ref="DW266:DY269"/>
    <mergeCell ref="DZ266:DZ269"/>
    <mergeCell ref="EA266:EC269"/>
    <mergeCell ref="ED266:EF269"/>
    <mergeCell ref="EG266:EG269"/>
    <mergeCell ref="DF266:DH269"/>
    <mergeCell ref="DI266:DK269"/>
    <mergeCell ref="DL266:DL269"/>
    <mergeCell ref="DM266:DO269"/>
    <mergeCell ref="DP266:DR269"/>
    <mergeCell ref="DS266:DS269"/>
    <mergeCell ref="AM270:AM271"/>
    <mergeCell ref="AN270:AN271"/>
    <mergeCell ref="AO270:AO271"/>
    <mergeCell ref="AP270:AP271"/>
    <mergeCell ref="AQ270:AQ271"/>
    <mergeCell ref="AR270:AR271"/>
    <mergeCell ref="AG270:AG271"/>
    <mergeCell ref="AH270:AH271"/>
    <mergeCell ref="AI270:AI271"/>
    <mergeCell ref="AJ270:AJ271"/>
    <mergeCell ref="AK270:AK271"/>
    <mergeCell ref="AL270:AL271"/>
    <mergeCell ref="AA270:AA271"/>
    <mergeCell ref="AB270:AB271"/>
    <mergeCell ref="AC270:AC271"/>
    <mergeCell ref="AD270:AD271"/>
    <mergeCell ref="AE270:AE271"/>
    <mergeCell ref="AF270:AF271"/>
    <mergeCell ref="U270:U271"/>
    <mergeCell ref="V270:V271"/>
    <mergeCell ref="W270:W271"/>
    <mergeCell ref="X270:X271"/>
    <mergeCell ref="Y270:Y271"/>
    <mergeCell ref="Z270:Z271"/>
    <mergeCell ref="DG270:DG271"/>
    <mergeCell ref="DH270:DH271"/>
    <mergeCell ref="DI270:DI271"/>
    <mergeCell ref="DJ270:DJ271"/>
    <mergeCell ref="DK270:DK271"/>
    <mergeCell ref="DL270:DL271"/>
    <mergeCell ref="DA270:DA271"/>
    <mergeCell ref="DB270:DB271"/>
    <mergeCell ref="DC270:DC271"/>
    <mergeCell ref="DD270:DD271"/>
    <mergeCell ref="DE270:DE271"/>
    <mergeCell ref="DF270:DF271"/>
    <mergeCell ref="CU270:CU271"/>
    <mergeCell ref="CV270:CV271"/>
    <mergeCell ref="CW270:CW271"/>
    <mergeCell ref="CX270:CX271"/>
    <mergeCell ref="CY270:CY271"/>
    <mergeCell ref="CZ270:CZ271"/>
    <mergeCell ref="CO270:CO271"/>
    <mergeCell ref="CP270:CP271"/>
    <mergeCell ref="CQ270:CQ271"/>
    <mergeCell ref="CR270:CR271"/>
    <mergeCell ref="CS270:CS271"/>
    <mergeCell ref="CT270:CT271"/>
    <mergeCell ref="CI270:CI271"/>
    <mergeCell ref="CJ270:CJ271"/>
    <mergeCell ref="CK270:CK271"/>
    <mergeCell ref="CL270:CL271"/>
    <mergeCell ref="AN266:AP269"/>
    <mergeCell ref="AQ266:AS269"/>
    <mergeCell ref="AT266:AT269"/>
    <mergeCell ref="AU266:AW269"/>
    <mergeCell ref="AX266:AZ269"/>
    <mergeCell ref="BA266:BA269"/>
    <mergeCell ref="Z266:AB269"/>
    <mergeCell ref="AC266:AE269"/>
    <mergeCell ref="AF266:AF269"/>
    <mergeCell ref="AG266:AI269"/>
    <mergeCell ref="AJ266:AL269"/>
    <mergeCell ref="AM266:AM269"/>
    <mergeCell ref="IB266:ID269"/>
    <mergeCell ref="IE266:IG269"/>
    <mergeCell ref="IH266:IH269"/>
    <mergeCell ref="II266:IK269"/>
    <mergeCell ref="B267:B269"/>
    <mergeCell ref="B270:B271"/>
    <mergeCell ref="C270:C271"/>
    <mergeCell ref="F270:F271"/>
    <mergeCell ref="G270:G271"/>
    <mergeCell ref="H270:H271"/>
    <mergeCell ref="HN266:HP269"/>
    <mergeCell ref="HQ266:HS269"/>
    <mergeCell ref="HT266:HT269"/>
    <mergeCell ref="HU266:HW269"/>
    <mergeCell ref="HX266:HZ269"/>
    <mergeCell ref="IA266:IA269"/>
    <mergeCell ref="GZ266:HB269"/>
    <mergeCell ref="HC266:HE269"/>
    <mergeCell ref="HF266:HF269"/>
    <mergeCell ref="HG266:HI269"/>
    <mergeCell ref="HJ266:HL269"/>
    <mergeCell ref="HM266:HM269"/>
    <mergeCell ref="GL266:GN269"/>
    <mergeCell ref="GO266:GQ269"/>
    <mergeCell ref="GR266:GR269"/>
    <mergeCell ref="GS266:GU269"/>
    <mergeCell ref="GV266:GX269"/>
    <mergeCell ref="GY266:GY269"/>
    <mergeCell ref="FX266:FZ269"/>
    <mergeCell ref="GA266:GC269"/>
    <mergeCell ref="GD266:GD269"/>
    <mergeCell ref="GE266:GG269"/>
    <mergeCell ref="GH266:GJ269"/>
    <mergeCell ref="GK266:GK269"/>
    <mergeCell ref="FJ266:FL269"/>
    <mergeCell ref="FM266:FO269"/>
    <mergeCell ref="FP266:FP269"/>
    <mergeCell ref="FQ266:FS269"/>
    <mergeCell ref="FT266:FV269"/>
    <mergeCell ref="FW266:FW269"/>
    <mergeCell ref="EV266:EX269"/>
    <mergeCell ref="EY266:FA269"/>
    <mergeCell ref="FB266:FB269"/>
    <mergeCell ref="FC266:FE269"/>
    <mergeCell ref="FF266:FH269"/>
    <mergeCell ref="FI266:FI269"/>
    <mergeCell ref="EH266:EJ269"/>
    <mergeCell ref="EK266:EM269"/>
    <mergeCell ref="EN266:EN269"/>
    <mergeCell ref="EO266:EQ269"/>
    <mergeCell ref="ER266:ET269"/>
    <mergeCell ref="EU266:EU269"/>
    <mergeCell ref="L266:N269"/>
    <mergeCell ref="O266:Q269"/>
    <mergeCell ref="R266:R269"/>
    <mergeCell ref="S266:U269"/>
    <mergeCell ref="V266:X269"/>
    <mergeCell ref="Y266:Y269"/>
    <mergeCell ref="HC265:HI265"/>
    <mergeCell ref="HJ265:HP265"/>
    <mergeCell ref="HQ265:HW265"/>
    <mergeCell ref="HX265:ID265"/>
    <mergeCell ref="IE265:IK265"/>
    <mergeCell ref="C266:C269"/>
    <mergeCell ref="D266:E269"/>
    <mergeCell ref="F266:G269"/>
    <mergeCell ref="H266:J269"/>
    <mergeCell ref="K266:K269"/>
    <mergeCell ref="FM265:FS265"/>
    <mergeCell ref="FT265:FZ265"/>
    <mergeCell ref="GA265:GG265"/>
    <mergeCell ref="GH265:GN265"/>
    <mergeCell ref="GO265:GU265"/>
    <mergeCell ref="GV265:HB265"/>
    <mergeCell ref="DW265:EC265"/>
    <mergeCell ref="ED265:EJ265"/>
    <mergeCell ref="EK265:EQ265"/>
    <mergeCell ref="ER265:EX265"/>
    <mergeCell ref="EY265:FE265"/>
    <mergeCell ref="FF265:FL265"/>
    <mergeCell ref="CG265:CM265"/>
    <mergeCell ref="CN265:CT265"/>
    <mergeCell ref="CU265:DA265"/>
    <mergeCell ref="DB265:DH265"/>
    <mergeCell ref="DI265:DO265"/>
    <mergeCell ref="DP265:DV265"/>
    <mergeCell ref="AQ265:AW265"/>
    <mergeCell ref="AX265:BD265"/>
    <mergeCell ref="BE265:BK265"/>
    <mergeCell ref="BL265:BR265"/>
    <mergeCell ref="BS265:BY265"/>
    <mergeCell ref="BZ265:CF265"/>
    <mergeCell ref="CR266:CT269"/>
    <mergeCell ref="CU266:CW269"/>
    <mergeCell ref="CX266:CX269"/>
    <mergeCell ref="CY266:DA269"/>
    <mergeCell ref="DB266:DD269"/>
    <mergeCell ref="DE266:DE269"/>
    <mergeCell ref="CD266:CF269"/>
    <mergeCell ref="CG266:CI269"/>
    <mergeCell ref="CJ266:CJ269"/>
    <mergeCell ref="CK266:CM269"/>
    <mergeCell ref="CN266:CP269"/>
    <mergeCell ref="CQ266:CQ269"/>
    <mergeCell ref="BP266:BR269"/>
    <mergeCell ref="BS266:BU269"/>
    <mergeCell ref="BV266:BV269"/>
    <mergeCell ref="BW266:BY269"/>
    <mergeCell ref="BZ266:CB269"/>
    <mergeCell ref="CC266:CC269"/>
    <mergeCell ref="BB266:BD269"/>
    <mergeCell ref="BE266:BG269"/>
    <mergeCell ref="BH266:BH269"/>
    <mergeCell ref="BI266:BK269"/>
    <mergeCell ref="BL266:BN269"/>
    <mergeCell ref="BO266:BO269"/>
    <mergeCell ref="IH262:IH264"/>
    <mergeCell ref="II262:II264"/>
    <mergeCell ref="IJ262:IJ264"/>
    <mergeCell ref="IK262:IK264"/>
    <mergeCell ref="C265:G265"/>
    <mergeCell ref="H265:N265"/>
    <mergeCell ref="O265:U265"/>
    <mergeCell ref="V265:AB265"/>
    <mergeCell ref="AC265:AI265"/>
    <mergeCell ref="AJ265:AP265"/>
    <mergeCell ref="IB262:IB264"/>
    <mergeCell ref="IC262:IC264"/>
    <mergeCell ref="ID262:ID264"/>
    <mergeCell ref="IE262:IE264"/>
    <mergeCell ref="IF262:IF264"/>
    <mergeCell ref="IG262:IG264"/>
    <mergeCell ref="HV262:HV264"/>
    <mergeCell ref="HW262:HW264"/>
    <mergeCell ref="HX262:HX264"/>
    <mergeCell ref="HY262:HY264"/>
    <mergeCell ref="HZ262:HZ264"/>
    <mergeCell ref="IA262:IA264"/>
    <mergeCell ref="HP262:HP264"/>
    <mergeCell ref="HQ262:HQ264"/>
    <mergeCell ref="HR262:HR264"/>
    <mergeCell ref="HS262:HS264"/>
    <mergeCell ref="HT262:HT264"/>
    <mergeCell ref="HU262:HU264"/>
    <mergeCell ref="HJ262:HJ264"/>
    <mergeCell ref="HK262:HK264"/>
    <mergeCell ref="HL262:HL264"/>
    <mergeCell ref="HM262:HM264"/>
    <mergeCell ref="HN262:HN264"/>
    <mergeCell ref="HO262:HO264"/>
    <mergeCell ref="HD262:HD264"/>
    <mergeCell ref="HE262:HE264"/>
    <mergeCell ref="HF262:HF264"/>
    <mergeCell ref="HG262:HG264"/>
    <mergeCell ref="HH262:HH264"/>
    <mergeCell ref="HI262:HI264"/>
    <mergeCell ref="GX262:GX264"/>
    <mergeCell ref="GY262:GY264"/>
    <mergeCell ref="GZ262:GZ264"/>
    <mergeCell ref="HA262:HA264"/>
    <mergeCell ref="HB262:HB264"/>
    <mergeCell ref="HC262:HC264"/>
    <mergeCell ref="GR262:GR264"/>
    <mergeCell ref="GS262:GS264"/>
    <mergeCell ref="GT262:GT264"/>
    <mergeCell ref="GU262:GU264"/>
    <mergeCell ref="GV262:GV264"/>
    <mergeCell ref="GW262:GW264"/>
    <mergeCell ref="GL262:GL264"/>
    <mergeCell ref="GM262:GM264"/>
    <mergeCell ref="GN262:GN264"/>
    <mergeCell ref="GO262:GO264"/>
    <mergeCell ref="GP262:GP264"/>
    <mergeCell ref="GQ262:GQ264"/>
    <mergeCell ref="GF262:GF264"/>
    <mergeCell ref="GG262:GG264"/>
    <mergeCell ref="GH262:GH264"/>
    <mergeCell ref="GI262:GI264"/>
    <mergeCell ref="GJ262:GJ264"/>
    <mergeCell ref="GK262:GK264"/>
    <mergeCell ref="FZ262:FZ264"/>
    <mergeCell ref="GA262:GA264"/>
    <mergeCell ref="GB262:GB264"/>
    <mergeCell ref="GC262:GC264"/>
    <mergeCell ref="GD262:GD264"/>
    <mergeCell ref="GE262:GE264"/>
    <mergeCell ref="FT262:FT264"/>
    <mergeCell ref="FU262:FU264"/>
    <mergeCell ref="FV262:FV264"/>
    <mergeCell ref="FW262:FW264"/>
    <mergeCell ref="FX262:FX264"/>
    <mergeCell ref="FY262:FY264"/>
    <mergeCell ref="FN262:FN264"/>
    <mergeCell ref="FO262:FO264"/>
    <mergeCell ref="FP262:FP264"/>
    <mergeCell ref="FQ262:FQ264"/>
    <mergeCell ref="FR262:FR264"/>
    <mergeCell ref="FS262:FS264"/>
    <mergeCell ref="FH262:FH264"/>
    <mergeCell ref="FI262:FI264"/>
    <mergeCell ref="FJ262:FJ264"/>
    <mergeCell ref="FK262:FK264"/>
    <mergeCell ref="FL262:FL264"/>
    <mergeCell ref="FM262:FM264"/>
    <mergeCell ref="FB262:FB264"/>
    <mergeCell ref="FC262:FC264"/>
    <mergeCell ref="FD262:FD264"/>
    <mergeCell ref="FE262:FE264"/>
    <mergeCell ref="FF262:FF264"/>
    <mergeCell ref="FG262:FG264"/>
    <mergeCell ref="EV262:EV264"/>
    <mergeCell ref="EW262:EW264"/>
    <mergeCell ref="EX262:EX264"/>
    <mergeCell ref="EY262:EY264"/>
    <mergeCell ref="EZ262:EZ264"/>
    <mergeCell ref="FA262:FA264"/>
    <mergeCell ref="EP262:EP264"/>
    <mergeCell ref="EQ262:EQ264"/>
    <mergeCell ref="ER262:ER264"/>
    <mergeCell ref="ES262:ES264"/>
    <mergeCell ref="ET262:ET264"/>
    <mergeCell ref="EU262:EU264"/>
    <mergeCell ref="EJ262:EJ264"/>
    <mergeCell ref="EK262:EK264"/>
    <mergeCell ref="EL262:EL264"/>
    <mergeCell ref="EM262:EM264"/>
    <mergeCell ref="EN262:EN264"/>
    <mergeCell ref="EO262:EO264"/>
    <mergeCell ref="ED262:ED264"/>
    <mergeCell ref="EE262:EE264"/>
    <mergeCell ref="EF262:EF264"/>
    <mergeCell ref="EG262:EG264"/>
    <mergeCell ref="EH262:EH264"/>
    <mergeCell ref="EI262:EI264"/>
    <mergeCell ref="DX262:DX264"/>
    <mergeCell ref="DY262:DY264"/>
    <mergeCell ref="DZ262:DZ264"/>
    <mergeCell ref="EA262:EA264"/>
    <mergeCell ref="EB262:EB264"/>
    <mergeCell ref="EC262:EC264"/>
    <mergeCell ref="DR262:DR264"/>
    <mergeCell ref="DS262:DS264"/>
    <mergeCell ref="DT262:DT264"/>
    <mergeCell ref="DU262:DU264"/>
    <mergeCell ref="DV262:DV264"/>
    <mergeCell ref="DW262:DW264"/>
    <mergeCell ref="DL262:DL264"/>
    <mergeCell ref="DM262:DM264"/>
    <mergeCell ref="DN262:DN264"/>
    <mergeCell ref="DO262:DO264"/>
    <mergeCell ref="DP262:DP264"/>
    <mergeCell ref="DQ262:DQ264"/>
    <mergeCell ref="DF262:DF264"/>
    <mergeCell ref="DG262:DG264"/>
    <mergeCell ref="DH262:DH264"/>
    <mergeCell ref="DI262:DI264"/>
    <mergeCell ref="DJ262:DJ264"/>
    <mergeCell ref="DK262:DK264"/>
    <mergeCell ref="CZ262:CZ264"/>
    <mergeCell ref="DA262:DA264"/>
    <mergeCell ref="DB262:DB264"/>
    <mergeCell ref="DC262:DC264"/>
    <mergeCell ref="DD262:DD264"/>
    <mergeCell ref="DE262:DE264"/>
    <mergeCell ref="CT262:CT264"/>
    <mergeCell ref="CU262:CU264"/>
    <mergeCell ref="CV262:CV264"/>
    <mergeCell ref="CW262:CW264"/>
    <mergeCell ref="CX262:CX264"/>
    <mergeCell ref="CY262:CY264"/>
    <mergeCell ref="CN262:CN264"/>
    <mergeCell ref="CO262:CO264"/>
    <mergeCell ref="CP262:CP264"/>
    <mergeCell ref="CQ262:CQ264"/>
    <mergeCell ref="CR262:CR264"/>
    <mergeCell ref="CS262:CS264"/>
    <mergeCell ref="CH262:CH264"/>
    <mergeCell ref="CI262:CI264"/>
    <mergeCell ref="CJ262:CJ264"/>
    <mergeCell ref="CK262:CK264"/>
    <mergeCell ref="CL262:CL264"/>
    <mergeCell ref="CM262:CM264"/>
    <mergeCell ref="CB262:CB264"/>
    <mergeCell ref="CC262:CC264"/>
    <mergeCell ref="CD262:CD264"/>
    <mergeCell ref="CE262:CE264"/>
    <mergeCell ref="CF262:CF264"/>
    <mergeCell ref="CG262:CG264"/>
    <mergeCell ref="BV262:BV264"/>
    <mergeCell ref="BW262:BW264"/>
    <mergeCell ref="BX262:BX264"/>
    <mergeCell ref="BY262:BY264"/>
    <mergeCell ref="BZ262:BZ264"/>
    <mergeCell ref="CA262:CA264"/>
    <mergeCell ref="BP262:BP264"/>
    <mergeCell ref="BQ262:BQ264"/>
    <mergeCell ref="BR262:BR264"/>
    <mergeCell ref="BS262:BS264"/>
    <mergeCell ref="BT262:BT264"/>
    <mergeCell ref="BU262:BU264"/>
    <mergeCell ref="BJ262:BJ264"/>
    <mergeCell ref="BK262:BK264"/>
    <mergeCell ref="BL262:BL264"/>
    <mergeCell ref="BM262:BM264"/>
    <mergeCell ref="BN262:BN264"/>
    <mergeCell ref="BO262:BO264"/>
    <mergeCell ref="BD262:BD264"/>
    <mergeCell ref="BE262:BE264"/>
    <mergeCell ref="BF262:BF264"/>
    <mergeCell ref="BG262:BG264"/>
    <mergeCell ref="BH262:BH264"/>
    <mergeCell ref="BI262:BI264"/>
    <mergeCell ref="AX262:AX264"/>
    <mergeCell ref="AY262:AY264"/>
    <mergeCell ref="AZ262:AZ264"/>
    <mergeCell ref="BA262:BA264"/>
    <mergeCell ref="BB262:BB264"/>
    <mergeCell ref="BC262:BC264"/>
    <mergeCell ref="AR262:AR264"/>
    <mergeCell ref="AS262:AS264"/>
    <mergeCell ref="AT262:AT264"/>
    <mergeCell ref="AU262:AU264"/>
    <mergeCell ref="AV262:AV264"/>
    <mergeCell ref="AW262:AW264"/>
    <mergeCell ref="AL262:AL264"/>
    <mergeCell ref="AM262:AM264"/>
    <mergeCell ref="AN262:AN264"/>
    <mergeCell ref="AO262:AO264"/>
    <mergeCell ref="AP262:AP264"/>
    <mergeCell ref="AQ262:AQ264"/>
    <mergeCell ref="AF262:AF264"/>
    <mergeCell ref="AG262:AG264"/>
    <mergeCell ref="AH262:AH264"/>
    <mergeCell ref="AI262:AI264"/>
    <mergeCell ref="AJ262:AJ264"/>
    <mergeCell ref="AK262:AK264"/>
    <mergeCell ref="Z262:Z264"/>
    <mergeCell ref="AA262:AA264"/>
    <mergeCell ref="AB262:AB264"/>
    <mergeCell ref="AC262:AC264"/>
    <mergeCell ref="AD262:AD264"/>
    <mergeCell ref="AE262:AE264"/>
    <mergeCell ref="T262:T264"/>
    <mergeCell ref="U262:U264"/>
    <mergeCell ref="V262:V264"/>
    <mergeCell ref="W262:W264"/>
    <mergeCell ref="X262:X264"/>
    <mergeCell ref="Y262:Y264"/>
    <mergeCell ref="N262:N264"/>
    <mergeCell ref="O262:O264"/>
    <mergeCell ref="P262:P264"/>
    <mergeCell ref="Q262:Q264"/>
    <mergeCell ref="R262:R264"/>
    <mergeCell ref="S262:S264"/>
    <mergeCell ref="H262:H264"/>
    <mergeCell ref="I262:I264"/>
    <mergeCell ref="J262:J264"/>
    <mergeCell ref="K262:K264"/>
    <mergeCell ref="L262:L264"/>
    <mergeCell ref="M262:M264"/>
    <mergeCell ref="IH199:IH200"/>
    <mergeCell ref="II199:II200"/>
    <mergeCell ref="IJ199:IJ200"/>
    <mergeCell ref="IK199:IK200"/>
    <mergeCell ref="F200:G200"/>
    <mergeCell ref="IB199:IB200"/>
    <mergeCell ref="IC199:IC200"/>
    <mergeCell ref="ID199:ID200"/>
    <mergeCell ref="IE199:IE200"/>
    <mergeCell ref="IF199:IF200"/>
    <mergeCell ref="IG199:IG200"/>
    <mergeCell ref="HV199:HV200"/>
    <mergeCell ref="HW199:HW200"/>
    <mergeCell ref="HX199:HX200"/>
    <mergeCell ref="HY199:HY200"/>
    <mergeCell ref="HZ199:HZ200"/>
    <mergeCell ref="IA199:IA200"/>
    <mergeCell ref="HP199:HP200"/>
    <mergeCell ref="HQ199:HQ200"/>
    <mergeCell ref="HR199:HR200"/>
    <mergeCell ref="HS199:HS200"/>
    <mergeCell ref="HT199:HT200"/>
    <mergeCell ref="HU199:HU200"/>
    <mergeCell ref="HJ199:HJ200"/>
    <mergeCell ref="HK199:HK200"/>
    <mergeCell ref="HL199:HL200"/>
    <mergeCell ref="HM199:HM200"/>
    <mergeCell ref="HN199:HN200"/>
    <mergeCell ref="HO199:HO200"/>
    <mergeCell ref="HD199:HD200"/>
    <mergeCell ref="HE199:HE200"/>
    <mergeCell ref="HF199:HF200"/>
    <mergeCell ref="HG199:HG200"/>
    <mergeCell ref="HH199:HH200"/>
    <mergeCell ref="HI199:HI200"/>
    <mergeCell ref="GX199:GX200"/>
    <mergeCell ref="GY199:GY200"/>
    <mergeCell ref="GZ199:GZ200"/>
    <mergeCell ref="HA199:HA200"/>
    <mergeCell ref="HB199:HB200"/>
    <mergeCell ref="HC199:HC200"/>
    <mergeCell ref="GR199:GR200"/>
    <mergeCell ref="GS199:GS200"/>
    <mergeCell ref="GT199:GT200"/>
    <mergeCell ref="GU199:GU200"/>
    <mergeCell ref="GV199:GV200"/>
    <mergeCell ref="GW199:GW200"/>
    <mergeCell ref="GL199:GL200"/>
    <mergeCell ref="GM199:GM200"/>
    <mergeCell ref="GN199:GN200"/>
    <mergeCell ref="GO199:GO200"/>
    <mergeCell ref="GP199:GP200"/>
    <mergeCell ref="GQ199:GQ200"/>
    <mergeCell ref="GF199:GF200"/>
    <mergeCell ref="GG199:GG200"/>
    <mergeCell ref="GH199:GH200"/>
    <mergeCell ref="GI199:GI200"/>
    <mergeCell ref="GJ199:GJ200"/>
    <mergeCell ref="GK199:GK200"/>
    <mergeCell ref="FZ199:FZ200"/>
    <mergeCell ref="GA199:GA200"/>
    <mergeCell ref="GB199:GB200"/>
    <mergeCell ref="GC199:GC200"/>
    <mergeCell ref="GD199:GD200"/>
    <mergeCell ref="GE199:GE200"/>
    <mergeCell ref="FT199:FT200"/>
    <mergeCell ref="FU199:FU200"/>
    <mergeCell ref="FV199:FV200"/>
    <mergeCell ref="FW199:FW200"/>
    <mergeCell ref="FX199:FX200"/>
    <mergeCell ref="FY199:FY200"/>
    <mergeCell ref="FN199:FN200"/>
    <mergeCell ref="FO199:FO200"/>
    <mergeCell ref="FP199:FP200"/>
    <mergeCell ref="FQ199:FQ200"/>
    <mergeCell ref="FR199:FR200"/>
    <mergeCell ref="FS199:FS200"/>
    <mergeCell ref="FH199:FH200"/>
    <mergeCell ref="FI199:FI200"/>
    <mergeCell ref="FJ199:FJ200"/>
    <mergeCell ref="FK199:FK200"/>
    <mergeCell ref="FL199:FL200"/>
    <mergeCell ref="FM199:FM200"/>
    <mergeCell ref="FB199:FB200"/>
    <mergeCell ref="FC199:FC200"/>
    <mergeCell ref="FD199:FD200"/>
    <mergeCell ref="FE199:FE200"/>
    <mergeCell ref="FF199:FF200"/>
    <mergeCell ref="FG199:FG200"/>
    <mergeCell ref="EV199:EV200"/>
    <mergeCell ref="EW199:EW200"/>
    <mergeCell ref="EX199:EX200"/>
    <mergeCell ref="EY199:EY200"/>
    <mergeCell ref="EZ199:EZ200"/>
    <mergeCell ref="FA199:FA200"/>
    <mergeCell ref="EP199:EP200"/>
    <mergeCell ref="EQ199:EQ200"/>
    <mergeCell ref="ER199:ER200"/>
    <mergeCell ref="ES199:ES200"/>
    <mergeCell ref="ET199:ET200"/>
    <mergeCell ref="EU199:EU200"/>
    <mergeCell ref="EJ199:EJ200"/>
    <mergeCell ref="EK199:EK200"/>
    <mergeCell ref="EL199:EL200"/>
    <mergeCell ref="EM199:EM200"/>
    <mergeCell ref="EN199:EN200"/>
    <mergeCell ref="EO199:EO200"/>
    <mergeCell ref="ED199:ED200"/>
    <mergeCell ref="EE199:EE200"/>
    <mergeCell ref="EF199:EF200"/>
    <mergeCell ref="EG199:EG200"/>
    <mergeCell ref="EH199:EH200"/>
    <mergeCell ref="EI199:EI200"/>
    <mergeCell ref="DX199:DX200"/>
    <mergeCell ref="DY199:DY200"/>
    <mergeCell ref="DZ199:DZ200"/>
    <mergeCell ref="EA199:EA200"/>
    <mergeCell ref="EB199:EB200"/>
    <mergeCell ref="EC199:EC200"/>
    <mergeCell ref="DR199:DR200"/>
    <mergeCell ref="DS199:DS200"/>
    <mergeCell ref="DT199:DT200"/>
    <mergeCell ref="DU199:DU200"/>
    <mergeCell ref="DV199:DV200"/>
    <mergeCell ref="DW199:DW200"/>
    <mergeCell ref="DL199:DL200"/>
    <mergeCell ref="DM199:DM200"/>
    <mergeCell ref="DN199:DN200"/>
    <mergeCell ref="DO199:DO200"/>
    <mergeCell ref="DP199:DP200"/>
    <mergeCell ref="DQ199:DQ200"/>
    <mergeCell ref="DF199:DF200"/>
    <mergeCell ref="DG199:DG200"/>
    <mergeCell ref="DH199:DH200"/>
    <mergeCell ref="DI199:DI200"/>
    <mergeCell ref="DJ199:DJ200"/>
    <mergeCell ref="DK199:DK200"/>
    <mergeCell ref="CZ199:CZ200"/>
    <mergeCell ref="DA199:DA200"/>
    <mergeCell ref="DB199:DB200"/>
    <mergeCell ref="DC199:DC200"/>
    <mergeCell ref="DD199:DD200"/>
    <mergeCell ref="DE199:DE200"/>
    <mergeCell ref="CT199:CT200"/>
    <mergeCell ref="CU199:CU200"/>
    <mergeCell ref="CV199:CV200"/>
    <mergeCell ref="CW199:CW200"/>
    <mergeCell ref="CX199:CX200"/>
    <mergeCell ref="CY199:CY200"/>
    <mergeCell ref="CN199:CN200"/>
    <mergeCell ref="CO199:CO200"/>
    <mergeCell ref="CP199:CP200"/>
    <mergeCell ref="CQ199:CQ200"/>
    <mergeCell ref="CR199:CR200"/>
    <mergeCell ref="CS199:CS200"/>
    <mergeCell ref="CH199:CH200"/>
    <mergeCell ref="CI199:CI200"/>
    <mergeCell ref="CJ199:CJ200"/>
    <mergeCell ref="CK199:CK200"/>
    <mergeCell ref="CL199:CL200"/>
    <mergeCell ref="CM199:CM200"/>
    <mergeCell ref="CB199:CB200"/>
    <mergeCell ref="CC199:CC200"/>
    <mergeCell ref="CD199:CD200"/>
    <mergeCell ref="CE199:CE200"/>
    <mergeCell ref="CF199:CF200"/>
    <mergeCell ref="CG199:CG200"/>
    <mergeCell ref="BV199:BV200"/>
    <mergeCell ref="BW199:BW200"/>
    <mergeCell ref="BX199:BX200"/>
    <mergeCell ref="BY199:BY200"/>
    <mergeCell ref="BZ199:BZ200"/>
    <mergeCell ref="CA199:CA200"/>
    <mergeCell ref="BP199:BP200"/>
    <mergeCell ref="BQ199:BQ200"/>
    <mergeCell ref="BR199:BR200"/>
    <mergeCell ref="BS199:BS200"/>
    <mergeCell ref="BT199:BT200"/>
    <mergeCell ref="BU199:BU200"/>
    <mergeCell ref="BJ199:BJ200"/>
    <mergeCell ref="BK199:BK200"/>
    <mergeCell ref="BL199:BL200"/>
    <mergeCell ref="BM199:BM200"/>
    <mergeCell ref="BN199:BN200"/>
    <mergeCell ref="BO199:BO200"/>
    <mergeCell ref="BD199:BD200"/>
    <mergeCell ref="BE199:BE200"/>
    <mergeCell ref="BF199:BF200"/>
    <mergeCell ref="BG199:BG200"/>
    <mergeCell ref="BH199:BH200"/>
    <mergeCell ref="BI199:BI200"/>
    <mergeCell ref="AX199:AX200"/>
    <mergeCell ref="AY199:AY200"/>
    <mergeCell ref="AZ199:AZ200"/>
    <mergeCell ref="BA199:BA200"/>
    <mergeCell ref="BB199:BB200"/>
    <mergeCell ref="BC199:BC200"/>
    <mergeCell ref="AR199:AR200"/>
    <mergeCell ref="AS199:AS200"/>
    <mergeCell ref="AT199:AT200"/>
    <mergeCell ref="AU199:AU200"/>
    <mergeCell ref="AV199:AV200"/>
    <mergeCell ref="AW199:AW200"/>
    <mergeCell ref="AL199:AL200"/>
    <mergeCell ref="AM199:AM200"/>
    <mergeCell ref="AN199:AN200"/>
    <mergeCell ref="AO199:AO200"/>
    <mergeCell ref="AP199:AP200"/>
    <mergeCell ref="AQ199:AQ200"/>
    <mergeCell ref="AF199:AF200"/>
    <mergeCell ref="AG199:AG200"/>
    <mergeCell ref="AH199:AH200"/>
    <mergeCell ref="AI199:AI200"/>
    <mergeCell ref="AJ199:AJ200"/>
    <mergeCell ref="AK199:AK200"/>
    <mergeCell ref="Z199:Z200"/>
    <mergeCell ref="AA199:AA200"/>
    <mergeCell ref="AB199:AB200"/>
    <mergeCell ref="AC199:AC200"/>
    <mergeCell ref="AD199:AD200"/>
    <mergeCell ref="AE199:AE200"/>
    <mergeCell ref="T199:T200"/>
    <mergeCell ref="U199:U200"/>
    <mergeCell ref="V199:V200"/>
    <mergeCell ref="W199:W200"/>
    <mergeCell ref="X199:X200"/>
    <mergeCell ref="Y199:Y200"/>
    <mergeCell ref="N199:N200"/>
    <mergeCell ref="O199:O200"/>
    <mergeCell ref="P199:P200"/>
    <mergeCell ref="Q199:Q200"/>
    <mergeCell ref="R199:R200"/>
    <mergeCell ref="S199:S200"/>
    <mergeCell ref="IK197:IK198"/>
    <mergeCell ref="F198:G198"/>
    <mergeCell ref="B199:B200"/>
    <mergeCell ref="C199:C200"/>
    <mergeCell ref="H199:H200"/>
    <mergeCell ref="I199:I200"/>
    <mergeCell ref="J199:J200"/>
    <mergeCell ref="K199:K200"/>
    <mergeCell ref="L199:L200"/>
    <mergeCell ref="M199:M200"/>
    <mergeCell ref="IE197:IE198"/>
    <mergeCell ref="IF197:IF198"/>
    <mergeCell ref="IG197:IG198"/>
    <mergeCell ref="IH197:IH198"/>
    <mergeCell ref="II197:II198"/>
    <mergeCell ref="IJ197:IJ198"/>
    <mergeCell ref="HY197:HY198"/>
    <mergeCell ref="HZ197:HZ198"/>
    <mergeCell ref="IA197:IA198"/>
    <mergeCell ref="IB197:IB198"/>
    <mergeCell ref="IC197:IC198"/>
    <mergeCell ref="ID197:ID198"/>
    <mergeCell ref="HS197:HS198"/>
    <mergeCell ref="HT197:HT198"/>
    <mergeCell ref="HU197:HU198"/>
    <mergeCell ref="HV197:HV198"/>
    <mergeCell ref="HW197:HW198"/>
    <mergeCell ref="HX197:HX198"/>
    <mergeCell ref="HM197:HM198"/>
    <mergeCell ref="HN197:HN198"/>
    <mergeCell ref="HO197:HO198"/>
    <mergeCell ref="HP197:HP198"/>
    <mergeCell ref="HQ197:HQ198"/>
    <mergeCell ref="HR197:HR198"/>
    <mergeCell ref="HG197:HG198"/>
    <mergeCell ref="HH197:HH198"/>
    <mergeCell ref="HI197:HI198"/>
    <mergeCell ref="HJ197:HJ198"/>
    <mergeCell ref="HK197:HK198"/>
    <mergeCell ref="HL197:HL198"/>
    <mergeCell ref="HA197:HA198"/>
    <mergeCell ref="HB197:HB198"/>
    <mergeCell ref="HC197:HC198"/>
    <mergeCell ref="HD197:HD198"/>
    <mergeCell ref="HE197:HE198"/>
    <mergeCell ref="HF197:HF198"/>
    <mergeCell ref="GU197:GU198"/>
    <mergeCell ref="GV197:GV198"/>
    <mergeCell ref="GW197:GW198"/>
    <mergeCell ref="GX197:GX198"/>
    <mergeCell ref="GY197:GY198"/>
    <mergeCell ref="GZ197:GZ198"/>
    <mergeCell ref="GO197:GO198"/>
    <mergeCell ref="GP197:GP198"/>
    <mergeCell ref="GQ197:GQ198"/>
    <mergeCell ref="GR197:GR198"/>
    <mergeCell ref="GS197:GS198"/>
    <mergeCell ref="GT197:GT198"/>
    <mergeCell ref="GI197:GI198"/>
    <mergeCell ref="GJ197:GJ198"/>
    <mergeCell ref="GK197:GK198"/>
    <mergeCell ref="GL197:GL198"/>
    <mergeCell ref="GM197:GM198"/>
    <mergeCell ref="GN197:GN198"/>
    <mergeCell ref="GC197:GC198"/>
    <mergeCell ref="GD197:GD198"/>
    <mergeCell ref="GE197:GE198"/>
    <mergeCell ref="GF197:GF198"/>
    <mergeCell ref="GG197:GG198"/>
    <mergeCell ref="GH197:GH198"/>
    <mergeCell ref="FW197:FW198"/>
    <mergeCell ref="FX197:FX198"/>
    <mergeCell ref="FY197:FY198"/>
    <mergeCell ref="FZ197:FZ198"/>
    <mergeCell ref="GA197:GA198"/>
    <mergeCell ref="GB197:GB198"/>
    <mergeCell ref="FQ197:FQ198"/>
    <mergeCell ref="FR197:FR198"/>
    <mergeCell ref="FS197:FS198"/>
    <mergeCell ref="FT197:FT198"/>
    <mergeCell ref="FU197:FU198"/>
    <mergeCell ref="FV197:FV198"/>
    <mergeCell ref="FK197:FK198"/>
    <mergeCell ref="FL197:FL198"/>
    <mergeCell ref="FM197:FM198"/>
    <mergeCell ref="FN197:FN198"/>
    <mergeCell ref="FO197:FO198"/>
    <mergeCell ref="FP197:FP198"/>
    <mergeCell ref="FE197:FE198"/>
    <mergeCell ref="FF197:FF198"/>
    <mergeCell ref="FG197:FG198"/>
    <mergeCell ref="FH197:FH198"/>
    <mergeCell ref="FI197:FI198"/>
    <mergeCell ref="FJ197:FJ198"/>
    <mergeCell ref="EY197:EY198"/>
    <mergeCell ref="EZ197:EZ198"/>
    <mergeCell ref="FA197:FA198"/>
    <mergeCell ref="FB197:FB198"/>
    <mergeCell ref="FC197:FC198"/>
    <mergeCell ref="FD197:FD198"/>
    <mergeCell ref="ES197:ES198"/>
    <mergeCell ref="ET197:ET198"/>
    <mergeCell ref="EU197:EU198"/>
    <mergeCell ref="EV197:EV198"/>
    <mergeCell ref="EW197:EW198"/>
    <mergeCell ref="EX197:EX198"/>
    <mergeCell ref="EM197:EM198"/>
    <mergeCell ref="EN197:EN198"/>
    <mergeCell ref="EO197:EO198"/>
    <mergeCell ref="EP197:EP198"/>
    <mergeCell ref="EQ197:EQ198"/>
    <mergeCell ref="ER197:ER198"/>
    <mergeCell ref="EG197:EG198"/>
    <mergeCell ref="EH197:EH198"/>
    <mergeCell ref="EI197:EI198"/>
    <mergeCell ref="EJ197:EJ198"/>
    <mergeCell ref="EK197:EK198"/>
    <mergeCell ref="EL197:EL198"/>
    <mergeCell ref="EA197:EA198"/>
    <mergeCell ref="EB197:EB198"/>
    <mergeCell ref="EC197:EC198"/>
    <mergeCell ref="ED197:ED198"/>
    <mergeCell ref="EE197:EE198"/>
    <mergeCell ref="EF197:EF198"/>
    <mergeCell ref="DU197:DU198"/>
    <mergeCell ref="DV197:DV198"/>
    <mergeCell ref="DW197:DW198"/>
    <mergeCell ref="DX197:DX198"/>
    <mergeCell ref="DY197:DY198"/>
    <mergeCell ref="DZ197:DZ198"/>
    <mergeCell ref="DO197:DO198"/>
    <mergeCell ref="DP197:DP198"/>
    <mergeCell ref="DQ197:DQ198"/>
    <mergeCell ref="DR197:DR198"/>
    <mergeCell ref="DS197:DS198"/>
    <mergeCell ref="DT197:DT198"/>
    <mergeCell ref="DI197:DI198"/>
    <mergeCell ref="DJ197:DJ198"/>
    <mergeCell ref="DK197:DK198"/>
    <mergeCell ref="DL197:DL198"/>
    <mergeCell ref="DM197:DM198"/>
    <mergeCell ref="DN197:DN198"/>
    <mergeCell ref="DC197:DC198"/>
    <mergeCell ref="DD197:DD198"/>
    <mergeCell ref="DE197:DE198"/>
    <mergeCell ref="DF197:DF198"/>
    <mergeCell ref="DG197:DG198"/>
    <mergeCell ref="DH197:DH198"/>
    <mergeCell ref="CW197:CW198"/>
    <mergeCell ref="CX197:CX198"/>
    <mergeCell ref="CY197:CY198"/>
    <mergeCell ref="CZ197:CZ198"/>
    <mergeCell ref="DA197:DA198"/>
    <mergeCell ref="DB197:DB198"/>
    <mergeCell ref="CQ197:CQ198"/>
    <mergeCell ref="CR197:CR198"/>
    <mergeCell ref="CS197:CS198"/>
    <mergeCell ref="CT197:CT198"/>
    <mergeCell ref="CU197:CU198"/>
    <mergeCell ref="CV197:CV198"/>
    <mergeCell ref="CK197:CK198"/>
    <mergeCell ref="CL197:CL198"/>
    <mergeCell ref="CM197:CM198"/>
    <mergeCell ref="CN197:CN198"/>
    <mergeCell ref="CO197:CO198"/>
    <mergeCell ref="CP197:CP198"/>
    <mergeCell ref="CE197:CE198"/>
    <mergeCell ref="CF197:CF198"/>
    <mergeCell ref="CG197:CG198"/>
    <mergeCell ref="CH197:CH198"/>
    <mergeCell ref="CI197:CI198"/>
    <mergeCell ref="CJ197:CJ198"/>
    <mergeCell ref="BY197:BY198"/>
    <mergeCell ref="BZ197:BZ198"/>
    <mergeCell ref="CA197:CA198"/>
    <mergeCell ref="CB197:CB198"/>
    <mergeCell ref="CC197:CC198"/>
    <mergeCell ref="CD197:CD198"/>
    <mergeCell ref="BS197:BS198"/>
    <mergeCell ref="BT197:BT198"/>
    <mergeCell ref="BU197:BU198"/>
    <mergeCell ref="BV197:BV198"/>
    <mergeCell ref="BW197:BW198"/>
    <mergeCell ref="BX197:BX198"/>
    <mergeCell ref="BM197:BM198"/>
    <mergeCell ref="BN197:BN198"/>
    <mergeCell ref="BO197:BO198"/>
    <mergeCell ref="BP197:BP198"/>
    <mergeCell ref="BQ197:BQ198"/>
    <mergeCell ref="BR197:BR198"/>
    <mergeCell ref="BG197:BG198"/>
    <mergeCell ref="BH197:BH198"/>
    <mergeCell ref="BI197:BI198"/>
    <mergeCell ref="BJ197:BJ198"/>
    <mergeCell ref="BK197:BK198"/>
    <mergeCell ref="BL197:BL198"/>
    <mergeCell ref="BA197:BA198"/>
    <mergeCell ref="BB197:BB198"/>
    <mergeCell ref="BC197:BC198"/>
    <mergeCell ref="BD197:BD198"/>
    <mergeCell ref="BE197:BE198"/>
    <mergeCell ref="BF197:BF198"/>
    <mergeCell ref="AU197:AU198"/>
    <mergeCell ref="AV197:AV198"/>
    <mergeCell ref="AW197:AW198"/>
    <mergeCell ref="AX197:AX198"/>
    <mergeCell ref="AY197:AY198"/>
    <mergeCell ref="AZ197:AZ198"/>
    <mergeCell ref="AO197:AO198"/>
    <mergeCell ref="AP197:AP198"/>
    <mergeCell ref="AQ197:AQ198"/>
    <mergeCell ref="AR197:AR198"/>
    <mergeCell ref="AS197:AS198"/>
    <mergeCell ref="AT197:AT198"/>
    <mergeCell ref="AI197:AI198"/>
    <mergeCell ref="AJ197:AJ198"/>
    <mergeCell ref="AK197:AK198"/>
    <mergeCell ref="AL197:AL198"/>
    <mergeCell ref="AM197:AM198"/>
    <mergeCell ref="AN197:AN198"/>
    <mergeCell ref="AC197:AC198"/>
    <mergeCell ref="AD197:AD198"/>
    <mergeCell ref="AE197:AE198"/>
    <mergeCell ref="AF197:AF198"/>
    <mergeCell ref="AG197:AG198"/>
    <mergeCell ref="AH197:AH198"/>
    <mergeCell ref="W197:W198"/>
    <mergeCell ref="X197:X198"/>
    <mergeCell ref="Y197:Y198"/>
    <mergeCell ref="Z197:Z198"/>
    <mergeCell ref="AA197:AA198"/>
    <mergeCell ref="AB197:AB198"/>
    <mergeCell ref="Q197:Q198"/>
    <mergeCell ref="R197:R198"/>
    <mergeCell ref="S197:S198"/>
    <mergeCell ref="T197:T198"/>
    <mergeCell ref="U197:U198"/>
    <mergeCell ref="V197:V198"/>
    <mergeCell ref="K197:K198"/>
    <mergeCell ref="L197:L198"/>
    <mergeCell ref="M197:M198"/>
    <mergeCell ref="N197:N198"/>
    <mergeCell ref="O197:O198"/>
    <mergeCell ref="P197:P198"/>
    <mergeCell ref="IG195:IG196"/>
    <mergeCell ref="IH195:IH196"/>
    <mergeCell ref="II195:II196"/>
    <mergeCell ref="IJ195:IJ196"/>
    <mergeCell ref="IK195:IK196"/>
    <mergeCell ref="B197:B198"/>
    <mergeCell ref="C197:C198"/>
    <mergeCell ref="H197:H198"/>
    <mergeCell ref="I197:I198"/>
    <mergeCell ref="J197:J198"/>
    <mergeCell ref="IA195:IA196"/>
    <mergeCell ref="IB195:IB196"/>
    <mergeCell ref="IC195:IC196"/>
    <mergeCell ref="ID195:ID196"/>
    <mergeCell ref="IE195:IE196"/>
    <mergeCell ref="IF195:IF196"/>
    <mergeCell ref="HU195:HU196"/>
    <mergeCell ref="HV195:HV196"/>
    <mergeCell ref="HW195:HW196"/>
    <mergeCell ref="HX195:HX196"/>
    <mergeCell ref="HY195:HY196"/>
    <mergeCell ref="HZ195:HZ196"/>
    <mergeCell ref="HO195:HO196"/>
    <mergeCell ref="HP195:HP196"/>
    <mergeCell ref="HQ195:HQ196"/>
    <mergeCell ref="HR195:HR196"/>
    <mergeCell ref="HS195:HS196"/>
    <mergeCell ref="HT195:HT196"/>
    <mergeCell ref="HI195:HI196"/>
    <mergeCell ref="HJ195:HJ196"/>
    <mergeCell ref="HK195:HK196"/>
    <mergeCell ref="HL195:HL196"/>
    <mergeCell ref="HM195:HM196"/>
    <mergeCell ref="HN195:HN196"/>
    <mergeCell ref="HC195:HC196"/>
    <mergeCell ref="HD195:HD196"/>
    <mergeCell ref="HE195:HE196"/>
    <mergeCell ref="HF195:HF196"/>
    <mergeCell ref="HG195:HG196"/>
    <mergeCell ref="HH195:HH196"/>
    <mergeCell ref="GW195:GW196"/>
    <mergeCell ref="GX195:GX196"/>
    <mergeCell ref="GY195:GY196"/>
    <mergeCell ref="GZ195:GZ196"/>
    <mergeCell ref="HA195:HA196"/>
    <mergeCell ref="HB195:HB196"/>
    <mergeCell ref="GQ195:GQ196"/>
    <mergeCell ref="GR195:GR196"/>
    <mergeCell ref="GS195:GS196"/>
    <mergeCell ref="GT195:GT196"/>
    <mergeCell ref="GU195:GU196"/>
    <mergeCell ref="GV195:GV196"/>
    <mergeCell ref="GK195:GK196"/>
    <mergeCell ref="GL195:GL196"/>
    <mergeCell ref="GM195:GM196"/>
    <mergeCell ref="GN195:GN196"/>
    <mergeCell ref="GO195:GO196"/>
    <mergeCell ref="GP195:GP196"/>
    <mergeCell ref="GE195:GE196"/>
    <mergeCell ref="GF195:GF196"/>
    <mergeCell ref="GG195:GG196"/>
    <mergeCell ref="GH195:GH196"/>
    <mergeCell ref="GI195:GI196"/>
    <mergeCell ref="GJ195:GJ196"/>
    <mergeCell ref="FY195:FY196"/>
    <mergeCell ref="FZ195:FZ196"/>
    <mergeCell ref="GA195:GA196"/>
    <mergeCell ref="GB195:GB196"/>
    <mergeCell ref="GC195:GC196"/>
    <mergeCell ref="GD195:GD196"/>
    <mergeCell ref="FS195:FS196"/>
    <mergeCell ref="FT195:FT196"/>
    <mergeCell ref="FU195:FU196"/>
    <mergeCell ref="FV195:FV196"/>
    <mergeCell ref="FW195:FW196"/>
    <mergeCell ref="FX195:FX196"/>
    <mergeCell ref="FM195:FM196"/>
    <mergeCell ref="FN195:FN196"/>
    <mergeCell ref="FO195:FO196"/>
    <mergeCell ref="FP195:FP196"/>
    <mergeCell ref="FQ195:FQ196"/>
    <mergeCell ref="FR195:FR196"/>
    <mergeCell ref="FG195:FG196"/>
    <mergeCell ref="FH195:FH196"/>
    <mergeCell ref="FI195:FI196"/>
    <mergeCell ref="FJ195:FJ196"/>
    <mergeCell ref="FK195:FK196"/>
    <mergeCell ref="FL195:FL196"/>
    <mergeCell ref="FA195:FA196"/>
    <mergeCell ref="FB195:FB196"/>
    <mergeCell ref="FC195:FC196"/>
    <mergeCell ref="FD195:FD196"/>
    <mergeCell ref="FE195:FE196"/>
    <mergeCell ref="FF195:FF196"/>
    <mergeCell ref="EU195:EU196"/>
    <mergeCell ref="EV195:EV196"/>
    <mergeCell ref="EW195:EW196"/>
    <mergeCell ref="EX195:EX196"/>
    <mergeCell ref="EY195:EY196"/>
    <mergeCell ref="EZ195:EZ196"/>
    <mergeCell ref="EO195:EO196"/>
    <mergeCell ref="EP195:EP196"/>
    <mergeCell ref="EQ195:EQ196"/>
    <mergeCell ref="ER195:ER196"/>
    <mergeCell ref="ES195:ES196"/>
    <mergeCell ref="ET195:ET196"/>
    <mergeCell ref="EI195:EI196"/>
    <mergeCell ref="EJ195:EJ196"/>
    <mergeCell ref="EK195:EK196"/>
    <mergeCell ref="EL195:EL196"/>
    <mergeCell ref="EM195:EM196"/>
    <mergeCell ref="EN195:EN196"/>
    <mergeCell ref="EC195:EC196"/>
    <mergeCell ref="ED195:ED196"/>
    <mergeCell ref="EE195:EE196"/>
    <mergeCell ref="EF195:EF196"/>
    <mergeCell ref="EG195:EG196"/>
    <mergeCell ref="EH195:EH196"/>
    <mergeCell ref="DW195:DW196"/>
    <mergeCell ref="DX195:DX196"/>
    <mergeCell ref="DY195:DY196"/>
    <mergeCell ref="DZ195:DZ196"/>
    <mergeCell ref="EA195:EA196"/>
    <mergeCell ref="EB195:EB196"/>
    <mergeCell ref="DQ195:DQ196"/>
    <mergeCell ref="DR195:DR196"/>
    <mergeCell ref="DS195:DS196"/>
    <mergeCell ref="DT195:DT196"/>
    <mergeCell ref="DU195:DU196"/>
    <mergeCell ref="DV195:DV196"/>
    <mergeCell ref="DK195:DK196"/>
    <mergeCell ref="DL195:DL196"/>
    <mergeCell ref="DM195:DM196"/>
    <mergeCell ref="DN195:DN196"/>
    <mergeCell ref="DO195:DO196"/>
    <mergeCell ref="DP195:DP196"/>
    <mergeCell ref="DE195:DE196"/>
    <mergeCell ref="DF195:DF196"/>
    <mergeCell ref="DG195:DG196"/>
    <mergeCell ref="DH195:DH196"/>
    <mergeCell ref="DI195:DI196"/>
    <mergeCell ref="DJ195:DJ196"/>
    <mergeCell ref="CY195:CY196"/>
    <mergeCell ref="CZ195:CZ196"/>
    <mergeCell ref="DA195:DA196"/>
    <mergeCell ref="DB195:DB196"/>
    <mergeCell ref="DC195:DC196"/>
    <mergeCell ref="DD195:DD196"/>
    <mergeCell ref="CS195:CS196"/>
    <mergeCell ref="CT195:CT196"/>
    <mergeCell ref="CU195:CU196"/>
    <mergeCell ref="CV195:CV196"/>
    <mergeCell ref="CW195:CW196"/>
    <mergeCell ref="CX195:CX196"/>
    <mergeCell ref="CM195:CM196"/>
    <mergeCell ref="CN195:CN196"/>
    <mergeCell ref="CO195:CO196"/>
    <mergeCell ref="CP195:CP196"/>
    <mergeCell ref="CQ195:CQ196"/>
    <mergeCell ref="CR195:CR196"/>
    <mergeCell ref="CG195:CG196"/>
    <mergeCell ref="CH195:CH196"/>
    <mergeCell ref="CI195:CI196"/>
    <mergeCell ref="CJ195:CJ196"/>
    <mergeCell ref="CK195:CK196"/>
    <mergeCell ref="CL195:CL196"/>
    <mergeCell ref="CA195:CA196"/>
    <mergeCell ref="CB195:CB196"/>
    <mergeCell ref="CC195:CC196"/>
    <mergeCell ref="CD195:CD196"/>
    <mergeCell ref="CE195:CE196"/>
    <mergeCell ref="CF195:CF196"/>
    <mergeCell ref="BU195:BU196"/>
    <mergeCell ref="BV195:BV196"/>
    <mergeCell ref="BW195:BW196"/>
    <mergeCell ref="BX195:BX196"/>
    <mergeCell ref="BY195:BY196"/>
    <mergeCell ref="BZ195:BZ196"/>
    <mergeCell ref="BO195:BO196"/>
    <mergeCell ref="BP195:BP196"/>
    <mergeCell ref="BQ195:BQ196"/>
    <mergeCell ref="BR195:BR196"/>
    <mergeCell ref="BS195:BS196"/>
    <mergeCell ref="BT195:BT196"/>
    <mergeCell ref="BI195:BI196"/>
    <mergeCell ref="BJ195:BJ196"/>
    <mergeCell ref="BK195:BK196"/>
    <mergeCell ref="BL195:BL196"/>
    <mergeCell ref="BM195:BM196"/>
    <mergeCell ref="BN195:BN196"/>
    <mergeCell ref="BC195:BC196"/>
    <mergeCell ref="BD195:BD196"/>
    <mergeCell ref="BE195:BE196"/>
    <mergeCell ref="BF195:BF196"/>
    <mergeCell ref="BG195:BG196"/>
    <mergeCell ref="BH195:BH196"/>
    <mergeCell ref="AW195:AW196"/>
    <mergeCell ref="AX195:AX196"/>
    <mergeCell ref="AY195:AY196"/>
    <mergeCell ref="AZ195:AZ196"/>
    <mergeCell ref="BA195:BA196"/>
    <mergeCell ref="BB195:BB196"/>
    <mergeCell ref="AQ195:AQ196"/>
    <mergeCell ref="AR195:AR196"/>
    <mergeCell ref="AS195:AS196"/>
    <mergeCell ref="AT195:AT196"/>
    <mergeCell ref="AU195:AU196"/>
    <mergeCell ref="AV195:AV196"/>
    <mergeCell ref="AK195:AK196"/>
    <mergeCell ref="AL195:AL196"/>
    <mergeCell ref="AM195:AM196"/>
    <mergeCell ref="AN195:AN196"/>
    <mergeCell ref="AO195:AO196"/>
    <mergeCell ref="AP195:AP196"/>
    <mergeCell ref="AE195:AE196"/>
    <mergeCell ref="AF195:AF196"/>
    <mergeCell ref="AG195:AG196"/>
    <mergeCell ref="AH195:AH196"/>
    <mergeCell ref="AI195:AI196"/>
    <mergeCell ref="AJ195:AJ196"/>
    <mergeCell ref="Y195:Y196"/>
    <mergeCell ref="Z195:Z196"/>
    <mergeCell ref="AA195:AA196"/>
    <mergeCell ref="AB195:AB196"/>
    <mergeCell ref="AC195:AC196"/>
    <mergeCell ref="AD195:AD196"/>
    <mergeCell ref="S195:S196"/>
    <mergeCell ref="T195:T196"/>
    <mergeCell ref="U195:U196"/>
    <mergeCell ref="V195:V196"/>
    <mergeCell ref="W195:W196"/>
    <mergeCell ref="X195:X196"/>
    <mergeCell ref="M195:M196"/>
    <mergeCell ref="N195:N196"/>
    <mergeCell ref="O195:O196"/>
    <mergeCell ref="P195:P196"/>
    <mergeCell ref="Q195:Q196"/>
    <mergeCell ref="R195:R196"/>
    <mergeCell ref="IJ193:IJ194"/>
    <mergeCell ref="IK193:IK194"/>
    <mergeCell ref="B195:B196"/>
    <mergeCell ref="F195:F196"/>
    <mergeCell ref="G195:G196"/>
    <mergeCell ref="H195:H196"/>
    <mergeCell ref="I195:I196"/>
    <mergeCell ref="J195:J196"/>
    <mergeCell ref="K195:K196"/>
    <mergeCell ref="L195:L196"/>
    <mergeCell ref="ID193:ID194"/>
    <mergeCell ref="IE193:IE194"/>
    <mergeCell ref="IF193:IF194"/>
    <mergeCell ref="IG193:IG194"/>
    <mergeCell ref="IH193:IH194"/>
    <mergeCell ref="II193:II194"/>
    <mergeCell ref="HX193:HX194"/>
    <mergeCell ref="HY193:HY194"/>
    <mergeCell ref="HZ193:HZ194"/>
    <mergeCell ref="IA193:IA194"/>
    <mergeCell ref="IB193:IB194"/>
    <mergeCell ref="IC193:IC194"/>
    <mergeCell ref="HR193:HR194"/>
    <mergeCell ref="HS193:HS194"/>
    <mergeCell ref="HT193:HT194"/>
    <mergeCell ref="HU193:HU194"/>
    <mergeCell ref="HV193:HV194"/>
    <mergeCell ref="HW193:HW194"/>
    <mergeCell ref="HL193:HL194"/>
    <mergeCell ref="HM193:HM194"/>
    <mergeCell ref="HN193:HN194"/>
    <mergeCell ref="HO193:HO194"/>
    <mergeCell ref="HP193:HP194"/>
    <mergeCell ref="HQ193:HQ194"/>
    <mergeCell ref="HF193:HF194"/>
    <mergeCell ref="HG193:HG194"/>
    <mergeCell ref="HH193:HH194"/>
    <mergeCell ref="HI193:HI194"/>
    <mergeCell ref="HJ193:HJ194"/>
    <mergeCell ref="HK193:HK194"/>
    <mergeCell ref="GZ193:GZ194"/>
    <mergeCell ref="HA193:HA194"/>
    <mergeCell ref="HB193:HB194"/>
    <mergeCell ref="HC193:HC194"/>
    <mergeCell ref="HD193:HD194"/>
    <mergeCell ref="HE193:HE194"/>
    <mergeCell ref="GT193:GT194"/>
    <mergeCell ref="GU193:GU194"/>
    <mergeCell ref="GV193:GV194"/>
    <mergeCell ref="GW193:GW194"/>
    <mergeCell ref="GX193:GX194"/>
    <mergeCell ref="GY193:GY194"/>
    <mergeCell ref="GN193:GN194"/>
    <mergeCell ref="GO193:GO194"/>
    <mergeCell ref="GP193:GP194"/>
    <mergeCell ref="GQ193:GQ194"/>
    <mergeCell ref="GR193:GR194"/>
    <mergeCell ref="GS193:GS194"/>
    <mergeCell ref="GH193:GH194"/>
    <mergeCell ref="GI193:GI194"/>
    <mergeCell ref="GJ193:GJ194"/>
    <mergeCell ref="GK193:GK194"/>
    <mergeCell ref="GL193:GL194"/>
    <mergeCell ref="GM193:GM194"/>
    <mergeCell ref="GB193:GB194"/>
    <mergeCell ref="GC193:GC194"/>
    <mergeCell ref="GD193:GD194"/>
    <mergeCell ref="GE193:GE194"/>
    <mergeCell ref="GF193:GF194"/>
    <mergeCell ref="GG193:GG194"/>
    <mergeCell ref="FV193:FV194"/>
    <mergeCell ref="FW193:FW194"/>
    <mergeCell ref="FX193:FX194"/>
    <mergeCell ref="FY193:FY194"/>
    <mergeCell ref="FZ193:FZ194"/>
    <mergeCell ref="GA193:GA194"/>
    <mergeCell ref="FP193:FP194"/>
    <mergeCell ref="FQ193:FQ194"/>
    <mergeCell ref="FR193:FR194"/>
    <mergeCell ref="FS193:FS194"/>
    <mergeCell ref="FT193:FT194"/>
    <mergeCell ref="FU193:FU194"/>
    <mergeCell ref="FJ193:FJ194"/>
    <mergeCell ref="FK193:FK194"/>
    <mergeCell ref="FL193:FL194"/>
    <mergeCell ref="FM193:FM194"/>
    <mergeCell ref="FN193:FN194"/>
    <mergeCell ref="FO193:FO194"/>
    <mergeCell ref="FD193:FD194"/>
    <mergeCell ref="FE193:FE194"/>
    <mergeCell ref="FF193:FF194"/>
    <mergeCell ref="FG193:FG194"/>
    <mergeCell ref="FH193:FH194"/>
    <mergeCell ref="FI193:FI194"/>
    <mergeCell ref="EX193:EX194"/>
    <mergeCell ref="EY193:EY194"/>
    <mergeCell ref="EZ193:EZ194"/>
    <mergeCell ref="FA193:FA194"/>
    <mergeCell ref="FB193:FB194"/>
    <mergeCell ref="FC193:FC194"/>
    <mergeCell ref="ER193:ER194"/>
    <mergeCell ref="ES193:ES194"/>
    <mergeCell ref="ET193:ET194"/>
    <mergeCell ref="EU193:EU194"/>
    <mergeCell ref="EV193:EV194"/>
    <mergeCell ref="EW193:EW194"/>
    <mergeCell ref="EL193:EL194"/>
    <mergeCell ref="EM193:EM194"/>
    <mergeCell ref="EN193:EN194"/>
    <mergeCell ref="EO193:EO194"/>
    <mergeCell ref="EP193:EP194"/>
    <mergeCell ref="EQ193:EQ194"/>
    <mergeCell ref="EF193:EF194"/>
    <mergeCell ref="EG193:EG194"/>
    <mergeCell ref="EH193:EH194"/>
    <mergeCell ref="EI193:EI194"/>
    <mergeCell ref="EJ193:EJ194"/>
    <mergeCell ref="EK193:EK194"/>
    <mergeCell ref="DZ193:DZ194"/>
    <mergeCell ref="EA193:EA194"/>
    <mergeCell ref="EB193:EB194"/>
    <mergeCell ref="EC193:EC194"/>
    <mergeCell ref="ED193:ED194"/>
    <mergeCell ref="EE193:EE194"/>
    <mergeCell ref="DT193:DT194"/>
    <mergeCell ref="DU193:DU194"/>
    <mergeCell ref="DV193:DV194"/>
    <mergeCell ref="DW193:DW194"/>
    <mergeCell ref="DX193:DX194"/>
    <mergeCell ref="DY193:DY194"/>
    <mergeCell ref="DN193:DN194"/>
    <mergeCell ref="DO193:DO194"/>
    <mergeCell ref="DP193:DP194"/>
    <mergeCell ref="DQ193:DQ194"/>
    <mergeCell ref="DR193:DR194"/>
    <mergeCell ref="DS193:DS194"/>
    <mergeCell ref="DH193:DH194"/>
    <mergeCell ref="DI193:DI194"/>
    <mergeCell ref="DJ193:DJ194"/>
    <mergeCell ref="DK193:DK194"/>
    <mergeCell ref="DL193:DL194"/>
    <mergeCell ref="DM193:DM194"/>
    <mergeCell ref="DB193:DB194"/>
    <mergeCell ref="DC193:DC194"/>
    <mergeCell ref="DD193:DD194"/>
    <mergeCell ref="DE193:DE194"/>
    <mergeCell ref="DF193:DF194"/>
    <mergeCell ref="DG193:DG194"/>
    <mergeCell ref="CV193:CV194"/>
    <mergeCell ref="CW193:CW194"/>
    <mergeCell ref="CX193:CX194"/>
    <mergeCell ref="CY193:CY194"/>
    <mergeCell ref="CZ193:CZ194"/>
    <mergeCell ref="DA193:DA194"/>
    <mergeCell ref="CP193:CP194"/>
    <mergeCell ref="CQ193:CQ194"/>
    <mergeCell ref="CR193:CR194"/>
    <mergeCell ref="CS193:CS194"/>
    <mergeCell ref="CT193:CT194"/>
    <mergeCell ref="CU193:CU194"/>
    <mergeCell ref="CJ193:CJ194"/>
    <mergeCell ref="CK193:CK194"/>
    <mergeCell ref="CL193:CL194"/>
    <mergeCell ref="CM193:CM194"/>
    <mergeCell ref="CN193:CN194"/>
    <mergeCell ref="CO193:CO194"/>
    <mergeCell ref="CD193:CD194"/>
    <mergeCell ref="CE193:CE194"/>
    <mergeCell ref="CF193:CF194"/>
    <mergeCell ref="CG193:CG194"/>
    <mergeCell ref="CH193:CH194"/>
    <mergeCell ref="CI193:CI194"/>
    <mergeCell ref="BX193:BX194"/>
    <mergeCell ref="BY193:BY194"/>
    <mergeCell ref="BZ193:BZ194"/>
    <mergeCell ref="CA193:CA194"/>
    <mergeCell ref="CB193:CB194"/>
    <mergeCell ref="CC193:CC194"/>
    <mergeCell ref="BR193:BR194"/>
    <mergeCell ref="BS193:BS194"/>
    <mergeCell ref="BT193:BT194"/>
    <mergeCell ref="BU193:BU194"/>
    <mergeCell ref="BV193:BV194"/>
    <mergeCell ref="BW193:BW194"/>
    <mergeCell ref="BL193:BL194"/>
    <mergeCell ref="BM193:BM194"/>
    <mergeCell ref="BN193:BN194"/>
    <mergeCell ref="BO193:BO194"/>
    <mergeCell ref="BP193:BP194"/>
    <mergeCell ref="BQ193:BQ194"/>
    <mergeCell ref="BF193:BF194"/>
    <mergeCell ref="BG193:BG194"/>
    <mergeCell ref="BH193:BH194"/>
    <mergeCell ref="BI193:BI194"/>
    <mergeCell ref="BJ193:BJ194"/>
    <mergeCell ref="BK193:BK194"/>
    <mergeCell ref="AZ193:AZ194"/>
    <mergeCell ref="BA193:BA194"/>
    <mergeCell ref="BB193:BB194"/>
    <mergeCell ref="BC193:BC194"/>
    <mergeCell ref="BD193:BD194"/>
    <mergeCell ref="BE193:BE194"/>
    <mergeCell ref="AT193:AT194"/>
    <mergeCell ref="AU193:AU194"/>
    <mergeCell ref="AV193:AV194"/>
    <mergeCell ref="AW193:AW194"/>
    <mergeCell ref="AX193:AX194"/>
    <mergeCell ref="AY193:AY194"/>
    <mergeCell ref="AN193:AN194"/>
    <mergeCell ref="AO193:AO194"/>
    <mergeCell ref="AP193:AP194"/>
    <mergeCell ref="AQ193:AQ194"/>
    <mergeCell ref="AR193:AR194"/>
    <mergeCell ref="AS193:AS194"/>
    <mergeCell ref="AH193:AH194"/>
    <mergeCell ref="AI193:AI194"/>
    <mergeCell ref="AJ193:AJ194"/>
    <mergeCell ref="AK193:AK194"/>
    <mergeCell ref="AL193:AL194"/>
    <mergeCell ref="AM193:AM194"/>
    <mergeCell ref="AB193:AB194"/>
    <mergeCell ref="AC193:AC194"/>
    <mergeCell ref="AD193:AD194"/>
    <mergeCell ref="AE193:AE194"/>
    <mergeCell ref="AF193:AF194"/>
    <mergeCell ref="AG193:AG194"/>
    <mergeCell ref="V193:V194"/>
    <mergeCell ref="W193:W194"/>
    <mergeCell ref="X193:X194"/>
    <mergeCell ref="Y193:Y194"/>
    <mergeCell ref="Z193:Z194"/>
    <mergeCell ref="AA193:AA194"/>
    <mergeCell ref="P193:P194"/>
    <mergeCell ref="Q193:Q194"/>
    <mergeCell ref="R193:R194"/>
    <mergeCell ref="S193:S194"/>
    <mergeCell ref="T193:T194"/>
    <mergeCell ref="U193:U194"/>
    <mergeCell ref="J193:J194"/>
    <mergeCell ref="K193:K194"/>
    <mergeCell ref="L193:L194"/>
    <mergeCell ref="M193:M194"/>
    <mergeCell ref="N193:N194"/>
    <mergeCell ref="O193:O194"/>
    <mergeCell ref="IG191:IG192"/>
    <mergeCell ref="IH191:IH192"/>
    <mergeCell ref="II191:II192"/>
    <mergeCell ref="IJ191:IJ192"/>
    <mergeCell ref="IK191:IK192"/>
    <mergeCell ref="B193:B194"/>
    <mergeCell ref="F193:F194"/>
    <mergeCell ref="G193:G194"/>
    <mergeCell ref="H193:H194"/>
    <mergeCell ref="I193:I194"/>
    <mergeCell ref="IA191:IA192"/>
    <mergeCell ref="IB191:IB192"/>
    <mergeCell ref="IC191:IC192"/>
    <mergeCell ref="ID191:ID192"/>
    <mergeCell ref="IE191:IE192"/>
    <mergeCell ref="IF191:IF192"/>
    <mergeCell ref="HU191:HU192"/>
    <mergeCell ref="HV191:HV192"/>
    <mergeCell ref="HW191:HW192"/>
    <mergeCell ref="HX191:HX192"/>
    <mergeCell ref="HY191:HY192"/>
    <mergeCell ref="HZ191:HZ192"/>
    <mergeCell ref="HO191:HO192"/>
    <mergeCell ref="HP191:HP192"/>
    <mergeCell ref="HQ191:HQ192"/>
    <mergeCell ref="HR191:HR192"/>
    <mergeCell ref="HS191:HS192"/>
    <mergeCell ref="HT191:HT192"/>
    <mergeCell ref="HI191:HI192"/>
    <mergeCell ref="HJ191:HJ192"/>
    <mergeCell ref="HK191:HK192"/>
    <mergeCell ref="HL191:HL192"/>
    <mergeCell ref="HM191:HM192"/>
    <mergeCell ref="HN191:HN192"/>
    <mergeCell ref="HC191:HC192"/>
    <mergeCell ref="HD191:HD192"/>
    <mergeCell ref="HE191:HE192"/>
    <mergeCell ref="HF191:HF192"/>
    <mergeCell ref="HG191:HG192"/>
    <mergeCell ref="HH191:HH192"/>
    <mergeCell ref="GW191:GW192"/>
    <mergeCell ref="GX191:GX192"/>
    <mergeCell ref="GY191:GY192"/>
    <mergeCell ref="GZ191:GZ192"/>
    <mergeCell ref="HA191:HA192"/>
    <mergeCell ref="HB191:HB192"/>
    <mergeCell ref="GQ191:GQ192"/>
    <mergeCell ref="GR191:GR192"/>
    <mergeCell ref="GS191:GS192"/>
    <mergeCell ref="GT191:GT192"/>
    <mergeCell ref="GU191:GU192"/>
    <mergeCell ref="GV191:GV192"/>
    <mergeCell ref="GK191:GK192"/>
    <mergeCell ref="GL191:GL192"/>
    <mergeCell ref="GM191:GM192"/>
    <mergeCell ref="GN191:GN192"/>
    <mergeCell ref="GO191:GO192"/>
    <mergeCell ref="GP191:GP192"/>
    <mergeCell ref="GE191:GE192"/>
    <mergeCell ref="GF191:GF192"/>
    <mergeCell ref="GG191:GG192"/>
    <mergeCell ref="GH191:GH192"/>
    <mergeCell ref="GI191:GI192"/>
    <mergeCell ref="GJ191:GJ192"/>
    <mergeCell ref="FY191:FY192"/>
    <mergeCell ref="FZ191:FZ192"/>
    <mergeCell ref="GA191:GA192"/>
    <mergeCell ref="GB191:GB192"/>
    <mergeCell ref="GC191:GC192"/>
    <mergeCell ref="GD191:GD192"/>
    <mergeCell ref="FS191:FS192"/>
    <mergeCell ref="FT191:FT192"/>
    <mergeCell ref="FU191:FU192"/>
    <mergeCell ref="FV191:FV192"/>
    <mergeCell ref="FW191:FW192"/>
    <mergeCell ref="FX191:FX192"/>
    <mergeCell ref="FM191:FM192"/>
    <mergeCell ref="FN191:FN192"/>
    <mergeCell ref="FO191:FO192"/>
    <mergeCell ref="FP191:FP192"/>
    <mergeCell ref="FQ191:FQ192"/>
    <mergeCell ref="FR191:FR192"/>
    <mergeCell ref="FG191:FG192"/>
    <mergeCell ref="FH191:FH192"/>
    <mergeCell ref="FI191:FI192"/>
    <mergeCell ref="FJ191:FJ192"/>
    <mergeCell ref="FK191:FK192"/>
    <mergeCell ref="FL191:FL192"/>
    <mergeCell ref="FA191:FA192"/>
    <mergeCell ref="FB191:FB192"/>
    <mergeCell ref="FC191:FC192"/>
    <mergeCell ref="FD191:FD192"/>
    <mergeCell ref="FE191:FE192"/>
    <mergeCell ref="FF191:FF192"/>
    <mergeCell ref="EU191:EU192"/>
    <mergeCell ref="EV191:EV192"/>
    <mergeCell ref="EW191:EW192"/>
    <mergeCell ref="EX191:EX192"/>
    <mergeCell ref="EY191:EY192"/>
    <mergeCell ref="EZ191:EZ192"/>
    <mergeCell ref="EO191:EO192"/>
    <mergeCell ref="EP191:EP192"/>
    <mergeCell ref="EQ191:EQ192"/>
    <mergeCell ref="ER191:ER192"/>
    <mergeCell ref="ES191:ES192"/>
    <mergeCell ref="ET191:ET192"/>
    <mergeCell ref="EI191:EI192"/>
    <mergeCell ref="EJ191:EJ192"/>
    <mergeCell ref="EK191:EK192"/>
    <mergeCell ref="EL191:EL192"/>
    <mergeCell ref="EM191:EM192"/>
    <mergeCell ref="EN191:EN192"/>
    <mergeCell ref="EC191:EC192"/>
    <mergeCell ref="ED191:ED192"/>
    <mergeCell ref="EE191:EE192"/>
    <mergeCell ref="EF191:EF192"/>
    <mergeCell ref="EG191:EG192"/>
    <mergeCell ref="EH191:EH192"/>
    <mergeCell ref="DW191:DW192"/>
    <mergeCell ref="DX191:DX192"/>
    <mergeCell ref="DY191:DY192"/>
    <mergeCell ref="DZ191:DZ192"/>
    <mergeCell ref="EA191:EA192"/>
    <mergeCell ref="EB191:EB192"/>
    <mergeCell ref="DQ191:DQ192"/>
    <mergeCell ref="DR191:DR192"/>
    <mergeCell ref="DS191:DS192"/>
    <mergeCell ref="DT191:DT192"/>
    <mergeCell ref="DU191:DU192"/>
    <mergeCell ref="DV191:DV192"/>
    <mergeCell ref="DK191:DK192"/>
    <mergeCell ref="DL191:DL192"/>
    <mergeCell ref="DM191:DM192"/>
    <mergeCell ref="DN191:DN192"/>
    <mergeCell ref="DO191:DO192"/>
    <mergeCell ref="DP191:DP192"/>
    <mergeCell ref="DE191:DE192"/>
    <mergeCell ref="DF191:DF192"/>
    <mergeCell ref="DG191:DG192"/>
    <mergeCell ref="DH191:DH192"/>
    <mergeCell ref="DI191:DI192"/>
    <mergeCell ref="DJ191:DJ192"/>
    <mergeCell ref="CY191:CY192"/>
    <mergeCell ref="CZ191:CZ192"/>
    <mergeCell ref="DA191:DA192"/>
    <mergeCell ref="DB191:DB192"/>
    <mergeCell ref="DC191:DC192"/>
    <mergeCell ref="DD191:DD192"/>
    <mergeCell ref="CS191:CS192"/>
    <mergeCell ref="CT191:CT192"/>
    <mergeCell ref="CU191:CU192"/>
    <mergeCell ref="CV191:CV192"/>
    <mergeCell ref="CW191:CW192"/>
    <mergeCell ref="CX191:CX192"/>
    <mergeCell ref="CM191:CM192"/>
    <mergeCell ref="CN191:CN192"/>
    <mergeCell ref="CO191:CO192"/>
    <mergeCell ref="CP191:CP192"/>
    <mergeCell ref="CQ191:CQ192"/>
    <mergeCell ref="CR191:CR192"/>
    <mergeCell ref="CG191:CG192"/>
    <mergeCell ref="CH191:CH192"/>
    <mergeCell ref="CI191:CI192"/>
    <mergeCell ref="CJ191:CJ192"/>
    <mergeCell ref="CK191:CK192"/>
    <mergeCell ref="CL191:CL192"/>
    <mergeCell ref="CA191:CA192"/>
    <mergeCell ref="CB191:CB192"/>
    <mergeCell ref="CC191:CC192"/>
    <mergeCell ref="CD191:CD192"/>
    <mergeCell ref="CE191:CE192"/>
    <mergeCell ref="CF191:CF192"/>
    <mergeCell ref="BU191:BU192"/>
    <mergeCell ref="BV191:BV192"/>
    <mergeCell ref="BW191:BW192"/>
    <mergeCell ref="BX191:BX192"/>
    <mergeCell ref="BY191:BY192"/>
    <mergeCell ref="BZ191:BZ192"/>
    <mergeCell ref="BO191:BO192"/>
    <mergeCell ref="BP191:BP192"/>
    <mergeCell ref="BQ191:BQ192"/>
    <mergeCell ref="BR191:BR192"/>
    <mergeCell ref="BS191:BS192"/>
    <mergeCell ref="BT191:BT192"/>
    <mergeCell ref="BI191:BI192"/>
    <mergeCell ref="BJ191:BJ192"/>
    <mergeCell ref="BK191:BK192"/>
    <mergeCell ref="BL191:BL192"/>
    <mergeCell ref="BM191:BM192"/>
    <mergeCell ref="BN191:BN192"/>
    <mergeCell ref="BC191:BC192"/>
    <mergeCell ref="BD191:BD192"/>
    <mergeCell ref="BE191:BE192"/>
    <mergeCell ref="BF191:BF192"/>
    <mergeCell ref="BG191:BG192"/>
    <mergeCell ref="BH191:BH192"/>
    <mergeCell ref="AW191:AW192"/>
    <mergeCell ref="AX191:AX192"/>
    <mergeCell ref="AY191:AY192"/>
    <mergeCell ref="AZ191:AZ192"/>
    <mergeCell ref="BA191:BA192"/>
    <mergeCell ref="BB191:BB192"/>
    <mergeCell ref="AQ191:AQ192"/>
    <mergeCell ref="AR191:AR192"/>
    <mergeCell ref="AS191:AS192"/>
    <mergeCell ref="AT191:AT192"/>
    <mergeCell ref="AU191:AU192"/>
    <mergeCell ref="AV191:AV192"/>
    <mergeCell ref="AK191:AK192"/>
    <mergeCell ref="AL191:AL192"/>
    <mergeCell ref="AM191:AM192"/>
    <mergeCell ref="AN191:AN192"/>
    <mergeCell ref="AO191:AO192"/>
    <mergeCell ref="AP191:AP192"/>
    <mergeCell ref="AE191:AE192"/>
    <mergeCell ref="AF191:AF192"/>
    <mergeCell ref="AG191:AG192"/>
    <mergeCell ref="AH191:AH192"/>
    <mergeCell ref="AI191:AI192"/>
    <mergeCell ref="AJ191:AJ192"/>
    <mergeCell ref="Y191:Y192"/>
    <mergeCell ref="Z191:Z192"/>
    <mergeCell ref="AA191:AA192"/>
    <mergeCell ref="AB191:AB192"/>
    <mergeCell ref="AC191:AC192"/>
    <mergeCell ref="AD191:AD192"/>
    <mergeCell ref="S191:S192"/>
    <mergeCell ref="T191:T192"/>
    <mergeCell ref="U191:U192"/>
    <mergeCell ref="V191:V192"/>
    <mergeCell ref="W191:W192"/>
    <mergeCell ref="X191:X192"/>
    <mergeCell ref="M191:M192"/>
    <mergeCell ref="N191:N192"/>
    <mergeCell ref="O191:O192"/>
    <mergeCell ref="P191:P192"/>
    <mergeCell ref="Q191:Q192"/>
    <mergeCell ref="R191:R192"/>
    <mergeCell ref="IK189:IK190"/>
    <mergeCell ref="B191:B192"/>
    <mergeCell ref="C191:C192"/>
    <mergeCell ref="F191:F192"/>
    <mergeCell ref="G191:G192"/>
    <mergeCell ref="H191:H192"/>
    <mergeCell ref="I191:I192"/>
    <mergeCell ref="J191:J192"/>
    <mergeCell ref="K191:K192"/>
    <mergeCell ref="L191:L192"/>
    <mergeCell ref="IE189:IE190"/>
    <mergeCell ref="IF189:IF190"/>
    <mergeCell ref="IG189:IG190"/>
    <mergeCell ref="IH189:IH190"/>
    <mergeCell ref="II189:II190"/>
    <mergeCell ref="IJ189:IJ190"/>
    <mergeCell ref="HY189:HY190"/>
    <mergeCell ref="HZ189:HZ190"/>
    <mergeCell ref="IA189:IA190"/>
    <mergeCell ref="IB189:IB190"/>
    <mergeCell ref="IC189:IC190"/>
    <mergeCell ref="ID189:ID190"/>
    <mergeCell ref="HS189:HS190"/>
    <mergeCell ref="HT189:HT190"/>
    <mergeCell ref="HU189:HU190"/>
    <mergeCell ref="HV189:HV190"/>
    <mergeCell ref="HW189:HW190"/>
    <mergeCell ref="HX189:HX190"/>
    <mergeCell ref="HM189:HM190"/>
    <mergeCell ref="HN189:HN190"/>
    <mergeCell ref="HO189:HO190"/>
    <mergeCell ref="HP189:HP190"/>
    <mergeCell ref="HQ189:HQ190"/>
    <mergeCell ref="HR189:HR190"/>
    <mergeCell ref="HG189:HG190"/>
    <mergeCell ref="HH189:HH190"/>
    <mergeCell ref="HI189:HI190"/>
    <mergeCell ref="HJ189:HJ190"/>
    <mergeCell ref="HK189:HK190"/>
    <mergeCell ref="HL189:HL190"/>
    <mergeCell ref="HA189:HA190"/>
    <mergeCell ref="HB189:HB190"/>
    <mergeCell ref="HC189:HC190"/>
    <mergeCell ref="HD189:HD190"/>
    <mergeCell ref="HE189:HE190"/>
    <mergeCell ref="HF189:HF190"/>
    <mergeCell ref="GU189:GU190"/>
    <mergeCell ref="GV189:GV190"/>
    <mergeCell ref="GW189:GW190"/>
    <mergeCell ref="GX189:GX190"/>
    <mergeCell ref="GY189:GY190"/>
    <mergeCell ref="GZ189:GZ190"/>
    <mergeCell ref="GO189:GO190"/>
    <mergeCell ref="GP189:GP190"/>
    <mergeCell ref="GQ189:GQ190"/>
    <mergeCell ref="GR189:GR190"/>
    <mergeCell ref="GS189:GS190"/>
    <mergeCell ref="GT189:GT190"/>
    <mergeCell ref="GI189:GI190"/>
    <mergeCell ref="GJ189:GJ190"/>
    <mergeCell ref="GK189:GK190"/>
    <mergeCell ref="GL189:GL190"/>
    <mergeCell ref="GM189:GM190"/>
    <mergeCell ref="GN189:GN190"/>
    <mergeCell ref="GC189:GC190"/>
    <mergeCell ref="GD189:GD190"/>
    <mergeCell ref="GE189:GE190"/>
    <mergeCell ref="GF189:GF190"/>
    <mergeCell ref="GG189:GG190"/>
    <mergeCell ref="GH189:GH190"/>
    <mergeCell ref="FW189:FW190"/>
    <mergeCell ref="FX189:FX190"/>
    <mergeCell ref="FY189:FY190"/>
    <mergeCell ref="FZ189:FZ190"/>
    <mergeCell ref="GA189:GA190"/>
    <mergeCell ref="GB189:GB190"/>
    <mergeCell ref="FQ189:FQ190"/>
    <mergeCell ref="FR189:FR190"/>
    <mergeCell ref="FS189:FS190"/>
    <mergeCell ref="FT189:FT190"/>
    <mergeCell ref="FU189:FU190"/>
    <mergeCell ref="FV189:FV190"/>
    <mergeCell ref="FK189:FK190"/>
    <mergeCell ref="FL189:FL190"/>
    <mergeCell ref="FM189:FM190"/>
    <mergeCell ref="FN189:FN190"/>
    <mergeCell ref="FO189:FO190"/>
    <mergeCell ref="FP189:FP190"/>
    <mergeCell ref="FE189:FE190"/>
    <mergeCell ref="FF189:FF190"/>
    <mergeCell ref="FG189:FG190"/>
    <mergeCell ref="FH189:FH190"/>
    <mergeCell ref="FI189:FI190"/>
    <mergeCell ref="FJ189:FJ190"/>
    <mergeCell ref="EY189:EY190"/>
    <mergeCell ref="EZ189:EZ190"/>
    <mergeCell ref="FA189:FA190"/>
    <mergeCell ref="FB189:FB190"/>
    <mergeCell ref="FC189:FC190"/>
    <mergeCell ref="FD189:FD190"/>
    <mergeCell ref="ES189:ES190"/>
    <mergeCell ref="ET189:ET190"/>
    <mergeCell ref="EU189:EU190"/>
    <mergeCell ref="EV189:EV190"/>
    <mergeCell ref="EW189:EW190"/>
    <mergeCell ref="EX189:EX190"/>
    <mergeCell ref="EM189:EM190"/>
    <mergeCell ref="EN189:EN190"/>
    <mergeCell ref="EO189:EO190"/>
    <mergeCell ref="EP189:EP190"/>
    <mergeCell ref="EQ189:EQ190"/>
    <mergeCell ref="ER189:ER190"/>
    <mergeCell ref="EG189:EG190"/>
    <mergeCell ref="EH189:EH190"/>
    <mergeCell ref="EI189:EI190"/>
    <mergeCell ref="EJ189:EJ190"/>
    <mergeCell ref="EK189:EK190"/>
    <mergeCell ref="EL189:EL190"/>
    <mergeCell ref="EA189:EA190"/>
    <mergeCell ref="EB189:EB190"/>
    <mergeCell ref="EC189:EC190"/>
    <mergeCell ref="ED189:ED190"/>
    <mergeCell ref="EE189:EE190"/>
    <mergeCell ref="EF189:EF190"/>
    <mergeCell ref="DU189:DU190"/>
    <mergeCell ref="DV189:DV190"/>
    <mergeCell ref="DW189:DW190"/>
    <mergeCell ref="DX189:DX190"/>
    <mergeCell ref="DY189:DY190"/>
    <mergeCell ref="DZ189:DZ190"/>
    <mergeCell ref="DO189:DO190"/>
    <mergeCell ref="DP189:DP190"/>
    <mergeCell ref="DQ189:DQ190"/>
    <mergeCell ref="DR189:DR190"/>
    <mergeCell ref="DS189:DS190"/>
    <mergeCell ref="DT189:DT190"/>
    <mergeCell ref="DI189:DI190"/>
    <mergeCell ref="DJ189:DJ190"/>
    <mergeCell ref="DK189:DK190"/>
    <mergeCell ref="DL189:DL190"/>
    <mergeCell ref="DM189:DM190"/>
    <mergeCell ref="DN189:DN190"/>
    <mergeCell ref="DC189:DC190"/>
    <mergeCell ref="DD189:DD190"/>
    <mergeCell ref="DE189:DE190"/>
    <mergeCell ref="DF189:DF190"/>
    <mergeCell ref="DG189:DG190"/>
    <mergeCell ref="DH189:DH190"/>
    <mergeCell ref="CW189:CW190"/>
    <mergeCell ref="CX189:CX190"/>
    <mergeCell ref="CY189:CY190"/>
    <mergeCell ref="CZ189:CZ190"/>
    <mergeCell ref="DA189:DA190"/>
    <mergeCell ref="DB189:DB190"/>
    <mergeCell ref="CQ189:CQ190"/>
    <mergeCell ref="CR189:CR190"/>
    <mergeCell ref="CS189:CS190"/>
    <mergeCell ref="CT189:CT190"/>
    <mergeCell ref="CU189:CU190"/>
    <mergeCell ref="CV189:CV190"/>
    <mergeCell ref="CK189:CK190"/>
    <mergeCell ref="CL189:CL190"/>
    <mergeCell ref="CM189:CM190"/>
    <mergeCell ref="CN189:CN190"/>
    <mergeCell ref="CO189:CO190"/>
    <mergeCell ref="CP189:CP190"/>
    <mergeCell ref="CE189:CE190"/>
    <mergeCell ref="CF189:CF190"/>
    <mergeCell ref="CG189:CG190"/>
    <mergeCell ref="CH189:CH190"/>
    <mergeCell ref="CI189:CI190"/>
    <mergeCell ref="CJ189:CJ190"/>
    <mergeCell ref="BY189:BY190"/>
    <mergeCell ref="BZ189:BZ190"/>
    <mergeCell ref="CA189:CA190"/>
    <mergeCell ref="CB189:CB190"/>
    <mergeCell ref="CC189:CC190"/>
    <mergeCell ref="CD189:CD190"/>
    <mergeCell ref="BS189:BS190"/>
    <mergeCell ref="BT189:BT190"/>
    <mergeCell ref="BU189:BU190"/>
    <mergeCell ref="BV189:BV190"/>
    <mergeCell ref="BW189:BW190"/>
    <mergeCell ref="BX189:BX190"/>
    <mergeCell ref="BM189:BM190"/>
    <mergeCell ref="BN189:BN190"/>
    <mergeCell ref="BO189:BO190"/>
    <mergeCell ref="BP189:BP190"/>
    <mergeCell ref="BQ189:BQ190"/>
    <mergeCell ref="BR189:BR190"/>
    <mergeCell ref="BG189:BG190"/>
    <mergeCell ref="BH189:BH190"/>
    <mergeCell ref="BI189:BI190"/>
    <mergeCell ref="BJ189:BJ190"/>
    <mergeCell ref="BK189:BK190"/>
    <mergeCell ref="BL189:BL190"/>
    <mergeCell ref="BA189:BA190"/>
    <mergeCell ref="BB189:BB190"/>
    <mergeCell ref="BC189:BC190"/>
    <mergeCell ref="BD189:BD190"/>
    <mergeCell ref="BE189:BE190"/>
    <mergeCell ref="BF189:BF190"/>
    <mergeCell ref="AU189:AU190"/>
    <mergeCell ref="AV189:AV190"/>
    <mergeCell ref="AW189:AW190"/>
    <mergeCell ref="AX189:AX190"/>
    <mergeCell ref="AY189:AY190"/>
    <mergeCell ref="AZ189:AZ190"/>
    <mergeCell ref="AO189:AO190"/>
    <mergeCell ref="AP189:AP190"/>
    <mergeCell ref="AQ189:AQ190"/>
    <mergeCell ref="AR189:AR190"/>
    <mergeCell ref="AS189:AS190"/>
    <mergeCell ref="AT189:AT190"/>
    <mergeCell ref="AI189:AI190"/>
    <mergeCell ref="AJ189:AJ190"/>
    <mergeCell ref="AK189:AK190"/>
    <mergeCell ref="AL189:AL190"/>
    <mergeCell ref="AM189:AM190"/>
    <mergeCell ref="AN189:AN190"/>
    <mergeCell ref="AC189:AC190"/>
    <mergeCell ref="AD189:AD190"/>
    <mergeCell ref="AE189:AE190"/>
    <mergeCell ref="AF189:AF190"/>
    <mergeCell ref="AG189:AG190"/>
    <mergeCell ref="AH189:AH190"/>
    <mergeCell ref="W189:W190"/>
    <mergeCell ref="X189:X190"/>
    <mergeCell ref="Y189:Y190"/>
    <mergeCell ref="Z189:Z190"/>
    <mergeCell ref="AA189:AA190"/>
    <mergeCell ref="AB189:AB190"/>
    <mergeCell ref="Q189:Q190"/>
    <mergeCell ref="R189:R190"/>
    <mergeCell ref="S189:S190"/>
    <mergeCell ref="T189:T190"/>
    <mergeCell ref="U189:U190"/>
    <mergeCell ref="V189:V190"/>
    <mergeCell ref="K189:K190"/>
    <mergeCell ref="L189:L190"/>
    <mergeCell ref="M189:M190"/>
    <mergeCell ref="N189:N190"/>
    <mergeCell ref="O189:O190"/>
    <mergeCell ref="P189:P190"/>
    <mergeCell ref="II186:II187"/>
    <mergeCell ref="IJ186:IJ187"/>
    <mergeCell ref="IK186:IK187"/>
    <mergeCell ref="B189:B190"/>
    <mergeCell ref="C189:C190"/>
    <mergeCell ref="F189:F190"/>
    <mergeCell ref="G189:G190"/>
    <mergeCell ref="H189:H190"/>
    <mergeCell ref="I189:I190"/>
    <mergeCell ref="J189:J190"/>
    <mergeCell ref="IC186:IC187"/>
    <mergeCell ref="ID186:ID187"/>
    <mergeCell ref="IE186:IE187"/>
    <mergeCell ref="IF186:IF187"/>
    <mergeCell ref="IG186:IG187"/>
    <mergeCell ref="IH186:IH187"/>
    <mergeCell ref="HW186:HW187"/>
    <mergeCell ref="HX186:HX187"/>
    <mergeCell ref="HY186:HY187"/>
    <mergeCell ref="HZ186:HZ187"/>
    <mergeCell ref="IA186:IA187"/>
    <mergeCell ref="IB186:IB187"/>
    <mergeCell ref="HQ186:HQ187"/>
    <mergeCell ref="HR186:HR187"/>
    <mergeCell ref="HS186:HS187"/>
    <mergeCell ref="HT186:HT187"/>
    <mergeCell ref="HU186:HU187"/>
    <mergeCell ref="HV186:HV187"/>
    <mergeCell ref="HK186:HK187"/>
    <mergeCell ref="HL186:HL187"/>
    <mergeCell ref="HM186:HM187"/>
    <mergeCell ref="HN186:HN187"/>
    <mergeCell ref="HO186:HO187"/>
    <mergeCell ref="HP186:HP187"/>
    <mergeCell ref="HE186:HE187"/>
    <mergeCell ref="HF186:HF187"/>
    <mergeCell ref="HG186:HG187"/>
    <mergeCell ref="HH186:HH187"/>
    <mergeCell ref="HI186:HI187"/>
    <mergeCell ref="HJ186:HJ187"/>
    <mergeCell ref="GY186:GY187"/>
    <mergeCell ref="GZ186:GZ187"/>
    <mergeCell ref="HA186:HA187"/>
    <mergeCell ref="HB186:HB187"/>
    <mergeCell ref="HC186:HC187"/>
    <mergeCell ref="HD186:HD187"/>
    <mergeCell ref="GS186:GS187"/>
    <mergeCell ref="GT186:GT187"/>
    <mergeCell ref="GU186:GU187"/>
    <mergeCell ref="GV186:GV187"/>
    <mergeCell ref="GW186:GW187"/>
    <mergeCell ref="GX186:GX187"/>
    <mergeCell ref="GM186:GM187"/>
    <mergeCell ref="GN186:GN187"/>
    <mergeCell ref="GO186:GO187"/>
    <mergeCell ref="GP186:GP187"/>
    <mergeCell ref="GQ186:GQ187"/>
    <mergeCell ref="GR186:GR187"/>
    <mergeCell ref="GG186:GG187"/>
    <mergeCell ref="GH186:GH187"/>
    <mergeCell ref="GI186:GI187"/>
    <mergeCell ref="GJ186:GJ187"/>
    <mergeCell ref="GK186:GK187"/>
    <mergeCell ref="GL186:GL187"/>
    <mergeCell ref="GA186:GA187"/>
    <mergeCell ref="GB186:GB187"/>
    <mergeCell ref="GC186:GC187"/>
    <mergeCell ref="GD186:GD187"/>
    <mergeCell ref="GE186:GE187"/>
    <mergeCell ref="GF186:GF187"/>
    <mergeCell ref="FU186:FU187"/>
    <mergeCell ref="FV186:FV187"/>
    <mergeCell ref="FW186:FW187"/>
    <mergeCell ref="FX186:FX187"/>
    <mergeCell ref="FY186:FY187"/>
    <mergeCell ref="FZ186:FZ187"/>
    <mergeCell ref="FO186:FO187"/>
    <mergeCell ref="FP186:FP187"/>
    <mergeCell ref="FQ186:FQ187"/>
    <mergeCell ref="FR186:FR187"/>
    <mergeCell ref="FS186:FS187"/>
    <mergeCell ref="FT186:FT187"/>
    <mergeCell ref="FI186:FI187"/>
    <mergeCell ref="FJ186:FJ187"/>
    <mergeCell ref="FK186:FK187"/>
    <mergeCell ref="FL186:FL187"/>
    <mergeCell ref="FM186:FM187"/>
    <mergeCell ref="FN186:FN187"/>
    <mergeCell ref="FC186:FC187"/>
    <mergeCell ref="FD186:FD187"/>
    <mergeCell ref="FE186:FE187"/>
    <mergeCell ref="FF186:FF187"/>
    <mergeCell ref="FG186:FG187"/>
    <mergeCell ref="FH186:FH187"/>
    <mergeCell ref="EW186:EW187"/>
    <mergeCell ref="EX186:EX187"/>
    <mergeCell ref="EY186:EY187"/>
    <mergeCell ref="EZ186:EZ187"/>
    <mergeCell ref="FA186:FA187"/>
    <mergeCell ref="FB186:FB187"/>
    <mergeCell ref="EQ186:EQ187"/>
    <mergeCell ref="ER186:ER187"/>
    <mergeCell ref="ES186:ES187"/>
    <mergeCell ref="ET186:ET187"/>
    <mergeCell ref="EU186:EU187"/>
    <mergeCell ref="EV186:EV187"/>
    <mergeCell ref="EK186:EK187"/>
    <mergeCell ref="EL186:EL187"/>
    <mergeCell ref="EM186:EM187"/>
    <mergeCell ref="EN186:EN187"/>
    <mergeCell ref="EO186:EO187"/>
    <mergeCell ref="EP186:EP187"/>
    <mergeCell ref="EE186:EE187"/>
    <mergeCell ref="EF186:EF187"/>
    <mergeCell ref="EG186:EG187"/>
    <mergeCell ref="EH186:EH187"/>
    <mergeCell ref="EI186:EI187"/>
    <mergeCell ref="EJ186:EJ187"/>
    <mergeCell ref="DY186:DY187"/>
    <mergeCell ref="DZ186:DZ187"/>
    <mergeCell ref="EA186:EA187"/>
    <mergeCell ref="EB186:EB187"/>
    <mergeCell ref="EC186:EC187"/>
    <mergeCell ref="ED186:ED187"/>
    <mergeCell ref="DT186:DT187"/>
    <mergeCell ref="DU186:DU187"/>
    <mergeCell ref="DV186:DV187"/>
    <mergeCell ref="DW186:DW187"/>
    <mergeCell ref="DX186:DX187"/>
    <mergeCell ref="DM186:DM187"/>
    <mergeCell ref="DN186:DN187"/>
    <mergeCell ref="DO186:DO187"/>
    <mergeCell ref="DP186:DP187"/>
    <mergeCell ref="DQ186:DQ187"/>
    <mergeCell ref="DR186:DR187"/>
    <mergeCell ref="DG186:DG187"/>
    <mergeCell ref="DH186:DH187"/>
    <mergeCell ref="DI186:DI187"/>
    <mergeCell ref="DJ186:DJ187"/>
    <mergeCell ref="DK186:DK187"/>
    <mergeCell ref="DL186:DL187"/>
    <mergeCell ref="DA186:DA187"/>
    <mergeCell ref="DB186:DB187"/>
    <mergeCell ref="DC186:DC187"/>
    <mergeCell ref="DD186:DD187"/>
    <mergeCell ref="DE186:DE187"/>
    <mergeCell ref="DF186:DF187"/>
    <mergeCell ref="CU186:CU187"/>
    <mergeCell ref="CV186:CV187"/>
    <mergeCell ref="CW186:CW187"/>
    <mergeCell ref="CX186:CX187"/>
    <mergeCell ref="CY186:CY187"/>
    <mergeCell ref="CZ186:CZ187"/>
    <mergeCell ref="CO186:CO187"/>
    <mergeCell ref="CP186:CP187"/>
    <mergeCell ref="CQ186:CQ187"/>
    <mergeCell ref="CR186:CR187"/>
    <mergeCell ref="CS186:CS187"/>
    <mergeCell ref="CT186:CT187"/>
    <mergeCell ref="CM186:CM187"/>
    <mergeCell ref="CN186:CN187"/>
    <mergeCell ref="CC186:CC187"/>
    <mergeCell ref="CD186:CD187"/>
    <mergeCell ref="CE186:CE187"/>
    <mergeCell ref="CF186:CF187"/>
    <mergeCell ref="CG186:CG187"/>
    <mergeCell ref="CH186:CH187"/>
    <mergeCell ref="BW186:BW187"/>
    <mergeCell ref="BX186:BX187"/>
    <mergeCell ref="BY186:BY187"/>
    <mergeCell ref="BZ186:BZ187"/>
    <mergeCell ref="CA186:CA187"/>
    <mergeCell ref="CB186:CB187"/>
    <mergeCell ref="BQ186:BQ187"/>
    <mergeCell ref="BR186:BR187"/>
    <mergeCell ref="BS186:BS187"/>
    <mergeCell ref="BT186:BT187"/>
    <mergeCell ref="BU186:BU187"/>
    <mergeCell ref="BV186:BV187"/>
    <mergeCell ref="BK186:BK187"/>
    <mergeCell ref="BL186:BL187"/>
    <mergeCell ref="BM186:BM187"/>
    <mergeCell ref="BN186:BN187"/>
    <mergeCell ref="BO186:BO187"/>
    <mergeCell ref="BP186:BP187"/>
    <mergeCell ref="BE186:BE187"/>
    <mergeCell ref="BF186:BF187"/>
    <mergeCell ref="BG186:BG187"/>
    <mergeCell ref="BH186:BH187"/>
    <mergeCell ref="BI186:BI187"/>
    <mergeCell ref="BJ186:BJ187"/>
    <mergeCell ref="DS186:DS187"/>
    <mergeCell ref="IB182:ID185"/>
    <mergeCell ref="IE182:IG185"/>
    <mergeCell ref="IH182:IH185"/>
    <mergeCell ref="II182:IK185"/>
    <mergeCell ref="B183:B185"/>
    <mergeCell ref="B186:B187"/>
    <mergeCell ref="C186:C187"/>
    <mergeCell ref="F186:F187"/>
    <mergeCell ref="G186:G187"/>
    <mergeCell ref="H186:H187"/>
    <mergeCell ref="HN182:HP185"/>
    <mergeCell ref="HQ182:HS185"/>
    <mergeCell ref="HT182:HT185"/>
    <mergeCell ref="HU182:HW185"/>
    <mergeCell ref="HX182:HZ185"/>
    <mergeCell ref="IA182:IA185"/>
    <mergeCell ref="GZ182:HB185"/>
    <mergeCell ref="HC182:HE185"/>
    <mergeCell ref="HF182:HF185"/>
    <mergeCell ref="HG182:HI185"/>
    <mergeCell ref="HJ182:HL185"/>
    <mergeCell ref="HM182:HM185"/>
    <mergeCell ref="GL182:GN185"/>
    <mergeCell ref="GO182:GQ185"/>
    <mergeCell ref="GR182:GR185"/>
    <mergeCell ref="GS182:GU185"/>
    <mergeCell ref="GV182:GX185"/>
    <mergeCell ref="GY182:GY185"/>
    <mergeCell ref="FX182:FZ185"/>
    <mergeCell ref="GA182:GC185"/>
    <mergeCell ref="GD182:GD185"/>
    <mergeCell ref="GE182:GG185"/>
    <mergeCell ref="GH182:GJ185"/>
    <mergeCell ref="GK182:GK185"/>
    <mergeCell ref="FJ182:FL185"/>
    <mergeCell ref="FM182:FO185"/>
    <mergeCell ref="FP182:FP185"/>
    <mergeCell ref="FQ182:FS185"/>
    <mergeCell ref="FT182:FV185"/>
    <mergeCell ref="FW182:FW185"/>
    <mergeCell ref="EV182:EX185"/>
    <mergeCell ref="EY182:FA185"/>
    <mergeCell ref="FB182:FB185"/>
    <mergeCell ref="FC182:FE185"/>
    <mergeCell ref="FF182:FH185"/>
    <mergeCell ref="FI182:FI185"/>
    <mergeCell ref="EH182:EJ185"/>
    <mergeCell ref="EK182:EM185"/>
    <mergeCell ref="EN182:EN185"/>
    <mergeCell ref="EO182:EQ185"/>
    <mergeCell ref="ER182:ET185"/>
    <mergeCell ref="EU182:EU185"/>
    <mergeCell ref="AY186:AY187"/>
    <mergeCell ref="AZ186:AZ187"/>
    <mergeCell ref="BA186:BA187"/>
    <mergeCell ref="BB186:BB187"/>
    <mergeCell ref="BC186:BC187"/>
    <mergeCell ref="BD186:BD187"/>
    <mergeCell ref="AS186:AS187"/>
    <mergeCell ref="AT186:AT187"/>
    <mergeCell ref="AU186:AU187"/>
    <mergeCell ref="AV186:AV187"/>
    <mergeCell ref="AW186:AW187"/>
    <mergeCell ref="AX186:AX187"/>
    <mergeCell ref="CR182:CT185"/>
    <mergeCell ref="CU182:CW185"/>
    <mergeCell ref="CX182:CX185"/>
    <mergeCell ref="CY182:DA185"/>
    <mergeCell ref="DB182:DD185"/>
    <mergeCell ref="DE182:DE185"/>
    <mergeCell ref="CD182:CF185"/>
    <mergeCell ref="CG182:CI185"/>
    <mergeCell ref="CJ182:CJ185"/>
    <mergeCell ref="CK182:CM185"/>
    <mergeCell ref="CN182:CP185"/>
    <mergeCell ref="CQ182:CQ185"/>
    <mergeCell ref="BP182:BR185"/>
    <mergeCell ref="BS182:BU185"/>
    <mergeCell ref="BV182:BV185"/>
    <mergeCell ref="BW182:BY185"/>
    <mergeCell ref="BZ182:CB185"/>
    <mergeCell ref="CC182:CC185"/>
    <mergeCell ref="BB182:BD185"/>
    <mergeCell ref="BE182:BG185"/>
    <mergeCell ref="BH182:BH185"/>
    <mergeCell ref="BI182:BK185"/>
    <mergeCell ref="BL182:BN185"/>
    <mergeCell ref="BO182:BO185"/>
    <mergeCell ref="O186:O187"/>
    <mergeCell ref="P186:P187"/>
    <mergeCell ref="Q186:Q187"/>
    <mergeCell ref="R186:R187"/>
    <mergeCell ref="S186:S187"/>
    <mergeCell ref="T186:T187"/>
    <mergeCell ref="I186:I187"/>
    <mergeCell ref="J186:J187"/>
    <mergeCell ref="K186:K187"/>
    <mergeCell ref="L186:L187"/>
    <mergeCell ref="M186:M187"/>
    <mergeCell ref="N186:N187"/>
    <mergeCell ref="AM186:AM187"/>
    <mergeCell ref="AN186:AN187"/>
    <mergeCell ref="AO186:AO187"/>
    <mergeCell ref="AP186:AP187"/>
    <mergeCell ref="AQ186:AQ187"/>
    <mergeCell ref="AR186:AR187"/>
    <mergeCell ref="AG186:AG187"/>
    <mergeCell ref="AH186:AH187"/>
    <mergeCell ref="AI186:AI187"/>
    <mergeCell ref="AJ186:AJ187"/>
    <mergeCell ref="AK186:AK187"/>
    <mergeCell ref="AL186:AL187"/>
    <mergeCell ref="AA186:AA187"/>
    <mergeCell ref="AB186:AB187"/>
    <mergeCell ref="AC186:AC187"/>
    <mergeCell ref="AD186:AD187"/>
    <mergeCell ref="AE186:AE187"/>
    <mergeCell ref="AF186:AF187"/>
    <mergeCell ref="U186:U187"/>
    <mergeCell ref="V186:V187"/>
    <mergeCell ref="W186:W187"/>
    <mergeCell ref="X186:X187"/>
    <mergeCell ref="Y186:Y187"/>
    <mergeCell ref="Z186:Z187"/>
    <mergeCell ref="CI186:CI187"/>
    <mergeCell ref="CJ186:CJ187"/>
    <mergeCell ref="CK186:CK187"/>
    <mergeCell ref="CL186:CL187"/>
    <mergeCell ref="AN182:AP185"/>
    <mergeCell ref="AQ182:AS185"/>
    <mergeCell ref="AT182:AT185"/>
    <mergeCell ref="AU182:AW185"/>
    <mergeCell ref="AX182:AZ185"/>
    <mergeCell ref="BA182:BA185"/>
    <mergeCell ref="Z182:AB185"/>
    <mergeCell ref="AC182:AE185"/>
    <mergeCell ref="AF182:AF185"/>
    <mergeCell ref="AG182:AI185"/>
    <mergeCell ref="AJ182:AL185"/>
    <mergeCell ref="AM182:AM185"/>
    <mergeCell ref="L182:N185"/>
    <mergeCell ref="O182:Q185"/>
    <mergeCell ref="R182:R185"/>
    <mergeCell ref="S182:U185"/>
    <mergeCell ref="V182:X185"/>
    <mergeCell ref="Y182:Y185"/>
    <mergeCell ref="HC181:HI181"/>
    <mergeCell ref="HJ181:HP181"/>
    <mergeCell ref="HQ181:HW181"/>
    <mergeCell ref="HX181:ID181"/>
    <mergeCell ref="IE181:IK181"/>
    <mergeCell ref="C182:C185"/>
    <mergeCell ref="D182:E185"/>
    <mergeCell ref="F182:G185"/>
    <mergeCell ref="H182:J185"/>
    <mergeCell ref="K182:K185"/>
    <mergeCell ref="FM181:FS181"/>
    <mergeCell ref="FT181:FZ181"/>
    <mergeCell ref="GA181:GG181"/>
    <mergeCell ref="GH181:GN181"/>
    <mergeCell ref="GO181:GU181"/>
    <mergeCell ref="GV181:HB181"/>
    <mergeCell ref="DW181:EC181"/>
    <mergeCell ref="ED181:EJ181"/>
    <mergeCell ref="EK181:EQ181"/>
    <mergeCell ref="ER181:EX181"/>
    <mergeCell ref="EY181:FE181"/>
    <mergeCell ref="FF181:FL181"/>
    <mergeCell ref="CG181:CM181"/>
    <mergeCell ref="CN181:CT181"/>
    <mergeCell ref="CU181:DA181"/>
    <mergeCell ref="DB181:DH181"/>
    <mergeCell ref="DI181:DO181"/>
    <mergeCell ref="DP181:DV181"/>
    <mergeCell ref="AQ181:AW181"/>
    <mergeCell ref="AX181:BD181"/>
    <mergeCell ref="BE181:BK181"/>
    <mergeCell ref="BL181:BR181"/>
    <mergeCell ref="BS181:BY181"/>
    <mergeCell ref="BZ181:CF181"/>
    <mergeCell ref="DT182:DV185"/>
    <mergeCell ref="DW182:DY185"/>
    <mergeCell ref="DZ182:DZ185"/>
    <mergeCell ref="EA182:EC185"/>
    <mergeCell ref="ED182:EF185"/>
    <mergeCell ref="EG182:EG185"/>
    <mergeCell ref="DF182:DH185"/>
    <mergeCell ref="DI182:DK185"/>
    <mergeCell ref="DL182:DL185"/>
    <mergeCell ref="DM182:DO185"/>
    <mergeCell ref="DP182:DR185"/>
    <mergeCell ref="DS182:DS185"/>
    <mergeCell ref="IH178:IH180"/>
    <mergeCell ref="II178:II180"/>
    <mergeCell ref="IJ178:IJ180"/>
    <mergeCell ref="IK178:IK180"/>
    <mergeCell ref="C181:G181"/>
    <mergeCell ref="H181:N181"/>
    <mergeCell ref="O181:U181"/>
    <mergeCell ref="V181:AB181"/>
    <mergeCell ref="AC181:AI181"/>
    <mergeCell ref="AJ181:AP181"/>
    <mergeCell ref="IB178:IB180"/>
    <mergeCell ref="IC178:IC180"/>
    <mergeCell ref="ID178:ID180"/>
    <mergeCell ref="IE178:IE180"/>
    <mergeCell ref="IF178:IF180"/>
    <mergeCell ref="IG178:IG180"/>
    <mergeCell ref="HV178:HV180"/>
    <mergeCell ref="HW178:HW180"/>
    <mergeCell ref="HX178:HX180"/>
    <mergeCell ref="HY178:HY180"/>
    <mergeCell ref="HZ178:HZ180"/>
    <mergeCell ref="IA178:IA180"/>
    <mergeCell ref="HP178:HP180"/>
    <mergeCell ref="HQ178:HQ180"/>
    <mergeCell ref="HR178:HR180"/>
    <mergeCell ref="HS178:HS180"/>
    <mergeCell ref="HT178:HT180"/>
    <mergeCell ref="HU178:HU180"/>
    <mergeCell ref="HJ178:HJ180"/>
    <mergeCell ref="HK178:HK180"/>
    <mergeCell ref="HL178:HL180"/>
    <mergeCell ref="HM178:HM180"/>
    <mergeCell ref="HN178:HN180"/>
    <mergeCell ref="HO178:HO180"/>
    <mergeCell ref="HD178:HD180"/>
    <mergeCell ref="HE178:HE180"/>
    <mergeCell ref="HF178:HF180"/>
    <mergeCell ref="HG178:HG180"/>
    <mergeCell ref="HH178:HH180"/>
    <mergeCell ref="HI178:HI180"/>
    <mergeCell ref="GX178:GX180"/>
    <mergeCell ref="GY178:GY180"/>
    <mergeCell ref="GZ178:GZ180"/>
    <mergeCell ref="HA178:HA180"/>
    <mergeCell ref="HB178:HB180"/>
    <mergeCell ref="HC178:HC180"/>
    <mergeCell ref="GR178:GR180"/>
    <mergeCell ref="GS178:GS180"/>
    <mergeCell ref="GT178:GT180"/>
    <mergeCell ref="GU178:GU180"/>
    <mergeCell ref="GV178:GV180"/>
    <mergeCell ref="GW178:GW180"/>
    <mergeCell ref="GL178:GL180"/>
    <mergeCell ref="GM178:GM180"/>
    <mergeCell ref="GN178:GN180"/>
    <mergeCell ref="GO178:GO180"/>
    <mergeCell ref="GP178:GP180"/>
    <mergeCell ref="GQ178:GQ180"/>
    <mergeCell ref="GF178:GF180"/>
    <mergeCell ref="GG178:GG180"/>
    <mergeCell ref="GH178:GH180"/>
    <mergeCell ref="GI178:GI180"/>
    <mergeCell ref="GJ178:GJ180"/>
    <mergeCell ref="GK178:GK180"/>
    <mergeCell ref="FZ178:FZ180"/>
    <mergeCell ref="GA178:GA180"/>
    <mergeCell ref="GB178:GB180"/>
    <mergeCell ref="GC178:GC180"/>
    <mergeCell ref="GD178:GD180"/>
    <mergeCell ref="GE178:GE180"/>
    <mergeCell ref="FT178:FT180"/>
    <mergeCell ref="FU178:FU180"/>
    <mergeCell ref="FV178:FV180"/>
    <mergeCell ref="FW178:FW180"/>
    <mergeCell ref="FX178:FX180"/>
    <mergeCell ref="FY178:FY180"/>
    <mergeCell ref="FN178:FN180"/>
    <mergeCell ref="FO178:FO180"/>
    <mergeCell ref="FP178:FP180"/>
    <mergeCell ref="FQ178:FQ180"/>
    <mergeCell ref="FR178:FR180"/>
    <mergeCell ref="FS178:FS180"/>
    <mergeCell ref="FH178:FH180"/>
    <mergeCell ref="FI178:FI180"/>
    <mergeCell ref="FJ178:FJ180"/>
    <mergeCell ref="FK178:FK180"/>
    <mergeCell ref="FL178:FL180"/>
    <mergeCell ref="FM178:FM180"/>
    <mergeCell ref="FB178:FB180"/>
    <mergeCell ref="FC178:FC180"/>
    <mergeCell ref="FD178:FD180"/>
    <mergeCell ref="FE178:FE180"/>
    <mergeCell ref="FF178:FF180"/>
    <mergeCell ref="FG178:FG180"/>
    <mergeCell ref="EV178:EV180"/>
    <mergeCell ref="EW178:EW180"/>
    <mergeCell ref="EX178:EX180"/>
    <mergeCell ref="EY178:EY180"/>
    <mergeCell ref="EZ178:EZ180"/>
    <mergeCell ref="FA178:FA180"/>
    <mergeCell ref="EP178:EP180"/>
    <mergeCell ref="EQ178:EQ180"/>
    <mergeCell ref="ER178:ER180"/>
    <mergeCell ref="ES178:ES180"/>
    <mergeCell ref="ET178:ET180"/>
    <mergeCell ref="EU178:EU180"/>
    <mergeCell ref="EJ178:EJ180"/>
    <mergeCell ref="EK178:EK180"/>
    <mergeCell ref="EL178:EL180"/>
    <mergeCell ref="EM178:EM180"/>
    <mergeCell ref="EN178:EN180"/>
    <mergeCell ref="EO178:EO180"/>
    <mergeCell ref="ED178:ED180"/>
    <mergeCell ref="EE178:EE180"/>
    <mergeCell ref="EF178:EF180"/>
    <mergeCell ref="EG178:EG180"/>
    <mergeCell ref="EH178:EH180"/>
    <mergeCell ref="EI178:EI180"/>
    <mergeCell ref="DX178:DX180"/>
    <mergeCell ref="DY178:DY180"/>
    <mergeCell ref="DZ178:DZ180"/>
    <mergeCell ref="EA178:EA180"/>
    <mergeCell ref="EB178:EB180"/>
    <mergeCell ref="EC178:EC180"/>
    <mergeCell ref="DR178:DR180"/>
    <mergeCell ref="DS178:DS180"/>
    <mergeCell ref="DT178:DT180"/>
    <mergeCell ref="DU178:DU180"/>
    <mergeCell ref="DV178:DV180"/>
    <mergeCell ref="DW178:DW180"/>
    <mergeCell ref="DL178:DL180"/>
    <mergeCell ref="DM178:DM180"/>
    <mergeCell ref="DN178:DN180"/>
    <mergeCell ref="DO178:DO180"/>
    <mergeCell ref="DP178:DP180"/>
    <mergeCell ref="DQ178:DQ180"/>
    <mergeCell ref="DF178:DF180"/>
    <mergeCell ref="DG178:DG180"/>
    <mergeCell ref="DH178:DH180"/>
    <mergeCell ref="DI178:DI180"/>
    <mergeCell ref="DJ178:DJ180"/>
    <mergeCell ref="DK178:DK180"/>
    <mergeCell ref="CZ178:CZ180"/>
    <mergeCell ref="DA178:DA180"/>
    <mergeCell ref="DB178:DB180"/>
    <mergeCell ref="DC178:DC180"/>
    <mergeCell ref="DD178:DD180"/>
    <mergeCell ref="DE178:DE180"/>
    <mergeCell ref="CT178:CT180"/>
    <mergeCell ref="CU178:CU180"/>
    <mergeCell ref="CV178:CV180"/>
    <mergeCell ref="CW178:CW180"/>
    <mergeCell ref="CX178:CX180"/>
    <mergeCell ref="CY178:CY180"/>
    <mergeCell ref="CN178:CN180"/>
    <mergeCell ref="CO178:CO180"/>
    <mergeCell ref="CP178:CP180"/>
    <mergeCell ref="CQ178:CQ180"/>
    <mergeCell ref="CR178:CR180"/>
    <mergeCell ref="CS178:CS180"/>
    <mergeCell ref="CH178:CH180"/>
    <mergeCell ref="CI178:CI180"/>
    <mergeCell ref="CJ178:CJ180"/>
    <mergeCell ref="CK178:CK180"/>
    <mergeCell ref="CL178:CL180"/>
    <mergeCell ref="CM178:CM180"/>
    <mergeCell ref="CB178:CB180"/>
    <mergeCell ref="CC178:CC180"/>
    <mergeCell ref="CD178:CD180"/>
    <mergeCell ref="CE178:CE180"/>
    <mergeCell ref="CF178:CF180"/>
    <mergeCell ref="CG178:CG180"/>
    <mergeCell ref="BV178:BV180"/>
    <mergeCell ref="BW178:BW180"/>
    <mergeCell ref="BX178:BX180"/>
    <mergeCell ref="BY178:BY180"/>
    <mergeCell ref="BZ178:BZ180"/>
    <mergeCell ref="CA178:CA180"/>
    <mergeCell ref="BP178:BP180"/>
    <mergeCell ref="BQ178:BQ180"/>
    <mergeCell ref="BR178:BR180"/>
    <mergeCell ref="BS178:BS180"/>
    <mergeCell ref="BT178:BT180"/>
    <mergeCell ref="BU178:BU180"/>
    <mergeCell ref="BJ178:BJ180"/>
    <mergeCell ref="BK178:BK180"/>
    <mergeCell ref="BL178:BL180"/>
    <mergeCell ref="BM178:BM180"/>
    <mergeCell ref="BN178:BN180"/>
    <mergeCell ref="BO178:BO180"/>
    <mergeCell ref="BD178:BD180"/>
    <mergeCell ref="BE178:BE180"/>
    <mergeCell ref="BF178:BF180"/>
    <mergeCell ref="BG178:BG180"/>
    <mergeCell ref="BH178:BH180"/>
    <mergeCell ref="BI178:BI180"/>
    <mergeCell ref="AX178:AX180"/>
    <mergeCell ref="AY178:AY180"/>
    <mergeCell ref="AZ178:AZ180"/>
    <mergeCell ref="BA178:BA180"/>
    <mergeCell ref="BB178:BB180"/>
    <mergeCell ref="BC178:BC180"/>
    <mergeCell ref="AR178:AR180"/>
    <mergeCell ref="AS178:AS180"/>
    <mergeCell ref="AT178:AT180"/>
    <mergeCell ref="AU178:AU180"/>
    <mergeCell ref="AV178:AV180"/>
    <mergeCell ref="AW178:AW180"/>
    <mergeCell ref="AL178:AL180"/>
    <mergeCell ref="AM178:AM180"/>
    <mergeCell ref="AN178:AN180"/>
    <mergeCell ref="AO178:AO180"/>
    <mergeCell ref="AP178:AP180"/>
    <mergeCell ref="AQ178:AQ180"/>
    <mergeCell ref="AF178:AF180"/>
    <mergeCell ref="AG178:AG180"/>
    <mergeCell ref="AH178:AH180"/>
    <mergeCell ref="AI178:AI180"/>
    <mergeCell ref="AJ178:AJ180"/>
    <mergeCell ref="AK178:AK180"/>
    <mergeCell ref="Z178:Z180"/>
    <mergeCell ref="AA178:AA180"/>
    <mergeCell ref="AB178:AB180"/>
    <mergeCell ref="AC178:AC180"/>
    <mergeCell ref="AD178:AD180"/>
    <mergeCell ref="AE178:AE180"/>
    <mergeCell ref="T178:T180"/>
    <mergeCell ref="U178:U180"/>
    <mergeCell ref="V178:V180"/>
    <mergeCell ref="W178:W180"/>
    <mergeCell ref="X178:X180"/>
    <mergeCell ref="Y178:Y180"/>
    <mergeCell ref="N178:N180"/>
    <mergeCell ref="O178:O180"/>
    <mergeCell ref="P178:P180"/>
    <mergeCell ref="Q178:Q180"/>
    <mergeCell ref="R178:R180"/>
    <mergeCell ref="S178:S180"/>
    <mergeCell ref="H178:H180"/>
    <mergeCell ref="I178:I180"/>
    <mergeCell ref="J178:J180"/>
    <mergeCell ref="K178:K180"/>
    <mergeCell ref="L178:L180"/>
    <mergeCell ref="M178:M180"/>
    <mergeCell ref="IH115:IH116"/>
    <mergeCell ref="II115:II116"/>
    <mergeCell ref="IJ115:IJ116"/>
    <mergeCell ref="IK115:IK116"/>
    <mergeCell ref="F116:G116"/>
    <mergeCell ref="IB115:IB116"/>
    <mergeCell ref="IC115:IC116"/>
    <mergeCell ref="ID115:ID116"/>
    <mergeCell ref="IE115:IE116"/>
    <mergeCell ref="IF115:IF116"/>
    <mergeCell ref="IG115:IG116"/>
    <mergeCell ref="HV115:HV116"/>
    <mergeCell ref="HW115:HW116"/>
    <mergeCell ref="HX115:HX116"/>
    <mergeCell ref="HY115:HY116"/>
    <mergeCell ref="HZ115:HZ116"/>
    <mergeCell ref="IA115:IA116"/>
    <mergeCell ref="HP115:HP116"/>
    <mergeCell ref="HQ115:HQ116"/>
    <mergeCell ref="HR115:HR116"/>
    <mergeCell ref="HS115:HS116"/>
    <mergeCell ref="HT115:HT116"/>
    <mergeCell ref="HU115:HU116"/>
    <mergeCell ref="HJ115:HJ116"/>
    <mergeCell ref="HK115:HK116"/>
    <mergeCell ref="HL115:HL116"/>
    <mergeCell ref="HM115:HM116"/>
    <mergeCell ref="HN115:HN116"/>
    <mergeCell ref="HO115:HO116"/>
    <mergeCell ref="HD115:HD116"/>
    <mergeCell ref="HE115:HE116"/>
    <mergeCell ref="HF115:HF116"/>
    <mergeCell ref="HG115:HG116"/>
    <mergeCell ref="HH115:HH116"/>
    <mergeCell ref="HI115:HI116"/>
    <mergeCell ref="GX115:GX116"/>
    <mergeCell ref="GY115:GY116"/>
    <mergeCell ref="GZ115:GZ116"/>
    <mergeCell ref="HA115:HA116"/>
    <mergeCell ref="HB115:HB116"/>
    <mergeCell ref="HC115:HC116"/>
    <mergeCell ref="GR115:GR116"/>
    <mergeCell ref="GS115:GS116"/>
    <mergeCell ref="GT115:GT116"/>
    <mergeCell ref="GU115:GU116"/>
    <mergeCell ref="GV115:GV116"/>
    <mergeCell ref="GW115:GW116"/>
    <mergeCell ref="GL115:GL116"/>
    <mergeCell ref="GM115:GM116"/>
    <mergeCell ref="GN115:GN116"/>
    <mergeCell ref="GO115:GO116"/>
    <mergeCell ref="GP115:GP116"/>
    <mergeCell ref="GQ115:GQ116"/>
    <mergeCell ref="GF115:GF116"/>
    <mergeCell ref="GG115:GG116"/>
    <mergeCell ref="GH115:GH116"/>
    <mergeCell ref="GI115:GI116"/>
    <mergeCell ref="GJ115:GJ116"/>
    <mergeCell ref="GK115:GK116"/>
    <mergeCell ref="FZ115:FZ116"/>
    <mergeCell ref="GA115:GA116"/>
    <mergeCell ref="GB115:GB116"/>
    <mergeCell ref="GC115:GC116"/>
    <mergeCell ref="GD115:GD116"/>
    <mergeCell ref="GE115:GE116"/>
    <mergeCell ref="FT115:FT116"/>
    <mergeCell ref="FU115:FU116"/>
    <mergeCell ref="FV115:FV116"/>
    <mergeCell ref="FW115:FW116"/>
    <mergeCell ref="FX115:FX116"/>
    <mergeCell ref="FY115:FY116"/>
    <mergeCell ref="FN115:FN116"/>
    <mergeCell ref="FO115:FO116"/>
    <mergeCell ref="FP115:FP116"/>
    <mergeCell ref="FQ115:FQ116"/>
    <mergeCell ref="FR115:FR116"/>
    <mergeCell ref="FS115:FS116"/>
    <mergeCell ref="FH115:FH116"/>
    <mergeCell ref="FI115:FI116"/>
    <mergeCell ref="FJ115:FJ116"/>
    <mergeCell ref="FK115:FK116"/>
    <mergeCell ref="FL115:FL116"/>
    <mergeCell ref="FM115:FM116"/>
    <mergeCell ref="FB115:FB116"/>
    <mergeCell ref="FC115:FC116"/>
    <mergeCell ref="FD115:FD116"/>
    <mergeCell ref="FE115:FE116"/>
    <mergeCell ref="FF115:FF116"/>
    <mergeCell ref="FG115:FG116"/>
    <mergeCell ref="EV115:EV116"/>
    <mergeCell ref="EW115:EW116"/>
    <mergeCell ref="EX115:EX116"/>
    <mergeCell ref="EY115:EY116"/>
    <mergeCell ref="EZ115:EZ116"/>
    <mergeCell ref="FA115:FA116"/>
    <mergeCell ref="EP115:EP116"/>
    <mergeCell ref="EQ115:EQ116"/>
    <mergeCell ref="ER115:ER116"/>
    <mergeCell ref="ES115:ES116"/>
    <mergeCell ref="ET115:ET116"/>
    <mergeCell ref="EU115:EU116"/>
    <mergeCell ref="EJ115:EJ116"/>
    <mergeCell ref="EK115:EK116"/>
    <mergeCell ref="EL115:EL116"/>
    <mergeCell ref="EM115:EM116"/>
    <mergeCell ref="EN115:EN116"/>
    <mergeCell ref="EO115:EO116"/>
    <mergeCell ref="ED115:ED116"/>
    <mergeCell ref="EE115:EE116"/>
    <mergeCell ref="EF115:EF116"/>
    <mergeCell ref="EG115:EG116"/>
    <mergeCell ref="EH115:EH116"/>
    <mergeCell ref="EI115:EI116"/>
    <mergeCell ref="DX115:DX116"/>
    <mergeCell ref="DY115:DY116"/>
    <mergeCell ref="DZ115:DZ116"/>
    <mergeCell ref="EA115:EA116"/>
    <mergeCell ref="EB115:EB116"/>
    <mergeCell ref="EC115:EC116"/>
    <mergeCell ref="DR115:DR116"/>
    <mergeCell ref="DS115:DS116"/>
    <mergeCell ref="DT115:DT116"/>
    <mergeCell ref="DU115:DU116"/>
    <mergeCell ref="DV115:DV116"/>
    <mergeCell ref="DW115:DW116"/>
    <mergeCell ref="DL115:DL116"/>
    <mergeCell ref="DM115:DM116"/>
    <mergeCell ref="DN115:DN116"/>
    <mergeCell ref="DO115:DO116"/>
    <mergeCell ref="DP115:DP116"/>
    <mergeCell ref="DQ115:DQ116"/>
    <mergeCell ref="DF115:DF116"/>
    <mergeCell ref="DG115:DG116"/>
    <mergeCell ref="DH115:DH116"/>
    <mergeCell ref="DI115:DI116"/>
    <mergeCell ref="DJ115:DJ116"/>
    <mergeCell ref="DK115:DK116"/>
    <mergeCell ref="CZ115:CZ116"/>
    <mergeCell ref="DA115:DA116"/>
    <mergeCell ref="DB115:DB116"/>
    <mergeCell ref="DC115:DC116"/>
    <mergeCell ref="DD115:DD116"/>
    <mergeCell ref="DE115:DE116"/>
    <mergeCell ref="CT115:CT116"/>
    <mergeCell ref="CU115:CU116"/>
    <mergeCell ref="CV115:CV116"/>
    <mergeCell ref="CW115:CW116"/>
    <mergeCell ref="CX115:CX116"/>
    <mergeCell ref="CY115:CY116"/>
    <mergeCell ref="CN115:CN116"/>
    <mergeCell ref="CO115:CO116"/>
    <mergeCell ref="CP115:CP116"/>
    <mergeCell ref="CQ115:CQ116"/>
    <mergeCell ref="CR115:CR116"/>
    <mergeCell ref="CS115:CS116"/>
    <mergeCell ref="CH115:CH116"/>
    <mergeCell ref="CI115:CI116"/>
    <mergeCell ref="CJ115:CJ116"/>
    <mergeCell ref="CK115:CK116"/>
    <mergeCell ref="CL115:CL116"/>
    <mergeCell ref="CM115:CM116"/>
    <mergeCell ref="CB115:CB116"/>
    <mergeCell ref="CC115:CC116"/>
    <mergeCell ref="CD115:CD116"/>
    <mergeCell ref="CE115:CE116"/>
    <mergeCell ref="CF115:CF116"/>
    <mergeCell ref="CG115:CG116"/>
    <mergeCell ref="BV115:BV116"/>
    <mergeCell ref="BW115:BW116"/>
    <mergeCell ref="BX115:BX116"/>
    <mergeCell ref="BY115:BY116"/>
    <mergeCell ref="BZ115:BZ116"/>
    <mergeCell ref="CA115:CA116"/>
    <mergeCell ref="BP115:BP116"/>
    <mergeCell ref="BQ115:BQ116"/>
    <mergeCell ref="BR115:BR116"/>
    <mergeCell ref="BS115:BS116"/>
    <mergeCell ref="BT115:BT116"/>
    <mergeCell ref="BU115:BU116"/>
    <mergeCell ref="BJ115:BJ116"/>
    <mergeCell ref="BK115:BK116"/>
    <mergeCell ref="BL115:BL116"/>
    <mergeCell ref="BM115:BM116"/>
    <mergeCell ref="BN115:BN116"/>
    <mergeCell ref="BO115:BO116"/>
    <mergeCell ref="BD115:BD116"/>
    <mergeCell ref="BE115:BE116"/>
    <mergeCell ref="BF115:BF116"/>
    <mergeCell ref="BG115:BG116"/>
    <mergeCell ref="BH115:BH116"/>
    <mergeCell ref="BI115:BI116"/>
    <mergeCell ref="AX115:AX116"/>
    <mergeCell ref="AY115:AY116"/>
    <mergeCell ref="AZ115:AZ116"/>
    <mergeCell ref="BA115:BA116"/>
    <mergeCell ref="BB115:BB116"/>
    <mergeCell ref="BC115:BC116"/>
    <mergeCell ref="AR115:AR116"/>
    <mergeCell ref="AS115:AS116"/>
    <mergeCell ref="AT115:AT116"/>
    <mergeCell ref="AU115:AU116"/>
    <mergeCell ref="AV115:AV116"/>
    <mergeCell ref="AW115:AW116"/>
    <mergeCell ref="AL115:AL116"/>
    <mergeCell ref="AM115:AM116"/>
    <mergeCell ref="AN115:AN116"/>
    <mergeCell ref="AO115:AO116"/>
    <mergeCell ref="AP115:AP116"/>
    <mergeCell ref="AQ115:AQ116"/>
    <mergeCell ref="AF115:AF116"/>
    <mergeCell ref="AG115:AG116"/>
    <mergeCell ref="AH115:AH116"/>
    <mergeCell ref="AI115:AI116"/>
    <mergeCell ref="AJ115:AJ116"/>
    <mergeCell ref="AK115:AK116"/>
    <mergeCell ref="Z115:Z116"/>
    <mergeCell ref="AA115:AA116"/>
    <mergeCell ref="AB115:AB116"/>
    <mergeCell ref="AC115:AC116"/>
    <mergeCell ref="AD115:AD116"/>
    <mergeCell ref="AE115:AE116"/>
    <mergeCell ref="T115:T116"/>
    <mergeCell ref="U115:U116"/>
    <mergeCell ref="V115:V116"/>
    <mergeCell ref="W115:W116"/>
    <mergeCell ref="X115:X116"/>
    <mergeCell ref="Y115:Y116"/>
    <mergeCell ref="N115:N116"/>
    <mergeCell ref="O115:O116"/>
    <mergeCell ref="P115:P116"/>
    <mergeCell ref="Q115:Q116"/>
    <mergeCell ref="R115:R116"/>
    <mergeCell ref="S115:S116"/>
    <mergeCell ref="IK113:IK114"/>
    <mergeCell ref="F114:G114"/>
    <mergeCell ref="B115:B116"/>
    <mergeCell ref="C115:C116"/>
    <mergeCell ref="H115:H116"/>
    <mergeCell ref="I115:I116"/>
    <mergeCell ref="J115:J116"/>
    <mergeCell ref="K115:K116"/>
    <mergeCell ref="L115:L116"/>
    <mergeCell ref="M115:M116"/>
    <mergeCell ref="IE113:IE114"/>
    <mergeCell ref="IF113:IF114"/>
    <mergeCell ref="IG113:IG114"/>
    <mergeCell ref="IH113:IH114"/>
    <mergeCell ref="II113:II114"/>
    <mergeCell ref="IJ113:IJ114"/>
    <mergeCell ref="HY113:HY114"/>
    <mergeCell ref="HZ113:HZ114"/>
    <mergeCell ref="IA113:IA114"/>
    <mergeCell ref="IB113:IB114"/>
    <mergeCell ref="IC113:IC114"/>
    <mergeCell ref="ID113:ID114"/>
    <mergeCell ref="HS113:HS114"/>
    <mergeCell ref="HT113:HT114"/>
    <mergeCell ref="HU113:HU114"/>
    <mergeCell ref="HV113:HV114"/>
    <mergeCell ref="HW113:HW114"/>
    <mergeCell ref="HX113:HX114"/>
    <mergeCell ref="HM113:HM114"/>
    <mergeCell ref="HN113:HN114"/>
    <mergeCell ref="HO113:HO114"/>
    <mergeCell ref="HP113:HP114"/>
    <mergeCell ref="HQ113:HQ114"/>
    <mergeCell ref="HR113:HR114"/>
    <mergeCell ref="HG113:HG114"/>
    <mergeCell ref="HH113:HH114"/>
    <mergeCell ref="HI113:HI114"/>
    <mergeCell ref="HJ113:HJ114"/>
    <mergeCell ref="HK113:HK114"/>
    <mergeCell ref="HL113:HL114"/>
    <mergeCell ref="HA113:HA114"/>
    <mergeCell ref="HB113:HB114"/>
    <mergeCell ref="HC113:HC114"/>
    <mergeCell ref="HD113:HD114"/>
    <mergeCell ref="HE113:HE114"/>
    <mergeCell ref="HF113:HF114"/>
    <mergeCell ref="GU113:GU114"/>
    <mergeCell ref="GV113:GV114"/>
    <mergeCell ref="GW113:GW114"/>
    <mergeCell ref="GX113:GX114"/>
    <mergeCell ref="GY113:GY114"/>
    <mergeCell ref="GZ113:GZ114"/>
    <mergeCell ref="GO113:GO114"/>
    <mergeCell ref="GP113:GP114"/>
    <mergeCell ref="GQ113:GQ114"/>
    <mergeCell ref="GR113:GR114"/>
    <mergeCell ref="GS113:GS114"/>
    <mergeCell ref="GT113:GT114"/>
    <mergeCell ref="GI113:GI114"/>
    <mergeCell ref="GJ113:GJ114"/>
    <mergeCell ref="GK113:GK114"/>
    <mergeCell ref="GL113:GL114"/>
    <mergeCell ref="GM113:GM114"/>
    <mergeCell ref="GN113:GN114"/>
    <mergeCell ref="GC113:GC114"/>
    <mergeCell ref="GD113:GD114"/>
    <mergeCell ref="GE113:GE114"/>
    <mergeCell ref="GF113:GF114"/>
    <mergeCell ref="GG113:GG114"/>
    <mergeCell ref="GH113:GH114"/>
    <mergeCell ref="FW113:FW114"/>
    <mergeCell ref="FX113:FX114"/>
    <mergeCell ref="FY113:FY114"/>
    <mergeCell ref="FZ113:FZ114"/>
    <mergeCell ref="GA113:GA114"/>
    <mergeCell ref="GB113:GB114"/>
    <mergeCell ref="FQ113:FQ114"/>
    <mergeCell ref="FR113:FR114"/>
    <mergeCell ref="FS113:FS114"/>
    <mergeCell ref="FT113:FT114"/>
    <mergeCell ref="FU113:FU114"/>
    <mergeCell ref="FV113:FV114"/>
    <mergeCell ref="FK113:FK114"/>
    <mergeCell ref="FL113:FL114"/>
    <mergeCell ref="FM113:FM114"/>
    <mergeCell ref="FN113:FN114"/>
    <mergeCell ref="FO113:FO114"/>
    <mergeCell ref="FP113:FP114"/>
    <mergeCell ref="FE113:FE114"/>
    <mergeCell ref="FF113:FF114"/>
    <mergeCell ref="FG113:FG114"/>
    <mergeCell ref="FH113:FH114"/>
    <mergeCell ref="FI113:FI114"/>
    <mergeCell ref="FJ113:FJ114"/>
    <mergeCell ref="EY113:EY114"/>
    <mergeCell ref="EZ113:EZ114"/>
    <mergeCell ref="FA113:FA114"/>
    <mergeCell ref="FB113:FB114"/>
    <mergeCell ref="FC113:FC114"/>
    <mergeCell ref="FD113:FD114"/>
    <mergeCell ref="ES113:ES114"/>
    <mergeCell ref="ET113:ET114"/>
    <mergeCell ref="EU113:EU114"/>
    <mergeCell ref="EV113:EV114"/>
    <mergeCell ref="EW113:EW114"/>
    <mergeCell ref="EX113:EX114"/>
    <mergeCell ref="EM113:EM114"/>
    <mergeCell ref="EN113:EN114"/>
    <mergeCell ref="EO113:EO114"/>
    <mergeCell ref="EP113:EP114"/>
    <mergeCell ref="EQ113:EQ114"/>
    <mergeCell ref="ER113:ER114"/>
    <mergeCell ref="EG113:EG114"/>
    <mergeCell ref="EH113:EH114"/>
    <mergeCell ref="EI113:EI114"/>
    <mergeCell ref="EJ113:EJ114"/>
    <mergeCell ref="EK113:EK114"/>
    <mergeCell ref="EL113:EL114"/>
    <mergeCell ref="EA113:EA114"/>
    <mergeCell ref="EB113:EB114"/>
    <mergeCell ref="EC113:EC114"/>
    <mergeCell ref="ED113:ED114"/>
    <mergeCell ref="EE113:EE114"/>
    <mergeCell ref="EF113:EF114"/>
    <mergeCell ref="DU113:DU114"/>
    <mergeCell ref="DV113:DV114"/>
    <mergeCell ref="DW113:DW114"/>
    <mergeCell ref="DX113:DX114"/>
    <mergeCell ref="DY113:DY114"/>
    <mergeCell ref="DZ113:DZ114"/>
    <mergeCell ref="DO113:DO114"/>
    <mergeCell ref="DP113:DP114"/>
    <mergeCell ref="DQ113:DQ114"/>
    <mergeCell ref="DR113:DR114"/>
    <mergeCell ref="DS113:DS114"/>
    <mergeCell ref="DT113:DT114"/>
    <mergeCell ref="DI113:DI114"/>
    <mergeCell ref="DJ113:DJ114"/>
    <mergeCell ref="DK113:DK114"/>
    <mergeCell ref="DL113:DL114"/>
    <mergeCell ref="DM113:DM114"/>
    <mergeCell ref="DN113:DN114"/>
    <mergeCell ref="DC113:DC114"/>
    <mergeCell ref="DD113:DD114"/>
    <mergeCell ref="DE113:DE114"/>
    <mergeCell ref="DF113:DF114"/>
    <mergeCell ref="DG113:DG114"/>
    <mergeCell ref="DH113:DH114"/>
    <mergeCell ref="CW113:CW114"/>
    <mergeCell ref="CX113:CX114"/>
    <mergeCell ref="CY113:CY114"/>
    <mergeCell ref="CZ113:CZ114"/>
    <mergeCell ref="DA113:DA114"/>
    <mergeCell ref="DB113:DB114"/>
    <mergeCell ref="CQ113:CQ114"/>
    <mergeCell ref="CR113:CR114"/>
    <mergeCell ref="CS113:CS114"/>
    <mergeCell ref="CT113:CT114"/>
    <mergeCell ref="CU113:CU114"/>
    <mergeCell ref="CV113:CV114"/>
    <mergeCell ref="CK113:CK114"/>
    <mergeCell ref="CL113:CL114"/>
    <mergeCell ref="CM113:CM114"/>
    <mergeCell ref="CN113:CN114"/>
    <mergeCell ref="CO113:CO114"/>
    <mergeCell ref="CP113:CP114"/>
    <mergeCell ref="CE113:CE114"/>
    <mergeCell ref="CF113:CF114"/>
    <mergeCell ref="CG113:CG114"/>
    <mergeCell ref="CH113:CH114"/>
    <mergeCell ref="CI113:CI114"/>
    <mergeCell ref="CJ113:CJ114"/>
    <mergeCell ref="BY113:BY114"/>
    <mergeCell ref="BZ113:BZ114"/>
    <mergeCell ref="CA113:CA114"/>
    <mergeCell ref="CB113:CB114"/>
    <mergeCell ref="CC113:CC114"/>
    <mergeCell ref="CD113:CD114"/>
    <mergeCell ref="BS113:BS114"/>
    <mergeCell ref="BT113:BT114"/>
    <mergeCell ref="BU113:BU114"/>
    <mergeCell ref="BV113:BV114"/>
    <mergeCell ref="BW113:BW114"/>
    <mergeCell ref="BX113:BX114"/>
    <mergeCell ref="BM113:BM114"/>
    <mergeCell ref="BN113:BN114"/>
    <mergeCell ref="BO113:BO114"/>
    <mergeCell ref="BP113:BP114"/>
    <mergeCell ref="BQ113:BQ114"/>
    <mergeCell ref="BR113:BR114"/>
    <mergeCell ref="BG113:BG114"/>
    <mergeCell ref="BH113:BH114"/>
    <mergeCell ref="BI113:BI114"/>
    <mergeCell ref="BJ113:BJ114"/>
    <mergeCell ref="BK113:BK114"/>
    <mergeCell ref="BL113:BL114"/>
    <mergeCell ref="BA113:BA114"/>
    <mergeCell ref="BB113:BB114"/>
    <mergeCell ref="BC113:BC114"/>
    <mergeCell ref="BD113:BD114"/>
    <mergeCell ref="BE113:BE114"/>
    <mergeCell ref="BF113:BF114"/>
    <mergeCell ref="AU113:AU114"/>
    <mergeCell ref="AV113:AV114"/>
    <mergeCell ref="AW113:AW114"/>
    <mergeCell ref="AX113:AX114"/>
    <mergeCell ref="AY113:AY114"/>
    <mergeCell ref="AZ113:AZ114"/>
    <mergeCell ref="AO113:AO114"/>
    <mergeCell ref="AP113:AP114"/>
    <mergeCell ref="AQ113:AQ114"/>
    <mergeCell ref="AR113:AR114"/>
    <mergeCell ref="AS113:AS114"/>
    <mergeCell ref="AT113:AT114"/>
    <mergeCell ref="AI113:AI114"/>
    <mergeCell ref="AJ113:AJ114"/>
    <mergeCell ref="AK113:AK114"/>
    <mergeCell ref="AL113:AL114"/>
    <mergeCell ref="AM113:AM114"/>
    <mergeCell ref="AN113:AN114"/>
    <mergeCell ref="AC113:AC114"/>
    <mergeCell ref="AD113:AD114"/>
    <mergeCell ref="AE113:AE114"/>
    <mergeCell ref="AF113:AF114"/>
    <mergeCell ref="AG113:AG114"/>
    <mergeCell ref="AH113:AH114"/>
    <mergeCell ref="W113:W114"/>
    <mergeCell ref="X113:X114"/>
    <mergeCell ref="Y113:Y114"/>
    <mergeCell ref="Z113:Z114"/>
    <mergeCell ref="AA113:AA114"/>
    <mergeCell ref="AB113:AB114"/>
    <mergeCell ref="Q113:Q114"/>
    <mergeCell ref="R113:R114"/>
    <mergeCell ref="S113:S114"/>
    <mergeCell ref="T113:T114"/>
    <mergeCell ref="U113:U114"/>
    <mergeCell ref="V113:V114"/>
    <mergeCell ref="K113:K114"/>
    <mergeCell ref="L113:L114"/>
    <mergeCell ref="M113:M114"/>
    <mergeCell ref="N113:N114"/>
    <mergeCell ref="O113:O114"/>
    <mergeCell ref="P113:P114"/>
    <mergeCell ref="IG111:IG112"/>
    <mergeCell ref="IH111:IH112"/>
    <mergeCell ref="II111:II112"/>
    <mergeCell ref="IJ111:IJ112"/>
    <mergeCell ref="IK111:IK112"/>
    <mergeCell ref="B113:B114"/>
    <mergeCell ref="C113:C114"/>
    <mergeCell ref="H113:H114"/>
    <mergeCell ref="I113:I114"/>
    <mergeCell ref="J113:J114"/>
    <mergeCell ref="IA111:IA112"/>
    <mergeCell ref="IB111:IB112"/>
    <mergeCell ref="IC111:IC112"/>
    <mergeCell ref="ID111:ID112"/>
    <mergeCell ref="IE111:IE112"/>
    <mergeCell ref="IF111:IF112"/>
    <mergeCell ref="HU111:HU112"/>
    <mergeCell ref="HV111:HV112"/>
    <mergeCell ref="HW111:HW112"/>
    <mergeCell ref="HX111:HX112"/>
    <mergeCell ref="HY111:HY112"/>
    <mergeCell ref="HZ111:HZ112"/>
    <mergeCell ref="HO111:HO112"/>
    <mergeCell ref="HP111:HP112"/>
    <mergeCell ref="HQ111:HQ112"/>
    <mergeCell ref="HR111:HR112"/>
    <mergeCell ref="HS111:HS112"/>
    <mergeCell ref="HT111:HT112"/>
    <mergeCell ref="HI111:HI112"/>
    <mergeCell ref="HJ111:HJ112"/>
    <mergeCell ref="HK111:HK112"/>
    <mergeCell ref="HL111:HL112"/>
    <mergeCell ref="HM111:HM112"/>
    <mergeCell ref="HN111:HN112"/>
    <mergeCell ref="HC111:HC112"/>
    <mergeCell ref="HD111:HD112"/>
    <mergeCell ref="HE111:HE112"/>
    <mergeCell ref="HF111:HF112"/>
    <mergeCell ref="HG111:HG112"/>
    <mergeCell ref="HH111:HH112"/>
    <mergeCell ref="GW111:GW112"/>
    <mergeCell ref="GX111:GX112"/>
    <mergeCell ref="GY111:GY112"/>
    <mergeCell ref="GZ111:GZ112"/>
    <mergeCell ref="HA111:HA112"/>
    <mergeCell ref="HB111:HB112"/>
    <mergeCell ref="GQ111:GQ112"/>
    <mergeCell ref="GR111:GR112"/>
    <mergeCell ref="GS111:GS112"/>
    <mergeCell ref="GT111:GT112"/>
    <mergeCell ref="GU111:GU112"/>
    <mergeCell ref="GV111:GV112"/>
    <mergeCell ref="GK111:GK112"/>
    <mergeCell ref="GL111:GL112"/>
    <mergeCell ref="GM111:GM112"/>
    <mergeCell ref="GN111:GN112"/>
    <mergeCell ref="GO111:GO112"/>
    <mergeCell ref="GP111:GP112"/>
    <mergeCell ref="GE111:GE112"/>
    <mergeCell ref="GF111:GF112"/>
    <mergeCell ref="GG111:GG112"/>
    <mergeCell ref="GH111:GH112"/>
    <mergeCell ref="GI111:GI112"/>
    <mergeCell ref="GJ111:GJ112"/>
    <mergeCell ref="FY111:FY112"/>
    <mergeCell ref="FZ111:FZ112"/>
    <mergeCell ref="GA111:GA112"/>
    <mergeCell ref="GB111:GB112"/>
    <mergeCell ref="GC111:GC112"/>
    <mergeCell ref="GD111:GD112"/>
    <mergeCell ref="FS111:FS112"/>
    <mergeCell ref="FT111:FT112"/>
    <mergeCell ref="FU111:FU112"/>
    <mergeCell ref="FV111:FV112"/>
    <mergeCell ref="FW111:FW112"/>
    <mergeCell ref="FX111:FX112"/>
    <mergeCell ref="FM111:FM112"/>
    <mergeCell ref="FN111:FN112"/>
    <mergeCell ref="FO111:FO112"/>
    <mergeCell ref="FP111:FP112"/>
    <mergeCell ref="FQ111:FQ112"/>
    <mergeCell ref="FR111:FR112"/>
    <mergeCell ref="FG111:FG112"/>
    <mergeCell ref="FH111:FH112"/>
    <mergeCell ref="FI111:FI112"/>
    <mergeCell ref="FJ111:FJ112"/>
    <mergeCell ref="FK111:FK112"/>
    <mergeCell ref="FL111:FL112"/>
    <mergeCell ref="FA111:FA112"/>
    <mergeCell ref="FB111:FB112"/>
    <mergeCell ref="FC111:FC112"/>
    <mergeCell ref="FD111:FD112"/>
    <mergeCell ref="FE111:FE112"/>
    <mergeCell ref="FF111:FF112"/>
    <mergeCell ref="EU111:EU112"/>
    <mergeCell ref="EV111:EV112"/>
    <mergeCell ref="EW111:EW112"/>
    <mergeCell ref="EX111:EX112"/>
    <mergeCell ref="EY111:EY112"/>
    <mergeCell ref="EZ111:EZ112"/>
    <mergeCell ref="EO111:EO112"/>
    <mergeCell ref="EP111:EP112"/>
    <mergeCell ref="EQ111:EQ112"/>
    <mergeCell ref="ER111:ER112"/>
    <mergeCell ref="ES111:ES112"/>
    <mergeCell ref="ET111:ET112"/>
    <mergeCell ref="EI111:EI112"/>
    <mergeCell ref="EJ111:EJ112"/>
    <mergeCell ref="EK111:EK112"/>
    <mergeCell ref="EL111:EL112"/>
    <mergeCell ref="EM111:EM112"/>
    <mergeCell ref="EN111:EN112"/>
    <mergeCell ref="EC111:EC112"/>
    <mergeCell ref="ED111:ED112"/>
    <mergeCell ref="EE111:EE112"/>
    <mergeCell ref="EF111:EF112"/>
    <mergeCell ref="EG111:EG112"/>
    <mergeCell ref="EH111:EH112"/>
    <mergeCell ref="DW111:DW112"/>
    <mergeCell ref="DX111:DX112"/>
    <mergeCell ref="DY111:DY112"/>
    <mergeCell ref="DZ111:DZ112"/>
    <mergeCell ref="EA111:EA112"/>
    <mergeCell ref="EB111:EB112"/>
    <mergeCell ref="DQ111:DQ112"/>
    <mergeCell ref="DR111:DR112"/>
    <mergeCell ref="DS111:DS112"/>
    <mergeCell ref="DT111:DT112"/>
    <mergeCell ref="DU111:DU112"/>
    <mergeCell ref="DV111:DV112"/>
    <mergeCell ref="DK111:DK112"/>
    <mergeCell ref="DL111:DL112"/>
    <mergeCell ref="DM111:DM112"/>
    <mergeCell ref="DN111:DN112"/>
    <mergeCell ref="DO111:DO112"/>
    <mergeCell ref="DP111:DP112"/>
    <mergeCell ref="DE111:DE112"/>
    <mergeCell ref="DF111:DF112"/>
    <mergeCell ref="DG111:DG112"/>
    <mergeCell ref="DH111:DH112"/>
    <mergeCell ref="DI111:DI112"/>
    <mergeCell ref="DJ111:DJ112"/>
    <mergeCell ref="CY111:CY112"/>
    <mergeCell ref="CZ111:CZ112"/>
    <mergeCell ref="DA111:DA112"/>
    <mergeCell ref="DB111:DB112"/>
    <mergeCell ref="DC111:DC112"/>
    <mergeCell ref="DD111:DD112"/>
    <mergeCell ref="CS111:CS112"/>
    <mergeCell ref="CT111:CT112"/>
    <mergeCell ref="CU111:CU112"/>
    <mergeCell ref="CV111:CV112"/>
    <mergeCell ref="CW111:CW112"/>
    <mergeCell ref="CX111:CX112"/>
    <mergeCell ref="CM111:CM112"/>
    <mergeCell ref="CN111:CN112"/>
    <mergeCell ref="CO111:CO112"/>
    <mergeCell ref="CP111:CP112"/>
    <mergeCell ref="CQ111:CQ112"/>
    <mergeCell ref="CR111:CR112"/>
    <mergeCell ref="CG111:CG112"/>
    <mergeCell ref="CH111:CH112"/>
    <mergeCell ref="CI111:CI112"/>
    <mergeCell ref="CJ111:CJ112"/>
    <mergeCell ref="CK111:CK112"/>
    <mergeCell ref="CL111:CL112"/>
    <mergeCell ref="CA111:CA112"/>
    <mergeCell ref="CB111:CB112"/>
    <mergeCell ref="CC111:CC112"/>
    <mergeCell ref="CD111:CD112"/>
    <mergeCell ref="CE111:CE112"/>
    <mergeCell ref="CF111:CF112"/>
    <mergeCell ref="BU111:BU112"/>
    <mergeCell ref="BV111:BV112"/>
    <mergeCell ref="BW111:BW112"/>
    <mergeCell ref="BX111:BX112"/>
    <mergeCell ref="BY111:BY112"/>
    <mergeCell ref="BZ111:BZ112"/>
    <mergeCell ref="BO111:BO112"/>
    <mergeCell ref="BP111:BP112"/>
    <mergeCell ref="BQ111:BQ112"/>
    <mergeCell ref="BR111:BR112"/>
    <mergeCell ref="BS111:BS112"/>
    <mergeCell ref="BT111:BT112"/>
    <mergeCell ref="BI111:BI112"/>
    <mergeCell ref="BJ111:BJ112"/>
    <mergeCell ref="BK111:BK112"/>
    <mergeCell ref="BL111:BL112"/>
    <mergeCell ref="BM111:BM112"/>
    <mergeCell ref="BN111:BN112"/>
    <mergeCell ref="BC111:BC112"/>
    <mergeCell ref="BD111:BD112"/>
    <mergeCell ref="BE111:BE112"/>
    <mergeCell ref="BF111:BF112"/>
    <mergeCell ref="BG111:BG112"/>
    <mergeCell ref="BH111:BH112"/>
    <mergeCell ref="AW111:AW112"/>
    <mergeCell ref="AX111:AX112"/>
    <mergeCell ref="AY111:AY112"/>
    <mergeCell ref="AZ111:AZ112"/>
    <mergeCell ref="BA111:BA112"/>
    <mergeCell ref="BB111:BB112"/>
    <mergeCell ref="AQ111:AQ112"/>
    <mergeCell ref="AR111:AR112"/>
    <mergeCell ref="AS111:AS112"/>
    <mergeCell ref="AT111:AT112"/>
    <mergeCell ref="AU111:AU112"/>
    <mergeCell ref="AV111:AV112"/>
    <mergeCell ref="AK111:AK112"/>
    <mergeCell ref="AL111:AL112"/>
    <mergeCell ref="AM111:AM112"/>
    <mergeCell ref="AN111:AN112"/>
    <mergeCell ref="AO111:AO112"/>
    <mergeCell ref="AP111:AP112"/>
    <mergeCell ref="AE111:AE112"/>
    <mergeCell ref="AF111:AF112"/>
    <mergeCell ref="AG111:AG112"/>
    <mergeCell ref="AH111:AH112"/>
    <mergeCell ref="AI111:AI112"/>
    <mergeCell ref="AJ111:AJ112"/>
    <mergeCell ref="Y111:Y112"/>
    <mergeCell ref="Z111:Z112"/>
    <mergeCell ref="AA111:AA112"/>
    <mergeCell ref="AB111:AB112"/>
    <mergeCell ref="AC111:AC112"/>
    <mergeCell ref="AD111:AD112"/>
    <mergeCell ref="S111:S112"/>
    <mergeCell ref="T111:T112"/>
    <mergeCell ref="U111:U112"/>
    <mergeCell ref="V111:V112"/>
    <mergeCell ref="W111:W112"/>
    <mergeCell ref="X111:X112"/>
    <mergeCell ref="M111:M112"/>
    <mergeCell ref="N111:N112"/>
    <mergeCell ref="O111:O112"/>
    <mergeCell ref="P111:P112"/>
    <mergeCell ref="Q111:Q112"/>
    <mergeCell ref="R111:R112"/>
    <mergeCell ref="IJ109:IJ110"/>
    <mergeCell ref="IK109:IK110"/>
    <mergeCell ref="B111:B112"/>
    <mergeCell ref="F111:F112"/>
    <mergeCell ref="G111:G112"/>
    <mergeCell ref="H111:H112"/>
    <mergeCell ref="I111:I112"/>
    <mergeCell ref="J111:J112"/>
    <mergeCell ref="K111:K112"/>
    <mergeCell ref="L111:L112"/>
    <mergeCell ref="ID109:ID110"/>
    <mergeCell ref="IE109:IE110"/>
    <mergeCell ref="IF109:IF110"/>
    <mergeCell ref="IG109:IG110"/>
    <mergeCell ref="IH109:IH110"/>
    <mergeCell ref="II109:II110"/>
    <mergeCell ref="HX109:HX110"/>
    <mergeCell ref="HY109:HY110"/>
    <mergeCell ref="HZ109:HZ110"/>
    <mergeCell ref="IA109:IA110"/>
    <mergeCell ref="IB109:IB110"/>
    <mergeCell ref="IC109:IC110"/>
    <mergeCell ref="HR109:HR110"/>
    <mergeCell ref="HS109:HS110"/>
    <mergeCell ref="HT109:HT110"/>
    <mergeCell ref="HU109:HU110"/>
    <mergeCell ref="HV109:HV110"/>
    <mergeCell ref="HW109:HW110"/>
    <mergeCell ref="HL109:HL110"/>
    <mergeCell ref="HM109:HM110"/>
    <mergeCell ref="HN109:HN110"/>
    <mergeCell ref="HO109:HO110"/>
    <mergeCell ref="HP109:HP110"/>
    <mergeCell ref="HQ109:HQ110"/>
    <mergeCell ref="HF109:HF110"/>
    <mergeCell ref="HG109:HG110"/>
    <mergeCell ref="HH109:HH110"/>
    <mergeCell ref="HI109:HI110"/>
    <mergeCell ref="HJ109:HJ110"/>
    <mergeCell ref="HK109:HK110"/>
    <mergeCell ref="GZ109:GZ110"/>
    <mergeCell ref="HA109:HA110"/>
    <mergeCell ref="HB109:HB110"/>
    <mergeCell ref="HC109:HC110"/>
    <mergeCell ref="HD109:HD110"/>
    <mergeCell ref="HE109:HE110"/>
    <mergeCell ref="GT109:GT110"/>
    <mergeCell ref="GU109:GU110"/>
    <mergeCell ref="GV109:GV110"/>
    <mergeCell ref="GW109:GW110"/>
    <mergeCell ref="GX109:GX110"/>
    <mergeCell ref="GY109:GY110"/>
    <mergeCell ref="GN109:GN110"/>
    <mergeCell ref="GO109:GO110"/>
    <mergeCell ref="GP109:GP110"/>
    <mergeCell ref="GQ109:GQ110"/>
    <mergeCell ref="GR109:GR110"/>
    <mergeCell ref="GS109:GS110"/>
    <mergeCell ref="GH109:GH110"/>
    <mergeCell ref="GI109:GI110"/>
    <mergeCell ref="GJ109:GJ110"/>
    <mergeCell ref="GK109:GK110"/>
    <mergeCell ref="GL109:GL110"/>
    <mergeCell ref="GM109:GM110"/>
    <mergeCell ref="GB109:GB110"/>
    <mergeCell ref="GC109:GC110"/>
    <mergeCell ref="GD109:GD110"/>
    <mergeCell ref="GE109:GE110"/>
    <mergeCell ref="GF109:GF110"/>
    <mergeCell ref="GG109:GG110"/>
    <mergeCell ref="FV109:FV110"/>
    <mergeCell ref="FW109:FW110"/>
    <mergeCell ref="FX109:FX110"/>
    <mergeCell ref="FY109:FY110"/>
    <mergeCell ref="FZ109:FZ110"/>
    <mergeCell ref="GA109:GA110"/>
    <mergeCell ref="FP109:FP110"/>
    <mergeCell ref="FQ109:FQ110"/>
    <mergeCell ref="FR109:FR110"/>
    <mergeCell ref="FS109:FS110"/>
    <mergeCell ref="FT109:FT110"/>
    <mergeCell ref="FU109:FU110"/>
    <mergeCell ref="FJ109:FJ110"/>
    <mergeCell ref="FK109:FK110"/>
    <mergeCell ref="FL109:FL110"/>
    <mergeCell ref="FM109:FM110"/>
    <mergeCell ref="FN109:FN110"/>
    <mergeCell ref="FO109:FO110"/>
    <mergeCell ref="FD109:FD110"/>
    <mergeCell ref="FE109:FE110"/>
    <mergeCell ref="FF109:FF110"/>
    <mergeCell ref="FG109:FG110"/>
    <mergeCell ref="FH109:FH110"/>
    <mergeCell ref="FI109:FI110"/>
    <mergeCell ref="EX109:EX110"/>
    <mergeCell ref="EY109:EY110"/>
    <mergeCell ref="EZ109:EZ110"/>
    <mergeCell ref="FA109:FA110"/>
    <mergeCell ref="FB109:FB110"/>
    <mergeCell ref="FC109:FC110"/>
    <mergeCell ref="ER109:ER110"/>
    <mergeCell ref="ES109:ES110"/>
    <mergeCell ref="ET109:ET110"/>
    <mergeCell ref="EU109:EU110"/>
    <mergeCell ref="EV109:EV110"/>
    <mergeCell ref="EW109:EW110"/>
    <mergeCell ref="EL109:EL110"/>
    <mergeCell ref="EM109:EM110"/>
    <mergeCell ref="EN109:EN110"/>
    <mergeCell ref="EO109:EO110"/>
    <mergeCell ref="EP109:EP110"/>
    <mergeCell ref="EQ109:EQ110"/>
    <mergeCell ref="EF109:EF110"/>
    <mergeCell ref="EG109:EG110"/>
    <mergeCell ref="EH109:EH110"/>
    <mergeCell ref="EI109:EI110"/>
    <mergeCell ref="EJ109:EJ110"/>
    <mergeCell ref="EK109:EK110"/>
    <mergeCell ref="DZ109:DZ110"/>
    <mergeCell ref="EA109:EA110"/>
    <mergeCell ref="EB109:EB110"/>
    <mergeCell ref="EC109:EC110"/>
    <mergeCell ref="ED109:ED110"/>
    <mergeCell ref="EE109:EE110"/>
    <mergeCell ref="DT109:DT110"/>
    <mergeCell ref="DU109:DU110"/>
    <mergeCell ref="DV109:DV110"/>
    <mergeCell ref="DW109:DW110"/>
    <mergeCell ref="DX109:DX110"/>
    <mergeCell ref="DY109:DY110"/>
    <mergeCell ref="DN109:DN110"/>
    <mergeCell ref="DO109:DO110"/>
    <mergeCell ref="DP109:DP110"/>
    <mergeCell ref="DQ109:DQ110"/>
    <mergeCell ref="DR109:DR110"/>
    <mergeCell ref="DS109:DS110"/>
    <mergeCell ref="DH109:DH110"/>
    <mergeCell ref="DI109:DI110"/>
    <mergeCell ref="DJ109:DJ110"/>
    <mergeCell ref="DK109:DK110"/>
    <mergeCell ref="DL109:DL110"/>
    <mergeCell ref="DM109:DM110"/>
    <mergeCell ref="DB109:DB110"/>
    <mergeCell ref="DC109:DC110"/>
    <mergeCell ref="DD109:DD110"/>
    <mergeCell ref="DE109:DE110"/>
    <mergeCell ref="DF109:DF110"/>
    <mergeCell ref="DG109:DG110"/>
    <mergeCell ref="CV109:CV110"/>
    <mergeCell ref="CW109:CW110"/>
    <mergeCell ref="CX109:CX110"/>
    <mergeCell ref="CY109:CY110"/>
    <mergeCell ref="CZ109:CZ110"/>
    <mergeCell ref="DA109:DA110"/>
    <mergeCell ref="CP109:CP110"/>
    <mergeCell ref="CQ109:CQ110"/>
    <mergeCell ref="CR109:CR110"/>
    <mergeCell ref="CS109:CS110"/>
    <mergeCell ref="CT109:CT110"/>
    <mergeCell ref="CU109:CU110"/>
    <mergeCell ref="CJ109:CJ110"/>
    <mergeCell ref="CK109:CK110"/>
    <mergeCell ref="CL109:CL110"/>
    <mergeCell ref="CM109:CM110"/>
    <mergeCell ref="CN109:CN110"/>
    <mergeCell ref="CO109:CO110"/>
    <mergeCell ref="CD109:CD110"/>
    <mergeCell ref="CE109:CE110"/>
    <mergeCell ref="CF109:CF110"/>
    <mergeCell ref="CG109:CG110"/>
    <mergeCell ref="CH109:CH110"/>
    <mergeCell ref="CI109:CI110"/>
    <mergeCell ref="BX109:BX110"/>
    <mergeCell ref="BY109:BY110"/>
    <mergeCell ref="BZ109:BZ110"/>
    <mergeCell ref="CA109:CA110"/>
    <mergeCell ref="CB109:CB110"/>
    <mergeCell ref="CC109:CC110"/>
    <mergeCell ref="BR109:BR110"/>
    <mergeCell ref="BS109:BS110"/>
    <mergeCell ref="BT109:BT110"/>
    <mergeCell ref="BU109:BU110"/>
    <mergeCell ref="BV109:BV110"/>
    <mergeCell ref="BW109:BW110"/>
    <mergeCell ref="BL109:BL110"/>
    <mergeCell ref="BM109:BM110"/>
    <mergeCell ref="BN109:BN110"/>
    <mergeCell ref="BO109:BO110"/>
    <mergeCell ref="BP109:BP110"/>
    <mergeCell ref="BQ109:BQ110"/>
    <mergeCell ref="BF109:BF110"/>
    <mergeCell ref="BG109:BG110"/>
    <mergeCell ref="BH109:BH110"/>
    <mergeCell ref="BI109:BI110"/>
    <mergeCell ref="BJ109:BJ110"/>
    <mergeCell ref="BK109:BK110"/>
    <mergeCell ref="AZ109:AZ110"/>
    <mergeCell ref="BA109:BA110"/>
    <mergeCell ref="BB109:BB110"/>
    <mergeCell ref="BC109:BC110"/>
    <mergeCell ref="BD109:BD110"/>
    <mergeCell ref="BE109:BE110"/>
    <mergeCell ref="AT109:AT110"/>
    <mergeCell ref="AU109:AU110"/>
    <mergeCell ref="AV109:AV110"/>
    <mergeCell ref="AW109:AW110"/>
    <mergeCell ref="AX109:AX110"/>
    <mergeCell ref="AY109:AY110"/>
    <mergeCell ref="AN109:AN110"/>
    <mergeCell ref="AO109:AO110"/>
    <mergeCell ref="AP109:AP110"/>
    <mergeCell ref="AQ109:AQ110"/>
    <mergeCell ref="AR109:AR110"/>
    <mergeCell ref="AS109:AS110"/>
    <mergeCell ref="AH109:AH110"/>
    <mergeCell ref="AI109:AI110"/>
    <mergeCell ref="AJ109:AJ110"/>
    <mergeCell ref="AK109:AK110"/>
    <mergeCell ref="AL109:AL110"/>
    <mergeCell ref="AM109:AM110"/>
    <mergeCell ref="AB109:AB110"/>
    <mergeCell ref="AC109:AC110"/>
    <mergeCell ref="AD109:AD110"/>
    <mergeCell ref="AE109:AE110"/>
    <mergeCell ref="AF109:AF110"/>
    <mergeCell ref="AG109:AG110"/>
    <mergeCell ref="V109:V110"/>
    <mergeCell ref="W109:W110"/>
    <mergeCell ref="X109:X110"/>
    <mergeCell ref="Y109:Y110"/>
    <mergeCell ref="Z109:Z110"/>
    <mergeCell ref="AA109:AA110"/>
    <mergeCell ref="P109:P110"/>
    <mergeCell ref="Q109:Q110"/>
    <mergeCell ref="R109:R110"/>
    <mergeCell ref="S109:S110"/>
    <mergeCell ref="T109:T110"/>
    <mergeCell ref="U109:U110"/>
    <mergeCell ref="J109:J110"/>
    <mergeCell ref="K109:K110"/>
    <mergeCell ref="L109:L110"/>
    <mergeCell ref="M109:M110"/>
    <mergeCell ref="N109:N110"/>
    <mergeCell ref="O109:O110"/>
    <mergeCell ref="IG107:IG108"/>
    <mergeCell ref="IH107:IH108"/>
    <mergeCell ref="II107:II108"/>
    <mergeCell ref="IJ107:IJ108"/>
    <mergeCell ref="IK107:IK108"/>
    <mergeCell ref="B109:B110"/>
    <mergeCell ref="F109:F110"/>
    <mergeCell ref="G109:G110"/>
    <mergeCell ref="H109:H110"/>
    <mergeCell ref="I109:I110"/>
    <mergeCell ref="IA107:IA108"/>
    <mergeCell ref="IB107:IB108"/>
    <mergeCell ref="IC107:IC108"/>
    <mergeCell ref="ID107:ID108"/>
    <mergeCell ref="IE107:IE108"/>
    <mergeCell ref="IF107:IF108"/>
    <mergeCell ref="HU107:HU108"/>
    <mergeCell ref="HV107:HV108"/>
    <mergeCell ref="HW107:HW108"/>
    <mergeCell ref="HX107:HX108"/>
    <mergeCell ref="HY107:HY108"/>
    <mergeCell ref="HZ107:HZ108"/>
    <mergeCell ref="HO107:HO108"/>
    <mergeCell ref="HP107:HP108"/>
    <mergeCell ref="HQ107:HQ108"/>
    <mergeCell ref="HR107:HR108"/>
    <mergeCell ref="HS107:HS108"/>
    <mergeCell ref="HT107:HT108"/>
    <mergeCell ref="HI107:HI108"/>
    <mergeCell ref="HJ107:HJ108"/>
    <mergeCell ref="HK107:HK108"/>
    <mergeCell ref="HL107:HL108"/>
    <mergeCell ref="HM107:HM108"/>
    <mergeCell ref="HN107:HN108"/>
    <mergeCell ref="HC107:HC108"/>
    <mergeCell ref="HD107:HD108"/>
    <mergeCell ref="HE107:HE108"/>
    <mergeCell ref="HF107:HF108"/>
    <mergeCell ref="HG107:HG108"/>
    <mergeCell ref="HH107:HH108"/>
    <mergeCell ref="GW107:GW108"/>
    <mergeCell ref="GX107:GX108"/>
    <mergeCell ref="GY107:GY108"/>
    <mergeCell ref="GZ107:GZ108"/>
    <mergeCell ref="HA107:HA108"/>
    <mergeCell ref="HB107:HB108"/>
    <mergeCell ref="GQ107:GQ108"/>
    <mergeCell ref="GR107:GR108"/>
    <mergeCell ref="GS107:GS108"/>
    <mergeCell ref="GT107:GT108"/>
    <mergeCell ref="GU107:GU108"/>
    <mergeCell ref="GV107:GV108"/>
    <mergeCell ref="GK107:GK108"/>
    <mergeCell ref="GL107:GL108"/>
    <mergeCell ref="GM107:GM108"/>
    <mergeCell ref="GN107:GN108"/>
    <mergeCell ref="GO107:GO108"/>
    <mergeCell ref="GP107:GP108"/>
    <mergeCell ref="GE107:GE108"/>
    <mergeCell ref="GF107:GF108"/>
    <mergeCell ref="GG107:GG108"/>
    <mergeCell ref="GH107:GH108"/>
    <mergeCell ref="GI107:GI108"/>
    <mergeCell ref="GJ107:GJ108"/>
    <mergeCell ref="FY107:FY108"/>
    <mergeCell ref="FZ107:FZ108"/>
    <mergeCell ref="GA107:GA108"/>
    <mergeCell ref="GB107:GB108"/>
    <mergeCell ref="GC107:GC108"/>
    <mergeCell ref="GD107:GD108"/>
    <mergeCell ref="FS107:FS108"/>
    <mergeCell ref="FT107:FT108"/>
    <mergeCell ref="FU107:FU108"/>
    <mergeCell ref="FV107:FV108"/>
    <mergeCell ref="FW107:FW108"/>
    <mergeCell ref="FX107:FX108"/>
    <mergeCell ref="FM107:FM108"/>
    <mergeCell ref="FN107:FN108"/>
    <mergeCell ref="FO107:FO108"/>
    <mergeCell ref="FP107:FP108"/>
    <mergeCell ref="FQ107:FQ108"/>
    <mergeCell ref="FR107:FR108"/>
    <mergeCell ref="FG107:FG108"/>
    <mergeCell ref="FH107:FH108"/>
    <mergeCell ref="FI107:FI108"/>
    <mergeCell ref="FJ107:FJ108"/>
    <mergeCell ref="FK107:FK108"/>
    <mergeCell ref="FL107:FL108"/>
    <mergeCell ref="FA107:FA108"/>
    <mergeCell ref="FB107:FB108"/>
    <mergeCell ref="FC107:FC108"/>
    <mergeCell ref="FD107:FD108"/>
    <mergeCell ref="FE107:FE108"/>
    <mergeCell ref="FF107:FF108"/>
    <mergeCell ref="EU107:EU108"/>
    <mergeCell ref="EV107:EV108"/>
    <mergeCell ref="EW107:EW108"/>
    <mergeCell ref="EX107:EX108"/>
    <mergeCell ref="EY107:EY108"/>
    <mergeCell ref="EZ107:EZ108"/>
    <mergeCell ref="EO107:EO108"/>
    <mergeCell ref="EP107:EP108"/>
    <mergeCell ref="EQ107:EQ108"/>
    <mergeCell ref="ER107:ER108"/>
    <mergeCell ref="ES107:ES108"/>
    <mergeCell ref="ET107:ET108"/>
    <mergeCell ref="EI107:EI108"/>
    <mergeCell ref="EJ107:EJ108"/>
    <mergeCell ref="EK107:EK108"/>
    <mergeCell ref="EL107:EL108"/>
    <mergeCell ref="EM107:EM108"/>
    <mergeCell ref="EN107:EN108"/>
    <mergeCell ref="EC107:EC108"/>
    <mergeCell ref="ED107:ED108"/>
    <mergeCell ref="EE107:EE108"/>
    <mergeCell ref="EF107:EF108"/>
    <mergeCell ref="EG107:EG108"/>
    <mergeCell ref="EH107:EH108"/>
    <mergeCell ref="DW107:DW108"/>
    <mergeCell ref="DX107:DX108"/>
    <mergeCell ref="DY107:DY108"/>
    <mergeCell ref="DZ107:DZ108"/>
    <mergeCell ref="EA107:EA108"/>
    <mergeCell ref="EB107:EB108"/>
    <mergeCell ref="DQ107:DQ108"/>
    <mergeCell ref="DR107:DR108"/>
    <mergeCell ref="DS107:DS108"/>
    <mergeCell ref="DT107:DT108"/>
    <mergeCell ref="DU107:DU108"/>
    <mergeCell ref="DV107:DV108"/>
    <mergeCell ref="DK107:DK108"/>
    <mergeCell ref="DL107:DL108"/>
    <mergeCell ref="DM107:DM108"/>
    <mergeCell ref="DN107:DN108"/>
    <mergeCell ref="DO107:DO108"/>
    <mergeCell ref="DP107:DP108"/>
    <mergeCell ref="DE107:DE108"/>
    <mergeCell ref="DF107:DF108"/>
    <mergeCell ref="DG107:DG108"/>
    <mergeCell ref="DH107:DH108"/>
    <mergeCell ref="DI107:DI108"/>
    <mergeCell ref="DJ107:DJ108"/>
    <mergeCell ref="CY107:CY108"/>
    <mergeCell ref="CZ107:CZ108"/>
    <mergeCell ref="DA107:DA108"/>
    <mergeCell ref="DB107:DB108"/>
    <mergeCell ref="DC107:DC108"/>
    <mergeCell ref="DD107:DD108"/>
    <mergeCell ref="CS107:CS108"/>
    <mergeCell ref="CT107:CT108"/>
    <mergeCell ref="CU107:CU108"/>
    <mergeCell ref="CV107:CV108"/>
    <mergeCell ref="CW107:CW108"/>
    <mergeCell ref="CX107:CX108"/>
    <mergeCell ref="CM107:CM108"/>
    <mergeCell ref="CN107:CN108"/>
    <mergeCell ref="CO107:CO108"/>
    <mergeCell ref="CP107:CP108"/>
    <mergeCell ref="CQ107:CQ108"/>
    <mergeCell ref="CR107:CR108"/>
    <mergeCell ref="CG107:CG108"/>
    <mergeCell ref="CH107:CH108"/>
    <mergeCell ref="CI107:CI108"/>
    <mergeCell ref="CJ107:CJ108"/>
    <mergeCell ref="CK107:CK108"/>
    <mergeCell ref="CL107:CL108"/>
    <mergeCell ref="CA107:CA108"/>
    <mergeCell ref="CB107:CB108"/>
    <mergeCell ref="CC107:CC108"/>
    <mergeCell ref="CD107:CD108"/>
    <mergeCell ref="CE107:CE108"/>
    <mergeCell ref="CF107:CF108"/>
    <mergeCell ref="BU107:BU108"/>
    <mergeCell ref="BV107:BV108"/>
    <mergeCell ref="BW107:BW108"/>
    <mergeCell ref="BX107:BX108"/>
    <mergeCell ref="BY107:BY108"/>
    <mergeCell ref="BZ107:BZ108"/>
    <mergeCell ref="BO107:BO108"/>
    <mergeCell ref="BP107:BP108"/>
    <mergeCell ref="BQ107:BQ108"/>
    <mergeCell ref="BR107:BR108"/>
    <mergeCell ref="BS107:BS108"/>
    <mergeCell ref="BT107:BT108"/>
    <mergeCell ref="BI107:BI108"/>
    <mergeCell ref="BJ107:BJ108"/>
    <mergeCell ref="BK107:BK108"/>
    <mergeCell ref="BL107:BL108"/>
    <mergeCell ref="BM107:BM108"/>
    <mergeCell ref="BN107:BN108"/>
    <mergeCell ref="BC107:BC108"/>
    <mergeCell ref="BD107:BD108"/>
    <mergeCell ref="BE107:BE108"/>
    <mergeCell ref="BF107:BF108"/>
    <mergeCell ref="BG107:BG108"/>
    <mergeCell ref="BH107:BH108"/>
    <mergeCell ref="AW107:AW108"/>
    <mergeCell ref="AX107:AX108"/>
    <mergeCell ref="AY107:AY108"/>
    <mergeCell ref="AZ107:AZ108"/>
    <mergeCell ref="BA107:BA108"/>
    <mergeCell ref="BB107:BB108"/>
    <mergeCell ref="AQ107:AQ108"/>
    <mergeCell ref="AR107:AR108"/>
    <mergeCell ref="AS107:AS108"/>
    <mergeCell ref="AT107:AT108"/>
    <mergeCell ref="AU107:AU108"/>
    <mergeCell ref="AV107:AV108"/>
    <mergeCell ref="AK107:AK108"/>
    <mergeCell ref="AL107:AL108"/>
    <mergeCell ref="AM107:AM108"/>
    <mergeCell ref="AN107:AN108"/>
    <mergeCell ref="AO107:AO108"/>
    <mergeCell ref="AP107:AP108"/>
    <mergeCell ref="AE107:AE108"/>
    <mergeCell ref="AF107:AF108"/>
    <mergeCell ref="AG107:AG108"/>
    <mergeCell ref="AH107:AH108"/>
    <mergeCell ref="AI107:AI108"/>
    <mergeCell ref="AJ107:AJ108"/>
    <mergeCell ref="Y107:Y108"/>
    <mergeCell ref="Z107:Z108"/>
    <mergeCell ref="AA107:AA108"/>
    <mergeCell ref="AB107:AB108"/>
    <mergeCell ref="AC107:AC108"/>
    <mergeCell ref="AD107:AD108"/>
    <mergeCell ref="S107:S108"/>
    <mergeCell ref="T107:T108"/>
    <mergeCell ref="U107:U108"/>
    <mergeCell ref="V107:V108"/>
    <mergeCell ref="W107:W108"/>
    <mergeCell ref="X107:X108"/>
    <mergeCell ref="M107:M108"/>
    <mergeCell ref="N107:N108"/>
    <mergeCell ref="O107:O108"/>
    <mergeCell ref="P107:P108"/>
    <mergeCell ref="Q107:Q108"/>
    <mergeCell ref="R107:R108"/>
    <mergeCell ref="IK105:IK106"/>
    <mergeCell ref="B107:B108"/>
    <mergeCell ref="C107:C108"/>
    <mergeCell ref="F107:F108"/>
    <mergeCell ref="G107:G108"/>
    <mergeCell ref="H107:H108"/>
    <mergeCell ref="I107:I108"/>
    <mergeCell ref="J107:J108"/>
    <mergeCell ref="K107:K108"/>
    <mergeCell ref="L107:L108"/>
    <mergeCell ref="IE105:IE106"/>
    <mergeCell ref="IF105:IF106"/>
    <mergeCell ref="IG105:IG106"/>
    <mergeCell ref="IH105:IH106"/>
    <mergeCell ref="II105:II106"/>
    <mergeCell ref="IJ105:IJ106"/>
    <mergeCell ref="HY105:HY106"/>
    <mergeCell ref="HZ105:HZ106"/>
    <mergeCell ref="IA105:IA106"/>
    <mergeCell ref="IB105:IB106"/>
    <mergeCell ref="IC105:IC106"/>
    <mergeCell ref="ID105:ID106"/>
    <mergeCell ref="HS105:HS106"/>
    <mergeCell ref="HT105:HT106"/>
    <mergeCell ref="HU105:HU106"/>
    <mergeCell ref="HV105:HV106"/>
    <mergeCell ref="HW105:HW106"/>
    <mergeCell ref="HX105:HX106"/>
    <mergeCell ref="HM105:HM106"/>
    <mergeCell ref="HN105:HN106"/>
    <mergeCell ref="HO105:HO106"/>
    <mergeCell ref="HP105:HP106"/>
    <mergeCell ref="HQ105:HQ106"/>
    <mergeCell ref="HR105:HR106"/>
    <mergeCell ref="HG105:HG106"/>
    <mergeCell ref="HH105:HH106"/>
    <mergeCell ref="HI105:HI106"/>
    <mergeCell ref="HJ105:HJ106"/>
    <mergeCell ref="HK105:HK106"/>
    <mergeCell ref="HL105:HL106"/>
    <mergeCell ref="HA105:HA106"/>
    <mergeCell ref="HB105:HB106"/>
    <mergeCell ref="HC105:HC106"/>
    <mergeCell ref="HD105:HD106"/>
    <mergeCell ref="HE105:HE106"/>
    <mergeCell ref="HF105:HF106"/>
    <mergeCell ref="GU105:GU106"/>
    <mergeCell ref="GV105:GV106"/>
    <mergeCell ref="GW105:GW106"/>
    <mergeCell ref="GX105:GX106"/>
    <mergeCell ref="GY105:GY106"/>
    <mergeCell ref="GZ105:GZ106"/>
    <mergeCell ref="GO105:GO106"/>
    <mergeCell ref="GP105:GP106"/>
    <mergeCell ref="GQ105:GQ106"/>
    <mergeCell ref="GR105:GR106"/>
    <mergeCell ref="GS105:GS106"/>
    <mergeCell ref="GT105:GT106"/>
    <mergeCell ref="GI105:GI106"/>
    <mergeCell ref="GJ105:GJ106"/>
    <mergeCell ref="GK105:GK106"/>
    <mergeCell ref="GL105:GL106"/>
    <mergeCell ref="GM105:GM106"/>
    <mergeCell ref="GN105:GN106"/>
    <mergeCell ref="GC105:GC106"/>
    <mergeCell ref="GD105:GD106"/>
    <mergeCell ref="GE105:GE106"/>
    <mergeCell ref="GF105:GF106"/>
    <mergeCell ref="GG105:GG106"/>
    <mergeCell ref="GH105:GH106"/>
    <mergeCell ref="FW105:FW106"/>
    <mergeCell ref="FX105:FX106"/>
    <mergeCell ref="FY105:FY106"/>
    <mergeCell ref="FZ105:FZ106"/>
    <mergeCell ref="GA105:GA106"/>
    <mergeCell ref="GB105:GB106"/>
    <mergeCell ref="FQ105:FQ106"/>
    <mergeCell ref="FR105:FR106"/>
    <mergeCell ref="FS105:FS106"/>
    <mergeCell ref="FT105:FT106"/>
    <mergeCell ref="FU105:FU106"/>
    <mergeCell ref="FV105:FV106"/>
    <mergeCell ref="FK105:FK106"/>
    <mergeCell ref="FL105:FL106"/>
    <mergeCell ref="FM105:FM106"/>
    <mergeCell ref="FN105:FN106"/>
    <mergeCell ref="FO105:FO106"/>
    <mergeCell ref="FP105:FP106"/>
    <mergeCell ref="FE105:FE106"/>
    <mergeCell ref="FF105:FF106"/>
    <mergeCell ref="FG105:FG106"/>
    <mergeCell ref="FH105:FH106"/>
    <mergeCell ref="FI105:FI106"/>
    <mergeCell ref="FJ105:FJ106"/>
    <mergeCell ref="EY105:EY106"/>
    <mergeCell ref="EZ105:EZ106"/>
    <mergeCell ref="FA105:FA106"/>
    <mergeCell ref="FB105:FB106"/>
    <mergeCell ref="FC105:FC106"/>
    <mergeCell ref="FD105:FD106"/>
    <mergeCell ref="ES105:ES106"/>
    <mergeCell ref="ET105:ET106"/>
    <mergeCell ref="EU105:EU106"/>
    <mergeCell ref="EV105:EV106"/>
    <mergeCell ref="EW105:EW106"/>
    <mergeCell ref="EX105:EX106"/>
    <mergeCell ref="EM105:EM106"/>
    <mergeCell ref="EN105:EN106"/>
    <mergeCell ref="EO105:EO106"/>
    <mergeCell ref="EP105:EP106"/>
    <mergeCell ref="EQ105:EQ106"/>
    <mergeCell ref="ER105:ER106"/>
    <mergeCell ref="EG105:EG106"/>
    <mergeCell ref="EH105:EH106"/>
    <mergeCell ref="EI105:EI106"/>
    <mergeCell ref="EJ105:EJ106"/>
    <mergeCell ref="EK105:EK106"/>
    <mergeCell ref="EL105:EL106"/>
    <mergeCell ref="EA105:EA106"/>
    <mergeCell ref="EB105:EB106"/>
    <mergeCell ref="EC105:EC106"/>
    <mergeCell ref="ED105:ED106"/>
    <mergeCell ref="EE105:EE106"/>
    <mergeCell ref="EF105:EF106"/>
    <mergeCell ref="DU105:DU106"/>
    <mergeCell ref="DV105:DV106"/>
    <mergeCell ref="DW105:DW106"/>
    <mergeCell ref="DX105:DX106"/>
    <mergeCell ref="DY105:DY106"/>
    <mergeCell ref="DZ105:DZ106"/>
    <mergeCell ref="DO105:DO106"/>
    <mergeCell ref="DP105:DP106"/>
    <mergeCell ref="DQ105:DQ106"/>
    <mergeCell ref="DR105:DR106"/>
    <mergeCell ref="DS105:DS106"/>
    <mergeCell ref="DT105:DT106"/>
    <mergeCell ref="DI105:DI106"/>
    <mergeCell ref="DJ105:DJ106"/>
    <mergeCell ref="DK105:DK106"/>
    <mergeCell ref="DL105:DL106"/>
    <mergeCell ref="DM105:DM106"/>
    <mergeCell ref="DN105:DN106"/>
    <mergeCell ref="DC105:DC106"/>
    <mergeCell ref="DD105:DD106"/>
    <mergeCell ref="DE105:DE106"/>
    <mergeCell ref="DF105:DF106"/>
    <mergeCell ref="DG105:DG106"/>
    <mergeCell ref="DH105:DH106"/>
    <mergeCell ref="CW105:CW106"/>
    <mergeCell ref="CX105:CX106"/>
    <mergeCell ref="CY105:CY106"/>
    <mergeCell ref="CZ105:CZ106"/>
    <mergeCell ref="DA105:DA106"/>
    <mergeCell ref="DB105:DB106"/>
    <mergeCell ref="CQ105:CQ106"/>
    <mergeCell ref="CR105:CR106"/>
    <mergeCell ref="CS105:CS106"/>
    <mergeCell ref="CT105:CT106"/>
    <mergeCell ref="CU105:CU106"/>
    <mergeCell ref="CV105:CV106"/>
    <mergeCell ref="CK105:CK106"/>
    <mergeCell ref="CL105:CL106"/>
    <mergeCell ref="CM105:CM106"/>
    <mergeCell ref="CN105:CN106"/>
    <mergeCell ref="CO105:CO106"/>
    <mergeCell ref="CP105:CP106"/>
    <mergeCell ref="CE105:CE106"/>
    <mergeCell ref="CF105:CF106"/>
    <mergeCell ref="CG105:CG106"/>
    <mergeCell ref="CH105:CH106"/>
    <mergeCell ref="CI105:CI106"/>
    <mergeCell ref="CJ105:CJ106"/>
    <mergeCell ref="BY105:BY106"/>
    <mergeCell ref="BZ105:BZ106"/>
    <mergeCell ref="CA105:CA106"/>
    <mergeCell ref="CB105:CB106"/>
    <mergeCell ref="CC105:CC106"/>
    <mergeCell ref="CD105:CD106"/>
    <mergeCell ref="BS105:BS106"/>
    <mergeCell ref="BT105:BT106"/>
    <mergeCell ref="BU105:BU106"/>
    <mergeCell ref="BV105:BV106"/>
    <mergeCell ref="BW105:BW106"/>
    <mergeCell ref="BX105:BX106"/>
    <mergeCell ref="BM105:BM106"/>
    <mergeCell ref="BN105:BN106"/>
    <mergeCell ref="BO105:BO106"/>
    <mergeCell ref="BP105:BP106"/>
    <mergeCell ref="BQ105:BQ106"/>
    <mergeCell ref="BR105:BR106"/>
    <mergeCell ref="BG105:BG106"/>
    <mergeCell ref="BH105:BH106"/>
    <mergeCell ref="BI105:BI106"/>
    <mergeCell ref="BJ105:BJ106"/>
    <mergeCell ref="BK105:BK106"/>
    <mergeCell ref="BL105:BL106"/>
    <mergeCell ref="BA105:BA106"/>
    <mergeCell ref="BB105:BB106"/>
    <mergeCell ref="BC105:BC106"/>
    <mergeCell ref="BD105:BD106"/>
    <mergeCell ref="BE105:BE106"/>
    <mergeCell ref="BF105:BF106"/>
    <mergeCell ref="AU105:AU106"/>
    <mergeCell ref="AV105:AV106"/>
    <mergeCell ref="AW105:AW106"/>
    <mergeCell ref="AX105:AX106"/>
    <mergeCell ref="AY105:AY106"/>
    <mergeCell ref="AZ105:AZ106"/>
    <mergeCell ref="AO105:AO106"/>
    <mergeCell ref="AP105:AP106"/>
    <mergeCell ref="AQ105:AQ106"/>
    <mergeCell ref="AR105:AR106"/>
    <mergeCell ref="AS105:AS106"/>
    <mergeCell ref="AT105:AT106"/>
    <mergeCell ref="AI105:AI106"/>
    <mergeCell ref="AJ105:AJ106"/>
    <mergeCell ref="AK105:AK106"/>
    <mergeCell ref="AL105:AL106"/>
    <mergeCell ref="AM105:AM106"/>
    <mergeCell ref="AN105:AN106"/>
    <mergeCell ref="AC105:AC106"/>
    <mergeCell ref="AD105:AD106"/>
    <mergeCell ref="AE105:AE106"/>
    <mergeCell ref="AF105:AF106"/>
    <mergeCell ref="AG105:AG106"/>
    <mergeCell ref="AH105:AH106"/>
    <mergeCell ref="W105:W106"/>
    <mergeCell ref="X105:X106"/>
    <mergeCell ref="Y105:Y106"/>
    <mergeCell ref="Z105:Z106"/>
    <mergeCell ref="AA105:AA106"/>
    <mergeCell ref="AB105:AB106"/>
    <mergeCell ref="Q105:Q106"/>
    <mergeCell ref="R105:R106"/>
    <mergeCell ref="S105:S106"/>
    <mergeCell ref="T105:T106"/>
    <mergeCell ref="U105:U106"/>
    <mergeCell ref="V105:V106"/>
    <mergeCell ref="K105:K106"/>
    <mergeCell ref="L105:L106"/>
    <mergeCell ref="M105:M106"/>
    <mergeCell ref="N105:N106"/>
    <mergeCell ref="O105:O106"/>
    <mergeCell ref="P105:P106"/>
    <mergeCell ref="II102:II103"/>
    <mergeCell ref="IJ102:IJ103"/>
    <mergeCell ref="IK102:IK103"/>
    <mergeCell ref="B105:B106"/>
    <mergeCell ref="C105:C106"/>
    <mergeCell ref="F105:F106"/>
    <mergeCell ref="G105:G106"/>
    <mergeCell ref="H105:H106"/>
    <mergeCell ref="I105:I106"/>
    <mergeCell ref="J105:J106"/>
    <mergeCell ref="IC102:IC103"/>
    <mergeCell ref="ID102:ID103"/>
    <mergeCell ref="IE102:IE103"/>
    <mergeCell ref="IF102:IF103"/>
    <mergeCell ref="IG102:IG103"/>
    <mergeCell ref="IH102:IH103"/>
    <mergeCell ref="HW102:HW103"/>
    <mergeCell ref="HX102:HX103"/>
    <mergeCell ref="HY102:HY103"/>
    <mergeCell ref="HZ102:HZ103"/>
    <mergeCell ref="IA102:IA103"/>
    <mergeCell ref="IB102:IB103"/>
    <mergeCell ref="HQ102:HQ103"/>
    <mergeCell ref="HR102:HR103"/>
    <mergeCell ref="HS102:HS103"/>
    <mergeCell ref="HT102:HT103"/>
    <mergeCell ref="HU102:HU103"/>
    <mergeCell ref="HV102:HV103"/>
    <mergeCell ref="HK102:HK103"/>
    <mergeCell ref="HL102:HL103"/>
    <mergeCell ref="HM102:HM103"/>
    <mergeCell ref="HN102:HN103"/>
    <mergeCell ref="HO102:HO103"/>
    <mergeCell ref="HP102:HP103"/>
    <mergeCell ref="HE102:HE103"/>
    <mergeCell ref="HF102:HF103"/>
    <mergeCell ref="HG102:HG103"/>
    <mergeCell ref="HH102:HH103"/>
    <mergeCell ref="HI102:HI103"/>
    <mergeCell ref="HJ102:HJ103"/>
    <mergeCell ref="GY102:GY103"/>
    <mergeCell ref="GZ102:GZ103"/>
    <mergeCell ref="HA102:HA103"/>
    <mergeCell ref="HB102:HB103"/>
    <mergeCell ref="HC102:HC103"/>
    <mergeCell ref="HD102:HD103"/>
    <mergeCell ref="GS102:GS103"/>
    <mergeCell ref="GT102:GT103"/>
    <mergeCell ref="GU102:GU103"/>
    <mergeCell ref="GV102:GV103"/>
    <mergeCell ref="GW102:GW103"/>
    <mergeCell ref="GX102:GX103"/>
    <mergeCell ref="GM102:GM103"/>
    <mergeCell ref="GN102:GN103"/>
    <mergeCell ref="GO102:GO103"/>
    <mergeCell ref="GP102:GP103"/>
    <mergeCell ref="GQ102:GQ103"/>
    <mergeCell ref="GR102:GR103"/>
    <mergeCell ref="GG102:GG103"/>
    <mergeCell ref="GH102:GH103"/>
    <mergeCell ref="GI102:GI103"/>
    <mergeCell ref="GJ102:GJ103"/>
    <mergeCell ref="GK102:GK103"/>
    <mergeCell ref="GL102:GL103"/>
    <mergeCell ref="GA102:GA103"/>
    <mergeCell ref="GB102:GB103"/>
    <mergeCell ref="GC102:GC103"/>
    <mergeCell ref="GD102:GD103"/>
    <mergeCell ref="GE102:GE103"/>
    <mergeCell ref="GF102:GF103"/>
    <mergeCell ref="FU102:FU103"/>
    <mergeCell ref="FV102:FV103"/>
    <mergeCell ref="FW102:FW103"/>
    <mergeCell ref="FX102:FX103"/>
    <mergeCell ref="FY102:FY103"/>
    <mergeCell ref="FZ102:FZ103"/>
    <mergeCell ref="FO102:FO103"/>
    <mergeCell ref="FP102:FP103"/>
    <mergeCell ref="FQ102:FQ103"/>
    <mergeCell ref="FR102:FR103"/>
    <mergeCell ref="FS102:FS103"/>
    <mergeCell ref="FT102:FT103"/>
    <mergeCell ref="FI102:FI103"/>
    <mergeCell ref="FJ102:FJ103"/>
    <mergeCell ref="FK102:FK103"/>
    <mergeCell ref="FL102:FL103"/>
    <mergeCell ref="FM102:FM103"/>
    <mergeCell ref="FN102:FN103"/>
    <mergeCell ref="FC102:FC103"/>
    <mergeCell ref="FD102:FD103"/>
    <mergeCell ref="FE102:FE103"/>
    <mergeCell ref="FF102:FF103"/>
    <mergeCell ref="FG102:FG103"/>
    <mergeCell ref="FH102:FH103"/>
    <mergeCell ref="EW102:EW103"/>
    <mergeCell ref="EX102:EX103"/>
    <mergeCell ref="EY102:EY103"/>
    <mergeCell ref="EZ102:EZ103"/>
    <mergeCell ref="FA102:FA103"/>
    <mergeCell ref="FB102:FB103"/>
    <mergeCell ref="EQ102:EQ103"/>
    <mergeCell ref="ER102:ER103"/>
    <mergeCell ref="ES102:ES103"/>
    <mergeCell ref="ET102:ET103"/>
    <mergeCell ref="EU102:EU103"/>
    <mergeCell ref="EV102:EV103"/>
    <mergeCell ref="EK102:EK103"/>
    <mergeCell ref="EL102:EL103"/>
    <mergeCell ref="EM102:EM103"/>
    <mergeCell ref="EN102:EN103"/>
    <mergeCell ref="EO102:EO103"/>
    <mergeCell ref="EP102:EP103"/>
    <mergeCell ref="EE102:EE103"/>
    <mergeCell ref="EF102:EF103"/>
    <mergeCell ref="EG102:EG103"/>
    <mergeCell ref="EH102:EH103"/>
    <mergeCell ref="EI102:EI103"/>
    <mergeCell ref="EJ102:EJ103"/>
    <mergeCell ref="DY102:DY103"/>
    <mergeCell ref="DZ102:DZ103"/>
    <mergeCell ref="EA102:EA103"/>
    <mergeCell ref="EB102:EB103"/>
    <mergeCell ref="EC102:EC103"/>
    <mergeCell ref="ED102:ED103"/>
    <mergeCell ref="DT102:DT103"/>
    <mergeCell ref="DU102:DU103"/>
    <mergeCell ref="DV102:DV103"/>
    <mergeCell ref="DW102:DW103"/>
    <mergeCell ref="DX102:DX103"/>
    <mergeCell ref="DM102:DM103"/>
    <mergeCell ref="DN102:DN103"/>
    <mergeCell ref="DO102:DO103"/>
    <mergeCell ref="DP102:DP103"/>
    <mergeCell ref="DQ102:DQ103"/>
    <mergeCell ref="DR102:DR103"/>
    <mergeCell ref="DG102:DG103"/>
    <mergeCell ref="DH102:DH103"/>
    <mergeCell ref="DI102:DI103"/>
    <mergeCell ref="DJ102:DJ103"/>
    <mergeCell ref="DK102:DK103"/>
    <mergeCell ref="DL102:DL103"/>
    <mergeCell ref="DA102:DA103"/>
    <mergeCell ref="DB102:DB103"/>
    <mergeCell ref="DC102:DC103"/>
    <mergeCell ref="DD102:DD103"/>
    <mergeCell ref="DE102:DE103"/>
    <mergeCell ref="DF102:DF103"/>
    <mergeCell ref="CU102:CU103"/>
    <mergeCell ref="CV102:CV103"/>
    <mergeCell ref="CW102:CW103"/>
    <mergeCell ref="CX102:CX103"/>
    <mergeCell ref="CY102:CY103"/>
    <mergeCell ref="CZ102:CZ103"/>
    <mergeCell ref="CO102:CO103"/>
    <mergeCell ref="CP102:CP103"/>
    <mergeCell ref="CQ102:CQ103"/>
    <mergeCell ref="CR102:CR103"/>
    <mergeCell ref="CS102:CS103"/>
    <mergeCell ref="CT102:CT103"/>
    <mergeCell ref="CM102:CM103"/>
    <mergeCell ref="CN102:CN103"/>
    <mergeCell ref="CC102:CC103"/>
    <mergeCell ref="CD102:CD103"/>
    <mergeCell ref="CE102:CE103"/>
    <mergeCell ref="CF102:CF103"/>
    <mergeCell ref="CG102:CG103"/>
    <mergeCell ref="CH102:CH103"/>
    <mergeCell ref="BW102:BW103"/>
    <mergeCell ref="BX102:BX103"/>
    <mergeCell ref="BY102:BY103"/>
    <mergeCell ref="BZ102:BZ103"/>
    <mergeCell ref="CA102:CA103"/>
    <mergeCell ref="CB102:CB103"/>
    <mergeCell ref="BQ102:BQ103"/>
    <mergeCell ref="BR102:BR103"/>
    <mergeCell ref="BS102:BS103"/>
    <mergeCell ref="BT102:BT103"/>
    <mergeCell ref="BU102:BU103"/>
    <mergeCell ref="BV102:BV103"/>
    <mergeCell ref="BK102:BK103"/>
    <mergeCell ref="BL102:BL103"/>
    <mergeCell ref="BM102:BM103"/>
    <mergeCell ref="BN102:BN103"/>
    <mergeCell ref="BO102:BO103"/>
    <mergeCell ref="BP102:BP103"/>
    <mergeCell ref="BE102:BE103"/>
    <mergeCell ref="BF102:BF103"/>
    <mergeCell ref="BG102:BG103"/>
    <mergeCell ref="BH102:BH103"/>
    <mergeCell ref="BI102:BI103"/>
    <mergeCell ref="BJ102:BJ103"/>
    <mergeCell ref="DS102:DS103"/>
    <mergeCell ref="IB98:ID101"/>
    <mergeCell ref="IE98:IG101"/>
    <mergeCell ref="IH98:IH101"/>
    <mergeCell ref="II98:IK101"/>
    <mergeCell ref="B99:B101"/>
    <mergeCell ref="B102:B103"/>
    <mergeCell ref="C102:C103"/>
    <mergeCell ref="F102:F103"/>
    <mergeCell ref="G102:G103"/>
    <mergeCell ref="H102:H103"/>
    <mergeCell ref="HN98:HP101"/>
    <mergeCell ref="HQ98:HS101"/>
    <mergeCell ref="HT98:HT101"/>
    <mergeCell ref="HU98:HW101"/>
    <mergeCell ref="HX98:HZ101"/>
    <mergeCell ref="IA98:IA101"/>
    <mergeCell ref="GZ98:HB101"/>
    <mergeCell ref="HC98:HE101"/>
    <mergeCell ref="HF98:HF101"/>
    <mergeCell ref="HG98:HI101"/>
    <mergeCell ref="HJ98:HL101"/>
    <mergeCell ref="HM98:HM101"/>
    <mergeCell ref="GL98:GN101"/>
    <mergeCell ref="GO98:GQ101"/>
    <mergeCell ref="GR98:GR101"/>
    <mergeCell ref="GS98:GU101"/>
    <mergeCell ref="GV98:GX101"/>
    <mergeCell ref="GY98:GY101"/>
    <mergeCell ref="FX98:FZ101"/>
    <mergeCell ref="GA98:GC101"/>
    <mergeCell ref="GD98:GD101"/>
    <mergeCell ref="GE98:GG101"/>
    <mergeCell ref="GH98:GJ101"/>
    <mergeCell ref="GK98:GK101"/>
    <mergeCell ref="FJ98:FL101"/>
    <mergeCell ref="FM98:FO101"/>
    <mergeCell ref="FP98:FP101"/>
    <mergeCell ref="FQ98:FS101"/>
    <mergeCell ref="FT98:FV101"/>
    <mergeCell ref="FW98:FW101"/>
    <mergeCell ref="EV98:EX101"/>
    <mergeCell ref="EY98:FA101"/>
    <mergeCell ref="FB98:FB101"/>
    <mergeCell ref="FC98:FE101"/>
    <mergeCell ref="FF98:FH101"/>
    <mergeCell ref="FI98:FI101"/>
    <mergeCell ref="EH98:EJ101"/>
    <mergeCell ref="EK98:EM101"/>
    <mergeCell ref="EN98:EN101"/>
    <mergeCell ref="EO98:EQ101"/>
    <mergeCell ref="ER98:ET101"/>
    <mergeCell ref="EU98:EU101"/>
    <mergeCell ref="AY102:AY103"/>
    <mergeCell ref="AZ102:AZ103"/>
    <mergeCell ref="BA102:BA103"/>
    <mergeCell ref="BB102:BB103"/>
    <mergeCell ref="BC102:BC103"/>
    <mergeCell ref="BD102:BD103"/>
    <mergeCell ref="AS102:AS103"/>
    <mergeCell ref="AT102:AT103"/>
    <mergeCell ref="AU102:AU103"/>
    <mergeCell ref="AV102:AV103"/>
    <mergeCell ref="AW102:AW103"/>
    <mergeCell ref="AX102:AX103"/>
    <mergeCell ref="CR98:CT101"/>
    <mergeCell ref="CU98:CW101"/>
    <mergeCell ref="CX98:CX101"/>
    <mergeCell ref="CY98:DA101"/>
    <mergeCell ref="DB98:DD101"/>
    <mergeCell ref="DE98:DE101"/>
    <mergeCell ref="CD98:CF101"/>
    <mergeCell ref="CG98:CI101"/>
    <mergeCell ref="CJ98:CJ101"/>
    <mergeCell ref="CK98:CM101"/>
    <mergeCell ref="CN98:CP101"/>
    <mergeCell ref="CQ98:CQ101"/>
    <mergeCell ref="BP98:BR101"/>
    <mergeCell ref="BS98:BU101"/>
    <mergeCell ref="BV98:BV101"/>
    <mergeCell ref="BW98:BY101"/>
    <mergeCell ref="BZ98:CB101"/>
    <mergeCell ref="CC98:CC101"/>
    <mergeCell ref="BB98:BD101"/>
    <mergeCell ref="BE98:BG101"/>
    <mergeCell ref="BH98:BH101"/>
    <mergeCell ref="BI98:BK101"/>
    <mergeCell ref="BL98:BN101"/>
    <mergeCell ref="BO98:BO101"/>
    <mergeCell ref="O102:O103"/>
    <mergeCell ref="P102:P103"/>
    <mergeCell ref="Q102:Q103"/>
    <mergeCell ref="R102:R103"/>
    <mergeCell ref="S102:S103"/>
    <mergeCell ref="T102:T103"/>
    <mergeCell ref="I102:I103"/>
    <mergeCell ref="J102:J103"/>
    <mergeCell ref="K102:K103"/>
    <mergeCell ref="L102:L103"/>
    <mergeCell ref="M102:M103"/>
    <mergeCell ref="N102:N103"/>
    <mergeCell ref="AM102:AM103"/>
    <mergeCell ref="AN102:AN103"/>
    <mergeCell ref="AO102:AO103"/>
    <mergeCell ref="AP102:AP103"/>
    <mergeCell ref="AQ102:AQ103"/>
    <mergeCell ref="AR102:AR103"/>
    <mergeCell ref="AG102:AG103"/>
    <mergeCell ref="AH102:AH103"/>
    <mergeCell ref="AI102:AI103"/>
    <mergeCell ref="AJ102:AJ103"/>
    <mergeCell ref="AK102:AK103"/>
    <mergeCell ref="AL102:AL103"/>
    <mergeCell ref="AA102:AA103"/>
    <mergeCell ref="AB102:AB103"/>
    <mergeCell ref="AC102:AC103"/>
    <mergeCell ref="AD102:AD103"/>
    <mergeCell ref="AE102:AE103"/>
    <mergeCell ref="AF102:AF103"/>
    <mergeCell ref="U102:U103"/>
    <mergeCell ref="V102:V103"/>
    <mergeCell ref="W102:W103"/>
    <mergeCell ref="X102:X103"/>
    <mergeCell ref="Y102:Y103"/>
    <mergeCell ref="Z102:Z103"/>
    <mergeCell ref="CI102:CI103"/>
    <mergeCell ref="CJ102:CJ103"/>
    <mergeCell ref="CK102:CK103"/>
    <mergeCell ref="CL102:CL103"/>
    <mergeCell ref="AN98:AP101"/>
    <mergeCell ref="AQ98:AS101"/>
    <mergeCell ref="AT98:AT101"/>
    <mergeCell ref="AU98:AW101"/>
    <mergeCell ref="AX98:AZ101"/>
    <mergeCell ref="BA98:BA101"/>
    <mergeCell ref="Z98:AB101"/>
    <mergeCell ref="AC98:AE101"/>
    <mergeCell ref="AF98:AF101"/>
    <mergeCell ref="AG98:AI101"/>
    <mergeCell ref="AJ98:AL101"/>
    <mergeCell ref="AM98:AM101"/>
    <mergeCell ref="L98:N101"/>
    <mergeCell ref="O98:Q101"/>
    <mergeCell ref="R98:R101"/>
    <mergeCell ref="S98:U101"/>
    <mergeCell ref="V98:X101"/>
    <mergeCell ref="Y98:Y101"/>
    <mergeCell ref="HC97:HI97"/>
    <mergeCell ref="HJ97:HP97"/>
    <mergeCell ref="HQ97:HW97"/>
    <mergeCell ref="HX97:ID97"/>
    <mergeCell ref="IE97:IK97"/>
    <mergeCell ref="C98:C101"/>
    <mergeCell ref="D98:E101"/>
    <mergeCell ref="F98:G101"/>
    <mergeCell ref="H98:J101"/>
    <mergeCell ref="K98:K101"/>
    <mergeCell ref="FM97:FS97"/>
    <mergeCell ref="FT97:FZ97"/>
    <mergeCell ref="GA97:GG97"/>
    <mergeCell ref="GH97:GN97"/>
    <mergeCell ref="GO97:GU97"/>
    <mergeCell ref="GV97:HB97"/>
    <mergeCell ref="DW97:EC97"/>
    <mergeCell ref="ED97:EJ97"/>
    <mergeCell ref="EK97:EQ97"/>
    <mergeCell ref="ER97:EX97"/>
    <mergeCell ref="EY97:FE97"/>
    <mergeCell ref="FF97:FL97"/>
    <mergeCell ref="CG97:CM97"/>
    <mergeCell ref="CN97:CT97"/>
    <mergeCell ref="CU97:DA97"/>
    <mergeCell ref="DB97:DH97"/>
    <mergeCell ref="DI97:DO97"/>
    <mergeCell ref="DP97:DV97"/>
    <mergeCell ref="AQ97:AW97"/>
    <mergeCell ref="AX97:BD97"/>
    <mergeCell ref="BE97:BK97"/>
    <mergeCell ref="BL97:BR97"/>
    <mergeCell ref="BS97:BY97"/>
    <mergeCell ref="BZ97:CF97"/>
    <mergeCell ref="DT98:DV101"/>
    <mergeCell ref="DW98:DY101"/>
    <mergeCell ref="DZ98:DZ101"/>
    <mergeCell ref="EA98:EC101"/>
    <mergeCell ref="ED98:EF101"/>
    <mergeCell ref="EG98:EG101"/>
    <mergeCell ref="DF98:DH101"/>
    <mergeCell ref="DI98:DK101"/>
    <mergeCell ref="DL98:DL101"/>
    <mergeCell ref="DM98:DO101"/>
    <mergeCell ref="DP98:DR101"/>
    <mergeCell ref="DS98:DS101"/>
    <mergeCell ref="IH94:IH96"/>
    <mergeCell ref="II94:II96"/>
    <mergeCell ref="IJ94:IJ96"/>
    <mergeCell ref="IK94:IK96"/>
    <mergeCell ref="C97:G97"/>
    <mergeCell ref="H97:N97"/>
    <mergeCell ref="O97:U97"/>
    <mergeCell ref="V97:AB97"/>
    <mergeCell ref="AC97:AI97"/>
    <mergeCell ref="AJ97:AP97"/>
    <mergeCell ref="IB94:IB96"/>
    <mergeCell ref="IC94:IC96"/>
    <mergeCell ref="ID94:ID96"/>
    <mergeCell ref="IE94:IE96"/>
    <mergeCell ref="IF94:IF96"/>
    <mergeCell ref="IG94:IG96"/>
    <mergeCell ref="HV94:HV96"/>
    <mergeCell ref="HW94:HW96"/>
    <mergeCell ref="HX94:HX96"/>
    <mergeCell ref="HY94:HY96"/>
    <mergeCell ref="HZ94:HZ96"/>
    <mergeCell ref="IA94:IA96"/>
    <mergeCell ref="HP94:HP96"/>
    <mergeCell ref="HQ94:HQ96"/>
    <mergeCell ref="HR94:HR96"/>
    <mergeCell ref="HS94:HS96"/>
    <mergeCell ref="HT94:HT96"/>
    <mergeCell ref="HU94:HU96"/>
    <mergeCell ref="HJ94:HJ96"/>
    <mergeCell ref="HK94:HK96"/>
    <mergeCell ref="HL94:HL96"/>
    <mergeCell ref="HM94:HM96"/>
    <mergeCell ref="HN94:HN96"/>
    <mergeCell ref="HO94:HO96"/>
    <mergeCell ref="HD94:HD96"/>
    <mergeCell ref="HE94:HE96"/>
    <mergeCell ref="HF94:HF96"/>
    <mergeCell ref="HG94:HG96"/>
    <mergeCell ref="HH94:HH96"/>
    <mergeCell ref="HI94:HI96"/>
    <mergeCell ref="GX94:GX96"/>
    <mergeCell ref="GY94:GY96"/>
    <mergeCell ref="GZ94:GZ96"/>
    <mergeCell ref="HA94:HA96"/>
    <mergeCell ref="HB94:HB96"/>
    <mergeCell ref="HC94:HC96"/>
    <mergeCell ref="GR94:GR96"/>
    <mergeCell ref="GS94:GS96"/>
    <mergeCell ref="GT94:GT96"/>
    <mergeCell ref="GU94:GU96"/>
    <mergeCell ref="GV94:GV96"/>
    <mergeCell ref="GW94:GW96"/>
    <mergeCell ref="GL94:GL96"/>
    <mergeCell ref="GM94:GM96"/>
    <mergeCell ref="GN94:GN96"/>
    <mergeCell ref="GO94:GO96"/>
    <mergeCell ref="GP94:GP96"/>
    <mergeCell ref="GQ94:GQ96"/>
    <mergeCell ref="GF94:GF96"/>
    <mergeCell ref="GG94:GG96"/>
    <mergeCell ref="GH94:GH96"/>
    <mergeCell ref="GI94:GI96"/>
    <mergeCell ref="GJ94:GJ96"/>
    <mergeCell ref="GK94:GK96"/>
    <mergeCell ref="FZ94:FZ96"/>
    <mergeCell ref="GA94:GA96"/>
    <mergeCell ref="GB94:GB96"/>
    <mergeCell ref="GC94:GC96"/>
    <mergeCell ref="GD94:GD96"/>
    <mergeCell ref="GE94:GE96"/>
    <mergeCell ref="FT94:FT96"/>
    <mergeCell ref="FU94:FU96"/>
    <mergeCell ref="FV94:FV96"/>
    <mergeCell ref="FW94:FW96"/>
    <mergeCell ref="FX94:FX96"/>
    <mergeCell ref="FY94:FY96"/>
    <mergeCell ref="FN94:FN96"/>
    <mergeCell ref="FO94:FO96"/>
    <mergeCell ref="FP94:FP96"/>
    <mergeCell ref="FQ94:FQ96"/>
    <mergeCell ref="FR94:FR96"/>
    <mergeCell ref="FS94:FS96"/>
    <mergeCell ref="FH94:FH96"/>
    <mergeCell ref="FI94:FI96"/>
    <mergeCell ref="FJ94:FJ96"/>
    <mergeCell ref="FK94:FK96"/>
    <mergeCell ref="FL94:FL96"/>
    <mergeCell ref="FM94:FM96"/>
    <mergeCell ref="FB94:FB96"/>
    <mergeCell ref="FC94:FC96"/>
    <mergeCell ref="FD94:FD96"/>
    <mergeCell ref="FE94:FE96"/>
    <mergeCell ref="FF94:FF96"/>
    <mergeCell ref="FG94:FG96"/>
    <mergeCell ref="EV94:EV96"/>
    <mergeCell ref="EW94:EW96"/>
    <mergeCell ref="EX94:EX96"/>
    <mergeCell ref="EY94:EY96"/>
    <mergeCell ref="EZ94:EZ96"/>
    <mergeCell ref="FA94:FA96"/>
    <mergeCell ref="EP94:EP96"/>
    <mergeCell ref="EQ94:EQ96"/>
    <mergeCell ref="ER94:ER96"/>
    <mergeCell ref="ES94:ES96"/>
    <mergeCell ref="ET94:ET96"/>
    <mergeCell ref="EU94:EU96"/>
    <mergeCell ref="EJ94:EJ96"/>
    <mergeCell ref="EK94:EK96"/>
    <mergeCell ref="EL94:EL96"/>
    <mergeCell ref="EM94:EM96"/>
    <mergeCell ref="EN94:EN96"/>
    <mergeCell ref="EO94:EO96"/>
    <mergeCell ref="ED94:ED96"/>
    <mergeCell ref="EE94:EE96"/>
    <mergeCell ref="EF94:EF96"/>
    <mergeCell ref="EG94:EG96"/>
    <mergeCell ref="EH94:EH96"/>
    <mergeCell ref="EI94:EI96"/>
    <mergeCell ref="DX94:DX96"/>
    <mergeCell ref="DY94:DY96"/>
    <mergeCell ref="DZ94:DZ96"/>
    <mergeCell ref="EA94:EA96"/>
    <mergeCell ref="EB94:EB96"/>
    <mergeCell ref="EC94:EC96"/>
    <mergeCell ref="DR94:DR96"/>
    <mergeCell ref="DS94:DS96"/>
    <mergeCell ref="DT94:DT96"/>
    <mergeCell ref="DU94:DU96"/>
    <mergeCell ref="DV94:DV96"/>
    <mergeCell ref="DW94:DW96"/>
    <mergeCell ref="DL94:DL96"/>
    <mergeCell ref="DM94:DM96"/>
    <mergeCell ref="DN94:DN96"/>
    <mergeCell ref="DO94:DO96"/>
    <mergeCell ref="DP94:DP96"/>
    <mergeCell ref="DQ94:DQ96"/>
    <mergeCell ref="DF94:DF96"/>
    <mergeCell ref="DG94:DG96"/>
    <mergeCell ref="DH94:DH96"/>
    <mergeCell ref="DI94:DI96"/>
    <mergeCell ref="DJ94:DJ96"/>
    <mergeCell ref="DK94:DK96"/>
    <mergeCell ref="CZ94:CZ96"/>
    <mergeCell ref="DA94:DA96"/>
    <mergeCell ref="DB94:DB96"/>
    <mergeCell ref="DC94:DC96"/>
    <mergeCell ref="DD94:DD96"/>
    <mergeCell ref="DE94:DE96"/>
    <mergeCell ref="CT94:CT96"/>
    <mergeCell ref="CU94:CU96"/>
    <mergeCell ref="CV94:CV96"/>
    <mergeCell ref="CW94:CW96"/>
    <mergeCell ref="CX94:CX96"/>
    <mergeCell ref="CY94:CY96"/>
    <mergeCell ref="CN94:CN96"/>
    <mergeCell ref="CO94:CO96"/>
    <mergeCell ref="CP94:CP96"/>
    <mergeCell ref="CQ94:CQ96"/>
    <mergeCell ref="CR94:CR96"/>
    <mergeCell ref="CS94:CS96"/>
    <mergeCell ref="CH94:CH96"/>
    <mergeCell ref="CI94:CI96"/>
    <mergeCell ref="CJ94:CJ96"/>
    <mergeCell ref="CK94:CK96"/>
    <mergeCell ref="CL94:CL96"/>
    <mergeCell ref="CM94:CM96"/>
    <mergeCell ref="CB94:CB96"/>
    <mergeCell ref="CC94:CC96"/>
    <mergeCell ref="CD94:CD96"/>
    <mergeCell ref="CE94:CE96"/>
    <mergeCell ref="CF94:CF96"/>
    <mergeCell ref="CG94:CG96"/>
    <mergeCell ref="BV94:BV96"/>
    <mergeCell ref="BW94:BW96"/>
    <mergeCell ref="BX94:BX96"/>
    <mergeCell ref="BY94:BY96"/>
    <mergeCell ref="BZ94:BZ96"/>
    <mergeCell ref="CA94:CA96"/>
    <mergeCell ref="BP94:BP96"/>
    <mergeCell ref="BQ94:BQ96"/>
    <mergeCell ref="BR94:BR96"/>
    <mergeCell ref="BS94:BS96"/>
    <mergeCell ref="BT94:BT96"/>
    <mergeCell ref="BU94:BU96"/>
    <mergeCell ref="BJ94:BJ96"/>
    <mergeCell ref="BK94:BK96"/>
    <mergeCell ref="BL94:BL96"/>
    <mergeCell ref="BM94:BM96"/>
    <mergeCell ref="BN94:BN96"/>
    <mergeCell ref="BO94:BO96"/>
    <mergeCell ref="BD94:BD96"/>
    <mergeCell ref="BE94:BE96"/>
    <mergeCell ref="BF94:BF96"/>
    <mergeCell ref="BG94:BG96"/>
    <mergeCell ref="BH94:BH96"/>
    <mergeCell ref="BI94:BI96"/>
    <mergeCell ref="AX94:AX96"/>
    <mergeCell ref="AY94:AY96"/>
    <mergeCell ref="AZ94:AZ96"/>
    <mergeCell ref="BA94:BA96"/>
    <mergeCell ref="BB94:BB96"/>
    <mergeCell ref="BC94:BC96"/>
    <mergeCell ref="AR94:AR96"/>
    <mergeCell ref="AS94:AS96"/>
    <mergeCell ref="AT94:AT96"/>
    <mergeCell ref="AU94:AU96"/>
    <mergeCell ref="AV94:AV96"/>
    <mergeCell ref="AW94:AW96"/>
    <mergeCell ref="AL94:AL96"/>
    <mergeCell ref="AM94:AM96"/>
    <mergeCell ref="AN94:AN96"/>
    <mergeCell ref="AO94:AO96"/>
    <mergeCell ref="AP94:AP96"/>
    <mergeCell ref="AQ94:AQ96"/>
    <mergeCell ref="AF94:AF96"/>
    <mergeCell ref="AG94:AG96"/>
    <mergeCell ref="AH94:AH96"/>
    <mergeCell ref="AI94:AI96"/>
    <mergeCell ref="AJ94:AJ96"/>
    <mergeCell ref="AK94:AK96"/>
    <mergeCell ref="Z94:Z96"/>
    <mergeCell ref="AA94:AA96"/>
    <mergeCell ref="AB94:AB96"/>
    <mergeCell ref="AC94:AC96"/>
    <mergeCell ref="AD94:AD96"/>
    <mergeCell ref="AE94:AE96"/>
    <mergeCell ref="T94:T96"/>
    <mergeCell ref="U94:U96"/>
    <mergeCell ref="V94:V96"/>
    <mergeCell ref="W94:W96"/>
    <mergeCell ref="X94:X96"/>
    <mergeCell ref="Y94:Y96"/>
    <mergeCell ref="N94:N96"/>
    <mergeCell ref="O94:O96"/>
    <mergeCell ref="P94:P96"/>
    <mergeCell ref="Q94:Q96"/>
    <mergeCell ref="R94:R96"/>
    <mergeCell ref="S94:S96"/>
    <mergeCell ref="H94:H96"/>
    <mergeCell ref="I94:I96"/>
    <mergeCell ref="J94:J96"/>
    <mergeCell ref="K94:K96"/>
    <mergeCell ref="L94:L96"/>
    <mergeCell ref="M94:M96"/>
    <mergeCell ref="IJ17:IJ18"/>
    <mergeCell ref="HY17:HY18"/>
    <mergeCell ref="HZ17:HZ18"/>
    <mergeCell ref="IA17:IA18"/>
    <mergeCell ref="IB17:IB18"/>
    <mergeCell ref="HX17:HX18"/>
    <mergeCell ref="IC17:IC18"/>
    <mergeCell ref="BE4:CU4"/>
    <mergeCell ref="BN5:CB5"/>
    <mergeCell ref="D5:BD5"/>
    <mergeCell ref="D4:BD4"/>
    <mergeCell ref="B4:C6"/>
    <mergeCell ref="HW17:HW18"/>
    <mergeCell ref="HO17:HO18"/>
    <mergeCell ref="HP17:HP18"/>
    <mergeCell ref="HQ17:HQ18"/>
    <mergeCell ref="HR17:HR18"/>
    <mergeCell ref="IK17:IK18"/>
    <mergeCell ref="B14:B16"/>
    <mergeCell ref="B17:B18"/>
    <mergeCell ref="ID17:ID18"/>
    <mergeCell ref="IE17:IE18"/>
    <mergeCell ref="IF17:IF18"/>
    <mergeCell ref="IG17:IG18"/>
    <mergeCell ref="IH17:IH18"/>
    <mergeCell ref="II17:II18"/>
    <mergeCell ref="HN17:HN18"/>
    <mergeCell ref="HU17:HU18"/>
    <mergeCell ref="HV17:HV18"/>
    <mergeCell ref="HH17:HH18"/>
    <mergeCell ref="HI17:HI18"/>
    <mergeCell ref="HJ17:HJ18"/>
    <mergeCell ref="HK17:HK18"/>
    <mergeCell ref="HL17:HL18"/>
    <mergeCell ref="HM17:HM18"/>
    <mergeCell ref="HD17:HD18"/>
    <mergeCell ref="HE17:HE18"/>
    <mergeCell ref="HF17:HF18"/>
    <mergeCell ref="HG17:HG18"/>
    <mergeCell ref="HS17:HS18"/>
    <mergeCell ref="HT17:HT18"/>
    <mergeCell ref="GX17:GX18"/>
    <mergeCell ref="GY17:GY18"/>
    <mergeCell ref="GZ17:GZ18"/>
    <mergeCell ref="HA17:HA18"/>
    <mergeCell ref="HB17:HB18"/>
    <mergeCell ref="HC17:HC18"/>
    <mergeCell ref="GR17:GR18"/>
    <mergeCell ref="GS17:GS18"/>
    <mergeCell ref="GT17:GT18"/>
    <mergeCell ref="GU17:GU18"/>
    <mergeCell ref="GV17:GV18"/>
    <mergeCell ref="GW17:GW18"/>
    <mergeCell ref="GL17:GL18"/>
    <mergeCell ref="GM17:GM18"/>
    <mergeCell ref="GN17:GN18"/>
    <mergeCell ref="GO17:GO18"/>
    <mergeCell ref="GP17:GP18"/>
    <mergeCell ref="GQ17:GQ18"/>
    <mergeCell ref="GF17:GF18"/>
    <mergeCell ref="GG17:GG18"/>
    <mergeCell ref="GH17:GH18"/>
    <mergeCell ref="GI17:GI18"/>
    <mergeCell ref="GJ17:GJ18"/>
    <mergeCell ref="IB13:ID16"/>
    <mergeCell ref="IE13:IG16"/>
    <mergeCell ref="IH13:IH16"/>
    <mergeCell ref="GK17:GK18"/>
    <mergeCell ref="FZ17:FZ18"/>
    <mergeCell ref="GA17:GA18"/>
    <mergeCell ref="GB17:GB18"/>
    <mergeCell ref="GC17:GC18"/>
    <mergeCell ref="GD17:GD18"/>
    <mergeCell ref="GE17:GE18"/>
    <mergeCell ref="FT17:FT18"/>
    <mergeCell ref="FU17:FU18"/>
    <mergeCell ref="FV17:FV18"/>
    <mergeCell ref="FW17:FW18"/>
    <mergeCell ref="FX17:FX18"/>
    <mergeCell ref="FY17:FY18"/>
    <mergeCell ref="FN17:FN18"/>
    <mergeCell ref="FO17:FO18"/>
    <mergeCell ref="FP17:FP18"/>
    <mergeCell ref="FQ17:FQ18"/>
    <mergeCell ref="FR17:FR18"/>
    <mergeCell ref="FS17:FS18"/>
    <mergeCell ref="FH17:FH18"/>
    <mergeCell ref="FI17:FI18"/>
    <mergeCell ref="FJ17:FJ18"/>
    <mergeCell ref="FK17:FK18"/>
    <mergeCell ref="FL17:FL18"/>
    <mergeCell ref="FM17:FM18"/>
    <mergeCell ref="FB17:FB18"/>
    <mergeCell ref="FC17:FC18"/>
    <mergeCell ref="FD17:FD18"/>
    <mergeCell ref="FE17:FE18"/>
    <mergeCell ref="FF17:FF18"/>
    <mergeCell ref="FG17:FG18"/>
    <mergeCell ref="II13:IK16"/>
    <mergeCell ref="C17:C18"/>
    <mergeCell ref="F17:F18"/>
    <mergeCell ref="G17:G18"/>
    <mergeCell ref="I17:I18"/>
    <mergeCell ref="J17:J18"/>
    <mergeCell ref="HN13:HP16"/>
    <mergeCell ref="IA13:IA16"/>
    <mergeCell ref="GZ13:HB16"/>
    <mergeCell ref="HC13:HE16"/>
    <mergeCell ref="HF13:HF16"/>
    <mergeCell ref="HG13:HI16"/>
    <mergeCell ref="HJ13:HL16"/>
    <mergeCell ref="GL13:GN16"/>
    <mergeCell ref="GO13:GQ16"/>
    <mergeCell ref="HQ13:HS16"/>
    <mergeCell ref="HT13:HT16"/>
    <mergeCell ref="HU13:HW16"/>
    <mergeCell ref="HX13:HZ16"/>
    <mergeCell ref="GV13:GX16"/>
    <mergeCell ref="GY13:GY16"/>
    <mergeCell ref="FM13:FO16"/>
    <mergeCell ref="FP13:FP16"/>
    <mergeCell ref="FQ13:FS16"/>
    <mergeCell ref="HM13:HM16"/>
    <mergeCell ref="FT13:FV16"/>
    <mergeCell ref="FW13:FW16"/>
    <mergeCell ref="FX13:FZ16"/>
    <mergeCell ref="GA13:GC16"/>
    <mergeCell ref="GD13:GD16"/>
    <mergeCell ref="GE13:GG16"/>
    <mergeCell ref="EY13:FA16"/>
    <mergeCell ref="FB13:FB16"/>
    <mergeCell ref="FC13:FE16"/>
    <mergeCell ref="FF13:FH16"/>
    <mergeCell ref="FI13:FI16"/>
    <mergeCell ref="FJ13:FL16"/>
    <mergeCell ref="EK13:EM16"/>
    <mergeCell ref="EN13:EN16"/>
    <mergeCell ref="EO13:EQ16"/>
    <mergeCell ref="ER13:ET16"/>
    <mergeCell ref="EU13:EU16"/>
    <mergeCell ref="EV13:EX16"/>
    <mergeCell ref="DM13:DO16"/>
    <mergeCell ref="DP13:DR16"/>
    <mergeCell ref="DS13:DS16"/>
    <mergeCell ref="DT13:DV16"/>
    <mergeCell ref="DW13:DY16"/>
    <mergeCell ref="ED13:EF16"/>
    <mergeCell ref="CY13:DA16"/>
    <mergeCell ref="DB13:DD16"/>
    <mergeCell ref="DE13:DE16"/>
    <mergeCell ref="DF13:DH16"/>
    <mergeCell ref="DI13:DK16"/>
    <mergeCell ref="DL13:DL16"/>
    <mergeCell ref="BB13:BD16"/>
    <mergeCell ref="BE13:BG16"/>
    <mergeCell ref="BH13:BH16"/>
    <mergeCell ref="BI13:BK16"/>
    <mergeCell ref="CX13:CX16"/>
    <mergeCell ref="BL13:BN16"/>
    <mergeCell ref="BO13:BO16"/>
    <mergeCell ref="BP13:BR16"/>
    <mergeCell ref="BS13:BU16"/>
    <mergeCell ref="H23:H24"/>
    <mergeCell ref="C12:G12"/>
    <mergeCell ref="H27:H28"/>
    <mergeCell ref="I23:I24"/>
    <mergeCell ref="I27:I28"/>
    <mergeCell ref="K21:K22"/>
    <mergeCell ref="C23:C24"/>
    <mergeCell ref="J27:J28"/>
    <mergeCell ref="F23:F24"/>
    <mergeCell ref="C13:C16"/>
    <mergeCell ref="M29:M30"/>
    <mergeCell ref="Q2:AI2"/>
    <mergeCell ref="K27:K28"/>
    <mergeCell ref="F32:G32"/>
    <mergeCell ref="J29:J30"/>
    <mergeCell ref="M31:M32"/>
    <mergeCell ref="S29:S30"/>
    <mergeCell ref="J2:M2"/>
    <mergeCell ref="K17:K18"/>
    <mergeCell ref="H17:H18"/>
    <mergeCell ref="F30:G30"/>
    <mergeCell ref="H29:H30"/>
    <mergeCell ref="I29:I30"/>
    <mergeCell ref="N29:N30"/>
    <mergeCell ref="O29:O30"/>
    <mergeCell ref="N31:N32"/>
    <mergeCell ref="L29:L30"/>
    <mergeCell ref="L31:L32"/>
    <mergeCell ref="K29:K30"/>
    <mergeCell ref="K31:K32"/>
    <mergeCell ref="W29:W30"/>
    <mergeCell ref="X29:X30"/>
    <mergeCell ref="Y29:Y30"/>
    <mergeCell ref="Q29:Q30"/>
    <mergeCell ref="R29:R30"/>
    <mergeCell ref="Z29:Z30"/>
    <mergeCell ref="T29:T30"/>
    <mergeCell ref="U29:U30"/>
    <mergeCell ref="AA29:AA30"/>
    <mergeCell ref="AB29:AB30"/>
    <mergeCell ref="AC29:AC30"/>
    <mergeCell ref="AD29:AD30"/>
    <mergeCell ref="AE29:AE30"/>
    <mergeCell ref="AF29:AF30"/>
    <mergeCell ref="AG29:AG30"/>
    <mergeCell ref="AI29:AI30"/>
    <mergeCell ref="Z21:Z22"/>
    <mergeCell ref="AA21:AA22"/>
    <mergeCell ref="AB21:AB22"/>
    <mergeCell ref="AC21:AC22"/>
    <mergeCell ref="AD21:AD22"/>
    <mergeCell ref="AE21:AE22"/>
    <mergeCell ref="AF21:AF22"/>
    <mergeCell ref="AG21:AG22"/>
    <mergeCell ref="Q9:Q11"/>
    <mergeCell ref="R9:R11"/>
    <mergeCell ref="S9:S11"/>
    <mergeCell ref="F13:G16"/>
    <mergeCell ref="D13:E16"/>
    <mergeCell ref="O9:O11"/>
    <mergeCell ref="H13:J16"/>
    <mergeCell ref="L13:N16"/>
    <mergeCell ref="K13:K16"/>
    <mergeCell ref="R13:R16"/>
    <mergeCell ref="CX29:CX30"/>
    <mergeCell ref="CK29:CK30"/>
    <mergeCell ref="CL29:CL30"/>
    <mergeCell ref="CM29:CM30"/>
    <mergeCell ref="CN29:CN30"/>
    <mergeCell ref="CO29:CO30"/>
    <mergeCell ref="CP29:CP30"/>
    <mergeCell ref="CQ29:CQ30"/>
    <mergeCell ref="CR29:CR30"/>
    <mergeCell ref="DF29:DF30"/>
    <mergeCell ref="DC29:DC30"/>
    <mergeCell ref="DD29:DD30"/>
    <mergeCell ref="CS29:CS30"/>
    <mergeCell ref="CT29:CT30"/>
    <mergeCell ref="CU29:CU30"/>
    <mergeCell ref="CV29:CV30"/>
    <mergeCell ref="CY29:CY30"/>
    <mergeCell ref="CZ29:CZ30"/>
    <mergeCell ref="CW29:CW30"/>
    <mergeCell ref="DS29:DS30"/>
    <mergeCell ref="AN29:AN30"/>
    <mergeCell ref="AO29:AO30"/>
    <mergeCell ref="AJ29:AJ30"/>
    <mergeCell ref="AK29:AK30"/>
    <mergeCell ref="AU29:AU30"/>
    <mergeCell ref="AV29:AV30"/>
    <mergeCell ref="AW29:AW30"/>
    <mergeCell ref="AX29:AX30"/>
    <mergeCell ref="AY29:AY30"/>
    <mergeCell ref="AZ29:AZ30"/>
    <mergeCell ref="BA29:BA30"/>
    <mergeCell ref="BB29:BB30"/>
    <mergeCell ref="BC29:BC30"/>
    <mergeCell ref="BD29:BD30"/>
    <mergeCell ref="BE29:BE30"/>
    <mergeCell ref="BF29:BF30"/>
    <mergeCell ref="BG29:BG30"/>
    <mergeCell ref="BH29:BH30"/>
    <mergeCell ref="BI29:BI30"/>
    <mergeCell ref="BJ29:BJ30"/>
    <mergeCell ref="BK29:BK30"/>
    <mergeCell ref="BL29:BL30"/>
    <mergeCell ref="BM29:BM30"/>
    <mergeCell ref="BN29:BN30"/>
    <mergeCell ref="BO29:BO30"/>
    <mergeCell ref="BP29:BP30"/>
    <mergeCell ref="BQ29:BQ30"/>
    <mergeCell ref="BR29:BR30"/>
    <mergeCell ref="BS29:BS30"/>
    <mergeCell ref="BT29:BT30"/>
    <mergeCell ref="BU29:BU30"/>
    <mergeCell ref="BV29:BV30"/>
    <mergeCell ref="BW29:BW30"/>
    <mergeCell ref="AP29:AP30"/>
    <mergeCell ref="AQ29:AQ30"/>
    <mergeCell ref="AR29:AR30"/>
    <mergeCell ref="AS29:AS30"/>
    <mergeCell ref="AT29:AT30"/>
    <mergeCell ref="AL29:AL30"/>
    <mergeCell ref="AM29:AM30"/>
    <mergeCell ref="DD31:DD32"/>
    <mergeCell ref="CS31:CS32"/>
    <mergeCell ref="CT31:CT32"/>
    <mergeCell ref="CU31:CU32"/>
    <mergeCell ref="CV31:CV32"/>
    <mergeCell ref="CW31:CW32"/>
    <mergeCell ref="CX31:CX32"/>
    <mergeCell ref="DT29:DT30"/>
    <mergeCell ref="DI29:DI30"/>
    <mergeCell ref="DJ29:DJ30"/>
    <mergeCell ref="DK29:DK30"/>
    <mergeCell ref="DL29:DL30"/>
    <mergeCell ref="DM29:DM30"/>
    <mergeCell ref="DN29:DN30"/>
    <mergeCell ref="DO29:DO30"/>
    <mergeCell ref="DP29:DP30"/>
    <mergeCell ref="DQ29:DQ30"/>
    <mergeCell ref="DR29:DR30"/>
    <mergeCell ref="AP31:AP32"/>
    <mergeCell ref="DG29:DG30"/>
    <mergeCell ref="DH29:DH30"/>
    <mergeCell ref="DA29:DA30"/>
    <mergeCell ref="DB29:DB30"/>
    <mergeCell ref="DE29:DE30"/>
    <mergeCell ref="AQ31:AQ32"/>
    <mergeCell ref="AR31:AR32"/>
    <mergeCell ref="AH29:AH30"/>
    <mergeCell ref="V29:V30"/>
    <mergeCell ref="O31:O32"/>
    <mergeCell ref="P31:P32"/>
    <mergeCell ref="Q31:Q32"/>
    <mergeCell ref="R31:R32"/>
    <mergeCell ref="S31:S32"/>
    <mergeCell ref="T31:T32"/>
    <mergeCell ref="P29:P30"/>
    <mergeCell ref="AA31:AA32"/>
    <mergeCell ref="V31:V32"/>
    <mergeCell ref="AB31:AB32"/>
    <mergeCell ref="AC31:AC32"/>
    <mergeCell ref="AD31:AD32"/>
    <mergeCell ref="AE31:AE32"/>
    <mergeCell ref="W31:W32"/>
    <mergeCell ref="X31:X32"/>
    <mergeCell ref="Y31:Y32"/>
    <mergeCell ref="Z31:Z32"/>
    <mergeCell ref="AH31:AH32"/>
    <mergeCell ref="AI31:AI32"/>
    <mergeCell ref="AJ31:AJ32"/>
    <mergeCell ref="AK31:AK32"/>
    <mergeCell ref="AL31:AL32"/>
    <mergeCell ref="AM31:AM32"/>
    <mergeCell ref="AN31:AN32"/>
    <mergeCell ref="AO31:AO32"/>
    <mergeCell ref="AS31:AS32"/>
    <mergeCell ref="AT31:AT32"/>
    <mergeCell ref="AU31:AU32"/>
    <mergeCell ref="AV31:AV32"/>
    <mergeCell ref="AW31:AW32"/>
    <mergeCell ref="AX31:AX32"/>
    <mergeCell ref="AY31:AY32"/>
    <mergeCell ref="AZ31:AZ32"/>
    <mergeCell ref="BA31:BA32"/>
    <mergeCell ref="BB31:BB32"/>
    <mergeCell ref="BC31:BC32"/>
    <mergeCell ref="V21:V22"/>
    <mergeCell ref="W21:W22"/>
    <mergeCell ref="AK21:AK22"/>
    <mergeCell ref="BK31:BK32"/>
    <mergeCell ref="BL31:BL32"/>
    <mergeCell ref="BM31:BM32"/>
    <mergeCell ref="BN31:BN32"/>
    <mergeCell ref="BO31:BO32"/>
    <mergeCell ref="BP31:BP32"/>
    <mergeCell ref="BQ31:BQ32"/>
    <mergeCell ref="BR31:BR32"/>
    <mergeCell ref="BS31:BS32"/>
    <mergeCell ref="BT31:BT32"/>
    <mergeCell ref="BU31:BU32"/>
    <mergeCell ref="BV31:BV32"/>
    <mergeCell ref="BW31:BW32"/>
    <mergeCell ref="BX31:BX32"/>
    <mergeCell ref="BY31:BY32"/>
    <mergeCell ref="BZ31:BZ32"/>
    <mergeCell ref="CA31:CA32"/>
    <mergeCell ref="CB31:CB32"/>
    <mergeCell ref="CC31:CC32"/>
    <mergeCell ref="CD31:CD32"/>
    <mergeCell ref="CE31:CE32"/>
    <mergeCell ref="CF31:CF32"/>
    <mergeCell ref="CR31:CR32"/>
    <mergeCell ref="CG31:CG32"/>
    <mergeCell ref="CH31:CH32"/>
    <mergeCell ref="CI31:CI32"/>
    <mergeCell ref="CJ31:CJ32"/>
    <mergeCell ref="CK31:CK32"/>
    <mergeCell ref="CL31:CL32"/>
    <mergeCell ref="CO31:CO32"/>
    <mergeCell ref="CP31:CP32"/>
    <mergeCell ref="CQ31:CQ32"/>
    <mergeCell ref="BD31:BD32"/>
    <mergeCell ref="BE31:BE32"/>
    <mergeCell ref="BF31:BF32"/>
    <mergeCell ref="BG31:BG32"/>
    <mergeCell ref="BH31:BH32"/>
    <mergeCell ref="BI31:BI32"/>
    <mergeCell ref="BJ31:BJ32"/>
    <mergeCell ref="BX29:BX30"/>
    <mergeCell ref="BY29:BY30"/>
    <mergeCell ref="BZ29:BZ30"/>
    <mergeCell ref="CA29:CA30"/>
    <mergeCell ref="CB29:CB30"/>
    <mergeCell ref="CC29:CC30"/>
    <mergeCell ref="CD29:CD30"/>
    <mergeCell ref="CE29:CE30"/>
    <mergeCell ref="CF29:CF30"/>
    <mergeCell ref="CG29:CG30"/>
    <mergeCell ref="CH29:CH30"/>
    <mergeCell ref="CI29:CI30"/>
    <mergeCell ref="CJ29:CJ30"/>
    <mergeCell ref="BI23:BI24"/>
    <mergeCell ref="BN23:BN24"/>
    <mergeCell ref="BJ23:BJ24"/>
    <mergeCell ref="AL21:AL22"/>
    <mergeCell ref="AM21:AM22"/>
    <mergeCell ref="AN21:AN22"/>
    <mergeCell ref="AP21:AP22"/>
    <mergeCell ref="AQ21:AQ22"/>
    <mergeCell ref="AO21:AO22"/>
    <mergeCell ref="DJ31:DJ32"/>
    <mergeCell ref="DC31:DC32"/>
    <mergeCell ref="AG31:AG32"/>
    <mergeCell ref="AF31:AF32"/>
    <mergeCell ref="U31:U32"/>
    <mergeCell ref="DE31:DE32"/>
    <mergeCell ref="DF31:DF32"/>
    <mergeCell ref="DG31:DG32"/>
    <mergeCell ref="CM31:CM32"/>
    <mergeCell ref="CN31:CN32"/>
    <mergeCell ref="DK31:DK32"/>
    <mergeCell ref="DL31:DL32"/>
    <mergeCell ref="DS31:DS32"/>
    <mergeCell ref="DT31:DT32"/>
    <mergeCell ref="CY31:CY32"/>
    <mergeCell ref="CZ31:CZ32"/>
    <mergeCell ref="DA31:DA32"/>
    <mergeCell ref="DB31:DB32"/>
    <mergeCell ref="DH31:DH32"/>
    <mergeCell ref="DI31:DI32"/>
    <mergeCell ref="DV31:DV32"/>
    <mergeCell ref="DM31:DM32"/>
    <mergeCell ref="DN31:DN32"/>
    <mergeCell ref="DO31:DO32"/>
    <mergeCell ref="DP31:DP32"/>
    <mergeCell ref="DQ31:DQ32"/>
    <mergeCell ref="DU31:DU32"/>
    <mergeCell ref="J31:J32"/>
    <mergeCell ref="B21:B22"/>
    <mergeCell ref="B29:B30"/>
    <mergeCell ref="B31:B32"/>
    <mergeCell ref="H31:H32"/>
    <mergeCell ref="I31:I32"/>
    <mergeCell ref="C21:C22"/>
    <mergeCell ref="B23:B24"/>
    <mergeCell ref="H21:H22"/>
    <mergeCell ref="I21:I22"/>
    <mergeCell ref="B27:B28"/>
    <mergeCell ref="Q21:Q22"/>
    <mergeCell ref="R21:R22"/>
    <mergeCell ref="S21:S22"/>
    <mergeCell ref="P21:P22"/>
    <mergeCell ref="M21:M22"/>
    <mergeCell ref="N21:N22"/>
    <mergeCell ref="O21:O22"/>
    <mergeCell ref="J21:J22"/>
    <mergeCell ref="J23:J24"/>
    <mergeCell ref="L21:L22"/>
    <mergeCell ref="F21:F22"/>
    <mergeCell ref="G21:G22"/>
    <mergeCell ref="G23:G24"/>
    <mergeCell ref="X21:X22"/>
    <mergeCell ref="U23:U24"/>
    <mergeCell ref="K23:K24"/>
    <mergeCell ref="L23:L24"/>
    <mergeCell ref="M23:M24"/>
    <mergeCell ref="N23:N24"/>
    <mergeCell ref="Y21:Y22"/>
    <mergeCell ref="AJ21:AJ22"/>
    <mergeCell ref="T21:T22"/>
    <mergeCell ref="U21:U22"/>
    <mergeCell ref="Z23:Z24"/>
    <mergeCell ref="AA23:AA24"/>
    <mergeCell ref="W23:W24"/>
    <mergeCell ref="BE21:BE22"/>
    <mergeCell ref="BF21:BF22"/>
    <mergeCell ref="BG21:BG22"/>
    <mergeCell ref="BH21:BH22"/>
    <mergeCell ref="AH21:AH22"/>
    <mergeCell ref="AI21:AI22"/>
    <mergeCell ref="AZ21:AZ22"/>
    <mergeCell ref="BA21:BA22"/>
    <mergeCell ref="BB21:BB22"/>
    <mergeCell ref="AW21:AW22"/>
    <mergeCell ref="BI21:BI22"/>
    <mergeCell ref="AR21:AR22"/>
    <mergeCell ref="AS21:AS22"/>
    <mergeCell ref="AT21:AT22"/>
    <mergeCell ref="AU21:AU22"/>
    <mergeCell ref="AV21:AV22"/>
    <mergeCell ref="BC21:BC22"/>
    <mergeCell ref="BD21:BD22"/>
    <mergeCell ref="AX21:AX22"/>
    <mergeCell ref="AY21:AY22"/>
    <mergeCell ref="C29:C30"/>
    <mergeCell ref="C31:C32"/>
    <mergeCell ref="DL21:DL22"/>
    <mergeCell ref="DF21:DF22"/>
    <mergeCell ref="DG21:DG22"/>
    <mergeCell ref="DH21:DH22"/>
    <mergeCell ref="DI21:DI22"/>
    <mergeCell ref="AV27:AV28"/>
    <mergeCell ref="AW27:AW28"/>
    <mergeCell ref="X23:X24"/>
    <mergeCell ref="AN25:AN26"/>
    <mergeCell ref="AF23:AF24"/>
    <mergeCell ref="AG23:AG24"/>
    <mergeCell ref="AL23:AL24"/>
    <mergeCell ref="AM23:AM24"/>
    <mergeCell ref="AK25:AK26"/>
    <mergeCell ref="AL25:AL26"/>
    <mergeCell ref="AO25:AO26"/>
    <mergeCell ref="BD23:BD24"/>
    <mergeCell ref="BD25:BD26"/>
    <mergeCell ref="BF25:BF26"/>
    <mergeCell ref="BG25:BG26"/>
    <mergeCell ref="BE27:BE28"/>
    <mergeCell ref="BF27:BF28"/>
    <mergeCell ref="BG27:BG28"/>
    <mergeCell ref="BH27:BH28"/>
    <mergeCell ref="BH25:BH26"/>
    <mergeCell ref="BI25:BI26"/>
    <mergeCell ref="BI27:BI28"/>
    <mergeCell ref="BJ27:BJ28"/>
    <mergeCell ref="BK27:BK28"/>
    <mergeCell ref="BK25:BK26"/>
    <mergeCell ref="BL23:BL24"/>
    <mergeCell ref="BM23:BM24"/>
    <mergeCell ref="BH23:BH24"/>
    <mergeCell ref="BL25:BL26"/>
    <mergeCell ref="BM25:BM26"/>
    <mergeCell ref="BN25:BN26"/>
    <mergeCell ref="BJ25:BJ26"/>
    <mergeCell ref="BO25:BO26"/>
    <mergeCell ref="BP25:BP26"/>
    <mergeCell ref="BQ25:BQ26"/>
    <mergeCell ref="BQ27:BQ28"/>
    <mergeCell ref="BR27:BR28"/>
    <mergeCell ref="AT9:AT11"/>
    <mergeCell ref="V12:AB12"/>
    <mergeCell ref="AC12:AI12"/>
    <mergeCell ref="DY25:DY26"/>
    <mergeCell ref="DZ25:DZ26"/>
    <mergeCell ref="EA25:EA26"/>
    <mergeCell ref="DR21:DR22"/>
    <mergeCell ref="DS21:DS22"/>
    <mergeCell ref="DT21:DT22"/>
    <mergeCell ref="DU21:DU22"/>
    <mergeCell ref="DZ21:DZ22"/>
    <mergeCell ref="EA21:EA22"/>
    <mergeCell ref="DX23:DX24"/>
    <mergeCell ref="CT21:CT22"/>
    <mergeCell ref="DX25:DX26"/>
    <mergeCell ref="DP21:DP22"/>
    <mergeCell ref="DQ21:DQ22"/>
    <mergeCell ref="DK21:DK22"/>
    <mergeCell ref="CZ21:CZ22"/>
    <mergeCell ref="DA21:DA22"/>
    <mergeCell ref="DB21:DB22"/>
    <mergeCell ref="DC21:DC22"/>
    <mergeCell ref="DO21:DO22"/>
    <mergeCell ref="R23:R24"/>
    <mergeCell ref="S23:S24"/>
    <mergeCell ref="T23:T24"/>
    <mergeCell ref="N25:N26"/>
    <mergeCell ref="AI23:AI24"/>
    <mergeCell ref="T25:T26"/>
    <mergeCell ref="AB23:AB24"/>
    <mergeCell ref="AC23:AC24"/>
    <mergeCell ref="Q23:Q24"/>
    <mergeCell ref="BE25:BE26"/>
    <mergeCell ref="Z25:Z26"/>
    <mergeCell ref="O23:O24"/>
    <mergeCell ref="P23:P24"/>
    <mergeCell ref="AD23:AD24"/>
    <mergeCell ref="AE23:AE24"/>
    <mergeCell ref="V23:V24"/>
    <mergeCell ref="AW23:AW24"/>
    <mergeCell ref="AY23:AY24"/>
    <mergeCell ref="AZ23:AZ24"/>
    <mergeCell ref="BA23:BA24"/>
    <mergeCell ref="BJ21:BJ22"/>
    <mergeCell ref="BK21:BK22"/>
    <mergeCell ref="BL21:BL22"/>
    <mergeCell ref="BM21:BM22"/>
    <mergeCell ref="BN21:BN22"/>
    <mergeCell ref="BO21:BO22"/>
    <mergeCell ref="BP21:BP22"/>
    <mergeCell ref="BQ21:BQ22"/>
    <mergeCell ref="BR21:BR22"/>
    <mergeCell ref="BS21:BS22"/>
    <mergeCell ref="BT21:BT22"/>
    <mergeCell ref="BU21:BU22"/>
    <mergeCell ref="BV21:BV22"/>
    <mergeCell ref="BW21:BW22"/>
    <mergeCell ref="BX21:BX22"/>
    <mergeCell ref="CH21:CH22"/>
    <mergeCell ref="CI21:CI22"/>
    <mergeCell ref="CJ21:CJ22"/>
    <mergeCell ref="CK21:CK22"/>
    <mergeCell ref="AH23:AH24"/>
    <mergeCell ref="Y23:Y24"/>
    <mergeCell ref="I9:I11"/>
    <mergeCell ref="H9:H11"/>
    <mergeCell ref="AF9:AF11"/>
    <mergeCell ref="AG9:AG11"/>
    <mergeCell ref="T9:T11"/>
    <mergeCell ref="U9:U11"/>
    <mergeCell ref="H12:N12"/>
    <mergeCell ref="O12:U12"/>
    <mergeCell ref="AJ12:AP12"/>
    <mergeCell ref="AQ12:AW12"/>
    <mergeCell ref="O13:Q16"/>
    <mergeCell ref="S13:U16"/>
    <mergeCell ref="V13:X16"/>
    <mergeCell ref="Y13:Y16"/>
    <mergeCell ref="Z13:AB16"/>
    <mergeCell ref="AC13:AE16"/>
    <mergeCell ref="AF13:AF16"/>
    <mergeCell ref="AG13:AI16"/>
    <mergeCell ref="AJ13:AL16"/>
    <mergeCell ref="AM13:AM16"/>
    <mergeCell ref="AX9:AX11"/>
    <mergeCell ref="AY9:AY11"/>
    <mergeCell ref="AZ9:AZ11"/>
    <mergeCell ref="BA9:BA11"/>
    <mergeCell ref="BB9:BB11"/>
    <mergeCell ref="BC9:BC11"/>
    <mergeCell ref="BD9:BD11"/>
    <mergeCell ref="BE9:BE11"/>
    <mergeCell ref="BF9:BF11"/>
    <mergeCell ref="BG9:BG11"/>
    <mergeCell ref="BH9:BH11"/>
    <mergeCell ref="BI9:BI11"/>
    <mergeCell ref="BJ9:BJ11"/>
    <mergeCell ref="J9:J11"/>
    <mergeCell ref="V9:V11"/>
    <mergeCell ref="W9:W11"/>
    <mergeCell ref="X9:X11"/>
    <mergeCell ref="Y9:Y11"/>
    <mergeCell ref="K9:K11"/>
    <mergeCell ref="L9:L11"/>
    <mergeCell ref="M9:M11"/>
    <mergeCell ref="N9:N11"/>
    <mergeCell ref="P9:P11"/>
    <mergeCell ref="Z9:Z11"/>
    <mergeCell ref="AA9:AA11"/>
    <mergeCell ref="AB9:AB11"/>
    <mergeCell ref="AC9:AC11"/>
    <mergeCell ref="AD9:AD11"/>
    <mergeCell ref="AE9:AE11"/>
    <mergeCell ref="AH9:AH11"/>
    <mergeCell ref="AU9:AU11"/>
    <mergeCell ref="AV9:AV11"/>
    <mergeCell ref="AW9:AW11"/>
    <mergeCell ref="AI9:AI11"/>
    <mergeCell ref="AJ9:AJ11"/>
    <mergeCell ref="AK9:AK11"/>
    <mergeCell ref="AL9:AL11"/>
    <mergeCell ref="AM9:AM11"/>
    <mergeCell ref="AN9:AN11"/>
    <mergeCell ref="AO9:AO11"/>
    <mergeCell ref="AP9:AP11"/>
    <mergeCell ref="AQ9:AQ11"/>
    <mergeCell ref="AR9:AR11"/>
    <mergeCell ref="AS9:AS11"/>
    <mergeCell ref="CN9:CN11"/>
    <mergeCell ref="CO9:CO11"/>
    <mergeCell ref="CP9:CP11"/>
    <mergeCell ref="CQ9:CQ11"/>
    <mergeCell ref="CR9:CR11"/>
    <mergeCell ref="CS9:CS11"/>
    <mergeCell ref="CQ21:CQ22"/>
    <mergeCell ref="CR21:CR22"/>
    <mergeCell ref="CS21:CS22"/>
    <mergeCell ref="DD21:DD22"/>
    <mergeCell ref="DE21:DE22"/>
    <mergeCell ref="DN21:DN22"/>
    <mergeCell ref="CU21:CU22"/>
    <mergeCell ref="CV21:CV22"/>
    <mergeCell ref="CW21:CW22"/>
    <mergeCell ref="CX21:CX22"/>
    <mergeCell ref="CY21:CY22"/>
    <mergeCell ref="DJ21:DJ22"/>
    <mergeCell ref="DV21:DV22"/>
    <mergeCell ref="DM21:DM22"/>
    <mergeCell ref="DW12:EC12"/>
    <mergeCell ref="DZ9:DZ11"/>
    <mergeCell ref="EA9:EA11"/>
    <mergeCell ref="EB9:EB11"/>
    <mergeCell ref="EC9:EC11"/>
    <mergeCell ref="BK9:BK11"/>
    <mergeCell ref="BL9:BL11"/>
    <mergeCell ref="BM9:BM11"/>
    <mergeCell ref="BN9:BN11"/>
    <mergeCell ref="BO9:BO11"/>
    <mergeCell ref="BP9:BP11"/>
    <mergeCell ref="BQ9:BQ11"/>
    <mergeCell ref="BR9:BR11"/>
    <mergeCell ref="BS9:BS11"/>
    <mergeCell ref="BT9:BT11"/>
    <mergeCell ref="BU9:BU11"/>
    <mergeCell ref="CF9:CF11"/>
    <mergeCell ref="CG9:CG11"/>
    <mergeCell ref="BV9:BV11"/>
    <mergeCell ref="BW9:BW11"/>
    <mergeCell ref="BX9:BX11"/>
    <mergeCell ref="BY9:BY11"/>
    <mergeCell ref="BZ9:BZ11"/>
    <mergeCell ref="CA9:CA11"/>
    <mergeCell ref="CC9:CC11"/>
    <mergeCell ref="CD9:CD11"/>
    <mergeCell ref="CE9:CE11"/>
    <mergeCell ref="CB9:CB11"/>
    <mergeCell ref="CH9:CH11"/>
    <mergeCell ref="CI9:CI11"/>
    <mergeCell ref="CJ9:CJ11"/>
    <mergeCell ref="CK9:CK11"/>
    <mergeCell ref="CL9:CL11"/>
    <mergeCell ref="CM9:CM11"/>
    <mergeCell ref="DB9:DB11"/>
    <mergeCell ref="DC9:DC11"/>
    <mergeCell ref="DD9:DD11"/>
    <mergeCell ref="DE9:DE11"/>
    <mergeCell ref="CT9:CT11"/>
    <mergeCell ref="CU9:CU11"/>
    <mergeCell ref="CV9:CV11"/>
    <mergeCell ref="CW9:CW11"/>
    <mergeCell ref="CX9:CX11"/>
    <mergeCell ref="CY9:CY11"/>
    <mergeCell ref="B25:B26"/>
    <mergeCell ref="F25:F26"/>
    <mergeCell ref="G25:G26"/>
    <mergeCell ref="H25:H26"/>
    <mergeCell ref="I25:I26"/>
    <mergeCell ref="J25:J26"/>
    <mergeCell ref="K25:K26"/>
    <mergeCell ref="M25:M26"/>
    <mergeCell ref="AA25:AA26"/>
    <mergeCell ref="AH25:AH26"/>
    <mergeCell ref="AG25:AG26"/>
    <mergeCell ref="AD25:AD26"/>
    <mergeCell ref="AC25:AC26"/>
    <mergeCell ref="AF25:AF26"/>
    <mergeCell ref="F27:F28"/>
    <mergeCell ref="G27:G28"/>
    <mergeCell ref="W25:W26"/>
    <mergeCell ref="X25:X26"/>
    <mergeCell ref="O25:O26"/>
    <mergeCell ref="P25:P26"/>
    <mergeCell ref="V25:V26"/>
    <mergeCell ref="L27:L28"/>
    <mergeCell ref="R27:R28"/>
    <mergeCell ref="L25:L26"/>
    <mergeCell ref="AP25:AP26"/>
    <mergeCell ref="U25:U26"/>
    <mergeCell ref="AB25:AB26"/>
    <mergeCell ref="AI25:AI26"/>
    <mergeCell ref="Y25:Y26"/>
    <mergeCell ref="U27:U28"/>
    <mergeCell ref="V27:V28"/>
    <mergeCell ref="W27:W28"/>
    <mergeCell ref="X27:X28"/>
    <mergeCell ref="AE25:AE26"/>
    <mergeCell ref="M27:M28"/>
    <mergeCell ref="N27:N28"/>
    <mergeCell ref="O27:O28"/>
    <mergeCell ref="P27:P28"/>
    <mergeCell ref="Q27:Q28"/>
    <mergeCell ref="T27:T28"/>
    <mergeCell ref="S27:S28"/>
    <mergeCell ref="Y27:Y28"/>
    <mergeCell ref="Z27:Z28"/>
    <mergeCell ref="AA27:AA28"/>
    <mergeCell ref="AB27:AB28"/>
    <mergeCell ref="AC27:AC28"/>
    <mergeCell ref="AD27:AD28"/>
    <mergeCell ref="AN27:AN28"/>
    <mergeCell ref="AO27:AO28"/>
    <mergeCell ref="AP27:AP28"/>
    <mergeCell ref="AE27:AE28"/>
    <mergeCell ref="AF27:AF28"/>
    <mergeCell ref="AG27:AG28"/>
    <mergeCell ref="AH27:AH28"/>
    <mergeCell ref="AI27:AI28"/>
    <mergeCell ref="AJ27:AJ28"/>
    <mergeCell ref="AM25:AM26"/>
    <mergeCell ref="AJ25:AJ26"/>
    <mergeCell ref="AK27:AK28"/>
    <mergeCell ref="AL27:AL28"/>
    <mergeCell ref="AM27:AM28"/>
    <mergeCell ref="Q25:Q26"/>
    <mergeCell ref="R25:R26"/>
    <mergeCell ref="S25:S26"/>
    <mergeCell ref="DX27:DX28"/>
    <mergeCell ref="DY27:DY28"/>
    <mergeCell ref="DZ27:DZ28"/>
    <mergeCell ref="EB27:EB28"/>
    <mergeCell ref="AX27:AX28"/>
    <mergeCell ref="AY27:AY28"/>
    <mergeCell ref="AZ27:AZ28"/>
    <mergeCell ref="BA27:BA28"/>
    <mergeCell ref="AW25:AW26"/>
    <mergeCell ref="DX29:DX30"/>
    <mergeCell ref="DY29:DY30"/>
    <mergeCell ref="DZ29:DZ30"/>
    <mergeCell ref="EA29:EA30"/>
    <mergeCell ref="EB29:EB30"/>
    <mergeCell ref="DW27:DW28"/>
    <mergeCell ref="DW29:DW30"/>
    <mergeCell ref="DW31:DW32"/>
    <mergeCell ref="DW23:DW24"/>
    <mergeCell ref="DW25:DW26"/>
    <mergeCell ref="DR27:DR28"/>
    <mergeCell ref="DS27:DS28"/>
    <mergeCell ref="DV25:DV26"/>
    <mergeCell ref="DR31:DR32"/>
    <mergeCell ref="DU29:DU30"/>
    <mergeCell ref="DU25:DU26"/>
    <mergeCell ref="DV29:DV30"/>
    <mergeCell ref="AO23:AO24"/>
    <mergeCell ref="AP23:AP24"/>
    <mergeCell ref="AJ23:AJ24"/>
    <mergeCell ref="AK23:AK24"/>
    <mergeCell ref="AT23:AT24"/>
    <mergeCell ref="AU23:AU24"/>
    <mergeCell ref="AQ23:AQ24"/>
    <mergeCell ref="AR23:AR24"/>
    <mergeCell ref="AS23:AS24"/>
    <mergeCell ref="AN23:AN24"/>
    <mergeCell ref="AQ25:AQ26"/>
    <mergeCell ref="AR25:AR26"/>
    <mergeCell ref="AS25:AS26"/>
    <mergeCell ref="AT25:AT26"/>
    <mergeCell ref="AU25:AU26"/>
    <mergeCell ref="AV25:AV26"/>
    <mergeCell ref="AQ27:AQ28"/>
    <mergeCell ref="AR27:AR28"/>
    <mergeCell ref="AS27:AS28"/>
    <mergeCell ref="AT27:AT28"/>
    <mergeCell ref="AU27:AU28"/>
    <mergeCell ref="AX23:AX24"/>
    <mergeCell ref="AV23:AV24"/>
    <mergeCell ref="EB25:EB26"/>
    <mergeCell ref="BB23:BB24"/>
    <mergeCell ref="BC23:BC24"/>
    <mergeCell ref="AX25:AX26"/>
    <mergeCell ref="AY25:AY26"/>
    <mergeCell ref="AZ25:AZ26"/>
    <mergeCell ref="BA25:BA26"/>
    <mergeCell ref="BB25:BB26"/>
    <mergeCell ref="BC25:BC26"/>
    <mergeCell ref="BB27:BB28"/>
    <mergeCell ref="BC27:BC28"/>
    <mergeCell ref="BD27:BD28"/>
    <mergeCell ref="BE23:BE24"/>
    <mergeCell ref="BF23:BF24"/>
    <mergeCell ref="BG23:BG24"/>
    <mergeCell ref="BO23:BO24"/>
    <mergeCell ref="BP23:BP24"/>
    <mergeCell ref="BQ23:BQ24"/>
    <mergeCell ref="BR23:BR24"/>
    <mergeCell ref="BU23:BU24"/>
    <mergeCell ref="BV23:BV24"/>
    <mergeCell ref="BW23:BW24"/>
    <mergeCell ref="BX23:BX24"/>
    <mergeCell ref="BR25:BR26"/>
    <mergeCell ref="BL27:BL28"/>
    <mergeCell ref="BM27:BM28"/>
    <mergeCell ref="BN27:BN28"/>
    <mergeCell ref="BO27:BO28"/>
    <mergeCell ref="BP27:BP28"/>
    <mergeCell ref="BY23:BY24"/>
    <mergeCell ref="BS25:BS26"/>
    <mergeCell ref="BT25:BT26"/>
    <mergeCell ref="BU25:BU26"/>
    <mergeCell ref="BV25:BV26"/>
    <mergeCell ref="BW25:BW26"/>
    <mergeCell ref="BX25:BX26"/>
    <mergeCell ref="BY25:BY26"/>
    <mergeCell ref="BS23:BS24"/>
    <mergeCell ref="BT23:BT24"/>
    <mergeCell ref="BS27:BS28"/>
    <mergeCell ref="BT27:BT28"/>
    <mergeCell ref="BU27:BU28"/>
    <mergeCell ref="BV27:BV28"/>
    <mergeCell ref="BW27:BW28"/>
    <mergeCell ref="BX27:BX28"/>
    <mergeCell ref="BY27:BY28"/>
    <mergeCell ref="CO27:CO28"/>
    <mergeCell ref="CP27:CP28"/>
    <mergeCell ref="CN23:CN24"/>
    <mergeCell ref="CO23:CO24"/>
    <mergeCell ref="CG27:CG28"/>
    <mergeCell ref="CH27:CH28"/>
    <mergeCell ref="CI27:CI28"/>
    <mergeCell ref="CJ27:CJ28"/>
    <mergeCell ref="CK27:CK28"/>
    <mergeCell ref="CN27:CN28"/>
    <mergeCell ref="CM27:CM28"/>
    <mergeCell ref="BZ23:BZ24"/>
    <mergeCell ref="CA23:CA24"/>
    <mergeCell ref="CB23:CB24"/>
    <mergeCell ref="CC23:CC24"/>
    <mergeCell ref="CD23:CD24"/>
    <mergeCell ref="BZ27:BZ28"/>
    <mergeCell ref="CA27:CA28"/>
    <mergeCell ref="CB27:CB28"/>
    <mergeCell ref="CC27:CC28"/>
    <mergeCell ref="BZ25:BZ26"/>
    <mergeCell ref="CA25:CA26"/>
    <mergeCell ref="CB25:CB26"/>
    <mergeCell ref="CC25:CC26"/>
    <mergeCell ref="CD25:CD26"/>
    <mergeCell ref="CE25:CE26"/>
    <mergeCell ref="CD27:CD28"/>
    <mergeCell ref="CE27:CE28"/>
    <mergeCell ref="CF27:CF28"/>
    <mergeCell ref="CG23:CG24"/>
    <mergeCell ref="CH23:CH24"/>
    <mergeCell ref="CI23:CI24"/>
    <mergeCell ref="CE23:CE24"/>
    <mergeCell ref="CF23:CF24"/>
    <mergeCell ref="CF25:CF26"/>
    <mergeCell ref="CG25:CG26"/>
    <mergeCell ref="CH25:CH26"/>
    <mergeCell ref="CI25:CI26"/>
    <mergeCell ref="CJ25:CJ26"/>
    <mergeCell ref="CK25:CK26"/>
    <mergeCell ref="CL25:CL26"/>
    <mergeCell ref="CL27:CL28"/>
    <mergeCell ref="CJ23:CJ24"/>
    <mergeCell ref="CK23:CK24"/>
    <mergeCell ref="DO25:DO26"/>
    <mergeCell ref="DI23:DI24"/>
    <mergeCell ref="DJ23:DJ24"/>
    <mergeCell ref="DK23:DK24"/>
    <mergeCell ref="DL23:DL24"/>
    <mergeCell ref="DM23:DM24"/>
    <mergeCell ref="DN23:DN24"/>
    <mergeCell ref="DI25:DI26"/>
    <mergeCell ref="DJ25:DJ26"/>
    <mergeCell ref="DK25:DK26"/>
    <mergeCell ref="DL25:DL26"/>
    <mergeCell ref="DM25:DM26"/>
    <mergeCell ref="DN25:DN26"/>
    <mergeCell ref="DI27:DI28"/>
    <mergeCell ref="DJ27:DJ28"/>
    <mergeCell ref="DK27:DK28"/>
    <mergeCell ref="DL27:DL28"/>
    <mergeCell ref="DM27:DM28"/>
    <mergeCell ref="DN27:DN28"/>
    <mergeCell ref="DO27:DO28"/>
    <mergeCell ref="CS23:CS24"/>
    <mergeCell ref="CM25:CM26"/>
    <mergeCell ref="CN25:CN26"/>
    <mergeCell ref="CO25:CO26"/>
    <mergeCell ref="CP25:CP26"/>
    <mergeCell ref="CQ25:CQ26"/>
    <mergeCell ref="CR25:CR26"/>
    <mergeCell ref="CS25:CS26"/>
    <mergeCell ref="CQ27:CQ28"/>
    <mergeCell ref="CR27:CR28"/>
    <mergeCell ref="CS27:CS28"/>
    <mergeCell ref="CT27:CT28"/>
    <mergeCell ref="CU23:CU24"/>
    <mergeCell ref="CV23:CV24"/>
    <mergeCell ref="CT23:CT24"/>
    <mergeCell ref="CT25:CT26"/>
    <mergeCell ref="CQ23:CQ24"/>
    <mergeCell ref="CR23:CR24"/>
    <mergeCell ref="CW23:CW24"/>
    <mergeCell ref="CX23:CX24"/>
    <mergeCell ref="CU27:CU28"/>
    <mergeCell ref="CV27:CV28"/>
    <mergeCell ref="CW27:CW28"/>
    <mergeCell ref="CX27:CX28"/>
    <mergeCell ref="CU25:CU26"/>
    <mergeCell ref="CV25:CV26"/>
    <mergeCell ref="CW25:CW26"/>
    <mergeCell ref="CX25:CX26"/>
    <mergeCell ref="DQ23:DQ24"/>
    <mergeCell ref="DR23:DR24"/>
    <mergeCell ref="DS23:DS24"/>
    <mergeCell ref="DT23:DT24"/>
    <mergeCell ref="DP27:DP28"/>
    <mergeCell ref="DQ27:DQ28"/>
    <mergeCell ref="DT27:DT28"/>
    <mergeCell ref="DO23:DO24"/>
    <mergeCell ref="DU27:DU28"/>
    <mergeCell ref="DV27:DV28"/>
    <mergeCell ref="DU23:DU24"/>
    <mergeCell ref="DV23:DV24"/>
    <mergeCell ref="DP25:DP26"/>
    <mergeCell ref="DQ25:DQ26"/>
    <mergeCell ref="DR25:DR26"/>
    <mergeCell ref="DS25:DS26"/>
    <mergeCell ref="DT25:DT26"/>
    <mergeCell ref="L17:L18"/>
    <mergeCell ref="M17:M18"/>
    <mergeCell ref="N17:N18"/>
    <mergeCell ref="P17:P18"/>
    <mergeCell ref="Q17:Q18"/>
    <mergeCell ref="R17:R18"/>
    <mergeCell ref="S17:S18"/>
    <mergeCell ref="T17:T18"/>
    <mergeCell ref="U17:U18"/>
    <mergeCell ref="V17:V18"/>
    <mergeCell ref="W17:W18"/>
    <mergeCell ref="X17:X18"/>
    <mergeCell ref="Y17:Y18"/>
    <mergeCell ref="Z17:Z18"/>
    <mergeCell ref="AA17:AA18"/>
    <mergeCell ref="AB17:AB18"/>
    <mergeCell ref="AC17:AC18"/>
    <mergeCell ref="AD17:AD18"/>
    <mergeCell ref="CY25:CY26"/>
    <mergeCell ref="CZ25:CZ26"/>
    <mergeCell ref="CY27:CY28"/>
    <mergeCell ref="CZ27:CZ28"/>
    <mergeCell ref="DA27:DA28"/>
    <mergeCell ref="DB23:DB24"/>
    <mergeCell ref="DC23:DC24"/>
    <mergeCell ref="DD23:DD24"/>
    <mergeCell ref="CZ23:CZ24"/>
    <mergeCell ref="DA23:DA24"/>
    <mergeCell ref="DA25:DA26"/>
    <mergeCell ref="DE23:DE24"/>
    <mergeCell ref="DF23:DF24"/>
    <mergeCell ref="DG23:DG24"/>
    <mergeCell ref="DH23:DH24"/>
    <mergeCell ref="DB25:DB26"/>
    <mergeCell ref="DC25:DC26"/>
    <mergeCell ref="DD25:DD26"/>
    <mergeCell ref="DE25:DE26"/>
    <mergeCell ref="DF25:DF26"/>
    <mergeCell ref="DG25:DG26"/>
    <mergeCell ref="DH25:DH26"/>
    <mergeCell ref="DB27:DB28"/>
    <mergeCell ref="DC27:DC28"/>
    <mergeCell ref="DD27:DD28"/>
    <mergeCell ref="DE27:DE28"/>
    <mergeCell ref="DF27:DF28"/>
    <mergeCell ref="DG27:DG28"/>
    <mergeCell ref="DH27:DH28"/>
    <mergeCell ref="AE17:AE18"/>
    <mergeCell ref="AF17:AF18"/>
    <mergeCell ref="AG17:AG18"/>
    <mergeCell ref="AH17:AH18"/>
    <mergeCell ref="AI17:AI18"/>
    <mergeCell ref="AJ17:AJ18"/>
    <mergeCell ref="AK17:AK18"/>
    <mergeCell ref="AL17:AL18"/>
    <mergeCell ref="AM17:AM18"/>
    <mergeCell ref="AN17:AN18"/>
    <mergeCell ref="AO17:AO18"/>
    <mergeCell ref="AP17:AP18"/>
    <mergeCell ref="AN13:AP16"/>
    <mergeCell ref="AT13:AT16"/>
    <mergeCell ref="AU13:AW16"/>
    <mergeCell ref="AW17:AW18"/>
    <mergeCell ref="AQ17:AQ18"/>
    <mergeCell ref="AR17:AR18"/>
    <mergeCell ref="AS17:AS18"/>
    <mergeCell ref="AT17:AT18"/>
    <mergeCell ref="AU17:AU18"/>
    <mergeCell ref="AV17:AV18"/>
    <mergeCell ref="AQ13:AS16"/>
    <mergeCell ref="AX17:AX18"/>
    <mergeCell ref="AX13:AZ16"/>
    <mergeCell ref="O17:O18"/>
    <mergeCell ref="BV13:BV16"/>
    <mergeCell ref="BA13:BA16"/>
    <mergeCell ref="AY17:AY18"/>
    <mergeCell ref="AZ17:AZ18"/>
    <mergeCell ref="BA17:BA18"/>
    <mergeCell ref="BB17:BB18"/>
    <mergeCell ref="BC17:BC18"/>
    <mergeCell ref="BD17:BD18"/>
    <mergeCell ref="BE17:BE18"/>
    <mergeCell ref="BF17:BF18"/>
    <mergeCell ref="BG17:BG18"/>
    <mergeCell ref="BH17:BH18"/>
    <mergeCell ref="BI17:BI18"/>
    <mergeCell ref="BJ17:BJ18"/>
    <mergeCell ref="BK17:BK18"/>
    <mergeCell ref="BO17:BO18"/>
    <mergeCell ref="BP17:BP18"/>
    <mergeCell ref="BQ17:BQ18"/>
    <mergeCell ref="BR17:BR18"/>
    <mergeCell ref="BS17:BS18"/>
    <mergeCell ref="BT17:BT18"/>
    <mergeCell ref="DX21:DX22"/>
    <mergeCell ref="EC21:EC22"/>
    <mergeCell ref="DY21:DY22"/>
    <mergeCell ref="EB21:EB22"/>
    <mergeCell ref="DX9:DX11"/>
    <mergeCell ref="DY9:DY11"/>
    <mergeCell ref="EB17:EB18"/>
    <mergeCell ref="EC17:EC18"/>
    <mergeCell ref="DY23:DY24"/>
    <mergeCell ref="DZ23:DZ24"/>
    <mergeCell ref="EA23:EA24"/>
    <mergeCell ref="EB23:EB24"/>
    <mergeCell ref="DZ13:DZ16"/>
    <mergeCell ref="EA13:EC16"/>
    <mergeCell ref="DY17:DY18"/>
    <mergeCell ref="DZ17:DZ18"/>
    <mergeCell ref="EC23:EC24"/>
    <mergeCell ref="EA17:EA18"/>
    <mergeCell ref="AX12:BD12"/>
    <mergeCell ref="BE12:BK12"/>
    <mergeCell ref="BL12:BR12"/>
    <mergeCell ref="BS12:BY12"/>
    <mergeCell ref="BZ12:CF12"/>
    <mergeCell ref="CG12:CM12"/>
    <mergeCell ref="CN12:CT12"/>
    <mergeCell ref="CU12:DA12"/>
    <mergeCell ref="DB12:DH12"/>
    <mergeCell ref="DI12:DO12"/>
    <mergeCell ref="CD13:CF16"/>
    <mergeCell ref="CG13:CI16"/>
    <mergeCell ref="CJ13:CJ16"/>
    <mergeCell ref="CK13:CM16"/>
    <mergeCell ref="CN13:CP16"/>
    <mergeCell ref="CQ13:CQ16"/>
    <mergeCell ref="CR13:CT16"/>
    <mergeCell ref="CU13:CW16"/>
    <mergeCell ref="CY23:CY24"/>
    <mergeCell ref="CM23:CM24"/>
    <mergeCell ref="CP23:CP24"/>
    <mergeCell ref="CL23:CL24"/>
    <mergeCell ref="BK23:BK24"/>
    <mergeCell ref="DF9:DF11"/>
    <mergeCell ref="DG9:DG11"/>
    <mergeCell ref="DH9:DH11"/>
    <mergeCell ref="DI9:DI11"/>
    <mergeCell ref="DJ9:DJ11"/>
    <mergeCell ref="DK9:DK11"/>
    <mergeCell ref="DL9:DL11"/>
    <mergeCell ref="DM9:DM11"/>
    <mergeCell ref="DN9:DN11"/>
    <mergeCell ref="DO9:DO11"/>
    <mergeCell ref="DP9:DP11"/>
    <mergeCell ref="DQ9:DQ11"/>
    <mergeCell ref="DR9:DR11"/>
    <mergeCell ref="DS9:DS11"/>
    <mergeCell ref="DT9:DT11"/>
    <mergeCell ref="DU9:DU11"/>
    <mergeCell ref="DW21:DW22"/>
    <mergeCell ref="DV9:DV11"/>
    <mergeCell ref="DW9:DW11"/>
    <mergeCell ref="BW13:BY16"/>
    <mergeCell ref="BZ13:CB16"/>
    <mergeCell ref="CC13:CC16"/>
    <mergeCell ref="DP23:DP24"/>
    <mergeCell ref="EC25:EC26"/>
    <mergeCell ref="EA27:EA28"/>
    <mergeCell ref="EC27:EC28"/>
    <mergeCell ref="EC29:EC30"/>
    <mergeCell ref="DX31:DX32"/>
    <mergeCell ref="DY31:DY32"/>
    <mergeCell ref="DZ31:DZ32"/>
    <mergeCell ref="EA31:EA32"/>
    <mergeCell ref="EB31:EB32"/>
    <mergeCell ref="EC31:EC32"/>
    <mergeCell ref="ED9:ED11"/>
    <mergeCell ref="EE9:EE11"/>
    <mergeCell ref="EF9:EF11"/>
    <mergeCell ref="EG9:EG11"/>
    <mergeCell ref="EH9:EH11"/>
    <mergeCell ref="EG17:EG18"/>
    <mergeCell ref="EH17:EH18"/>
    <mergeCell ref="EG13:EG16"/>
    <mergeCell ref="EH13:EJ16"/>
    <mergeCell ref="EJ17:EJ18"/>
    <mergeCell ref="EI9:EI11"/>
    <mergeCell ref="EJ9:EJ11"/>
    <mergeCell ref="ED21:ED22"/>
    <mergeCell ref="EE21:EE22"/>
    <mergeCell ref="EF21:EF22"/>
    <mergeCell ref="EG21:EG22"/>
    <mergeCell ref="EH21:EH22"/>
    <mergeCell ref="EI21:EI22"/>
    <mergeCell ref="EJ21:EJ22"/>
    <mergeCell ref="ED12:EJ12"/>
    <mergeCell ref="ED23:ED24"/>
    <mergeCell ref="EE23:EE24"/>
    <mergeCell ref="EF23:EF24"/>
    <mergeCell ref="EG23:EG24"/>
    <mergeCell ref="EH23:EH24"/>
    <mergeCell ref="EI23:EI24"/>
    <mergeCell ref="ED25:ED26"/>
    <mergeCell ref="EE25:EE26"/>
    <mergeCell ref="EF25:EF26"/>
    <mergeCell ref="EG25:EG26"/>
    <mergeCell ref="EH25:EH26"/>
    <mergeCell ref="EI25:EI26"/>
    <mergeCell ref="ED27:ED28"/>
    <mergeCell ref="EE27:EE28"/>
    <mergeCell ref="EF27:EF28"/>
    <mergeCell ref="EG27:EG28"/>
    <mergeCell ref="EH27:EH28"/>
    <mergeCell ref="EI27:EI28"/>
    <mergeCell ref="ED29:ED30"/>
    <mergeCell ref="EE29:EE30"/>
    <mergeCell ref="EF29:EF30"/>
    <mergeCell ref="EG29:EG30"/>
    <mergeCell ref="EH29:EH30"/>
    <mergeCell ref="EI29:EI30"/>
    <mergeCell ref="ED17:ED18"/>
    <mergeCell ref="EE17:EE18"/>
    <mergeCell ref="EF17:EF18"/>
    <mergeCell ref="EI17:EI18"/>
    <mergeCell ref="DX17:DX18"/>
    <mergeCell ref="ED31:ED32"/>
    <mergeCell ref="EE31:EE32"/>
    <mergeCell ref="EF31:EF32"/>
    <mergeCell ref="EG31:EG32"/>
    <mergeCell ref="EH31:EH32"/>
    <mergeCell ref="EI31:EI32"/>
    <mergeCell ref="EJ31:EJ32"/>
    <mergeCell ref="EK12:EQ12"/>
    <mergeCell ref="EJ27:EJ28"/>
    <mergeCell ref="EJ29:EJ30"/>
    <mergeCell ref="EJ23:EJ24"/>
    <mergeCell ref="EJ25:EJ26"/>
    <mergeCell ref="EO17:EO18"/>
    <mergeCell ref="EP17:EP18"/>
    <mergeCell ref="EQ17:EQ18"/>
    <mergeCell ref="EK23:EK24"/>
    <mergeCell ref="EO9:EO11"/>
    <mergeCell ref="EP9:EP11"/>
    <mergeCell ref="EQ9:EQ11"/>
    <mergeCell ref="EK21:EK22"/>
    <mergeCell ref="EL21:EL22"/>
    <mergeCell ref="EM21:EM22"/>
    <mergeCell ref="EN21:EN22"/>
    <mergeCell ref="EO21:EO22"/>
    <mergeCell ref="EP21:EP22"/>
    <mergeCell ref="EQ21:EQ22"/>
    <mergeCell ref="EL23:EL24"/>
    <mergeCell ref="EM23:EM24"/>
    <mergeCell ref="EN23:EN24"/>
    <mergeCell ref="EO23:EO24"/>
    <mergeCell ref="EP23:EP24"/>
    <mergeCell ref="EK25:EK26"/>
    <mergeCell ref="EL25:EL26"/>
    <mergeCell ref="EM25:EM26"/>
    <mergeCell ref="EN25:EN26"/>
    <mergeCell ref="EO25:EO26"/>
    <mergeCell ref="EN29:EN30"/>
    <mergeCell ref="EO29:EO30"/>
    <mergeCell ref="EP29:EP30"/>
    <mergeCell ref="EP25:EP26"/>
    <mergeCell ref="EK27:EK28"/>
    <mergeCell ref="EL27:EL28"/>
    <mergeCell ref="EM27:EM28"/>
    <mergeCell ref="EN27:EN28"/>
    <mergeCell ref="EO27:EO28"/>
    <mergeCell ref="EP27:EP28"/>
    <mergeCell ref="EM17:EM18"/>
    <mergeCell ref="EN17:EN18"/>
    <mergeCell ref="EK17:EK18"/>
    <mergeCell ref="EL17:EL18"/>
    <mergeCell ref="EK31:EK32"/>
    <mergeCell ref="EL31:EL32"/>
    <mergeCell ref="EM31:EM32"/>
    <mergeCell ref="EN31:EN32"/>
    <mergeCell ref="EO31:EO32"/>
    <mergeCell ref="EP31:EP32"/>
    <mergeCell ref="EK29:EK30"/>
    <mergeCell ref="EL29:EL30"/>
    <mergeCell ref="EM29:EM30"/>
    <mergeCell ref="EX21:EX22"/>
    <mergeCell ref="EQ31:EQ32"/>
    <mergeCell ref="EQ27:EQ28"/>
    <mergeCell ref="EQ29:EQ30"/>
    <mergeCell ref="EQ23:EQ24"/>
    <mergeCell ref="EQ25:EQ26"/>
    <mergeCell ref="ER21:ER22"/>
    <mergeCell ref="ES21:ES22"/>
    <mergeCell ref="ET21:ET22"/>
    <mergeCell ref="EU21:EU22"/>
    <mergeCell ref="EV21:EV22"/>
    <mergeCell ref="EW21:EW22"/>
    <mergeCell ref="EW25:EW26"/>
    <mergeCell ref="EX25:EX26"/>
    <mergeCell ref="ER23:ER24"/>
    <mergeCell ref="ES23:ES24"/>
    <mergeCell ref="ET23:ET24"/>
    <mergeCell ref="EU23:EU24"/>
    <mergeCell ref="EV23:EV24"/>
    <mergeCell ref="EW23:EW24"/>
    <mergeCell ref="ET27:ET28"/>
    <mergeCell ref="EU27:EU28"/>
    <mergeCell ref="EV27:EV28"/>
    <mergeCell ref="EW27:EW28"/>
    <mergeCell ref="EX23:EX24"/>
    <mergeCell ref="ER25:ER26"/>
    <mergeCell ref="ES25:ES26"/>
    <mergeCell ref="ET25:ET26"/>
    <mergeCell ref="EU25:EU26"/>
    <mergeCell ref="EV25:EV26"/>
    <mergeCell ref="EX27:EX28"/>
    <mergeCell ref="ER29:ER30"/>
    <mergeCell ref="ES29:ES30"/>
    <mergeCell ref="ET29:ET30"/>
    <mergeCell ref="EU29:EU30"/>
    <mergeCell ref="EV29:EV30"/>
    <mergeCell ref="EW29:EW30"/>
    <mergeCell ref="EX29:EX30"/>
    <mergeCell ref="ER27:ER28"/>
    <mergeCell ref="ES27:ES28"/>
    <mergeCell ref="EX31:EX32"/>
    <mergeCell ref="ER31:ER32"/>
    <mergeCell ref="ES31:ES32"/>
    <mergeCell ref="ET31:ET32"/>
    <mergeCell ref="EU31:EU32"/>
    <mergeCell ref="EV31:EV32"/>
    <mergeCell ref="EW31:EW32"/>
    <mergeCell ref="EY21:EY22"/>
    <mergeCell ref="EY12:FE12"/>
    <mergeCell ref="BL17:BL18"/>
    <mergeCell ref="BM17:BM18"/>
    <mergeCell ref="BN17:BN18"/>
    <mergeCell ref="EZ21:EZ22"/>
    <mergeCell ref="FA21:FA22"/>
    <mergeCell ref="FB21:FB22"/>
    <mergeCell ref="FC21:FC22"/>
    <mergeCell ref="FD21:FD22"/>
    <mergeCell ref="FE21:FE22"/>
    <mergeCell ref="FF21:FF22"/>
    <mergeCell ref="FG21:FG22"/>
    <mergeCell ref="FH21:FH22"/>
    <mergeCell ref="FI21:FI22"/>
    <mergeCell ref="FJ21:FJ22"/>
    <mergeCell ref="FK21:FK22"/>
    <mergeCell ref="FL21:FL22"/>
    <mergeCell ref="FM21:FM22"/>
    <mergeCell ref="FN21:FN22"/>
    <mergeCell ref="FO21:FO22"/>
    <mergeCell ref="FP21:FP22"/>
    <mergeCell ref="FQ21:FQ22"/>
    <mergeCell ref="FR21:FR22"/>
    <mergeCell ref="FS21:FS22"/>
    <mergeCell ref="FT21:FT22"/>
    <mergeCell ref="FU21:FU22"/>
    <mergeCell ref="FV21:FV22"/>
    <mergeCell ref="FW21:FW22"/>
    <mergeCell ref="FX21:FX22"/>
    <mergeCell ref="FY21:FY22"/>
    <mergeCell ref="FZ21:FZ22"/>
    <mergeCell ref="GA21:GA22"/>
    <mergeCell ref="BY21:BY22"/>
    <mergeCell ref="BZ21:BZ22"/>
    <mergeCell ref="CA21:CA22"/>
    <mergeCell ref="CB21:CB22"/>
    <mergeCell ref="CC21:CC22"/>
    <mergeCell ref="CD21:CD22"/>
    <mergeCell ref="CE21:CE22"/>
    <mergeCell ref="CF21:CF22"/>
    <mergeCell ref="CG21:CG22"/>
    <mergeCell ref="CL21:CL22"/>
    <mergeCell ref="CM21:CM22"/>
    <mergeCell ref="CN21:CN22"/>
    <mergeCell ref="CO21:CO22"/>
    <mergeCell ref="CP21:CP22"/>
    <mergeCell ref="ER17:ER18"/>
    <mergeCell ref="ES17:ES18"/>
    <mergeCell ref="ET17:ET18"/>
    <mergeCell ref="EU17:EU18"/>
    <mergeCell ref="DS17:DS18"/>
    <mergeCell ref="DT17:DT18"/>
    <mergeCell ref="DU17:DU18"/>
    <mergeCell ref="DV17:DV18"/>
    <mergeCell ref="DW17:DW18"/>
    <mergeCell ref="DK17:DK18"/>
    <mergeCell ref="DL17:DL18"/>
    <mergeCell ref="DM17:DM18"/>
    <mergeCell ref="DN17:DN18"/>
    <mergeCell ref="DO17:DO18"/>
    <mergeCell ref="DP17:DP18"/>
    <mergeCell ref="DE17:DE18"/>
    <mergeCell ref="DF17:DF18"/>
    <mergeCell ref="GB21:GB22"/>
    <mergeCell ref="GC21:GC22"/>
    <mergeCell ref="GD21:GD22"/>
    <mergeCell ref="GE21:GE22"/>
    <mergeCell ref="GF21:GF22"/>
    <mergeCell ref="GG21:GG22"/>
    <mergeCell ref="GH21:GH22"/>
    <mergeCell ref="GI21:GI22"/>
    <mergeCell ref="GJ21:GJ22"/>
    <mergeCell ref="GK21:GK22"/>
    <mergeCell ref="GL21:GL22"/>
    <mergeCell ref="GM21:GM22"/>
    <mergeCell ref="GN21:GN22"/>
    <mergeCell ref="GO21:GO22"/>
    <mergeCell ref="GP21:GP22"/>
    <mergeCell ref="GQ21:GQ22"/>
    <mergeCell ref="GR21:GR22"/>
    <mergeCell ref="GS21:GS22"/>
    <mergeCell ref="GT21:GT22"/>
    <mergeCell ref="GU21:GU22"/>
    <mergeCell ref="GV21:GV22"/>
    <mergeCell ref="GW21:GW22"/>
    <mergeCell ref="GX21:GX22"/>
    <mergeCell ref="GY21:GY22"/>
    <mergeCell ref="GZ21:GZ22"/>
    <mergeCell ref="HA21:HA22"/>
    <mergeCell ref="HB21:HB22"/>
    <mergeCell ref="HC21:HC22"/>
    <mergeCell ref="HD21:HD22"/>
    <mergeCell ref="HE21:HE22"/>
    <mergeCell ref="HF21:HF22"/>
    <mergeCell ref="HG21:HG22"/>
    <mergeCell ref="HH21:HH22"/>
    <mergeCell ref="HI21:HI22"/>
    <mergeCell ref="HJ21:HJ22"/>
    <mergeCell ref="HK21:HK22"/>
    <mergeCell ref="HL21:HL22"/>
    <mergeCell ref="HM21:HM22"/>
    <mergeCell ref="HN21:HN22"/>
    <mergeCell ref="HO21:HO22"/>
    <mergeCell ref="HP21:HP22"/>
    <mergeCell ref="HQ21:HQ22"/>
    <mergeCell ref="HR21:HR22"/>
    <mergeCell ref="HS21:HS22"/>
    <mergeCell ref="HT21:HT22"/>
    <mergeCell ref="HU21:HU22"/>
    <mergeCell ref="HV21:HV22"/>
    <mergeCell ref="HW21:HW22"/>
    <mergeCell ref="HX21:HX22"/>
    <mergeCell ref="HY21:HY22"/>
    <mergeCell ref="HZ21:HZ22"/>
    <mergeCell ref="IA21:IA22"/>
    <mergeCell ref="IB21:IB22"/>
    <mergeCell ref="IC21:IC22"/>
    <mergeCell ref="ID21:ID22"/>
    <mergeCell ref="FE23:FE24"/>
    <mergeCell ref="FF23:FF24"/>
    <mergeCell ref="FG23:FG24"/>
    <mergeCell ref="FH23:FH24"/>
    <mergeCell ref="FI23:FI24"/>
    <mergeCell ref="FJ23:FJ24"/>
    <mergeCell ref="FK23:FK24"/>
    <mergeCell ref="FL23:FL24"/>
    <mergeCell ref="FM23:FM24"/>
    <mergeCell ref="IK21:IK22"/>
    <mergeCell ref="IE21:IE22"/>
    <mergeCell ref="IF21:IF22"/>
    <mergeCell ref="IG21:IG22"/>
    <mergeCell ref="IH21:IH22"/>
    <mergeCell ref="II21:II22"/>
    <mergeCell ref="IJ21:IJ22"/>
    <mergeCell ref="GO23:GO24"/>
    <mergeCell ref="GP23:GP24"/>
    <mergeCell ref="GQ23:GQ24"/>
    <mergeCell ref="GR23:GR24"/>
    <mergeCell ref="GS23:GS24"/>
    <mergeCell ref="GT23:GT24"/>
    <mergeCell ref="GU23:GU24"/>
    <mergeCell ref="GV23:GV24"/>
    <mergeCell ref="GW23:GW24"/>
    <mergeCell ref="GX23:GX24"/>
    <mergeCell ref="GY23:GY24"/>
    <mergeCell ref="GZ23:GZ24"/>
    <mergeCell ref="HA23:HA24"/>
    <mergeCell ref="HB23:HB24"/>
    <mergeCell ref="HC23:HC24"/>
    <mergeCell ref="HD23:HD24"/>
    <mergeCell ref="HE23:HE24"/>
    <mergeCell ref="HF23:HF24"/>
    <mergeCell ref="HG23:HG24"/>
    <mergeCell ref="HH23:HH24"/>
    <mergeCell ref="HI23:HI24"/>
    <mergeCell ref="HJ23:HJ24"/>
    <mergeCell ref="HK23:HK24"/>
    <mergeCell ref="HL23:HL24"/>
    <mergeCell ref="HM23:HM24"/>
    <mergeCell ref="HN23:HN24"/>
    <mergeCell ref="EY23:EY24"/>
    <mergeCell ref="EZ23:EZ24"/>
    <mergeCell ref="FA23:FA24"/>
    <mergeCell ref="FB23:FB24"/>
    <mergeCell ref="FC23:FC24"/>
    <mergeCell ref="FD23:FD24"/>
    <mergeCell ref="FN23:FN24"/>
    <mergeCell ref="FO23:FO24"/>
    <mergeCell ref="FP23:FP24"/>
    <mergeCell ref="FQ23:FQ24"/>
    <mergeCell ref="FR23:FR24"/>
    <mergeCell ref="FS23:FS24"/>
    <mergeCell ref="FT23:FT24"/>
    <mergeCell ref="FU23:FU24"/>
    <mergeCell ref="FV23:FV24"/>
    <mergeCell ref="FW23:FW24"/>
    <mergeCell ref="FX23:FX24"/>
    <mergeCell ref="FY23:FY24"/>
    <mergeCell ref="FZ23:FZ24"/>
    <mergeCell ref="GA23:GA24"/>
    <mergeCell ref="GB23:GB24"/>
    <mergeCell ref="GC23:GC24"/>
    <mergeCell ref="GD23:GD24"/>
    <mergeCell ref="GE23:GE24"/>
    <mergeCell ref="GF23:GF24"/>
    <mergeCell ref="GG23:GG24"/>
    <mergeCell ref="GH23:GH24"/>
    <mergeCell ref="GI23:GI24"/>
    <mergeCell ref="GJ23:GJ24"/>
    <mergeCell ref="GK23:GK24"/>
    <mergeCell ref="GL23:GL24"/>
    <mergeCell ref="GM23:GM24"/>
    <mergeCell ref="GN23:GN24"/>
    <mergeCell ref="HO23:HO24"/>
    <mergeCell ref="HP23:HP24"/>
    <mergeCell ref="HQ23:HQ24"/>
    <mergeCell ref="HR23:HR24"/>
    <mergeCell ref="HS23:HS24"/>
    <mergeCell ref="HT23:HT24"/>
    <mergeCell ref="HU23:HU24"/>
    <mergeCell ref="HV23:HV24"/>
    <mergeCell ref="HW23:HW24"/>
    <mergeCell ref="HX23:HX24"/>
    <mergeCell ref="HY23:HY24"/>
    <mergeCell ref="HZ23:HZ24"/>
    <mergeCell ref="IA23:IA24"/>
    <mergeCell ref="IH23:IH24"/>
    <mergeCell ref="II23:II24"/>
    <mergeCell ref="IJ23:IJ24"/>
    <mergeCell ref="IK23:IK24"/>
    <mergeCell ref="IB23:IB24"/>
    <mergeCell ref="IC23:IC24"/>
    <mergeCell ref="ID23:ID24"/>
    <mergeCell ref="IE23:IE24"/>
    <mergeCell ref="IF23:IF24"/>
    <mergeCell ref="IG23:IG24"/>
    <mergeCell ref="EY25:EY26"/>
    <mergeCell ref="EZ25:EZ26"/>
    <mergeCell ref="FA25:FA26"/>
    <mergeCell ref="FB25:FB26"/>
    <mergeCell ref="FC25:FC26"/>
    <mergeCell ref="FD25:FD26"/>
    <mergeCell ref="FE25:FE26"/>
    <mergeCell ref="FF25:FF26"/>
    <mergeCell ref="FG25:FG26"/>
    <mergeCell ref="FH25:FH26"/>
    <mergeCell ref="FI25:FI26"/>
    <mergeCell ref="FJ25:FJ26"/>
    <mergeCell ref="FK25:FK26"/>
    <mergeCell ref="FL25:FL26"/>
    <mergeCell ref="FM25:FM26"/>
    <mergeCell ref="FN25:FN26"/>
    <mergeCell ref="FO25:FO26"/>
    <mergeCell ref="FP25:FP26"/>
    <mergeCell ref="FQ25:FQ26"/>
    <mergeCell ref="FR25:FR26"/>
    <mergeCell ref="FS25:FS26"/>
    <mergeCell ref="FT25:FT26"/>
    <mergeCell ref="FU25:FU26"/>
    <mergeCell ref="FV25:FV26"/>
    <mergeCell ref="FW25:FW26"/>
    <mergeCell ref="FX25:FX26"/>
    <mergeCell ref="FY25:FY26"/>
    <mergeCell ref="FZ25:FZ26"/>
    <mergeCell ref="GA25:GA26"/>
    <mergeCell ref="GB25:GB26"/>
    <mergeCell ref="GC25:GC26"/>
    <mergeCell ref="GD25:GD26"/>
    <mergeCell ref="GE25:GE26"/>
    <mergeCell ref="GF25:GF26"/>
    <mergeCell ref="GG25:GG26"/>
    <mergeCell ref="GH25:GH26"/>
    <mergeCell ref="GI25:GI26"/>
    <mergeCell ref="GJ25:GJ26"/>
    <mergeCell ref="GK25:GK26"/>
    <mergeCell ref="GL25:GL26"/>
    <mergeCell ref="GM25:GM26"/>
    <mergeCell ref="GN25:GN26"/>
    <mergeCell ref="GO25:GO26"/>
    <mergeCell ref="GP25:GP26"/>
    <mergeCell ref="GQ25:GQ26"/>
    <mergeCell ref="GR25:GR26"/>
    <mergeCell ref="GS25:GS26"/>
    <mergeCell ref="GT25:GT26"/>
    <mergeCell ref="GU25:GU26"/>
    <mergeCell ref="GV25:GV26"/>
    <mergeCell ref="GW25:GW26"/>
    <mergeCell ref="GX25:GX26"/>
    <mergeCell ref="GY25:GY26"/>
    <mergeCell ref="GZ25:GZ26"/>
    <mergeCell ref="HA25:HA26"/>
    <mergeCell ref="HB25:HB26"/>
    <mergeCell ref="HC25:HC26"/>
    <mergeCell ref="HD25:HD26"/>
    <mergeCell ref="HE25:HE26"/>
    <mergeCell ref="HF25:HF26"/>
    <mergeCell ref="HG25:HG26"/>
    <mergeCell ref="HH25:HH26"/>
    <mergeCell ref="HI25:HI26"/>
    <mergeCell ref="HJ25:HJ26"/>
    <mergeCell ref="HK25:HK26"/>
    <mergeCell ref="HL25:HL26"/>
    <mergeCell ref="HM25:HM26"/>
    <mergeCell ref="HN25:HN26"/>
    <mergeCell ref="HO25:HO26"/>
    <mergeCell ref="HP25:HP26"/>
    <mergeCell ref="HQ25:HQ26"/>
    <mergeCell ref="HR25:HR26"/>
    <mergeCell ref="HS25:HS26"/>
    <mergeCell ref="HT25:HT26"/>
    <mergeCell ref="HU25:HU26"/>
    <mergeCell ref="HV25:HV26"/>
    <mergeCell ref="HW25:HW26"/>
    <mergeCell ref="HX25:HX26"/>
    <mergeCell ref="HY25:HY26"/>
    <mergeCell ref="HZ25:HZ26"/>
    <mergeCell ref="IA25:IA26"/>
    <mergeCell ref="IB25:IB26"/>
    <mergeCell ref="IC25:IC26"/>
    <mergeCell ref="ID25:ID26"/>
    <mergeCell ref="FE27:FE28"/>
    <mergeCell ref="FF27:FF28"/>
    <mergeCell ref="FG27:FG28"/>
    <mergeCell ref="IK25:IK26"/>
    <mergeCell ref="IE25:IE26"/>
    <mergeCell ref="IF25:IF26"/>
    <mergeCell ref="IG25:IG26"/>
    <mergeCell ref="IH25:IH26"/>
    <mergeCell ref="II25:II26"/>
    <mergeCell ref="IJ25:IJ26"/>
    <mergeCell ref="EY27:EY28"/>
    <mergeCell ref="EZ27:EZ28"/>
    <mergeCell ref="FA27:FA28"/>
    <mergeCell ref="FB27:FB28"/>
    <mergeCell ref="FC27:FC28"/>
    <mergeCell ref="FD27:FD28"/>
    <mergeCell ref="FH27:FH28"/>
    <mergeCell ref="FI27:FI28"/>
    <mergeCell ref="FJ27:FJ28"/>
    <mergeCell ref="FK27:FK28"/>
    <mergeCell ref="FL27:FL28"/>
    <mergeCell ref="FM27:FM28"/>
    <mergeCell ref="FN27:FN28"/>
    <mergeCell ref="FO27:FO28"/>
    <mergeCell ref="FP27:FP28"/>
    <mergeCell ref="FQ27:FQ28"/>
    <mergeCell ref="FR27:FR28"/>
    <mergeCell ref="FS27:FS28"/>
    <mergeCell ref="FT27:FT28"/>
    <mergeCell ref="FU27:FU28"/>
    <mergeCell ref="FV27:FV28"/>
    <mergeCell ref="FW27:FW28"/>
    <mergeCell ref="FX27:FX28"/>
    <mergeCell ref="FY27:FY28"/>
    <mergeCell ref="FZ27:FZ28"/>
    <mergeCell ref="GA27:GA28"/>
    <mergeCell ref="GB27:GB28"/>
    <mergeCell ref="GC27:GC28"/>
    <mergeCell ref="GD27:GD28"/>
    <mergeCell ref="GE27:GE28"/>
    <mergeCell ref="GF27:GF28"/>
    <mergeCell ref="GG27:GG28"/>
    <mergeCell ref="GH27:GH28"/>
    <mergeCell ref="GI27:GI28"/>
    <mergeCell ref="GJ27:GJ28"/>
    <mergeCell ref="GK27:GK28"/>
    <mergeCell ref="GL27:GL28"/>
    <mergeCell ref="GM27:GM28"/>
    <mergeCell ref="GN27:GN28"/>
    <mergeCell ref="GO27:GO28"/>
    <mergeCell ref="GP27:GP28"/>
    <mergeCell ref="GQ27:GQ28"/>
    <mergeCell ref="GR27:GR28"/>
    <mergeCell ref="GS27:GS28"/>
    <mergeCell ref="GT27:GT28"/>
    <mergeCell ref="GU27:GU28"/>
    <mergeCell ref="GV27:GV28"/>
    <mergeCell ref="GW27:GW28"/>
    <mergeCell ref="GX27:GX28"/>
    <mergeCell ref="GY27:GY28"/>
    <mergeCell ref="GZ27:GZ28"/>
    <mergeCell ref="HA27:HA28"/>
    <mergeCell ref="HB27:HB28"/>
    <mergeCell ref="HC27:HC28"/>
    <mergeCell ref="HD27:HD28"/>
    <mergeCell ref="HE27:HE28"/>
    <mergeCell ref="HF27:HF28"/>
    <mergeCell ref="HG27:HG28"/>
    <mergeCell ref="HH27:HH28"/>
    <mergeCell ref="HI27:HI28"/>
    <mergeCell ref="HJ27:HJ28"/>
    <mergeCell ref="HK27:HK28"/>
    <mergeCell ref="HL27:HL28"/>
    <mergeCell ref="HM27:HM28"/>
    <mergeCell ref="HN27:HN28"/>
    <mergeCell ref="HO27:HO28"/>
    <mergeCell ref="HP27:HP28"/>
    <mergeCell ref="HQ27:HQ28"/>
    <mergeCell ref="HR27:HR28"/>
    <mergeCell ref="HS27:HS28"/>
    <mergeCell ref="HT27:HT28"/>
    <mergeCell ref="HU27:HU28"/>
    <mergeCell ref="HV27:HV28"/>
    <mergeCell ref="HW27:HW28"/>
    <mergeCell ref="HX27:HX28"/>
    <mergeCell ref="HY27:HY28"/>
    <mergeCell ref="HZ27:HZ28"/>
    <mergeCell ref="IA27:IA28"/>
    <mergeCell ref="IH27:IH28"/>
    <mergeCell ref="II27:II28"/>
    <mergeCell ref="IJ27:IJ28"/>
    <mergeCell ref="IK27:IK28"/>
    <mergeCell ref="IB27:IB28"/>
    <mergeCell ref="IC27:IC28"/>
    <mergeCell ref="ID27:ID28"/>
    <mergeCell ref="IE27:IE28"/>
    <mergeCell ref="IF27:IF28"/>
    <mergeCell ref="IG27:IG28"/>
    <mergeCell ref="EY29:EY30"/>
    <mergeCell ref="EZ29:EZ30"/>
    <mergeCell ref="FA29:FA30"/>
    <mergeCell ref="FB29:FB30"/>
    <mergeCell ref="FC29:FC30"/>
    <mergeCell ref="FD29:FD30"/>
    <mergeCell ref="FE29:FE30"/>
    <mergeCell ref="FF29:FF30"/>
    <mergeCell ref="FG29:FG30"/>
    <mergeCell ref="FH29:FH30"/>
    <mergeCell ref="FI29:FI30"/>
    <mergeCell ref="FJ29:FJ30"/>
    <mergeCell ref="FK29:FK30"/>
    <mergeCell ref="FL29:FL30"/>
    <mergeCell ref="FM29:FM30"/>
    <mergeCell ref="FN29:FN30"/>
    <mergeCell ref="FO29:FO30"/>
    <mergeCell ref="FP29:FP30"/>
    <mergeCell ref="FQ29:FQ30"/>
    <mergeCell ref="FR29:FR30"/>
    <mergeCell ref="FS29:FS30"/>
    <mergeCell ref="FT29:FT30"/>
    <mergeCell ref="FU29:FU30"/>
    <mergeCell ref="FV29:FV30"/>
    <mergeCell ref="FW29:FW30"/>
    <mergeCell ref="FX29:FX30"/>
    <mergeCell ref="FY29:FY30"/>
    <mergeCell ref="FZ29:FZ30"/>
    <mergeCell ref="GA29:GA30"/>
    <mergeCell ref="GB29:GB30"/>
    <mergeCell ref="GC29:GC30"/>
    <mergeCell ref="GD29:GD30"/>
    <mergeCell ref="GE29:GE30"/>
    <mergeCell ref="GF29:GF30"/>
    <mergeCell ref="GG29:GG30"/>
    <mergeCell ref="GH29:GH30"/>
    <mergeCell ref="GI29:GI30"/>
    <mergeCell ref="GJ29:GJ30"/>
    <mergeCell ref="GK29:GK30"/>
    <mergeCell ref="GL29:GL30"/>
    <mergeCell ref="GM29:GM30"/>
    <mergeCell ref="GN29:GN30"/>
    <mergeCell ref="GO29:GO30"/>
    <mergeCell ref="GP29:GP30"/>
    <mergeCell ref="GQ29:GQ30"/>
    <mergeCell ref="GR29:GR30"/>
    <mergeCell ref="GS29:GS30"/>
    <mergeCell ref="GT29:GT30"/>
    <mergeCell ref="GU29:GU30"/>
    <mergeCell ref="GV29:GV30"/>
    <mergeCell ref="GW29:GW30"/>
    <mergeCell ref="GX29:GX30"/>
    <mergeCell ref="GY29:GY30"/>
    <mergeCell ref="HJ29:HJ30"/>
    <mergeCell ref="HK29:HK30"/>
    <mergeCell ref="HL29:HL30"/>
    <mergeCell ref="HM29:HM30"/>
    <mergeCell ref="HN29:HN30"/>
    <mergeCell ref="HO29:HO30"/>
    <mergeCell ref="HP29:HP30"/>
    <mergeCell ref="HQ29:HQ30"/>
    <mergeCell ref="HR29:HR30"/>
    <mergeCell ref="HS29:HS30"/>
    <mergeCell ref="HT29:HT30"/>
    <mergeCell ref="HU29:HU30"/>
    <mergeCell ref="HV29:HV30"/>
    <mergeCell ref="HW29:HW30"/>
    <mergeCell ref="HX29:HX30"/>
    <mergeCell ref="HY29:HY30"/>
    <mergeCell ref="HZ29:HZ30"/>
    <mergeCell ref="IA29:IA30"/>
    <mergeCell ref="IB29:IB30"/>
    <mergeCell ref="IC29:IC30"/>
    <mergeCell ref="ID29:ID30"/>
    <mergeCell ref="FE31:FE32"/>
    <mergeCell ref="FF31:FF32"/>
    <mergeCell ref="FG31:FG32"/>
    <mergeCell ref="HG31:HG32"/>
    <mergeCell ref="HH31:HH32"/>
    <mergeCell ref="HI31:HI32"/>
    <mergeCell ref="HJ31:HJ32"/>
    <mergeCell ref="HK31:HK32"/>
    <mergeCell ref="HL31:HL32"/>
    <mergeCell ref="HM31:HM32"/>
    <mergeCell ref="HN31:HN32"/>
    <mergeCell ref="HO31:HO32"/>
    <mergeCell ref="HP31:HP32"/>
    <mergeCell ref="HQ31:HQ32"/>
    <mergeCell ref="HR31:HR32"/>
    <mergeCell ref="HS31:HS32"/>
    <mergeCell ref="HT31:HT32"/>
    <mergeCell ref="HU31:HU32"/>
    <mergeCell ref="HV31:HV32"/>
    <mergeCell ref="HW31:HW32"/>
    <mergeCell ref="HX31:HX32"/>
    <mergeCell ref="HY31:HY32"/>
    <mergeCell ref="HZ31:HZ32"/>
    <mergeCell ref="IA31:IA32"/>
    <mergeCell ref="GJ31:GJ32"/>
    <mergeCell ref="GK31:GK32"/>
    <mergeCell ref="GL31:GL32"/>
    <mergeCell ref="GM31:GM32"/>
    <mergeCell ref="GN31:GN32"/>
    <mergeCell ref="GO31:GO32"/>
    <mergeCell ref="GP31:GP32"/>
    <mergeCell ref="GQ31:GQ32"/>
    <mergeCell ref="GR31:GR32"/>
    <mergeCell ref="GS31:GS32"/>
    <mergeCell ref="GT31:GT32"/>
    <mergeCell ref="GU31:GU32"/>
    <mergeCell ref="GV31:GV32"/>
    <mergeCell ref="GW31:GW32"/>
    <mergeCell ref="GX31:GX32"/>
    <mergeCell ref="GY31:GY32"/>
    <mergeCell ref="GZ31:GZ32"/>
    <mergeCell ref="HA31:HA32"/>
    <mergeCell ref="HB31:HB32"/>
    <mergeCell ref="HC31:HC32"/>
    <mergeCell ref="HD31:HD32"/>
    <mergeCell ref="HE31:HE32"/>
    <mergeCell ref="HF31:HF32"/>
    <mergeCell ref="GZ29:GZ30"/>
    <mergeCell ref="HA29:HA30"/>
    <mergeCell ref="HB29:HB30"/>
    <mergeCell ref="HC29:HC30"/>
    <mergeCell ref="HD29:HD30"/>
    <mergeCell ref="HE29:HE30"/>
    <mergeCell ref="HF29:HF30"/>
    <mergeCell ref="HG29:HG30"/>
    <mergeCell ref="HH29:HH30"/>
    <mergeCell ref="HI29:HI30"/>
    <mergeCell ref="EZ31:EZ32"/>
    <mergeCell ref="FA31:FA32"/>
    <mergeCell ref="FB31:FB32"/>
    <mergeCell ref="FC31:FC32"/>
    <mergeCell ref="FD31:FD32"/>
    <mergeCell ref="FH31:FH32"/>
    <mergeCell ref="FI31:FI32"/>
    <mergeCell ref="FJ31:FJ32"/>
    <mergeCell ref="FK31:FK32"/>
    <mergeCell ref="FL31:FL32"/>
    <mergeCell ref="FM31:FM32"/>
    <mergeCell ref="FN31:FN32"/>
    <mergeCell ref="FO31:FO32"/>
    <mergeCell ref="FP31:FP32"/>
    <mergeCell ref="FQ31:FQ32"/>
    <mergeCell ref="FR31:FR32"/>
    <mergeCell ref="FS31:FS32"/>
    <mergeCell ref="FT31:FT32"/>
    <mergeCell ref="FU31:FU32"/>
    <mergeCell ref="FV31:FV32"/>
    <mergeCell ref="FW31:FW32"/>
    <mergeCell ref="FX31:FX32"/>
    <mergeCell ref="FY31:FY32"/>
    <mergeCell ref="FZ31:FZ32"/>
    <mergeCell ref="GA31:GA32"/>
    <mergeCell ref="GB31:GB32"/>
    <mergeCell ref="GC31:GC32"/>
    <mergeCell ref="GD31:GD32"/>
    <mergeCell ref="GE31:GE32"/>
    <mergeCell ref="GF31:GF32"/>
    <mergeCell ref="GG31:GG32"/>
    <mergeCell ref="GH31:GH32"/>
    <mergeCell ref="GI31:GI32"/>
    <mergeCell ref="IH31:IH32"/>
    <mergeCell ref="II31:II32"/>
    <mergeCell ref="IJ31:IJ32"/>
    <mergeCell ref="IK31:IK32"/>
    <mergeCell ref="IB31:IB32"/>
    <mergeCell ref="IC31:IC32"/>
    <mergeCell ref="ID31:ID32"/>
    <mergeCell ref="IE31:IE32"/>
    <mergeCell ref="IF31:IF32"/>
    <mergeCell ref="IG31:IG32"/>
    <mergeCell ref="FF12:FL12"/>
    <mergeCell ref="FM12:FS12"/>
    <mergeCell ref="FT12:FZ12"/>
    <mergeCell ref="GA12:GG12"/>
    <mergeCell ref="GH12:GN12"/>
    <mergeCell ref="GO12:GU12"/>
    <mergeCell ref="GV12:HB12"/>
    <mergeCell ref="HC12:HI12"/>
    <mergeCell ref="HJ12:HP12"/>
    <mergeCell ref="HQ12:HW12"/>
    <mergeCell ref="HX12:ID12"/>
    <mergeCell ref="IE12:IK12"/>
    <mergeCell ref="BU17:BU18"/>
    <mergeCell ref="BV17:BV18"/>
    <mergeCell ref="BW17:BW18"/>
    <mergeCell ref="BX17:BX18"/>
    <mergeCell ref="BY17:BY18"/>
    <mergeCell ref="BZ17:BZ18"/>
    <mergeCell ref="GH13:GJ16"/>
    <mergeCell ref="GK13:GK16"/>
    <mergeCell ref="CA17:CA18"/>
    <mergeCell ref="CB17:CB18"/>
    <mergeCell ref="CC17:CC18"/>
    <mergeCell ref="CD17:CD18"/>
    <mergeCell ref="CE17:CE18"/>
    <mergeCell ref="CF17:CF18"/>
    <mergeCell ref="CG17:CG18"/>
    <mergeCell ref="CH17:CH18"/>
    <mergeCell ref="CI17:CI18"/>
    <mergeCell ref="CJ17:CJ18"/>
    <mergeCell ref="CK17:CK18"/>
    <mergeCell ref="CL17:CL18"/>
    <mergeCell ref="GR13:GR16"/>
    <mergeCell ref="GS13:GU16"/>
    <mergeCell ref="CM17:CM18"/>
    <mergeCell ref="CN17:CN18"/>
    <mergeCell ref="CO17:CO18"/>
    <mergeCell ref="CP17:CP18"/>
    <mergeCell ref="CQ17:CQ18"/>
    <mergeCell ref="CR17:CR18"/>
    <mergeCell ref="CS17:CS18"/>
    <mergeCell ref="CT17:CT18"/>
    <mergeCell ref="CU17:CU18"/>
    <mergeCell ref="CV17:CV18"/>
    <mergeCell ref="CW17:CW18"/>
    <mergeCell ref="CX17:CX18"/>
    <mergeCell ref="IK29:IK30"/>
    <mergeCell ref="IE29:IE30"/>
    <mergeCell ref="IF29:IF30"/>
    <mergeCell ref="IG29:IG30"/>
    <mergeCell ref="IH29:IH30"/>
    <mergeCell ref="II29:II30"/>
    <mergeCell ref="IJ29:IJ30"/>
    <mergeCell ref="EY31:EY32"/>
    <mergeCell ref="GP9:GP11"/>
    <mergeCell ref="GQ9:GQ11"/>
    <mergeCell ref="GR9:GR11"/>
    <mergeCell ref="GS9:GS11"/>
    <mergeCell ref="GT9:GT11"/>
    <mergeCell ref="GU9:GU11"/>
    <mergeCell ref="GV9:GV11"/>
    <mergeCell ref="GW9:GW11"/>
    <mergeCell ref="GX9:GX11"/>
    <mergeCell ref="GY9:GY11"/>
    <mergeCell ref="EY9:EY11"/>
    <mergeCell ref="EZ9:EZ11"/>
    <mergeCell ref="FA9:FA11"/>
    <mergeCell ref="FB9:FB11"/>
    <mergeCell ref="EV9:EV11"/>
    <mergeCell ref="EW9:EW11"/>
    <mergeCell ref="EX9:EX11"/>
    <mergeCell ref="ER9:ER11"/>
    <mergeCell ref="FC9:FC11"/>
    <mergeCell ref="CY17:CY18"/>
    <mergeCell ref="CZ17:CZ18"/>
    <mergeCell ref="DA17:DA18"/>
    <mergeCell ref="DB17:DB18"/>
    <mergeCell ref="DC17:DC18"/>
    <mergeCell ref="DD17:DD18"/>
    <mergeCell ref="ER12:EX12"/>
    <mergeCell ref="ES9:ES11"/>
    <mergeCell ref="ET9:ET11"/>
    <mergeCell ref="FD9:FD11"/>
    <mergeCell ref="FE9:FE11"/>
    <mergeCell ref="FF9:FF11"/>
    <mergeCell ref="FG9:FG11"/>
    <mergeCell ref="FH9:FH11"/>
    <mergeCell ref="FI9:FI11"/>
    <mergeCell ref="FJ9:FJ11"/>
    <mergeCell ref="FK9:FK11"/>
    <mergeCell ref="FL9:FL11"/>
    <mergeCell ref="FM9:FM11"/>
    <mergeCell ref="FN9:FN11"/>
    <mergeCell ref="FO9:FO11"/>
    <mergeCell ref="FP9:FP11"/>
    <mergeCell ref="FQ9:FQ11"/>
    <mergeCell ref="FR9:FR11"/>
    <mergeCell ref="EU9:EU11"/>
    <mergeCell ref="EK9:EK11"/>
    <mergeCell ref="EL9:EL11"/>
    <mergeCell ref="EM9:EM11"/>
    <mergeCell ref="EN9:EN11"/>
    <mergeCell ref="DG17:DG18"/>
    <mergeCell ref="DH17:DH18"/>
    <mergeCell ref="DI17:DI18"/>
    <mergeCell ref="DJ17:DJ18"/>
    <mergeCell ref="EV17:EV18"/>
    <mergeCell ref="EW17:EW18"/>
    <mergeCell ref="EX17:EX18"/>
    <mergeCell ref="EY17:EY18"/>
    <mergeCell ref="EZ17:EZ18"/>
    <mergeCell ref="FA17:FA18"/>
    <mergeCell ref="DP12:DV12"/>
    <mergeCell ref="DQ17:DQ18"/>
    <mergeCell ref="DR17:DR18"/>
    <mergeCell ref="CZ9:CZ11"/>
    <mergeCell ref="DA9:DA11"/>
    <mergeCell ref="GZ9:GZ11"/>
    <mergeCell ref="HA9:HA11"/>
    <mergeCell ref="HB9:HB11"/>
    <mergeCell ref="HC9:HC11"/>
    <mergeCell ref="HD9:HD11"/>
    <mergeCell ref="HE9:HE11"/>
    <mergeCell ref="HF9:HF11"/>
    <mergeCell ref="HG9:HG11"/>
    <mergeCell ref="HH9:HH11"/>
    <mergeCell ref="HI9:HI11"/>
    <mergeCell ref="HJ9:HJ11"/>
    <mergeCell ref="HK9:HK11"/>
    <mergeCell ref="HX9:HX11"/>
    <mergeCell ref="HY9:HY11"/>
    <mergeCell ref="HZ9:HZ11"/>
    <mergeCell ref="HL9:HL11"/>
    <mergeCell ref="HM9:HM11"/>
    <mergeCell ref="HN9:HN11"/>
    <mergeCell ref="HO9:HO11"/>
    <mergeCell ref="HP9:HP11"/>
    <mergeCell ref="HQ9:HQ11"/>
    <mergeCell ref="IJ9:IJ11"/>
    <mergeCell ref="HR9:HR11"/>
    <mergeCell ref="HS9:HS11"/>
    <mergeCell ref="HT9:HT11"/>
    <mergeCell ref="HU9:HU11"/>
    <mergeCell ref="IK9:IK11"/>
    <mergeCell ref="IA9:IA11"/>
    <mergeCell ref="IB9:IB11"/>
    <mergeCell ref="IC9:IC11"/>
    <mergeCell ref="ID9:ID11"/>
    <mergeCell ref="CV2:GN2"/>
    <mergeCell ref="CV4:DJ4"/>
    <mergeCell ref="CV5:DJ5"/>
    <mergeCell ref="IG9:IG11"/>
    <mergeCell ref="IH9:IH11"/>
    <mergeCell ref="II9:II11"/>
    <mergeCell ref="IE9:IE11"/>
    <mergeCell ref="IF9:IF11"/>
    <mergeCell ref="HV9:HV11"/>
    <mergeCell ref="HW9:HW11"/>
    <mergeCell ref="FS9:FS11"/>
    <mergeCell ref="FT9:FT11"/>
    <mergeCell ref="FU9:FU11"/>
    <mergeCell ref="FV9:FV11"/>
    <mergeCell ref="FW9:FW11"/>
    <mergeCell ref="FX9:FX11"/>
    <mergeCell ref="FY9:FY11"/>
    <mergeCell ref="FZ9:FZ11"/>
    <mergeCell ref="GA9:GA11"/>
    <mergeCell ref="GB9:GB11"/>
    <mergeCell ref="GC9:GC11"/>
    <mergeCell ref="GD9:GD11"/>
    <mergeCell ref="GE9:GE11"/>
    <mergeCell ref="GF9:GF11"/>
    <mergeCell ref="GG9:GG11"/>
    <mergeCell ref="GH9:GH11"/>
    <mergeCell ref="GI9:GI11"/>
    <mergeCell ref="GJ9:GJ11"/>
    <mergeCell ref="GK9:GK11"/>
    <mergeCell ref="GL9:GL11"/>
    <mergeCell ref="GM9:GM11"/>
    <mergeCell ref="GN9:GN11"/>
    <mergeCell ref="GO9:GO11"/>
    <mergeCell ref="C33:C34"/>
    <mergeCell ref="B33:B34"/>
    <mergeCell ref="F34:G34"/>
    <mergeCell ref="H33:H34"/>
    <mergeCell ref="I33:I34"/>
    <mergeCell ref="J33:J34"/>
    <mergeCell ref="K33:K34"/>
    <mergeCell ref="L33:L34"/>
    <mergeCell ref="M33:M34"/>
    <mergeCell ref="N33:N34"/>
    <mergeCell ref="O33:O34"/>
    <mergeCell ref="P33:P34"/>
    <mergeCell ref="Q33:Q34"/>
    <mergeCell ref="R33:R34"/>
    <mergeCell ref="S33:S34"/>
    <mergeCell ref="T33:T34"/>
    <mergeCell ref="U33:U34"/>
    <mergeCell ref="V33:V34"/>
    <mergeCell ref="W33:W34"/>
    <mergeCell ref="X33:X34"/>
    <mergeCell ref="Y33:Y34"/>
    <mergeCell ref="Z33:Z34"/>
    <mergeCell ref="AA33:AA34"/>
    <mergeCell ref="AB33:AB34"/>
    <mergeCell ref="AC33:AC34"/>
    <mergeCell ref="AD33:AD34"/>
    <mergeCell ref="AE33:AE34"/>
    <mergeCell ref="AF33:AF34"/>
    <mergeCell ref="AG33:AG34"/>
    <mergeCell ref="AH33:AH34"/>
    <mergeCell ref="AI33:AI34"/>
    <mergeCell ref="AJ33:AJ34"/>
    <mergeCell ref="AK33:AK34"/>
    <mergeCell ref="AL33:AL34"/>
    <mergeCell ref="AM33:AM34"/>
    <mergeCell ref="AN33:AN34"/>
    <mergeCell ref="AO33:AO34"/>
    <mergeCell ref="AP33:AP34"/>
    <mergeCell ref="AQ33:AQ34"/>
    <mergeCell ref="AR33:AR34"/>
    <mergeCell ref="AS33:AS34"/>
    <mergeCell ref="AT33:AT34"/>
    <mergeCell ref="AU33:AU34"/>
    <mergeCell ref="AV33:AV34"/>
    <mergeCell ref="AW33:AW34"/>
    <mergeCell ref="AX33:AX34"/>
    <mergeCell ref="AY33:AY34"/>
    <mergeCell ref="AZ33:AZ34"/>
    <mergeCell ref="BA33:BA34"/>
    <mergeCell ref="BB33:BB34"/>
    <mergeCell ref="BC33:BC34"/>
    <mergeCell ref="BD33:BD34"/>
    <mergeCell ref="BE33:BE34"/>
    <mergeCell ref="BF33:BF34"/>
    <mergeCell ref="BG33:BG34"/>
    <mergeCell ref="BH33:BH34"/>
    <mergeCell ref="BI33:BI34"/>
    <mergeCell ref="BJ33:BJ34"/>
    <mergeCell ref="BK33:BK34"/>
    <mergeCell ref="BL33:BL34"/>
    <mergeCell ref="BM33:BM34"/>
    <mergeCell ref="BN33:BN34"/>
    <mergeCell ref="BO33:BO34"/>
    <mergeCell ref="BP33:BP34"/>
    <mergeCell ref="BQ33:BQ34"/>
    <mergeCell ref="BR33:BR34"/>
    <mergeCell ref="BS33:BS34"/>
    <mergeCell ref="BT33:BT34"/>
    <mergeCell ref="BU33:BU34"/>
    <mergeCell ref="BV33:BV34"/>
    <mergeCell ref="BW33:BW34"/>
    <mergeCell ref="BX33:BX34"/>
    <mergeCell ref="BY33:BY34"/>
    <mergeCell ref="BZ33:BZ34"/>
    <mergeCell ref="CA33:CA34"/>
    <mergeCell ref="CB33:CB34"/>
    <mergeCell ref="CC33:CC34"/>
    <mergeCell ref="CD33:CD34"/>
    <mergeCell ref="CE33:CE34"/>
    <mergeCell ref="CF33:CF34"/>
    <mergeCell ref="CG33:CG34"/>
    <mergeCell ref="CH33:CH34"/>
    <mergeCell ref="CI33:CI34"/>
    <mergeCell ref="CJ33:CJ34"/>
    <mergeCell ref="CK33:CK34"/>
    <mergeCell ref="CL33:CL34"/>
    <mergeCell ref="CM33:CM34"/>
    <mergeCell ref="CN33:CN34"/>
    <mergeCell ref="CO33:CO34"/>
    <mergeCell ref="CP33:CP34"/>
    <mergeCell ref="CQ33:CQ34"/>
    <mergeCell ref="CR33:CR34"/>
    <mergeCell ref="CS33:CS34"/>
    <mergeCell ref="CT33:CT34"/>
    <mergeCell ref="CU33:CU34"/>
    <mergeCell ref="CV33:CV34"/>
    <mergeCell ref="CW33:CW34"/>
    <mergeCell ref="CX33:CX34"/>
    <mergeCell ref="CY33:CY34"/>
    <mergeCell ref="CZ33:CZ34"/>
    <mergeCell ref="DA33:DA34"/>
    <mergeCell ref="DB33:DB34"/>
    <mergeCell ref="DC33:DC34"/>
    <mergeCell ref="DD33:DD34"/>
    <mergeCell ref="DE33:DE34"/>
    <mergeCell ref="DF33:DF34"/>
    <mergeCell ref="DG33:DG34"/>
    <mergeCell ref="DH33:DH34"/>
    <mergeCell ref="DI33:DI34"/>
    <mergeCell ref="DJ33:DJ34"/>
    <mergeCell ref="DK33:DK34"/>
    <mergeCell ref="DL33:DL34"/>
    <mergeCell ref="DM33:DM34"/>
    <mergeCell ref="DN33:DN34"/>
    <mergeCell ref="DO33:DO34"/>
    <mergeCell ref="DP33:DP34"/>
    <mergeCell ref="DQ33:DQ34"/>
    <mergeCell ref="DR33:DR34"/>
    <mergeCell ref="DS33:DS34"/>
    <mergeCell ref="DT33:DT34"/>
    <mergeCell ref="DU33:DU34"/>
    <mergeCell ref="DV33:DV34"/>
    <mergeCell ref="DW33:DW34"/>
    <mergeCell ref="DX33:DX34"/>
    <mergeCell ref="DY33:DY34"/>
    <mergeCell ref="DZ33:DZ34"/>
    <mergeCell ref="EA33:EA34"/>
    <mergeCell ref="EB33:EB34"/>
    <mergeCell ref="EC33:EC34"/>
    <mergeCell ref="ED33:ED34"/>
    <mergeCell ref="EE33:EE34"/>
    <mergeCell ref="EF33:EF34"/>
    <mergeCell ref="EG33:EG34"/>
    <mergeCell ref="EH33:EH34"/>
    <mergeCell ref="EI33:EI34"/>
    <mergeCell ref="EJ33:EJ34"/>
    <mergeCell ref="EK33:EK34"/>
    <mergeCell ref="EL33:EL34"/>
    <mergeCell ref="EM33:EM34"/>
    <mergeCell ref="EN33:EN34"/>
    <mergeCell ref="EO33:EO34"/>
    <mergeCell ref="EP33:EP34"/>
    <mergeCell ref="EQ33:EQ34"/>
    <mergeCell ref="ER33:ER34"/>
    <mergeCell ref="ES33:ES34"/>
    <mergeCell ref="ET33:ET34"/>
    <mergeCell ref="EU33:EU34"/>
    <mergeCell ref="EV33:EV34"/>
    <mergeCell ref="EW33:EW34"/>
    <mergeCell ref="EX33:EX34"/>
    <mergeCell ref="EY33:EY34"/>
    <mergeCell ref="EZ33:EZ34"/>
    <mergeCell ref="FA33:FA34"/>
    <mergeCell ref="FB33:FB34"/>
    <mergeCell ref="FC33:FC34"/>
    <mergeCell ref="FD33:FD34"/>
    <mergeCell ref="FE33:FE34"/>
    <mergeCell ref="FF33:FF34"/>
    <mergeCell ref="FG33:FG34"/>
    <mergeCell ref="FH33:FH34"/>
    <mergeCell ref="FI33:FI34"/>
    <mergeCell ref="FJ33:FJ34"/>
    <mergeCell ref="FK33:FK34"/>
    <mergeCell ref="FL33:FL34"/>
    <mergeCell ref="FM33:FM34"/>
    <mergeCell ref="FN33:FN34"/>
    <mergeCell ref="FO33:FO34"/>
    <mergeCell ref="FP33:FP34"/>
    <mergeCell ref="FQ33:FQ34"/>
    <mergeCell ref="FR33:FR34"/>
    <mergeCell ref="FS33:FS34"/>
    <mergeCell ref="FT33:FT34"/>
    <mergeCell ref="FU33:FU34"/>
    <mergeCell ref="FV33:FV34"/>
    <mergeCell ref="FW33:FW34"/>
    <mergeCell ref="FX33:FX34"/>
    <mergeCell ref="FY33:FY34"/>
    <mergeCell ref="FZ33:FZ34"/>
    <mergeCell ref="GA33:GA34"/>
    <mergeCell ref="GB33:GB34"/>
    <mergeCell ref="GC33:GC34"/>
    <mergeCell ref="GD33:GD34"/>
    <mergeCell ref="GE33:GE34"/>
    <mergeCell ref="GF33:GF34"/>
    <mergeCell ref="GG33:GG34"/>
    <mergeCell ref="GH33:GH34"/>
    <mergeCell ref="GI33:GI34"/>
    <mergeCell ref="GJ33:GJ34"/>
    <mergeCell ref="GK33:GK34"/>
    <mergeCell ref="GL33:GL34"/>
    <mergeCell ref="GM33:GM34"/>
    <mergeCell ref="GN33:GN34"/>
    <mergeCell ref="GO33:GO34"/>
    <mergeCell ref="GP33:GP34"/>
    <mergeCell ref="GQ33:GQ34"/>
    <mergeCell ref="GR33:GR34"/>
    <mergeCell ref="GS33:GS34"/>
    <mergeCell ref="GT33:GT34"/>
    <mergeCell ref="GU33:GU34"/>
    <mergeCell ref="GV33:GV34"/>
    <mergeCell ref="GW33:GW34"/>
    <mergeCell ref="GX33:GX34"/>
    <mergeCell ref="GY33:GY34"/>
    <mergeCell ref="GZ33:GZ34"/>
    <mergeCell ref="HA33:HA34"/>
    <mergeCell ref="HB33:HB34"/>
    <mergeCell ref="HC33:HC34"/>
    <mergeCell ref="HD33:HD34"/>
    <mergeCell ref="HE33:HE34"/>
    <mergeCell ref="HF33:HF34"/>
    <mergeCell ref="HG33:HG34"/>
    <mergeCell ref="HH33:HH34"/>
    <mergeCell ref="HI33:HI34"/>
    <mergeCell ref="HJ33:HJ34"/>
    <mergeCell ref="HK33:HK34"/>
    <mergeCell ref="HL33:HL34"/>
    <mergeCell ref="HM33:HM34"/>
    <mergeCell ref="HN33:HN34"/>
    <mergeCell ref="HO33:HO34"/>
    <mergeCell ref="HP33:HP34"/>
    <mergeCell ref="HQ33:HQ34"/>
    <mergeCell ref="HR33:HR34"/>
    <mergeCell ref="HS33:HS34"/>
    <mergeCell ref="HT33:HT34"/>
    <mergeCell ref="HU33:HU34"/>
    <mergeCell ref="HV33:HV34"/>
    <mergeCell ref="HW33:HW34"/>
    <mergeCell ref="HX33:HX34"/>
    <mergeCell ref="HY33:HY34"/>
    <mergeCell ref="HZ33:HZ34"/>
    <mergeCell ref="IA33:IA34"/>
    <mergeCell ref="IB33:IB34"/>
    <mergeCell ref="IC33:IC34"/>
    <mergeCell ref="ID33:ID34"/>
    <mergeCell ref="IE33:IE34"/>
    <mergeCell ref="IF33:IF34"/>
    <mergeCell ref="IG33:IG34"/>
    <mergeCell ref="IH33:IH34"/>
    <mergeCell ref="II33:II34"/>
    <mergeCell ref="IJ33:IJ34"/>
    <mergeCell ref="IK33:IK34"/>
    <mergeCell ref="B35:B36"/>
    <mergeCell ref="B37:B38"/>
    <mergeCell ref="C35:C36"/>
    <mergeCell ref="H35:H36"/>
    <mergeCell ref="I35:I36"/>
    <mergeCell ref="J35:J36"/>
    <mergeCell ref="K35:K36"/>
    <mergeCell ref="L35:L36"/>
    <mergeCell ref="M35:M36"/>
    <mergeCell ref="N35:N36"/>
    <mergeCell ref="O35:O36"/>
    <mergeCell ref="P35:P36"/>
    <mergeCell ref="Q35:Q36"/>
    <mergeCell ref="R35:R36"/>
    <mergeCell ref="S35:S36"/>
    <mergeCell ref="T35:T36"/>
    <mergeCell ref="U35:U36"/>
    <mergeCell ref="V35:V36"/>
    <mergeCell ref="W35:W36"/>
    <mergeCell ref="X35:X36"/>
    <mergeCell ref="Y35:Y36"/>
    <mergeCell ref="Z35:Z36"/>
    <mergeCell ref="AA35:AA36"/>
    <mergeCell ref="AB35:AB36"/>
    <mergeCell ref="AC35:AC36"/>
    <mergeCell ref="AD35:AD36"/>
    <mergeCell ref="AE35:AE36"/>
    <mergeCell ref="AF35:AF36"/>
    <mergeCell ref="AG35:AG36"/>
    <mergeCell ref="AH35:AH36"/>
    <mergeCell ref="AI35:AI36"/>
    <mergeCell ref="AJ35:AJ36"/>
    <mergeCell ref="AK35:AK36"/>
    <mergeCell ref="AL35:AL36"/>
    <mergeCell ref="AM35:AM36"/>
    <mergeCell ref="AN35:AN36"/>
    <mergeCell ref="AO35:AO36"/>
    <mergeCell ref="AP35:AP36"/>
    <mergeCell ref="AQ35:AQ36"/>
    <mergeCell ref="AR35:AR36"/>
    <mergeCell ref="AS35:AS36"/>
    <mergeCell ref="AT35:AT36"/>
    <mergeCell ref="AU35:AU36"/>
    <mergeCell ref="AV35:AV36"/>
    <mergeCell ref="AW35:AW36"/>
    <mergeCell ref="AX35:AX36"/>
    <mergeCell ref="AY35:AY36"/>
    <mergeCell ref="AZ35:AZ36"/>
    <mergeCell ref="BA35:BA36"/>
    <mergeCell ref="BB35:BB36"/>
    <mergeCell ref="BC35:BC36"/>
    <mergeCell ref="BD35:BD36"/>
    <mergeCell ref="BE35:BE36"/>
    <mergeCell ref="BF35:BF36"/>
    <mergeCell ref="BG35:BG36"/>
    <mergeCell ref="BH35:BH36"/>
    <mergeCell ref="BI35:BI36"/>
    <mergeCell ref="BJ35:BJ36"/>
    <mergeCell ref="BK35:BK36"/>
    <mergeCell ref="BL35:BL36"/>
    <mergeCell ref="BM35:BM36"/>
    <mergeCell ref="BN35:BN36"/>
    <mergeCell ref="BO35:BO36"/>
    <mergeCell ref="BP35:BP36"/>
    <mergeCell ref="BQ35:BQ36"/>
    <mergeCell ref="BR35:BR36"/>
    <mergeCell ref="BS35:BS36"/>
    <mergeCell ref="BT35:BT36"/>
    <mergeCell ref="BU35:BU36"/>
    <mergeCell ref="BV35:BV36"/>
    <mergeCell ref="BW35:BW36"/>
    <mergeCell ref="BX35:BX36"/>
    <mergeCell ref="BY35:BY36"/>
    <mergeCell ref="BZ35:BZ36"/>
    <mergeCell ref="CA35:CA36"/>
    <mergeCell ref="CB35:CB36"/>
    <mergeCell ref="CC35:CC36"/>
    <mergeCell ref="CD35:CD36"/>
    <mergeCell ref="CE35:CE36"/>
    <mergeCell ref="CF35:CF36"/>
    <mergeCell ref="CG35:CG36"/>
    <mergeCell ref="CH35:CH36"/>
    <mergeCell ref="CI35:CI36"/>
    <mergeCell ref="CJ35:CJ36"/>
    <mergeCell ref="CK35:CK36"/>
    <mergeCell ref="CL35:CL36"/>
    <mergeCell ref="CM35:CM36"/>
    <mergeCell ref="CN35:CN36"/>
    <mergeCell ref="CO35:CO36"/>
    <mergeCell ref="CP35:CP36"/>
    <mergeCell ref="CQ35:CQ36"/>
    <mergeCell ref="CR35:CR36"/>
    <mergeCell ref="CS35:CS36"/>
    <mergeCell ref="CT35:CT36"/>
    <mergeCell ref="CU35:CU36"/>
    <mergeCell ref="CV35:CV36"/>
    <mergeCell ref="CW35:CW36"/>
    <mergeCell ref="CX35:CX36"/>
    <mergeCell ref="CY35:CY36"/>
    <mergeCell ref="CZ35:CZ36"/>
    <mergeCell ref="DA35:DA36"/>
    <mergeCell ref="DB35:DB36"/>
    <mergeCell ref="DC35:DC36"/>
    <mergeCell ref="DD35:DD36"/>
    <mergeCell ref="DE35:DE36"/>
    <mergeCell ref="DF35:DF36"/>
    <mergeCell ref="DG35:DG36"/>
    <mergeCell ref="DH35:DH36"/>
    <mergeCell ref="DI35:DI36"/>
    <mergeCell ref="DJ35:DJ36"/>
    <mergeCell ref="DK35:DK36"/>
    <mergeCell ref="DL35:DL36"/>
    <mergeCell ref="DM35:DM36"/>
    <mergeCell ref="DN35:DN36"/>
    <mergeCell ref="DO35:DO36"/>
    <mergeCell ref="DP35:DP36"/>
    <mergeCell ref="DQ35:DQ36"/>
    <mergeCell ref="DR35:DR36"/>
    <mergeCell ref="DS35:DS36"/>
    <mergeCell ref="DT35:DT36"/>
    <mergeCell ref="DU35:DU36"/>
    <mergeCell ref="DV35:DV36"/>
    <mergeCell ref="DW35:DW36"/>
    <mergeCell ref="DX35:DX36"/>
    <mergeCell ref="DY35:DY36"/>
    <mergeCell ref="DZ35:DZ36"/>
    <mergeCell ref="EA35:EA36"/>
    <mergeCell ref="EB35:EB36"/>
    <mergeCell ref="EC35:EC36"/>
    <mergeCell ref="ED35:ED36"/>
    <mergeCell ref="EE35:EE36"/>
    <mergeCell ref="EF35:EF36"/>
    <mergeCell ref="EG35:EG36"/>
    <mergeCell ref="EH35:EH36"/>
    <mergeCell ref="EI35:EI36"/>
    <mergeCell ref="EJ35:EJ36"/>
    <mergeCell ref="EK35:EK36"/>
    <mergeCell ref="EL35:EL36"/>
    <mergeCell ref="EM35:EM36"/>
    <mergeCell ref="EN35:EN36"/>
    <mergeCell ref="EO35:EO36"/>
    <mergeCell ref="EP35:EP36"/>
    <mergeCell ref="EQ35:EQ36"/>
    <mergeCell ref="ER35:ER36"/>
    <mergeCell ref="ES35:ES36"/>
    <mergeCell ref="ET35:ET36"/>
    <mergeCell ref="EU35:EU36"/>
    <mergeCell ref="EV35:EV36"/>
    <mergeCell ref="EW35:EW36"/>
    <mergeCell ref="EX35:EX36"/>
    <mergeCell ref="EY35:EY36"/>
    <mergeCell ref="EZ35:EZ36"/>
    <mergeCell ref="FA35:FA36"/>
    <mergeCell ref="FB35:FB36"/>
    <mergeCell ref="FC35:FC36"/>
    <mergeCell ref="FD35:FD36"/>
    <mergeCell ref="FE35:FE36"/>
    <mergeCell ref="FF35:FF36"/>
    <mergeCell ref="FG35:FG36"/>
    <mergeCell ref="FH35:FH36"/>
    <mergeCell ref="FI35:FI36"/>
    <mergeCell ref="FJ35:FJ36"/>
    <mergeCell ref="FK35:FK36"/>
    <mergeCell ref="FL35:FL36"/>
    <mergeCell ref="FM35:FM36"/>
    <mergeCell ref="FN35:FN36"/>
    <mergeCell ref="FO35:FO36"/>
    <mergeCell ref="FP35:FP36"/>
    <mergeCell ref="FQ35:FQ36"/>
    <mergeCell ref="FR35:FR36"/>
    <mergeCell ref="FS35:FS36"/>
    <mergeCell ref="FT35:FT36"/>
    <mergeCell ref="FU35:FU36"/>
    <mergeCell ref="FV35:FV36"/>
    <mergeCell ref="FW35:FW36"/>
    <mergeCell ref="FX35:FX36"/>
    <mergeCell ref="FY35:FY36"/>
    <mergeCell ref="FZ35:FZ36"/>
    <mergeCell ref="GA35:GA36"/>
    <mergeCell ref="GB35:GB36"/>
    <mergeCell ref="GC35:GC36"/>
    <mergeCell ref="GD35:GD36"/>
    <mergeCell ref="GE35:GE36"/>
    <mergeCell ref="GF35:GF36"/>
    <mergeCell ref="GG35:GG36"/>
    <mergeCell ref="GH35:GH36"/>
    <mergeCell ref="GI35:GI36"/>
    <mergeCell ref="GJ35:GJ36"/>
    <mergeCell ref="GK35:GK36"/>
    <mergeCell ref="GL35:GL36"/>
    <mergeCell ref="GM35:GM36"/>
    <mergeCell ref="GN35:GN36"/>
    <mergeCell ref="GO35:GO36"/>
    <mergeCell ref="GP35:GP36"/>
    <mergeCell ref="GQ35:GQ36"/>
    <mergeCell ref="GR35:GR36"/>
    <mergeCell ref="GS35:GS36"/>
    <mergeCell ref="GT35:GT36"/>
    <mergeCell ref="GU35:GU36"/>
    <mergeCell ref="GV35:GV36"/>
    <mergeCell ref="GW35:GW36"/>
    <mergeCell ref="GX35:GX36"/>
    <mergeCell ref="GY35:GY36"/>
    <mergeCell ref="GZ35:GZ36"/>
    <mergeCell ref="HA35:HA36"/>
    <mergeCell ref="HB35:HB36"/>
    <mergeCell ref="HC35:HC36"/>
    <mergeCell ref="HD35:HD36"/>
    <mergeCell ref="HE35:HE36"/>
    <mergeCell ref="HF35:HF36"/>
    <mergeCell ref="HG35:HG36"/>
    <mergeCell ref="HH35:HH36"/>
    <mergeCell ref="HI35:HI36"/>
    <mergeCell ref="HJ35:HJ36"/>
    <mergeCell ref="HK35:HK36"/>
    <mergeCell ref="HL35:HL36"/>
    <mergeCell ref="HM35:HM36"/>
    <mergeCell ref="HN35:HN36"/>
    <mergeCell ref="HO35:HO36"/>
    <mergeCell ref="HP35:HP36"/>
    <mergeCell ref="HQ35:HQ36"/>
    <mergeCell ref="HR35:HR36"/>
    <mergeCell ref="HS35:HS36"/>
    <mergeCell ref="HT35:HT36"/>
    <mergeCell ref="HU35:HU36"/>
    <mergeCell ref="HV35:HV36"/>
    <mergeCell ref="HW35:HW36"/>
    <mergeCell ref="HX35:HX36"/>
    <mergeCell ref="HY35:HY36"/>
    <mergeCell ref="HZ35:HZ36"/>
    <mergeCell ref="IA35:IA36"/>
    <mergeCell ref="IB35:IB36"/>
    <mergeCell ref="IC35:IC36"/>
    <mergeCell ref="ID35:ID36"/>
    <mergeCell ref="IE35:IE36"/>
    <mergeCell ref="IF35:IF36"/>
    <mergeCell ref="IG35:IG36"/>
    <mergeCell ref="IH35:IH36"/>
    <mergeCell ref="II35:II36"/>
    <mergeCell ref="IJ35:IJ36"/>
    <mergeCell ref="IK35:IK36"/>
    <mergeCell ref="F36:G36"/>
    <mergeCell ref="C37:C38"/>
    <mergeCell ref="H37:H38"/>
    <mergeCell ref="I37:I38"/>
    <mergeCell ref="J37:J38"/>
    <mergeCell ref="K37:K38"/>
    <mergeCell ref="L37:L38"/>
    <mergeCell ref="M37:M38"/>
    <mergeCell ref="N37:N38"/>
    <mergeCell ref="O37:O38"/>
    <mergeCell ref="P37:P38"/>
    <mergeCell ref="Q37:Q38"/>
    <mergeCell ref="R37:R38"/>
    <mergeCell ref="S37:S38"/>
    <mergeCell ref="T37:T38"/>
    <mergeCell ref="U37:U38"/>
    <mergeCell ref="V37:V38"/>
    <mergeCell ref="W37:W38"/>
    <mergeCell ref="X37:X38"/>
    <mergeCell ref="Y37:Y38"/>
    <mergeCell ref="Z37:Z38"/>
    <mergeCell ref="AA37:AA38"/>
    <mergeCell ref="AB37:AB38"/>
    <mergeCell ref="AC37:AC38"/>
    <mergeCell ref="AD37:AD38"/>
    <mergeCell ref="AE37:AE38"/>
    <mergeCell ref="AF37:AF38"/>
    <mergeCell ref="AG37:AG38"/>
    <mergeCell ref="AH37:AH38"/>
    <mergeCell ref="AI37:AI38"/>
    <mergeCell ref="AJ37:AJ38"/>
    <mergeCell ref="AK37:AK38"/>
    <mergeCell ref="AL37:AL38"/>
    <mergeCell ref="AM37:AM38"/>
    <mergeCell ref="AN37:AN38"/>
    <mergeCell ref="AO37:AO38"/>
    <mergeCell ref="AP37:AP38"/>
    <mergeCell ref="AQ37:AQ38"/>
    <mergeCell ref="AR37:AR38"/>
    <mergeCell ref="AS37:AS38"/>
    <mergeCell ref="AT37:AT38"/>
    <mergeCell ref="AU37:AU38"/>
    <mergeCell ref="AV37:AV38"/>
    <mergeCell ref="AW37:AW38"/>
    <mergeCell ref="AX37:AX38"/>
    <mergeCell ref="AY37:AY38"/>
    <mergeCell ref="AZ37:AZ38"/>
    <mergeCell ref="BA37:BA38"/>
    <mergeCell ref="BB37:BB38"/>
    <mergeCell ref="BC37:BC38"/>
    <mergeCell ref="BD37:BD38"/>
    <mergeCell ref="BE37:BE38"/>
    <mergeCell ref="BF37:BF38"/>
    <mergeCell ref="BG37:BG38"/>
    <mergeCell ref="BH37:BH38"/>
    <mergeCell ref="BI37:BI38"/>
    <mergeCell ref="BJ37:BJ38"/>
    <mergeCell ref="BK37:BK38"/>
    <mergeCell ref="BL37:BL38"/>
    <mergeCell ref="BM37:BM38"/>
    <mergeCell ref="BN37:BN38"/>
    <mergeCell ref="BO37:BO38"/>
    <mergeCell ref="BP37:BP38"/>
    <mergeCell ref="BQ37:BQ38"/>
    <mergeCell ref="BR37:BR38"/>
    <mergeCell ref="BS37:BS38"/>
    <mergeCell ref="BT37:BT38"/>
    <mergeCell ref="BU37:BU38"/>
    <mergeCell ref="BV37:BV38"/>
    <mergeCell ref="BW37:BW38"/>
    <mergeCell ref="BX37:BX38"/>
    <mergeCell ref="BY37:BY38"/>
    <mergeCell ref="BZ37:BZ38"/>
    <mergeCell ref="CA37:CA38"/>
    <mergeCell ref="CB37:CB38"/>
    <mergeCell ref="CC37:CC38"/>
    <mergeCell ref="CD37:CD38"/>
    <mergeCell ref="CE37:CE38"/>
    <mergeCell ref="CF37:CF38"/>
    <mergeCell ref="CG37:CG38"/>
    <mergeCell ref="CH37:CH38"/>
    <mergeCell ref="CI37:CI38"/>
    <mergeCell ref="CJ37:CJ38"/>
    <mergeCell ref="CK37:CK38"/>
    <mergeCell ref="CL37:CL38"/>
    <mergeCell ref="CM37:CM38"/>
    <mergeCell ref="CN37:CN38"/>
    <mergeCell ref="CO37:CO38"/>
    <mergeCell ref="CP37:CP38"/>
    <mergeCell ref="CQ37:CQ38"/>
    <mergeCell ref="CR37:CR38"/>
    <mergeCell ref="CS37:CS38"/>
    <mergeCell ref="CT37:CT38"/>
    <mergeCell ref="CU37:CU38"/>
    <mergeCell ref="CV37:CV38"/>
    <mergeCell ref="CW37:CW38"/>
    <mergeCell ref="CX37:CX38"/>
    <mergeCell ref="CY37:CY38"/>
    <mergeCell ref="CZ37:CZ38"/>
    <mergeCell ref="DA37:DA38"/>
    <mergeCell ref="DB37:DB38"/>
    <mergeCell ref="DC37:DC38"/>
    <mergeCell ref="DD37:DD38"/>
    <mergeCell ref="DE37:DE38"/>
    <mergeCell ref="DF37:DF38"/>
    <mergeCell ref="DG37:DG38"/>
    <mergeCell ref="DH37:DH38"/>
    <mergeCell ref="DI37:DI38"/>
    <mergeCell ref="DJ37:DJ38"/>
    <mergeCell ref="DK37:DK38"/>
    <mergeCell ref="DL37:DL38"/>
    <mergeCell ref="DM37:DM38"/>
    <mergeCell ref="DN37:DN38"/>
    <mergeCell ref="DO37:DO38"/>
    <mergeCell ref="DP37:DP38"/>
    <mergeCell ref="DQ37:DQ38"/>
    <mergeCell ref="DR37:DR38"/>
    <mergeCell ref="DS37:DS38"/>
    <mergeCell ref="DT37:DT38"/>
    <mergeCell ref="DU37:DU38"/>
    <mergeCell ref="DV37:DV38"/>
    <mergeCell ref="DW37:DW38"/>
    <mergeCell ref="DX37:DX38"/>
    <mergeCell ref="DY37:DY38"/>
    <mergeCell ref="DZ37:DZ38"/>
    <mergeCell ref="EA37:EA38"/>
    <mergeCell ref="EB37:EB38"/>
    <mergeCell ref="EC37:EC38"/>
    <mergeCell ref="ED37:ED38"/>
    <mergeCell ref="EE37:EE38"/>
    <mergeCell ref="EF37:EF38"/>
    <mergeCell ref="EG37:EG38"/>
    <mergeCell ref="EH37:EH38"/>
    <mergeCell ref="EI37:EI38"/>
    <mergeCell ref="EJ37:EJ38"/>
    <mergeCell ref="EK37:EK38"/>
    <mergeCell ref="EL37:EL38"/>
    <mergeCell ref="EM37:EM38"/>
    <mergeCell ref="EN37:EN38"/>
    <mergeCell ref="EO37:EO38"/>
    <mergeCell ref="EP37:EP38"/>
    <mergeCell ref="HB37:HB38"/>
    <mergeCell ref="HC37:HC38"/>
    <mergeCell ref="HD37:HD38"/>
    <mergeCell ref="EQ37:EQ38"/>
    <mergeCell ref="ER37:ER38"/>
    <mergeCell ref="ES37:ES38"/>
    <mergeCell ref="ET37:ET38"/>
    <mergeCell ref="EU37:EU38"/>
    <mergeCell ref="EV37:EV38"/>
    <mergeCell ref="EW37:EW38"/>
    <mergeCell ref="EX37:EX38"/>
    <mergeCell ref="EY37:EY38"/>
    <mergeCell ref="EZ37:EZ38"/>
    <mergeCell ref="FA37:FA38"/>
    <mergeCell ref="FB37:FB38"/>
    <mergeCell ref="FC37:FC38"/>
    <mergeCell ref="FD37:FD38"/>
    <mergeCell ref="FE37:FE38"/>
    <mergeCell ref="FF37:FF38"/>
    <mergeCell ref="FG37:FG38"/>
    <mergeCell ref="FH37:FH38"/>
    <mergeCell ref="FI37:FI38"/>
    <mergeCell ref="FJ37:FJ38"/>
    <mergeCell ref="FK37:FK38"/>
    <mergeCell ref="FL37:FL38"/>
    <mergeCell ref="FM37:FM38"/>
    <mergeCell ref="FN37:FN38"/>
    <mergeCell ref="FO37:FO38"/>
    <mergeCell ref="FP37:FP38"/>
    <mergeCell ref="FQ37:FQ38"/>
    <mergeCell ref="FR37:FR38"/>
    <mergeCell ref="FS37:FS38"/>
    <mergeCell ref="FT37:FT38"/>
    <mergeCell ref="FU37:FU38"/>
    <mergeCell ref="FV37:FV38"/>
    <mergeCell ref="FW37:FW38"/>
    <mergeCell ref="HE37:HE38"/>
    <mergeCell ref="HF37:HF38"/>
    <mergeCell ref="HG37:HG38"/>
    <mergeCell ref="HH37:HH38"/>
    <mergeCell ref="HI37:HI38"/>
    <mergeCell ref="HJ37:HJ38"/>
    <mergeCell ref="HK37:HK38"/>
    <mergeCell ref="HL37:HL38"/>
    <mergeCell ref="HM37:HM38"/>
    <mergeCell ref="HX37:HX38"/>
    <mergeCell ref="HY37:HY38"/>
    <mergeCell ref="HN37:HN38"/>
    <mergeCell ref="HO37:HO38"/>
    <mergeCell ref="HP37:HP38"/>
    <mergeCell ref="HQ37:HQ38"/>
    <mergeCell ref="HR37:HR38"/>
    <mergeCell ref="HS37:HS38"/>
    <mergeCell ref="IK37:IK38"/>
    <mergeCell ref="HZ37:HZ38"/>
    <mergeCell ref="IA37:IA38"/>
    <mergeCell ref="IB37:IB38"/>
    <mergeCell ref="IC37:IC38"/>
    <mergeCell ref="ID37:ID38"/>
    <mergeCell ref="IE37:IE38"/>
    <mergeCell ref="F38:G38"/>
    <mergeCell ref="IF37:IF38"/>
    <mergeCell ref="IG37:IG38"/>
    <mergeCell ref="IH37:IH38"/>
    <mergeCell ref="II37:II38"/>
    <mergeCell ref="IJ37:IJ38"/>
    <mergeCell ref="HT37:HT38"/>
    <mergeCell ref="HU37:HU38"/>
    <mergeCell ref="HV37:HV38"/>
    <mergeCell ref="HW37:HW38"/>
    <mergeCell ref="FX37:FX38"/>
    <mergeCell ref="FY37:FY38"/>
    <mergeCell ref="FZ37:FZ38"/>
    <mergeCell ref="GA37:GA38"/>
    <mergeCell ref="GB37:GB38"/>
    <mergeCell ref="GC37:GC38"/>
    <mergeCell ref="GD37:GD38"/>
    <mergeCell ref="GE37:GE38"/>
    <mergeCell ref="GF37:GF38"/>
    <mergeCell ref="GG37:GG38"/>
    <mergeCell ref="GH37:GH38"/>
    <mergeCell ref="GI37:GI38"/>
    <mergeCell ref="GJ37:GJ38"/>
    <mergeCell ref="GK37:GK38"/>
    <mergeCell ref="GL37:GL38"/>
    <mergeCell ref="GM37:GM38"/>
    <mergeCell ref="GN37:GN38"/>
    <mergeCell ref="GO37:GO38"/>
    <mergeCell ref="GP37:GP38"/>
    <mergeCell ref="GQ37:GQ38"/>
    <mergeCell ref="GR37:GR38"/>
    <mergeCell ref="GS37:GS38"/>
    <mergeCell ref="GT37:GT38"/>
    <mergeCell ref="GU37:GU38"/>
    <mergeCell ref="GV37:GV38"/>
    <mergeCell ref="GW37:GW38"/>
    <mergeCell ref="GX37:GX38"/>
    <mergeCell ref="GY37:GY38"/>
    <mergeCell ref="GZ37:GZ38"/>
    <mergeCell ref="HA37:HA38"/>
    <mergeCell ref="B117:B118"/>
    <mergeCell ref="C117:C118"/>
    <mergeCell ref="H117:H118"/>
    <mergeCell ref="I117:I118"/>
    <mergeCell ref="J117:J118"/>
    <mergeCell ref="K117:K118"/>
    <mergeCell ref="F118:G118"/>
    <mergeCell ref="L117:L118"/>
    <mergeCell ref="M117:M118"/>
    <mergeCell ref="N117:N118"/>
    <mergeCell ref="O117:O118"/>
    <mergeCell ref="P117:P118"/>
    <mergeCell ref="Q117:Q118"/>
    <mergeCell ref="R117:R118"/>
    <mergeCell ref="S117:S118"/>
    <mergeCell ref="T117:T118"/>
    <mergeCell ref="U117:U118"/>
    <mergeCell ref="V117:V118"/>
    <mergeCell ref="W117:W118"/>
    <mergeCell ref="X117:X118"/>
    <mergeCell ref="Y117:Y118"/>
    <mergeCell ref="Z117:Z118"/>
    <mergeCell ref="AA117:AA118"/>
    <mergeCell ref="AB117:AB118"/>
    <mergeCell ref="AC117:AC118"/>
    <mergeCell ref="AD117:AD118"/>
    <mergeCell ref="AE117:AE118"/>
    <mergeCell ref="AF117:AF118"/>
    <mergeCell ref="AG117:AG118"/>
    <mergeCell ref="AH117:AH118"/>
    <mergeCell ref="AI117:AI118"/>
    <mergeCell ref="AJ117:AJ118"/>
    <mergeCell ref="AK117:AK118"/>
    <mergeCell ref="AL117:AL118"/>
    <mergeCell ref="AM117:AM118"/>
    <mergeCell ref="AN117:AN118"/>
    <mergeCell ref="AO117:AO118"/>
    <mergeCell ref="AP117:AP118"/>
    <mergeCell ref="AQ117:AQ118"/>
    <mergeCell ref="AR117:AR118"/>
    <mergeCell ref="AS117:AS118"/>
    <mergeCell ref="AT117:AT118"/>
    <mergeCell ref="AU117:AU118"/>
    <mergeCell ref="AV117:AV118"/>
    <mergeCell ref="AW117:AW118"/>
    <mergeCell ref="AX117:AX118"/>
    <mergeCell ref="AY117:AY118"/>
    <mergeCell ref="AZ117:AZ118"/>
    <mergeCell ref="BA117:BA118"/>
    <mergeCell ref="BB117:BB118"/>
    <mergeCell ref="BC117:BC118"/>
    <mergeCell ref="BD117:BD118"/>
    <mergeCell ref="BE117:BE118"/>
    <mergeCell ref="BF117:BF118"/>
    <mergeCell ref="BG117:BG118"/>
    <mergeCell ref="BH117:BH118"/>
    <mergeCell ref="BI117:BI118"/>
    <mergeCell ref="BJ117:BJ118"/>
    <mergeCell ref="BK117:BK118"/>
    <mergeCell ref="BL117:BL118"/>
    <mergeCell ref="BM117:BM118"/>
    <mergeCell ref="BN117:BN118"/>
    <mergeCell ref="BO117:BO118"/>
    <mergeCell ref="BP117:BP118"/>
    <mergeCell ref="BQ117:BQ118"/>
    <mergeCell ref="BR117:BR118"/>
    <mergeCell ref="BS117:BS118"/>
    <mergeCell ref="BT117:BT118"/>
    <mergeCell ref="BU117:BU118"/>
    <mergeCell ref="BV117:BV118"/>
    <mergeCell ref="BW117:BW118"/>
    <mergeCell ref="BX117:BX118"/>
    <mergeCell ref="BY117:BY118"/>
    <mergeCell ref="BZ117:BZ118"/>
    <mergeCell ref="CA117:CA118"/>
    <mergeCell ref="CB117:CB118"/>
    <mergeCell ref="CC117:CC118"/>
    <mergeCell ref="CD117:CD118"/>
    <mergeCell ref="CE117:CE118"/>
    <mergeCell ref="CF117:CF118"/>
    <mergeCell ref="CG117:CG118"/>
    <mergeCell ref="CH117:CH118"/>
    <mergeCell ref="CI117:CI118"/>
    <mergeCell ref="CJ117:CJ118"/>
    <mergeCell ref="CK117:CK118"/>
    <mergeCell ref="CL117:CL118"/>
    <mergeCell ref="CM117:CM118"/>
    <mergeCell ref="CN117:CN118"/>
    <mergeCell ref="CO117:CO118"/>
    <mergeCell ref="CP117:CP118"/>
    <mergeCell ref="CQ117:CQ118"/>
    <mergeCell ref="CR117:CR118"/>
    <mergeCell ref="CS117:CS118"/>
    <mergeCell ref="CT117:CT118"/>
    <mergeCell ref="CU117:CU118"/>
    <mergeCell ref="CV117:CV118"/>
    <mergeCell ref="CW117:CW118"/>
    <mergeCell ref="CX117:CX118"/>
    <mergeCell ref="CY117:CY118"/>
    <mergeCell ref="CZ117:CZ118"/>
    <mergeCell ref="DA117:DA118"/>
    <mergeCell ref="DB117:DB118"/>
    <mergeCell ref="DC117:DC118"/>
    <mergeCell ref="DD117:DD118"/>
    <mergeCell ref="DE117:DE118"/>
    <mergeCell ref="DF117:DF118"/>
    <mergeCell ref="DG117:DG118"/>
    <mergeCell ref="DH117:DH118"/>
    <mergeCell ref="DI117:DI118"/>
    <mergeCell ref="DJ117:DJ118"/>
    <mergeCell ref="DK117:DK118"/>
    <mergeCell ref="DL117:DL118"/>
    <mergeCell ref="DM117:DM118"/>
    <mergeCell ref="DN117:DN118"/>
    <mergeCell ref="DO117:DO118"/>
    <mergeCell ref="DP117:DP118"/>
    <mergeCell ref="DQ117:DQ118"/>
    <mergeCell ref="DR117:DR118"/>
    <mergeCell ref="DS117:DS118"/>
    <mergeCell ref="DT117:DT118"/>
    <mergeCell ref="DU117:DU118"/>
    <mergeCell ref="DV117:DV118"/>
    <mergeCell ref="DW117:DW118"/>
    <mergeCell ref="DX117:DX118"/>
    <mergeCell ref="DY117:DY118"/>
    <mergeCell ref="DZ117:DZ118"/>
    <mergeCell ref="EA117:EA118"/>
    <mergeCell ref="EB117:EB118"/>
    <mergeCell ref="EC117:EC118"/>
    <mergeCell ref="ED117:ED118"/>
    <mergeCell ref="EE117:EE118"/>
    <mergeCell ref="EF117:EF118"/>
    <mergeCell ref="EG117:EG118"/>
    <mergeCell ref="EH117:EH118"/>
    <mergeCell ref="EI117:EI118"/>
    <mergeCell ref="EJ117:EJ118"/>
    <mergeCell ref="EK117:EK118"/>
    <mergeCell ref="EL117:EL118"/>
    <mergeCell ref="EM117:EM118"/>
    <mergeCell ref="EN117:EN118"/>
    <mergeCell ref="EO117:EO118"/>
    <mergeCell ref="EP117:EP118"/>
    <mergeCell ref="EQ117:EQ118"/>
    <mergeCell ref="ER117:ER118"/>
    <mergeCell ref="ES117:ES118"/>
    <mergeCell ref="ET117:ET118"/>
    <mergeCell ref="EU117:EU118"/>
    <mergeCell ref="EV117:EV118"/>
    <mergeCell ref="EW117:EW118"/>
    <mergeCell ref="EX117:EX118"/>
    <mergeCell ref="EY117:EY118"/>
    <mergeCell ref="EZ117:EZ118"/>
    <mergeCell ref="FA117:FA118"/>
    <mergeCell ref="FB117:FB118"/>
    <mergeCell ref="FC117:FC118"/>
    <mergeCell ref="FD117:FD118"/>
    <mergeCell ref="FE117:FE118"/>
    <mergeCell ref="FF117:FF118"/>
    <mergeCell ref="FG117:FG118"/>
    <mergeCell ref="FH117:FH118"/>
    <mergeCell ref="FI117:FI118"/>
    <mergeCell ref="FJ117:FJ118"/>
    <mergeCell ref="FK117:FK118"/>
    <mergeCell ref="FL117:FL118"/>
    <mergeCell ref="FM117:FM118"/>
    <mergeCell ref="FN117:FN118"/>
    <mergeCell ref="FO117:FO118"/>
    <mergeCell ref="FP117:FP118"/>
    <mergeCell ref="FQ117:FQ118"/>
    <mergeCell ref="FR117:FR118"/>
    <mergeCell ref="FS117:FS118"/>
    <mergeCell ref="FT117:FT118"/>
    <mergeCell ref="FU117:FU118"/>
    <mergeCell ref="FV117:FV118"/>
    <mergeCell ref="FW117:FW118"/>
    <mergeCell ref="FX117:FX118"/>
    <mergeCell ref="FY117:FY118"/>
    <mergeCell ref="FZ117:FZ118"/>
    <mergeCell ref="GA117:GA118"/>
    <mergeCell ref="GB117:GB118"/>
    <mergeCell ref="GC117:GC118"/>
    <mergeCell ref="GD117:GD118"/>
    <mergeCell ref="GE117:GE118"/>
    <mergeCell ref="GF117:GF118"/>
    <mergeCell ref="GG117:GG118"/>
    <mergeCell ref="GH117:GH118"/>
    <mergeCell ref="GI117:GI118"/>
    <mergeCell ref="GJ117:GJ118"/>
    <mergeCell ref="GK117:GK118"/>
    <mergeCell ref="GL117:GL118"/>
    <mergeCell ref="GM117:GM118"/>
    <mergeCell ref="GN117:GN118"/>
    <mergeCell ref="GO117:GO118"/>
    <mergeCell ref="GP117:GP118"/>
    <mergeCell ref="GQ117:GQ118"/>
    <mergeCell ref="GR117:GR118"/>
    <mergeCell ref="GS117:GS118"/>
    <mergeCell ref="GT117:GT118"/>
    <mergeCell ref="GU117:GU118"/>
    <mergeCell ref="GV117:GV118"/>
    <mergeCell ref="GW117:GW118"/>
    <mergeCell ref="GX117:GX118"/>
    <mergeCell ref="GY117:GY118"/>
    <mergeCell ref="GZ117:GZ118"/>
    <mergeCell ref="HA117:HA118"/>
    <mergeCell ref="HB117:HB118"/>
    <mergeCell ref="HC117:HC118"/>
    <mergeCell ref="HD117:HD118"/>
    <mergeCell ref="HE117:HE118"/>
    <mergeCell ref="HF117:HF118"/>
    <mergeCell ref="HG117:HG118"/>
    <mergeCell ref="HH117:HH118"/>
    <mergeCell ref="HI117:HI118"/>
    <mergeCell ref="HJ117:HJ118"/>
    <mergeCell ref="HK117:HK118"/>
    <mergeCell ref="HL117:HL118"/>
    <mergeCell ref="HM117:HM118"/>
    <mergeCell ref="HN117:HN118"/>
    <mergeCell ref="HO117:HO118"/>
    <mergeCell ref="HP117:HP118"/>
    <mergeCell ref="HQ117:HQ118"/>
    <mergeCell ref="HR117:HR118"/>
    <mergeCell ref="HS117:HS118"/>
    <mergeCell ref="HT117:HT118"/>
    <mergeCell ref="HU117:HU118"/>
    <mergeCell ref="HV117:HV118"/>
    <mergeCell ref="HW117:HW118"/>
    <mergeCell ref="HX117:HX118"/>
    <mergeCell ref="HY117:HY118"/>
    <mergeCell ref="HZ117:HZ118"/>
    <mergeCell ref="IA117:IA118"/>
    <mergeCell ref="IB117:IB118"/>
    <mergeCell ref="IC117:IC118"/>
    <mergeCell ref="ID117:ID118"/>
    <mergeCell ref="IE117:IE118"/>
    <mergeCell ref="IF117:IF118"/>
    <mergeCell ref="IG117:IG118"/>
    <mergeCell ref="IH117:IH118"/>
    <mergeCell ref="II117:II118"/>
    <mergeCell ref="IJ117:IJ118"/>
    <mergeCell ref="IK117:IK118"/>
    <mergeCell ref="B119:B120"/>
    <mergeCell ref="C119:C120"/>
    <mergeCell ref="H119:H120"/>
    <mergeCell ref="I119:I120"/>
    <mergeCell ref="J119:J120"/>
    <mergeCell ref="K119:K120"/>
    <mergeCell ref="F120:G120"/>
    <mergeCell ref="L119:L120"/>
    <mergeCell ref="M119:M120"/>
    <mergeCell ref="N119:N120"/>
    <mergeCell ref="O119:O120"/>
    <mergeCell ref="P119:P120"/>
    <mergeCell ref="Q119:Q120"/>
    <mergeCell ref="R119:R120"/>
    <mergeCell ref="S119:S120"/>
    <mergeCell ref="T119:T120"/>
    <mergeCell ref="U119:U120"/>
    <mergeCell ref="V119:V120"/>
    <mergeCell ref="W119:W120"/>
    <mergeCell ref="X119:X120"/>
    <mergeCell ref="Y119:Y120"/>
    <mergeCell ref="Z119:Z120"/>
    <mergeCell ref="AA119:AA120"/>
    <mergeCell ref="AB119:AB120"/>
    <mergeCell ref="AC119:AC120"/>
    <mergeCell ref="AD119:AD120"/>
    <mergeCell ref="AE119:AE120"/>
    <mergeCell ref="AF119:AF120"/>
    <mergeCell ref="AG119:AG120"/>
    <mergeCell ref="AH119:AH120"/>
    <mergeCell ref="AI119:AI120"/>
    <mergeCell ref="AJ119:AJ120"/>
    <mergeCell ref="AK119:AK120"/>
    <mergeCell ref="AL119:AL120"/>
    <mergeCell ref="AM119:AM120"/>
    <mergeCell ref="AN119:AN120"/>
    <mergeCell ref="AO119:AO120"/>
    <mergeCell ref="AP119:AP120"/>
    <mergeCell ref="AQ119:AQ120"/>
    <mergeCell ref="AR119:AR120"/>
    <mergeCell ref="AS119:AS120"/>
    <mergeCell ref="AT119:AT120"/>
    <mergeCell ref="AU119:AU120"/>
    <mergeCell ref="AV119:AV120"/>
    <mergeCell ref="AW119:AW120"/>
    <mergeCell ref="AX119:AX120"/>
    <mergeCell ref="AY119:AY120"/>
    <mergeCell ref="AZ119:AZ120"/>
    <mergeCell ref="BA119:BA120"/>
    <mergeCell ref="BB119:BB120"/>
    <mergeCell ref="BC119:BC120"/>
    <mergeCell ref="BD119:BD120"/>
    <mergeCell ref="BE119:BE120"/>
    <mergeCell ref="BF119:BF120"/>
    <mergeCell ref="BG119:BG120"/>
    <mergeCell ref="BH119:BH120"/>
    <mergeCell ref="BI119:BI120"/>
    <mergeCell ref="BJ119:BJ120"/>
    <mergeCell ref="BK119:BK120"/>
    <mergeCell ref="BL119:BL120"/>
    <mergeCell ref="BM119:BM120"/>
    <mergeCell ref="BN119:BN120"/>
    <mergeCell ref="BO119:BO120"/>
    <mergeCell ref="BP119:BP120"/>
    <mergeCell ref="BQ119:BQ120"/>
    <mergeCell ref="BR119:BR120"/>
    <mergeCell ref="BS119:BS120"/>
    <mergeCell ref="BT119:BT120"/>
    <mergeCell ref="BU119:BU120"/>
    <mergeCell ref="BV119:BV120"/>
    <mergeCell ref="BW119:BW120"/>
    <mergeCell ref="BX119:BX120"/>
    <mergeCell ref="BY119:BY120"/>
    <mergeCell ref="BZ119:BZ120"/>
    <mergeCell ref="CA119:CA120"/>
    <mergeCell ref="CB119:CB120"/>
    <mergeCell ref="CC119:CC120"/>
    <mergeCell ref="CD119:CD120"/>
    <mergeCell ref="CE119:CE120"/>
    <mergeCell ref="CF119:CF120"/>
    <mergeCell ref="CG119:CG120"/>
    <mergeCell ref="CH119:CH120"/>
    <mergeCell ref="CI119:CI120"/>
    <mergeCell ref="CJ119:CJ120"/>
    <mergeCell ref="CK119:CK120"/>
    <mergeCell ref="CL119:CL120"/>
    <mergeCell ref="CM119:CM120"/>
    <mergeCell ref="CN119:CN120"/>
    <mergeCell ref="CO119:CO120"/>
    <mergeCell ref="CP119:CP120"/>
    <mergeCell ref="CQ119:CQ120"/>
    <mergeCell ref="CR119:CR120"/>
    <mergeCell ref="CS119:CS120"/>
    <mergeCell ref="CT119:CT120"/>
    <mergeCell ref="CU119:CU120"/>
    <mergeCell ref="CV119:CV120"/>
    <mergeCell ref="CW119:CW120"/>
    <mergeCell ref="CX119:CX120"/>
    <mergeCell ref="CY119:CY120"/>
    <mergeCell ref="CZ119:CZ120"/>
    <mergeCell ref="DA119:DA120"/>
    <mergeCell ref="DB119:DB120"/>
    <mergeCell ref="DC119:DC120"/>
    <mergeCell ref="DD119:DD120"/>
    <mergeCell ref="DE119:DE120"/>
    <mergeCell ref="DF119:DF120"/>
    <mergeCell ref="DG119:DG120"/>
    <mergeCell ref="DH119:DH120"/>
    <mergeCell ref="DI119:DI120"/>
    <mergeCell ref="DJ119:DJ120"/>
    <mergeCell ref="DK119:DK120"/>
    <mergeCell ref="DL119:DL120"/>
    <mergeCell ref="DM119:DM120"/>
    <mergeCell ref="DN119:DN120"/>
    <mergeCell ref="DO119:DO120"/>
    <mergeCell ref="DP119:DP120"/>
    <mergeCell ref="DQ119:DQ120"/>
    <mergeCell ref="DR119:DR120"/>
    <mergeCell ref="DS119:DS120"/>
    <mergeCell ref="DT119:DT120"/>
    <mergeCell ref="DU119:DU120"/>
    <mergeCell ref="DV119:DV120"/>
    <mergeCell ref="DW119:DW120"/>
    <mergeCell ref="DX119:DX120"/>
    <mergeCell ref="DY119:DY120"/>
    <mergeCell ref="DZ119:DZ120"/>
    <mergeCell ref="EA119:EA120"/>
    <mergeCell ref="EB119:EB120"/>
    <mergeCell ref="EC119:EC120"/>
    <mergeCell ref="ED119:ED120"/>
    <mergeCell ref="EE119:EE120"/>
    <mergeCell ref="EF119:EF120"/>
    <mergeCell ref="EG119:EG120"/>
    <mergeCell ref="EH119:EH120"/>
    <mergeCell ref="EI119:EI120"/>
    <mergeCell ref="EJ119:EJ120"/>
    <mergeCell ref="EK119:EK120"/>
    <mergeCell ref="EL119:EL120"/>
    <mergeCell ref="EM119:EM120"/>
    <mergeCell ref="EN119:EN120"/>
    <mergeCell ref="EO119:EO120"/>
    <mergeCell ref="EP119:EP120"/>
    <mergeCell ref="EQ119:EQ120"/>
    <mergeCell ref="ER119:ER120"/>
    <mergeCell ref="ES119:ES120"/>
    <mergeCell ref="ET119:ET120"/>
    <mergeCell ref="EU119:EU120"/>
    <mergeCell ref="EV119:EV120"/>
    <mergeCell ref="EW119:EW120"/>
    <mergeCell ref="EX119:EX120"/>
    <mergeCell ref="EY119:EY120"/>
    <mergeCell ref="EZ119:EZ120"/>
    <mergeCell ref="FA119:FA120"/>
    <mergeCell ref="FB119:FB120"/>
    <mergeCell ref="FC119:FC120"/>
    <mergeCell ref="FD119:FD120"/>
    <mergeCell ref="FE119:FE120"/>
    <mergeCell ref="FF119:FF120"/>
    <mergeCell ref="FG119:FG120"/>
    <mergeCell ref="FH119:FH120"/>
    <mergeCell ref="FI119:FI120"/>
    <mergeCell ref="FJ119:FJ120"/>
    <mergeCell ref="FK119:FK120"/>
    <mergeCell ref="FL119:FL120"/>
    <mergeCell ref="FM119:FM120"/>
    <mergeCell ref="FN119:FN120"/>
    <mergeCell ref="FO119:FO120"/>
    <mergeCell ref="FP119:FP120"/>
    <mergeCell ref="FQ119:FQ120"/>
    <mergeCell ref="FR119:FR120"/>
    <mergeCell ref="FS119:FS120"/>
    <mergeCell ref="FT119:FT120"/>
    <mergeCell ref="FU119:FU120"/>
    <mergeCell ref="FV119:FV120"/>
    <mergeCell ref="FW119:FW120"/>
    <mergeCell ref="FX119:FX120"/>
    <mergeCell ref="FY119:FY120"/>
    <mergeCell ref="FZ119:FZ120"/>
    <mergeCell ref="GA119:GA120"/>
    <mergeCell ref="GB119:GB120"/>
    <mergeCell ref="GC119:GC120"/>
    <mergeCell ref="GD119:GD120"/>
    <mergeCell ref="GE119:GE120"/>
    <mergeCell ref="GF119:GF120"/>
    <mergeCell ref="GG119:GG120"/>
    <mergeCell ref="GH119:GH120"/>
    <mergeCell ref="GI119:GI120"/>
    <mergeCell ref="GJ119:GJ120"/>
    <mergeCell ref="GK119:GK120"/>
    <mergeCell ref="GL119:GL120"/>
    <mergeCell ref="GM119:GM120"/>
    <mergeCell ref="GN119:GN120"/>
    <mergeCell ref="GO119:GO120"/>
    <mergeCell ref="GP119:GP120"/>
    <mergeCell ref="GQ119:GQ120"/>
    <mergeCell ref="GR119:GR120"/>
    <mergeCell ref="GS119:GS120"/>
    <mergeCell ref="GT119:GT120"/>
    <mergeCell ref="GU119:GU120"/>
    <mergeCell ref="GV119:GV120"/>
    <mergeCell ref="GW119:GW120"/>
    <mergeCell ref="GX119:GX120"/>
    <mergeCell ref="GY119:GY120"/>
    <mergeCell ref="GZ119:GZ120"/>
    <mergeCell ref="HA119:HA120"/>
    <mergeCell ref="HB119:HB120"/>
    <mergeCell ref="HC119:HC120"/>
    <mergeCell ref="HD119:HD120"/>
    <mergeCell ref="HE119:HE120"/>
    <mergeCell ref="HF119:HF120"/>
    <mergeCell ref="HG119:HG120"/>
    <mergeCell ref="HH119:HH120"/>
    <mergeCell ref="HI119:HI120"/>
    <mergeCell ref="HJ119:HJ120"/>
    <mergeCell ref="HK119:HK120"/>
    <mergeCell ref="HL119:HL120"/>
    <mergeCell ref="HM119:HM120"/>
    <mergeCell ref="HN119:HN120"/>
    <mergeCell ref="HO119:HO120"/>
    <mergeCell ref="HP119:HP120"/>
    <mergeCell ref="HQ119:HQ120"/>
    <mergeCell ref="HR119:HR120"/>
    <mergeCell ref="HS119:HS120"/>
    <mergeCell ref="HT119:HT120"/>
    <mergeCell ref="HU119:HU120"/>
    <mergeCell ref="HV119:HV120"/>
    <mergeCell ref="HW119:HW120"/>
    <mergeCell ref="HX119:HX120"/>
    <mergeCell ref="HY119:HY120"/>
    <mergeCell ref="HZ119:HZ120"/>
    <mergeCell ref="IA119:IA120"/>
    <mergeCell ref="IB119:IB120"/>
    <mergeCell ref="IC119:IC120"/>
    <mergeCell ref="ID119:ID120"/>
    <mergeCell ref="IE119:IE120"/>
    <mergeCell ref="IF119:IF120"/>
    <mergeCell ref="IG119:IG120"/>
    <mergeCell ref="IH119:IH120"/>
    <mergeCell ref="II119:II120"/>
    <mergeCell ref="IJ119:IJ120"/>
    <mergeCell ref="IK119:IK120"/>
    <mergeCell ref="B121:B122"/>
    <mergeCell ref="C121:C122"/>
    <mergeCell ref="H121:H122"/>
    <mergeCell ref="I121:I122"/>
    <mergeCell ref="J121:J122"/>
    <mergeCell ref="K121:K122"/>
    <mergeCell ref="F122:G122"/>
    <mergeCell ref="L121:L122"/>
    <mergeCell ref="M121:M122"/>
    <mergeCell ref="N121:N122"/>
    <mergeCell ref="O121:O122"/>
    <mergeCell ref="P121:P122"/>
    <mergeCell ref="Q121:Q122"/>
    <mergeCell ref="R121:R122"/>
    <mergeCell ref="S121:S122"/>
    <mergeCell ref="T121:T122"/>
    <mergeCell ref="U121:U122"/>
    <mergeCell ref="V121:V122"/>
    <mergeCell ref="W121:W122"/>
    <mergeCell ref="X121:X122"/>
    <mergeCell ref="Y121:Y122"/>
    <mergeCell ref="Z121:Z122"/>
    <mergeCell ref="AA121:AA122"/>
    <mergeCell ref="AB121:AB122"/>
    <mergeCell ref="AC121:AC122"/>
    <mergeCell ref="AD121:AD122"/>
    <mergeCell ref="AE121:AE122"/>
    <mergeCell ref="AF121:AF122"/>
    <mergeCell ref="AG121:AG122"/>
    <mergeCell ref="AH121:AH122"/>
    <mergeCell ref="AI121:AI122"/>
    <mergeCell ref="AJ121:AJ122"/>
    <mergeCell ref="AK121:AK122"/>
    <mergeCell ref="AL121:AL122"/>
    <mergeCell ref="AM121:AM122"/>
    <mergeCell ref="AN121:AN122"/>
    <mergeCell ref="AO121:AO122"/>
    <mergeCell ref="AP121:AP122"/>
    <mergeCell ref="AQ121:AQ122"/>
    <mergeCell ref="AR121:AR122"/>
    <mergeCell ref="AS121:AS122"/>
    <mergeCell ref="AT121:AT122"/>
    <mergeCell ref="AU121:AU122"/>
    <mergeCell ref="AV121:AV122"/>
    <mergeCell ref="AW121:AW122"/>
    <mergeCell ref="AX121:AX122"/>
    <mergeCell ref="AY121:AY122"/>
    <mergeCell ref="AZ121:AZ122"/>
    <mergeCell ref="BA121:BA122"/>
    <mergeCell ref="BB121:BB122"/>
    <mergeCell ref="BC121:BC122"/>
    <mergeCell ref="BD121:BD122"/>
    <mergeCell ref="BE121:BE122"/>
    <mergeCell ref="BF121:BF122"/>
    <mergeCell ref="BG121:BG122"/>
    <mergeCell ref="BH121:BH122"/>
    <mergeCell ref="BI121:BI122"/>
    <mergeCell ref="BJ121:BJ122"/>
    <mergeCell ref="BK121:BK122"/>
    <mergeCell ref="BL121:BL122"/>
    <mergeCell ref="BM121:BM122"/>
    <mergeCell ref="BN121:BN122"/>
    <mergeCell ref="BO121:BO122"/>
    <mergeCell ref="BP121:BP122"/>
    <mergeCell ref="BQ121:BQ122"/>
    <mergeCell ref="BR121:BR122"/>
    <mergeCell ref="BS121:BS122"/>
    <mergeCell ref="BT121:BT122"/>
    <mergeCell ref="BU121:BU122"/>
    <mergeCell ref="BV121:BV122"/>
    <mergeCell ref="BW121:BW122"/>
    <mergeCell ref="BX121:BX122"/>
    <mergeCell ref="BY121:BY122"/>
    <mergeCell ref="BZ121:BZ122"/>
    <mergeCell ref="CA121:CA122"/>
    <mergeCell ref="CB121:CB122"/>
    <mergeCell ref="CC121:CC122"/>
    <mergeCell ref="CD121:CD122"/>
    <mergeCell ref="CE121:CE122"/>
    <mergeCell ref="CF121:CF122"/>
    <mergeCell ref="CG121:CG122"/>
    <mergeCell ref="CH121:CH122"/>
    <mergeCell ref="CI121:CI122"/>
    <mergeCell ref="CJ121:CJ122"/>
    <mergeCell ref="CK121:CK122"/>
    <mergeCell ref="CL121:CL122"/>
    <mergeCell ref="CM121:CM122"/>
    <mergeCell ref="CN121:CN122"/>
    <mergeCell ref="CO121:CO122"/>
    <mergeCell ref="CP121:CP122"/>
    <mergeCell ref="CQ121:CQ122"/>
    <mergeCell ref="CR121:CR122"/>
    <mergeCell ref="CS121:CS122"/>
    <mergeCell ref="CT121:CT122"/>
    <mergeCell ref="CU121:CU122"/>
    <mergeCell ref="CV121:CV122"/>
    <mergeCell ref="CW121:CW122"/>
    <mergeCell ref="CX121:CX122"/>
    <mergeCell ref="CY121:CY122"/>
    <mergeCell ref="CZ121:CZ122"/>
    <mergeCell ref="DA121:DA122"/>
    <mergeCell ref="DB121:DB122"/>
    <mergeCell ref="DC121:DC122"/>
    <mergeCell ref="DD121:DD122"/>
    <mergeCell ref="DE121:DE122"/>
    <mergeCell ref="DF121:DF122"/>
    <mergeCell ref="DG121:DG122"/>
    <mergeCell ref="DH121:DH122"/>
    <mergeCell ref="DI121:DI122"/>
    <mergeCell ref="DJ121:DJ122"/>
    <mergeCell ref="DK121:DK122"/>
    <mergeCell ref="DL121:DL122"/>
    <mergeCell ref="DM121:DM122"/>
    <mergeCell ref="DN121:DN122"/>
    <mergeCell ref="DO121:DO122"/>
    <mergeCell ref="DP121:DP122"/>
    <mergeCell ref="DQ121:DQ122"/>
    <mergeCell ref="DR121:DR122"/>
    <mergeCell ref="DS121:DS122"/>
    <mergeCell ref="DT121:DT122"/>
    <mergeCell ref="DU121:DU122"/>
    <mergeCell ref="DV121:DV122"/>
    <mergeCell ref="DW121:DW122"/>
    <mergeCell ref="DX121:DX122"/>
    <mergeCell ref="DY121:DY122"/>
    <mergeCell ref="DZ121:DZ122"/>
    <mergeCell ref="EA121:EA122"/>
    <mergeCell ref="EB121:EB122"/>
    <mergeCell ref="EC121:EC122"/>
    <mergeCell ref="ED121:ED122"/>
    <mergeCell ref="EE121:EE122"/>
    <mergeCell ref="EF121:EF122"/>
    <mergeCell ref="EG121:EG122"/>
    <mergeCell ref="EH121:EH122"/>
    <mergeCell ref="EI121:EI122"/>
    <mergeCell ref="EJ121:EJ122"/>
    <mergeCell ref="EK121:EK122"/>
    <mergeCell ref="EL121:EL122"/>
    <mergeCell ref="EM121:EM122"/>
    <mergeCell ref="EN121:EN122"/>
    <mergeCell ref="EO121:EO122"/>
    <mergeCell ref="EP121:EP122"/>
    <mergeCell ref="EQ121:EQ122"/>
    <mergeCell ref="ER121:ER122"/>
    <mergeCell ref="ES121:ES122"/>
    <mergeCell ref="ET121:ET122"/>
    <mergeCell ref="EU121:EU122"/>
    <mergeCell ref="EV121:EV122"/>
    <mergeCell ref="EW121:EW122"/>
    <mergeCell ref="EX121:EX122"/>
    <mergeCell ref="EY121:EY122"/>
    <mergeCell ref="EZ121:EZ122"/>
    <mergeCell ref="FA121:FA122"/>
    <mergeCell ref="FB121:FB122"/>
    <mergeCell ref="FC121:FC122"/>
    <mergeCell ref="FD121:FD122"/>
    <mergeCell ref="FE121:FE122"/>
    <mergeCell ref="FF121:FF122"/>
    <mergeCell ref="FG121:FG122"/>
    <mergeCell ref="FH121:FH122"/>
    <mergeCell ref="FI121:FI122"/>
    <mergeCell ref="FJ121:FJ122"/>
    <mergeCell ref="FK121:FK122"/>
    <mergeCell ref="FL121:FL122"/>
    <mergeCell ref="FM121:FM122"/>
    <mergeCell ref="FN121:FN122"/>
    <mergeCell ref="FO121:FO122"/>
    <mergeCell ref="FP121:FP122"/>
    <mergeCell ref="FQ121:FQ122"/>
    <mergeCell ref="FR121:FR122"/>
    <mergeCell ref="FS121:FS122"/>
    <mergeCell ref="FT121:FT122"/>
    <mergeCell ref="FU121:FU122"/>
    <mergeCell ref="FV121:FV122"/>
    <mergeCell ref="FW121:FW122"/>
    <mergeCell ref="FX121:FX122"/>
    <mergeCell ref="FY121:FY122"/>
    <mergeCell ref="FZ121:FZ122"/>
    <mergeCell ref="GA121:GA122"/>
    <mergeCell ref="GB121:GB122"/>
    <mergeCell ref="GC121:GC122"/>
    <mergeCell ref="GD121:GD122"/>
    <mergeCell ref="GE121:GE122"/>
    <mergeCell ref="GF121:GF122"/>
    <mergeCell ref="GG121:GG122"/>
    <mergeCell ref="GH121:GH122"/>
    <mergeCell ref="GI121:GI122"/>
    <mergeCell ref="GJ121:GJ122"/>
    <mergeCell ref="GK121:GK122"/>
    <mergeCell ref="GL121:GL122"/>
    <mergeCell ref="GM121:GM122"/>
    <mergeCell ref="GN121:GN122"/>
    <mergeCell ref="GO121:GO122"/>
    <mergeCell ref="GP121:GP122"/>
    <mergeCell ref="GQ121:GQ122"/>
    <mergeCell ref="GR121:GR122"/>
    <mergeCell ref="GS121:GS122"/>
    <mergeCell ref="GT121:GT122"/>
    <mergeCell ref="GU121:GU122"/>
    <mergeCell ref="GV121:GV122"/>
    <mergeCell ref="GW121:GW122"/>
    <mergeCell ref="GX121:GX122"/>
    <mergeCell ref="GY121:GY122"/>
    <mergeCell ref="GZ121:GZ122"/>
    <mergeCell ref="HA121:HA122"/>
    <mergeCell ref="HB121:HB122"/>
    <mergeCell ref="HC121:HC122"/>
    <mergeCell ref="HD121:HD122"/>
    <mergeCell ref="HE121:HE122"/>
    <mergeCell ref="HF121:HF122"/>
    <mergeCell ref="HG121:HG122"/>
    <mergeCell ref="HH121:HH122"/>
    <mergeCell ref="HI121:HI122"/>
    <mergeCell ref="HJ121:HJ122"/>
    <mergeCell ref="HK121:HK122"/>
    <mergeCell ref="HL121:HL122"/>
    <mergeCell ref="HM121:HM122"/>
    <mergeCell ref="HN121:HN122"/>
    <mergeCell ref="HO121:HO122"/>
    <mergeCell ref="HP121:HP122"/>
    <mergeCell ref="HQ121:HQ122"/>
    <mergeCell ref="HR121:HR122"/>
    <mergeCell ref="HS121:HS122"/>
    <mergeCell ref="HT121:HT122"/>
    <mergeCell ref="HU121:HU122"/>
    <mergeCell ref="HV121:HV122"/>
    <mergeCell ref="HW121:HW122"/>
    <mergeCell ref="HX121:HX122"/>
    <mergeCell ref="HY121:HY122"/>
    <mergeCell ref="HZ121:HZ122"/>
    <mergeCell ref="IA121:IA122"/>
    <mergeCell ref="IB121:IB122"/>
    <mergeCell ref="IC121:IC122"/>
    <mergeCell ref="ID121:ID122"/>
    <mergeCell ref="IE121:IE122"/>
    <mergeCell ref="IF121:IF122"/>
    <mergeCell ref="IG121:IG122"/>
    <mergeCell ref="IH121:IH122"/>
    <mergeCell ref="II121:II122"/>
    <mergeCell ref="IJ121:IJ122"/>
    <mergeCell ref="IK121:IK122"/>
    <mergeCell ref="B201:B202"/>
    <mergeCell ref="C201:C202"/>
    <mergeCell ref="H201:H202"/>
    <mergeCell ref="I201:I202"/>
    <mergeCell ref="J201:J202"/>
    <mergeCell ref="K201:K202"/>
    <mergeCell ref="F202:G202"/>
    <mergeCell ref="L201:L202"/>
    <mergeCell ref="M201:M202"/>
    <mergeCell ref="N201:N202"/>
    <mergeCell ref="O201:O202"/>
    <mergeCell ref="P201:P202"/>
    <mergeCell ref="Q201:Q202"/>
    <mergeCell ref="R201:R202"/>
    <mergeCell ref="S201:S202"/>
    <mergeCell ref="T201:T202"/>
    <mergeCell ref="U201:U202"/>
    <mergeCell ref="V201:V202"/>
    <mergeCell ref="W201:W202"/>
    <mergeCell ref="X201:X202"/>
    <mergeCell ref="Y201:Y202"/>
    <mergeCell ref="Z201:Z202"/>
    <mergeCell ref="AA201:AA202"/>
    <mergeCell ref="AB201:AB202"/>
    <mergeCell ref="AC201:AC202"/>
    <mergeCell ref="AD201:AD202"/>
    <mergeCell ref="AE201:AE202"/>
    <mergeCell ref="AF201:AF202"/>
    <mergeCell ref="AG201:AG202"/>
    <mergeCell ref="AH201:AH202"/>
    <mergeCell ref="AI201:AI202"/>
    <mergeCell ref="AJ201:AJ202"/>
    <mergeCell ref="AK201:AK202"/>
    <mergeCell ref="AL201:AL202"/>
    <mergeCell ref="AM201:AM202"/>
    <mergeCell ref="AN201:AN202"/>
    <mergeCell ref="AO201:AO202"/>
    <mergeCell ref="AP201:AP202"/>
    <mergeCell ref="AQ201:AQ202"/>
    <mergeCell ref="AR201:AR202"/>
    <mergeCell ref="AS201:AS202"/>
    <mergeCell ref="AT201:AT202"/>
    <mergeCell ref="AU201:AU202"/>
    <mergeCell ref="AV201:AV202"/>
    <mergeCell ref="AW201:AW202"/>
    <mergeCell ref="AX201:AX202"/>
    <mergeCell ref="AY201:AY202"/>
    <mergeCell ref="AZ201:AZ202"/>
    <mergeCell ref="BA201:BA202"/>
    <mergeCell ref="BB201:BB202"/>
    <mergeCell ref="BC201:BC202"/>
    <mergeCell ref="BD201:BD202"/>
    <mergeCell ref="BE201:BE202"/>
    <mergeCell ref="BF201:BF202"/>
    <mergeCell ref="BG201:BG202"/>
    <mergeCell ref="BH201:BH202"/>
    <mergeCell ref="BI201:BI202"/>
    <mergeCell ref="BJ201:BJ202"/>
    <mergeCell ref="BK201:BK202"/>
    <mergeCell ref="BL201:BL202"/>
    <mergeCell ref="BM201:BM202"/>
    <mergeCell ref="BN201:BN202"/>
    <mergeCell ref="BO201:BO202"/>
    <mergeCell ref="BP201:BP202"/>
    <mergeCell ref="BQ201:BQ202"/>
    <mergeCell ref="BR201:BR202"/>
    <mergeCell ref="BS201:BS202"/>
    <mergeCell ref="BT201:BT202"/>
    <mergeCell ref="BU201:BU202"/>
    <mergeCell ref="BV201:BV202"/>
    <mergeCell ref="BW201:BW202"/>
    <mergeCell ref="BX201:BX202"/>
    <mergeCell ref="BY201:BY202"/>
    <mergeCell ref="BZ201:BZ202"/>
    <mergeCell ref="CA201:CA202"/>
    <mergeCell ref="CB201:CB202"/>
    <mergeCell ref="CC201:CC202"/>
    <mergeCell ref="CD201:CD202"/>
    <mergeCell ref="CE201:CE202"/>
    <mergeCell ref="CF201:CF202"/>
    <mergeCell ref="CG201:CG202"/>
    <mergeCell ref="CH201:CH202"/>
    <mergeCell ref="CI201:CI202"/>
    <mergeCell ref="CJ201:CJ202"/>
    <mergeCell ref="CK201:CK202"/>
    <mergeCell ref="CL201:CL202"/>
    <mergeCell ref="CM201:CM202"/>
    <mergeCell ref="CN201:CN202"/>
    <mergeCell ref="CO201:CO202"/>
    <mergeCell ref="CP201:CP202"/>
    <mergeCell ref="CQ201:CQ202"/>
    <mergeCell ref="CR201:CR202"/>
    <mergeCell ref="CS201:CS202"/>
    <mergeCell ref="CT201:CT202"/>
    <mergeCell ref="CU201:CU202"/>
    <mergeCell ref="CV201:CV202"/>
    <mergeCell ref="CW201:CW202"/>
    <mergeCell ref="CX201:CX202"/>
    <mergeCell ref="CY201:CY202"/>
    <mergeCell ref="CZ201:CZ202"/>
    <mergeCell ref="DA201:DA202"/>
    <mergeCell ref="DB201:DB202"/>
    <mergeCell ref="DC201:DC202"/>
    <mergeCell ref="DD201:DD202"/>
    <mergeCell ref="DE201:DE202"/>
    <mergeCell ref="DF201:DF202"/>
    <mergeCell ref="DG201:DG202"/>
    <mergeCell ref="DH201:DH202"/>
    <mergeCell ref="DI201:DI202"/>
    <mergeCell ref="DJ201:DJ202"/>
    <mergeCell ref="DK201:DK202"/>
    <mergeCell ref="DL201:DL202"/>
    <mergeCell ref="DM201:DM202"/>
    <mergeCell ref="DN201:DN202"/>
    <mergeCell ref="DO201:DO202"/>
    <mergeCell ref="DP201:DP202"/>
    <mergeCell ref="DQ201:DQ202"/>
    <mergeCell ref="DR201:DR202"/>
    <mergeCell ref="DS201:DS202"/>
    <mergeCell ref="DT201:DT202"/>
    <mergeCell ref="DU201:DU202"/>
    <mergeCell ref="DV201:DV202"/>
    <mergeCell ref="DW201:DW202"/>
    <mergeCell ref="DX201:DX202"/>
    <mergeCell ref="DY201:DY202"/>
    <mergeCell ref="DZ201:DZ202"/>
    <mergeCell ref="EA201:EA202"/>
    <mergeCell ref="EB201:EB202"/>
    <mergeCell ref="EC201:EC202"/>
    <mergeCell ref="ED201:ED202"/>
    <mergeCell ref="EE201:EE202"/>
    <mergeCell ref="EF201:EF202"/>
    <mergeCell ref="EG201:EG202"/>
    <mergeCell ref="EH201:EH202"/>
    <mergeCell ref="EI201:EI202"/>
    <mergeCell ref="EJ201:EJ202"/>
    <mergeCell ref="EK201:EK202"/>
    <mergeCell ref="EL201:EL202"/>
    <mergeCell ref="EM201:EM202"/>
    <mergeCell ref="EN201:EN202"/>
    <mergeCell ref="EO201:EO202"/>
    <mergeCell ref="EP201:EP202"/>
    <mergeCell ref="EQ201:EQ202"/>
    <mergeCell ref="ER201:ER202"/>
    <mergeCell ref="ES201:ES202"/>
    <mergeCell ref="ET201:ET202"/>
    <mergeCell ref="EU201:EU202"/>
    <mergeCell ref="EV201:EV202"/>
    <mergeCell ref="EW201:EW202"/>
    <mergeCell ref="EX201:EX202"/>
    <mergeCell ref="EY201:EY202"/>
    <mergeCell ref="EZ201:EZ202"/>
    <mergeCell ref="FA201:FA202"/>
    <mergeCell ref="FB201:FB202"/>
    <mergeCell ref="FC201:FC202"/>
    <mergeCell ref="FD201:FD202"/>
    <mergeCell ref="FE201:FE202"/>
    <mergeCell ref="FF201:FF202"/>
    <mergeCell ref="FG201:FG202"/>
    <mergeCell ref="FH201:FH202"/>
    <mergeCell ref="FI201:FI202"/>
    <mergeCell ref="FJ201:FJ202"/>
    <mergeCell ref="FK201:FK202"/>
    <mergeCell ref="FL201:FL202"/>
    <mergeCell ref="FM201:FM202"/>
    <mergeCell ref="FN201:FN202"/>
    <mergeCell ref="FO201:FO202"/>
    <mergeCell ref="FP201:FP202"/>
    <mergeCell ref="FQ201:FQ202"/>
    <mergeCell ref="FR201:FR202"/>
    <mergeCell ref="FS201:FS202"/>
    <mergeCell ref="FT201:FT202"/>
    <mergeCell ref="FU201:FU202"/>
    <mergeCell ref="FV201:FV202"/>
    <mergeCell ref="FW201:FW202"/>
    <mergeCell ref="FX201:FX202"/>
    <mergeCell ref="FY201:FY202"/>
    <mergeCell ref="FZ201:FZ202"/>
    <mergeCell ref="GA201:GA202"/>
    <mergeCell ref="GB201:GB202"/>
    <mergeCell ref="GC201:GC202"/>
    <mergeCell ref="GD201:GD202"/>
    <mergeCell ref="GE201:GE202"/>
    <mergeCell ref="GF201:GF202"/>
    <mergeCell ref="GG201:GG202"/>
    <mergeCell ref="GH201:GH202"/>
    <mergeCell ref="GI201:GI202"/>
    <mergeCell ref="GJ201:GJ202"/>
    <mergeCell ref="GK201:GK202"/>
    <mergeCell ref="GL201:GL202"/>
    <mergeCell ref="GM201:GM202"/>
    <mergeCell ref="GN201:GN202"/>
    <mergeCell ref="GO201:GO202"/>
    <mergeCell ref="GP201:GP202"/>
    <mergeCell ref="GQ201:GQ202"/>
    <mergeCell ref="GR201:GR202"/>
    <mergeCell ref="GS201:GS202"/>
    <mergeCell ref="GT201:GT202"/>
    <mergeCell ref="GU201:GU202"/>
    <mergeCell ref="GV201:GV202"/>
    <mergeCell ref="GW201:GW202"/>
    <mergeCell ref="GX201:GX202"/>
    <mergeCell ref="GY201:GY202"/>
    <mergeCell ref="GZ201:GZ202"/>
    <mergeCell ref="HA201:HA202"/>
    <mergeCell ref="HB201:HB202"/>
    <mergeCell ref="HC201:HC202"/>
    <mergeCell ref="HD201:HD202"/>
    <mergeCell ref="HE201:HE202"/>
    <mergeCell ref="HF201:HF202"/>
    <mergeCell ref="HG201:HG202"/>
    <mergeCell ref="HH201:HH202"/>
    <mergeCell ref="HI201:HI202"/>
    <mergeCell ref="HJ201:HJ202"/>
    <mergeCell ref="HK201:HK202"/>
    <mergeCell ref="HL201:HL202"/>
    <mergeCell ref="HM201:HM202"/>
    <mergeCell ref="HN201:HN202"/>
    <mergeCell ref="HO201:HO202"/>
    <mergeCell ref="HP201:HP202"/>
    <mergeCell ref="HQ201:HQ202"/>
    <mergeCell ref="HR201:HR202"/>
    <mergeCell ref="HS201:HS202"/>
    <mergeCell ref="HT201:HT202"/>
    <mergeCell ref="HU201:HU202"/>
    <mergeCell ref="HV201:HV202"/>
    <mergeCell ref="HW201:HW202"/>
    <mergeCell ref="HX201:HX202"/>
    <mergeCell ref="HY201:HY202"/>
    <mergeCell ref="HZ201:HZ202"/>
    <mergeCell ref="IA201:IA202"/>
    <mergeCell ref="IB201:IB202"/>
    <mergeCell ref="IC201:IC202"/>
    <mergeCell ref="ID201:ID202"/>
    <mergeCell ref="IE201:IE202"/>
    <mergeCell ref="IF201:IF202"/>
    <mergeCell ref="IG201:IG202"/>
    <mergeCell ref="IH201:IH202"/>
    <mergeCell ref="II201:II202"/>
    <mergeCell ref="IJ201:IJ202"/>
    <mergeCell ref="IK201:IK202"/>
    <mergeCell ref="B203:B204"/>
    <mergeCell ref="C203:C204"/>
    <mergeCell ref="H203:H204"/>
    <mergeCell ref="I203:I204"/>
    <mergeCell ref="J203:J204"/>
    <mergeCell ref="K203:K204"/>
    <mergeCell ref="F204:G204"/>
    <mergeCell ref="L203:L204"/>
    <mergeCell ref="M203:M204"/>
    <mergeCell ref="N203:N204"/>
    <mergeCell ref="O203:O204"/>
    <mergeCell ref="P203:P204"/>
    <mergeCell ref="Q203:Q204"/>
    <mergeCell ref="R203:R204"/>
    <mergeCell ref="S203:S204"/>
    <mergeCell ref="T203:T204"/>
    <mergeCell ref="U203:U204"/>
    <mergeCell ref="V203:V204"/>
    <mergeCell ref="W203:W204"/>
    <mergeCell ref="X203:X204"/>
    <mergeCell ref="Y203:Y204"/>
    <mergeCell ref="Z203:Z204"/>
    <mergeCell ref="AA203:AA204"/>
    <mergeCell ref="AB203:AB204"/>
    <mergeCell ref="AC203:AC204"/>
    <mergeCell ref="AD203:AD204"/>
    <mergeCell ref="AE203:AE204"/>
    <mergeCell ref="AF203:AF204"/>
    <mergeCell ref="AG203:AG204"/>
    <mergeCell ref="AH203:AH204"/>
    <mergeCell ref="AI203:AI204"/>
    <mergeCell ref="AJ203:AJ204"/>
    <mergeCell ref="AK203:AK204"/>
    <mergeCell ref="AL203:AL204"/>
    <mergeCell ref="AM203:AM204"/>
    <mergeCell ref="AN203:AN204"/>
    <mergeCell ref="AO203:AO204"/>
    <mergeCell ref="AP203:AP204"/>
    <mergeCell ref="AQ203:AQ204"/>
    <mergeCell ref="AR203:AR204"/>
    <mergeCell ref="AS203:AS204"/>
    <mergeCell ref="AT203:AT204"/>
    <mergeCell ref="AU203:AU204"/>
    <mergeCell ref="AV203:AV204"/>
    <mergeCell ref="AW203:AW204"/>
    <mergeCell ref="AX203:AX204"/>
    <mergeCell ref="AY203:AY204"/>
    <mergeCell ref="AZ203:AZ204"/>
    <mergeCell ref="BA203:BA204"/>
    <mergeCell ref="BB203:BB204"/>
    <mergeCell ref="BC203:BC204"/>
    <mergeCell ref="BD203:BD204"/>
    <mergeCell ref="BE203:BE204"/>
    <mergeCell ref="BF203:BF204"/>
    <mergeCell ref="BG203:BG204"/>
    <mergeCell ref="BH203:BH204"/>
    <mergeCell ref="BI203:BI204"/>
    <mergeCell ref="BJ203:BJ204"/>
    <mergeCell ref="BK203:BK204"/>
    <mergeCell ref="BL203:BL204"/>
    <mergeCell ref="BM203:BM204"/>
    <mergeCell ref="BN203:BN204"/>
    <mergeCell ref="BO203:BO204"/>
    <mergeCell ref="BP203:BP204"/>
    <mergeCell ref="BQ203:BQ204"/>
    <mergeCell ref="BR203:BR204"/>
    <mergeCell ref="BS203:BS204"/>
    <mergeCell ref="BT203:BT204"/>
    <mergeCell ref="BU203:BU204"/>
    <mergeCell ref="BV203:BV204"/>
    <mergeCell ref="BW203:BW204"/>
    <mergeCell ref="BX203:BX204"/>
    <mergeCell ref="BY203:BY204"/>
    <mergeCell ref="BZ203:BZ204"/>
    <mergeCell ref="CA203:CA204"/>
    <mergeCell ref="CB203:CB204"/>
    <mergeCell ref="CC203:CC204"/>
    <mergeCell ref="CD203:CD204"/>
    <mergeCell ref="CE203:CE204"/>
    <mergeCell ref="CF203:CF204"/>
    <mergeCell ref="CG203:CG204"/>
    <mergeCell ref="CH203:CH204"/>
    <mergeCell ref="CI203:CI204"/>
    <mergeCell ref="CJ203:CJ204"/>
    <mergeCell ref="CK203:CK204"/>
    <mergeCell ref="CL203:CL204"/>
    <mergeCell ref="CM203:CM204"/>
    <mergeCell ref="CN203:CN204"/>
    <mergeCell ref="CO203:CO204"/>
    <mergeCell ref="CP203:CP204"/>
    <mergeCell ref="CQ203:CQ204"/>
    <mergeCell ref="CR203:CR204"/>
    <mergeCell ref="CS203:CS204"/>
    <mergeCell ref="CT203:CT204"/>
    <mergeCell ref="CU203:CU204"/>
    <mergeCell ref="CV203:CV204"/>
    <mergeCell ref="CW203:CW204"/>
    <mergeCell ref="CX203:CX204"/>
    <mergeCell ref="CY203:CY204"/>
    <mergeCell ref="CZ203:CZ204"/>
    <mergeCell ref="DA203:DA204"/>
    <mergeCell ref="DB203:DB204"/>
    <mergeCell ref="DC203:DC204"/>
    <mergeCell ref="DD203:DD204"/>
    <mergeCell ref="DE203:DE204"/>
    <mergeCell ref="DF203:DF204"/>
    <mergeCell ref="DG203:DG204"/>
    <mergeCell ref="DH203:DH204"/>
    <mergeCell ref="DI203:DI204"/>
    <mergeCell ref="DJ203:DJ204"/>
    <mergeCell ref="DK203:DK204"/>
    <mergeCell ref="DL203:DL204"/>
    <mergeCell ref="DM203:DM204"/>
    <mergeCell ref="DN203:DN204"/>
    <mergeCell ref="DO203:DO204"/>
    <mergeCell ref="DP203:DP204"/>
    <mergeCell ref="DQ203:DQ204"/>
    <mergeCell ref="DR203:DR204"/>
    <mergeCell ref="DS203:DS204"/>
    <mergeCell ref="DT203:DT204"/>
    <mergeCell ref="DU203:DU204"/>
    <mergeCell ref="DV203:DV204"/>
    <mergeCell ref="DW203:DW204"/>
    <mergeCell ref="DX203:DX204"/>
    <mergeCell ref="DY203:DY204"/>
    <mergeCell ref="DZ203:DZ204"/>
    <mergeCell ref="EA203:EA204"/>
    <mergeCell ref="EB203:EB204"/>
    <mergeCell ref="EC203:EC204"/>
    <mergeCell ref="ED203:ED204"/>
    <mergeCell ref="EE203:EE204"/>
    <mergeCell ref="EF203:EF204"/>
    <mergeCell ref="EG203:EG204"/>
    <mergeCell ref="EH203:EH204"/>
    <mergeCell ref="EI203:EI204"/>
    <mergeCell ref="EJ203:EJ204"/>
    <mergeCell ref="EK203:EK204"/>
    <mergeCell ref="EL203:EL204"/>
    <mergeCell ref="EM203:EM204"/>
    <mergeCell ref="EN203:EN204"/>
    <mergeCell ref="EO203:EO204"/>
    <mergeCell ref="EP203:EP204"/>
    <mergeCell ref="EQ203:EQ204"/>
    <mergeCell ref="ER203:ER204"/>
    <mergeCell ref="ES203:ES204"/>
    <mergeCell ref="ET203:ET204"/>
    <mergeCell ref="EU203:EU204"/>
    <mergeCell ref="EV203:EV204"/>
    <mergeCell ref="EW203:EW204"/>
    <mergeCell ref="EX203:EX204"/>
    <mergeCell ref="EY203:EY204"/>
    <mergeCell ref="EZ203:EZ204"/>
    <mergeCell ref="FA203:FA204"/>
    <mergeCell ref="FB203:FB204"/>
    <mergeCell ref="FC203:FC204"/>
    <mergeCell ref="FD203:FD204"/>
    <mergeCell ref="FE203:FE204"/>
    <mergeCell ref="FF203:FF204"/>
    <mergeCell ref="FG203:FG204"/>
    <mergeCell ref="FH203:FH204"/>
    <mergeCell ref="FI203:FI204"/>
    <mergeCell ref="FJ203:FJ204"/>
    <mergeCell ref="FK203:FK204"/>
    <mergeCell ref="FL203:FL204"/>
    <mergeCell ref="FM203:FM204"/>
    <mergeCell ref="FN203:FN204"/>
    <mergeCell ref="FO203:FO204"/>
    <mergeCell ref="FP203:FP204"/>
    <mergeCell ref="FQ203:FQ204"/>
    <mergeCell ref="FR203:FR204"/>
    <mergeCell ref="FS203:FS204"/>
    <mergeCell ref="FT203:FT204"/>
    <mergeCell ref="FU203:FU204"/>
    <mergeCell ref="FV203:FV204"/>
    <mergeCell ref="FW203:FW204"/>
    <mergeCell ref="FX203:FX204"/>
    <mergeCell ref="FY203:FY204"/>
    <mergeCell ref="FZ203:FZ204"/>
    <mergeCell ref="GA203:GA204"/>
    <mergeCell ref="GB203:GB204"/>
    <mergeCell ref="GC203:GC204"/>
    <mergeCell ref="GD203:GD204"/>
    <mergeCell ref="GE203:GE204"/>
    <mergeCell ref="GF203:GF204"/>
    <mergeCell ref="GG203:GG204"/>
    <mergeCell ref="GH203:GH204"/>
    <mergeCell ref="GI203:GI204"/>
    <mergeCell ref="GJ203:GJ204"/>
    <mergeCell ref="GK203:GK204"/>
    <mergeCell ref="GL203:GL204"/>
    <mergeCell ref="GM203:GM204"/>
    <mergeCell ref="GN203:GN204"/>
    <mergeCell ref="GO203:GO204"/>
    <mergeCell ref="GP203:GP204"/>
    <mergeCell ref="GQ203:GQ204"/>
    <mergeCell ref="GR203:GR204"/>
    <mergeCell ref="GS203:GS204"/>
    <mergeCell ref="GT203:GT204"/>
    <mergeCell ref="GU203:GU204"/>
    <mergeCell ref="GV203:GV204"/>
    <mergeCell ref="GW203:GW204"/>
    <mergeCell ref="GX203:GX204"/>
    <mergeCell ref="GY203:GY204"/>
    <mergeCell ref="GZ203:GZ204"/>
    <mergeCell ref="HA203:HA204"/>
    <mergeCell ref="HB203:HB204"/>
    <mergeCell ref="HC203:HC204"/>
    <mergeCell ref="HD203:HD204"/>
    <mergeCell ref="HE203:HE204"/>
    <mergeCell ref="HF203:HF204"/>
    <mergeCell ref="HG203:HG204"/>
    <mergeCell ref="HH203:HH204"/>
    <mergeCell ref="HI203:HI204"/>
    <mergeCell ref="HJ203:HJ204"/>
    <mergeCell ref="HK203:HK204"/>
    <mergeCell ref="HL203:HL204"/>
    <mergeCell ref="HM203:HM204"/>
    <mergeCell ref="HN203:HN204"/>
    <mergeCell ref="HO203:HO204"/>
    <mergeCell ref="HP203:HP204"/>
    <mergeCell ref="HQ203:HQ204"/>
    <mergeCell ref="HR203:HR204"/>
    <mergeCell ref="HS203:HS204"/>
    <mergeCell ref="HT203:HT204"/>
    <mergeCell ref="HU203:HU204"/>
    <mergeCell ref="HV203:HV204"/>
    <mergeCell ref="HW203:HW204"/>
    <mergeCell ref="HX203:HX204"/>
    <mergeCell ref="HY203:HY204"/>
    <mergeCell ref="HZ203:HZ204"/>
    <mergeCell ref="IA203:IA204"/>
    <mergeCell ref="IB203:IB204"/>
    <mergeCell ref="IC203:IC204"/>
    <mergeCell ref="ID203:ID204"/>
    <mergeCell ref="IE203:IE204"/>
    <mergeCell ref="IF203:IF204"/>
    <mergeCell ref="IG203:IG204"/>
    <mergeCell ref="IH203:IH204"/>
    <mergeCell ref="II203:II204"/>
    <mergeCell ref="IJ203:IJ204"/>
    <mergeCell ref="IK203:IK204"/>
    <mergeCell ref="B205:B206"/>
    <mergeCell ref="C205:C206"/>
    <mergeCell ref="H205:H206"/>
    <mergeCell ref="I205:I206"/>
    <mergeCell ref="J205:J206"/>
    <mergeCell ref="K205:K206"/>
    <mergeCell ref="F206:G206"/>
    <mergeCell ref="L205:L206"/>
    <mergeCell ref="M205:M206"/>
    <mergeCell ref="N205:N206"/>
    <mergeCell ref="O205:O206"/>
    <mergeCell ref="P205:P206"/>
    <mergeCell ref="Q205:Q206"/>
    <mergeCell ref="R205:R206"/>
    <mergeCell ref="S205:S206"/>
    <mergeCell ref="T205:T206"/>
    <mergeCell ref="U205:U206"/>
    <mergeCell ref="V205:V206"/>
    <mergeCell ref="W205:W206"/>
    <mergeCell ref="X205:X206"/>
    <mergeCell ref="Y205:Y206"/>
    <mergeCell ref="Z205:Z206"/>
    <mergeCell ref="AA205:AA206"/>
    <mergeCell ref="AB205:AB206"/>
    <mergeCell ref="AC205:AC206"/>
    <mergeCell ref="AD205:AD206"/>
    <mergeCell ref="AE205:AE206"/>
    <mergeCell ref="AF205:AF206"/>
    <mergeCell ref="AG205:AG206"/>
    <mergeCell ref="AH205:AH206"/>
    <mergeCell ref="AI205:AI206"/>
    <mergeCell ref="AJ205:AJ206"/>
    <mergeCell ref="AK205:AK206"/>
    <mergeCell ref="AL205:AL206"/>
    <mergeCell ref="AM205:AM206"/>
    <mergeCell ref="AN205:AN206"/>
    <mergeCell ref="AO205:AO206"/>
    <mergeCell ref="AP205:AP206"/>
    <mergeCell ref="AQ205:AQ206"/>
    <mergeCell ref="AR205:AR206"/>
    <mergeCell ref="AS205:AS206"/>
    <mergeCell ref="AT205:AT206"/>
    <mergeCell ref="AU205:AU206"/>
    <mergeCell ref="AV205:AV206"/>
    <mergeCell ref="AW205:AW206"/>
    <mergeCell ref="AX205:AX206"/>
    <mergeCell ref="AY205:AY206"/>
    <mergeCell ref="AZ205:AZ206"/>
    <mergeCell ref="BA205:BA206"/>
    <mergeCell ref="BB205:BB206"/>
    <mergeCell ref="BC205:BC206"/>
    <mergeCell ref="BD205:BD206"/>
    <mergeCell ref="BE205:BE206"/>
    <mergeCell ref="BF205:BF206"/>
    <mergeCell ref="BG205:BG206"/>
    <mergeCell ref="BH205:BH206"/>
    <mergeCell ref="BI205:BI206"/>
    <mergeCell ref="BJ205:BJ206"/>
    <mergeCell ref="BK205:BK206"/>
    <mergeCell ref="BL205:BL206"/>
    <mergeCell ref="BM205:BM206"/>
    <mergeCell ref="BN205:BN206"/>
    <mergeCell ref="BO205:BO206"/>
    <mergeCell ref="BP205:BP206"/>
    <mergeCell ref="BQ205:BQ206"/>
    <mergeCell ref="BR205:BR206"/>
    <mergeCell ref="BS205:BS206"/>
    <mergeCell ref="BT205:BT206"/>
    <mergeCell ref="BU205:BU206"/>
    <mergeCell ref="BV205:BV206"/>
    <mergeCell ref="BW205:BW206"/>
    <mergeCell ref="BX205:BX206"/>
    <mergeCell ref="BY205:BY206"/>
    <mergeCell ref="BZ205:BZ206"/>
    <mergeCell ref="CA205:CA206"/>
    <mergeCell ref="CB205:CB206"/>
    <mergeCell ref="CC205:CC206"/>
    <mergeCell ref="CD205:CD206"/>
    <mergeCell ref="CE205:CE206"/>
    <mergeCell ref="CF205:CF206"/>
    <mergeCell ref="CG205:CG206"/>
    <mergeCell ref="CH205:CH206"/>
    <mergeCell ref="CI205:CI206"/>
    <mergeCell ref="CJ205:CJ206"/>
    <mergeCell ref="CK205:CK206"/>
    <mergeCell ref="CL205:CL206"/>
    <mergeCell ref="CM205:CM206"/>
    <mergeCell ref="CN205:CN206"/>
    <mergeCell ref="CO205:CO206"/>
    <mergeCell ref="CP205:CP206"/>
    <mergeCell ref="CQ205:CQ206"/>
    <mergeCell ref="CR205:CR206"/>
    <mergeCell ref="CS205:CS206"/>
    <mergeCell ref="CT205:CT206"/>
    <mergeCell ref="CU205:CU206"/>
    <mergeCell ref="CV205:CV206"/>
    <mergeCell ref="CW205:CW206"/>
    <mergeCell ref="CX205:CX206"/>
    <mergeCell ref="CY205:CY206"/>
    <mergeCell ref="CZ205:CZ206"/>
    <mergeCell ref="DA205:DA206"/>
    <mergeCell ref="DB205:DB206"/>
    <mergeCell ref="DC205:DC206"/>
    <mergeCell ref="DD205:DD206"/>
    <mergeCell ref="DE205:DE206"/>
    <mergeCell ref="DF205:DF206"/>
    <mergeCell ref="DG205:DG206"/>
    <mergeCell ref="DH205:DH206"/>
    <mergeCell ref="DI205:DI206"/>
    <mergeCell ref="DJ205:DJ206"/>
    <mergeCell ref="DK205:DK206"/>
    <mergeCell ref="DL205:DL206"/>
    <mergeCell ref="DM205:DM206"/>
    <mergeCell ref="DN205:DN206"/>
    <mergeCell ref="DO205:DO206"/>
    <mergeCell ref="DP205:DP206"/>
    <mergeCell ref="DQ205:DQ206"/>
    <mergeCell ref="DR205:DR206"/>
    <mergeCell ref="DS205:DS206"/>
    <mergeCell ref="DT205:DT206"/>
    <mergeCell ref="DU205:DU206"/>
    <mergeCell ref="DV205:DV206"/>
    <mergeCell ref="DW205:DW206"/>
    <mergeCell ref="DX205:DX206"/>
    <mergeCell ref="DY205:DY206"/>
    <mergeCell ref="DZ205:DZ206"/>
    <mergeCell ref="EA205:EA206"/>
    <mergeCell ref="EB205:EB206"/>
    <mergeCell ref="EC205:EC206"/>
    <mergeCell ref="ED205:ED206"/>
    <mergeCell ref="EE205:EE206"/>
    <mergeCell ref="EF205:EF206"/>
    <mergeCell ref="EG205:EG206"/>
    <mergeCell ref="EH205:EH206"/>
    <mergeCell ref="EI205:EI206"/>
    <mergeCell ref="EJ205:EJ206"/>
    <mergeCell ref="EK205:EK206"/>
    <mergeCell ref="EL205:EL206"/>
    <mergeCell ref="EM205:EM206"/>
    <mergeCell ref="EN205:EN206"/>
    <mergeCell ref="EO205:EO206"/>
    <mergeCell ref="EP205:EP206"/>
    <mergeCell ref="EQ205:EQ206"/>
    <mergeCell ref="ER205:ER206"/>
    <mergeCell ref="ES205:ES206"/>
    <mergeCell ref="ET205:ET206"/>
    <mergeCell ref="EU205:EU206"/>
    <mergeCell ref="EV205:EV206"/>
    <mergeCell ref="EW205:EW206"/>
    <mergeCell ref="EX205:EX206"/>
    <mergeCell ref="EY205:EY206"/>
    <mergeCell ref="EZ205:EZ206"/>
    <mergeCell ref="FA205:FA206"/>
    <mergeCell ref="FB205:FB206"/>
    <mergeCell ref="FC205:FC206"/>
    <mergeCell ref="FD205:FD206"/>
    <mergeCell ref="FE205:FE206"/>
    <mergeCell ref="FF205:FF206"/>
    <mergeCell ref="FG205:FG206"/>
    <mergeCell ref="FH205:FH206"/>
    <mergeCell ref="FI205:FI206"/>
    <mergeCell ref="FJ205:FJ206"/>
    <mergeCell ref="FK205:FK206"/>
    <mergeCell ref="FL205:FL206"/>
    <mergeCell ref="FM205:FM206"/>
    <mergeCell ref="FN205:FN206"/>
    <mergeCell ref="FO205:FO206"/>
    <mergeCell ref="FP205:FP206"/>
    <mergeCell ref="FQ205:FQ206"/>
    <mergeCell ref="FR205:FR206"/>
    <mergeCell ref="FS205:FS206"/>
    <mergeCell ref="FT205:FT206"/>
    <mergeCell ref="FU205:FU206"/>
    <mergeCell ref="FV205:FV206"/>
    <mergeCell ref="FW205:FW206"/>
    <mergeCell ref="FX205:FX206"/>
    <mergeCell ref="FY205:FY206"/>
    <mergeCell ref="FZ205:FZ206"/>
    <mergeCell ref="GA205:GA206"/>
    <mergeCell ref="GB205:GB206"/>
    <mergeCell ref="GC205:GC206"/>
    <mergeCell ref="GD205:GD206"/>
    <mergeCell ref="GE205:GE206"/>
    <mergeCell ref="GF205:GF206"/>
    <mergeCell ref="GG205:GG206"/>
    <mergeCell ref="GH205:GH206"/>
    <mergeCell ref="GI205:GI206"/>
    <mergeCell ref="GJ205:GJ206"/>
    <mergeCell ref="GK205:GK206"/>
    <mergeCell ref="GL205:GL206"/>
    <mergeCell ref="GM205:GM206"/>
    <mergeCell ref="GN205:GN206"/>
    <mergeCell ref="GO205:GO206"/>
    <mergeCell ref="GP205:GP206"/>
    <mergeCell ref="GQ205:GQ206"/>
    <mergeCell ref="GR205:GR206"/>
    <mergeCell ref="GS205:GS206"/>
    <mergeCell ref="GT205:GT206"/>
    <mergeCell ref="GU205:GU206"/>
    <mergeCell ref="GV205:GV206"/>
    <mergeCell ref="GW205:GW206"/>
    <mergeCell ref="GX205:GX206"/>
    <mergeCell ref="GY205:GY206"/>
    <mergeCell ref="GZ205:GZ206"/>
    <mergeCell ref="HA205:HA206"/>
    <mergeCell ref="HB205:HB206"/>
    <mergeCell ref="HC205:HC206"/>
    <mergeCell ref="HD205:HD206"/>
    <mergeCell ref="HE205:HE206"/>
    <mergeCell ref="HF205:HF206"/>
    <mergeCell ref="HG205:HG206"/>
    <mergeCell ref="HH205:HH206"/>
    <mergeCell ref="HI205:HI206"/>
    <mergeCell ref="HJ205:HJ206"/>
    <mergeCell ref="HK205:HK206"/>
    <mergeCell ref="HL205:HL206"/>
    <mergeCell ref="HM205:HM206"/>
    <mergeCell ref="HN205:HN206"/>
    <mergeCell ref="HO205:HO206"/>
    <mergeCell ref="HP205:HP206"/>
    <mergeCell ref="HQ205:HQ206"/>
    <mergeCell ref="HR205:HR206"/>
    <mergeCell ref="HS205:HS206"/>
    <mergeCell ref="HT205:HT206"/>
    <mergeCell ref="HU205:HU206"/>
    <mergeCell ref="HV205:HV206"/>
    <mergeCell ref="HW205:HW206"/>
    <mergeCell ref="HX205:HX206"/>
    <mergeCell ref="HY205:HY206"/>
    <mergeCell ref="HZ205:HZ206"/>
    <mergeCell ref="IA205:IA206"/>
    <mergeCell ref="IB205:IB206"/>
    <mergeCell ref="IC205:IC206"/>
    <mergeCell ref="ID205:ID206"/>
    <mergeCell ref="IE205:IE206"/>
    <mergeCell ref="IF205:IF206"/>
    <mergeCell ref="IG205:IG206"/>
    <mergeCell ref="IH205:IH206"/>
    <mergeCell ref="II205:II206"/>
    <mergeCell ref="IJ205:IJ206"/>
    <mergeCell ref="IK205:IK206"/>
    <mergeCell ref="B285:B286"/>
    <mergeCell ref="C285:C286"/>
    <mergeCell ref="H285:H286"/>
    <mergeCell ref="I285:I286"/>
    <mergeCell ref="J285:J286"/>
    <mergeCell ref="K285:K286"/>
    <mergeCell ref="F286:G286"/>
    <mergeCell ref="L285:L286"/>
    <mergeCell ref="M285:M286"/>
    <mergeCell ref="N285:N286"/>
    <mergeCell ref="O285:O286"/>
    <mergeCell ref="P285:P286"/>
    <mergeCell ref="Q285:Q286"/>
    <mergeCell ref="R285:R286"/>
    <mergeCell ref="S285:S286"/>
    <mergeCell ref="T285:T286"/>
    <mergeCell ref="U285:U286"/>
    <mergeCell ref="V285:V286"/>
    <mergeCell ref="W285:W286"/>
    <mergeCell ref="X285:X286"/>
    <mergeCell ref="Y285:Y286"/>
    <mergeCell ref="Z285:Z286"/>
    <mergeCell ref="AA285:AA286"/>
    <mergeCell ref="AB285:AB286"/>
    <mergeCell ref="AC285:AC286"/>
    <mergeCell ref="AD285:AD286"/>
    <mergeCell ref="AE285:AE286"/>
    <mergeCell ref="AF285:AF286"/>
    <mergeCell ref="AG285:AG286"/>
    <mergeCell ref="AH285:AH286"/>
    <mergeCell ref="AI285:AI286"/>
    <mergeCell ref="AJ285:AJ286"/>
    <mergeCell ref="AK285:AK286"/>
    <mergeCell ref="AL285:AL286"/>
    <mergeCell ref="AM285:AM286"/>
    <mergeCell ref="AN285:AN286"/>
    <mergeCell ref="AO285:AO286"/>
    <mergeCell ref="AP285:AP286"/>
    <mergeCell ref="AQ285:AQ286"/>
    <mergeCell ref="AR285:AR286"/>
    <mergeCell ref="AS285:AS286"/>
    <mergeCell ref="AT285:AT286"/>
    <mergeCell ref="AU285:AU286"/>
    <mergeCell ref="AV285:AV286"/>
    <mergeCell ref="AW285:AW286"/>
    <mergeCell ref="AX285:AX286"/>
    <mergeCell ref="AY285:AY286"/>
    <mergeCell ref="AZ285:AZ286"/>
    <mergeCell ref="BA285:BA286"/>
    <mergeCell ref="BB285:BB286"/>
    <mergeCell ref="BC285:BC286"/>
    <mergeCell ref="BD285:BD286"/>
    <mergeCell ref="BE285:BE286"/>
    <mergeCell ref="BF285:BF286"/>
    <mergeCell ref="BG285:BG286"/>
    <mergeCell ref="BH285:BH286"/>
    <mergeCell ref="BI285:BI286"/>
    <mergeCell ref="BJ285:BJ286"/>
    <mergeCell ref="BK285:BK286"/>
    <mergeCell ref="BL285:BL286"/>
    <mergeCell ref="BM285:BM286"/>
    <mergeCell ref="BN285:BN286"/>
    <mergeCell ref="BO285:BO286"/>
    <mergeCell ref="BP285:BP286"/>
    <mergeCell ref="BQ285:BQ286"/>
    <mergeCell ref="BR285:BR286"/>
    <mergeCell ref="BS285:BS286"/>
    <mergeCell ref="BT285:BT286"/>
    <mergeCell ref="BU285:BU286"/>
    <mergeCell ref="BV285:BV286"/>
    <mergeCell ref="BW285:BW286"/>
    <mergeCell ref="BX285:BX286"/>
    <mergeCell ref="BY285:BY286"/>
    <mergeCell ref="BZ285:BZ286"/>
    <mergeCell ref="CA285:CA286"/>
    <mergeCell ref="CB285:CB286"/>
    <mergeCell ref="CC285:CC286"/>
    <mergeCell ref="CD285:CD286"/>
    <mergeCell ref="CE285:CE286"/>
    <mergeCell ref="CF285:CF286"/>
    <mergeCell ref="CG285:CG286"/>
    <mergeCell ref="CH285:CH286"/>
    <mergeCell ref="CI285:CI286"/>
    <mergeCell ref="CJ285:CJ286"/>
    <mergeCell ref="CK285:CK286"/>
    <mergeCell ref="CL285:CL286"/>
    <mergeCell ref="CM285:CM286"/>
    <mergeCell ref="CN285:CN286"/>
    <mergeCell ref="CO285:CO286"/>
    <mergeCell ref="CP285:CP286"/>
    <mergeCell ref="CQ285:CQ286"/>
    <mergeCell ref="CR285:CR286"/>
    <mergeCell ref="CS285:CS286"/>
    <mergeCell ref="CT285:CT286"/>
    <mergeCell ref="CU285:CU286"/>
    <mergeCell ref="CV285:CV286"/>
    <mergeCell ref="CW285:CW286"/>
    <mergeCell ref="CX285:CX286"/>
    <mergeCell ref="CY285:CY286"/>
    <mergeCell ref="CZ285:CZ286"/>
    <mergeCell ref="DA285:DA286"/>
    <mergeCell ref="DB285:DB286"/>
    <mergeCell ref="DC285:DC286"/>
    <mergeCell ref="DD285:DD286"/>
    <mergeCell ref="DE285:DE286"/>
    <mergeCell ref="DF285:DF286"/>
    <mergeCell ref="DG285:DG286"/>
    <mergeCell ref="DH285:DH286"/>
    <mergeCell ref="DI285:DI286"/>
    <mergeCell ref="DJ285:DJ286"/>
    <mergeCell ref="DK285:DK286"/>
    <mergeCell ref="DL285:DL286"/>
    <mergeCell ref="DM285:DM286"/>
    <mergeCell ref="DN285:DN286"/>
    <mergeCell ref="DO285:DO286"/>
    <mergeCell ref="DP285:DP286"/>
    <mergeCell ref="DQ285:DQ286"/>
    <mergeCell ref="DR285:DR286"/>
    <mergeCell ref="DS285:DS286"/>
    <mergeCell ref="DT285:DT286"/>
    <mergeCell ref="DU285:DU286"/>
    <mergeCell ref="DV285:DV286"/>
    <mergeCell ref="DW285:DW286"/>
    <mergeCell ref="DX285:DX286"/>
    <mergeCell ref="DY285:DY286"/>
    <mergeCell ref="DZ285:DZ286"/>
    <mergeCell ref="EA285:EA286"/>
    <mergeCell ref="EB285:EB286"/>
    <mergeCell ref="EC285:EC286"/>
    <mergeCell ref="ED285:ED286"/>
    <mergeCell ref="EE285:EE286"/>
    <mergeCell ref="EF285:EF286"/>
    <mergeCell ref="EG285:EG286"/>
    <mergeCell ref="EH285:EH286"/>
    <mergeCell ref="EI285:EI286"/>
    <mergeCell ref="EJ285:EJ286"/>
    <mergeCell ref="EK285:EK286"/>
    <mergeCell ref="EL285:EL286"/>
    <mergeCell ref="EM285:EM286"/>
    <mergeCell ref="EN285:EN286"/>
    <mergeCell ref="EO285:EO286"/>
    <mergeCell ref="EP285:EP286"/>
    <mergeCell ref="EQ285:EQ286"/>
    <mergeCell ref="ER285:ER286"/>
    <mergeCell ref="ES285:ES286"/>
    <mergeCell ref="ET285:ET286"/>
    <mergeCell ref="EU285:EU286"/>
    <mergeCell ref="EV285:EV286"/>
    <mergeCell ref="EW285:EW286"/>
    <mergeCell ref="EX285:EX286"/>
    <mergeCell ref="EY285:EY286"/>
    <mergeCell ref="EZ285:EZ286"/>
    <mergeCell ref="FA285:FA286"/>
    <mergeCell ref="FB285:FB286"/>
    <mergeCell ref="FC285:FC286"/>
    <mergeCell ref="FD285:FD286"/>
    <mergeCell ref="FE285:FE286"/>
    <mergeCell ref="FF285:FF286"/>
    <mergeCell ref="FG285:FG286"/>
    <mergeCell ref="FH285:FH286"/>
    <mergeCell ref="FI285:FI286"/>
    <mergeCell ref="FJ285:FJ286"/>
    <mergeCell ref="FK285:FK286"/>
    <mergeCell ref="FL285:FL286"/>
    <mergeCell ref="FM285:FM286"/>
    <mergeCell ref="FN285:FN286"/>
    <mergeCell ref="FO285:FO286"/>
    <mergeCell ref="FP285:FP286"/>
    <mergeCell ref="FQ285:FQ286"/>
    <mergeCell ref="FR285:FR286"/>
    <mergeCell ref="FS285:FS286"/>
    <mergeCell ref="FT285:FT286"/>
    <mergeCell ref="FU285:FU286"/>
    <mergeCell ref="FV285:FV286"/>
    <mergeCell ref="FW285:FW286"/>
    <mergeCell ref="FX285:FX286"/>
    <mergeCell ref="FY285:FY286"/>
    <mergeCell ref="FZ285:FZ286"/>
    <mergeCell ref="GA285:GA286"/>
    <mergeCell ref="GB285:GB286"/>
    <mergeCell ref="GC285:GC286"/>
    <mergeCell ref="GD285:GD286"/>
    <mergeCell ref="GE285:GE286"/>
    <mergeCell ref="GF285:GF286"/>
    <mergeCell ref="GG285:GG286"/>
    <mergeCell ref="GH285:GH286"/>
    <mergeCell ref="GI285:GI286"/>
    <mergeCell ref="GJ285:GJ286"/>
    <mergeCell ref="GK285:GK286"/>
    <mergeCell ref="GL285:GL286"/>
    <mergeCell ref="GM285:GM286"/>
    <mergeCell ref="GN285:GN286"/>
    <mergeCell ref="GO285:GO286"/>
    <mergeCell ref="GP285:GP286"/>
    <mergeCell ref="GQ285:GQ286"/>
    <mergeCell ref="GR285:GR286"/>
    <mergeCell ref="GS285:GS286"/>
    <mergeCell ref="GT285:GT286"/>
    <mergeCell ref="GU285:GU286"/>
    <mergeCell ref="GV285:GV286"/>
    <mergeCell ref="GW285:GW286"/>
    <mergeCell ref="GX285:GX286"/>
    <mergeCell ref="GY285:GY286"/>
    <mergeCell ref="GZ285:GZ286"/>
    <mergeCell ref="HA285:HA286"/>
    <mergeCell ref="HB285:HB286"/>
    <mergeCell ref="HC285:HC286"/>
    <mergeCell ref="HD285:HD286"/>
    <mergeCell ref="HE285:HE286"/>
    <mergeCell ref="HF285:HF286"/>
    <mergeCell ref="HG285:HG286"/>
    <mergeCell ref="HH285:HH286"/>
    <mergeCell ref="HI285:HI286"/>
    <mergeCell ref="HJ285:HJ286"/>
    <mergeCell ref="HK285:HK286"/>
    <mergeCell ref="HL285:HL286"/>
    <mergeCell ref="HM285:HM286"/>
    <mergeCell ref="HN285:HN286"/>
    <mergeCell ref="HO285:HO286"/>
    <mergeCell ref="HP285:HP286"/>
    <mergeCell ref="HQ285:HQ286"/>
    <mergeCell ref="HR285:HR286"/>
    <mergeCell ref="HS285:HS286"/>
    <mergeCell ref="HT285:HT286"/>
    <mergeCell ref="HU285:HU286"/>
    <mergeCell ref="HV285:HV286"/>
    <mergeCell ref="HW285:HW286"/>
    <mergeCell ref="HX285:HX286"/>
    <mergeCell ref="HY285:HY286"/>
    <mergeCell ref="HZ285:HZ286"/>
    <mergeCell ref="IA285:IA286"/>
    <mergeCell ref="IB285:IB286"/>
    <mergeCell ref="IC285:IC286"/>
    <mergeCell ref="ID285:ID286"/>
    <mergeCell ref="IE285:IE286"/>
    <mergeCell ref="IF285:IF286"/>
    <mergeCell ref="IG285:IG286"/>
    <mergeCell ref="IH285:IH286"/>
    <mergeCell ref="II285:II286"/>
    <mergeCell ref="IJ285:IJ286"/>
    <mergeCell ref="IK285:IK286"/>
    <mergeCell ref="B287:B288"/>
    <mergeCell ref="C287:C288"/>
    <mergeCell ref="H287:H288"/>
    <mergeCell ref="I287:I288"/>
    <mergeCell ref="J287:J288"/>
    <mergeCell ref="K287:K288"/>
    <mergeCell ref="F288:G288"/>
    <mergeCell ref="L287:L288"/>
    <mergeCell ref="M287:M288"/>
    <mergeCell ref="N287:N288"/>
    <mergeCell ref="O287:O288"/>
    <mergeCell ref="P287:P288"/>
    <mergeCell ref="Q287:Q288"/>
    <mergeCell ref="R287:R288"/>
    <mergeCell ref="S287:S288"/>
    <mergeCell ref="T287:T288"/>
    <mergeCell ref="U287:U288"/>
    <mergeCell ref="V287:V288"/>
    <mergeCell ref="W287:W288"/>
    <mergeCell ref="X287:X288"/>
    <mergeCell ref="Y287:Y288"/>
    <mergeCell ref="Z287:Z288"/>
    <mergeCell ref="AA287:AA288"/>
    <mergeCell ref="AB287:AB288"/>
    <mergeCell ref="AC287:AC288"/>
    <mergeCell ref="AD287:AD288"/>
    <mergeCell ref="AE287:AE288"/>
    <mergeCell ref="AF287:AF288"/>
    <mergeCell ref="AG287:AG288"/>
    <mergeCell ref="AH287:AH288"/>
    <mergeCell ref="AI287:AI288"/>
    <mergeCell ref="AJ287:AJ288"/>
    <mergeCell ref="AK287:AK288"/>
    <mergeCell ref="AL287:AL288"/>
    <mergeCell ref="AM287:AM288"/>
    <mergeCell ref="AN287:AN288"/>
    <mergeCell ref="AO287:AO288"/>
    <mergeCell ref="AP287:AP288"/>
    <mergeCell ref="AQ287:AQ288"/>
    <mergeCell ref="AR287:AR288"/>
    <mergeCell ref="AS287:AS288"/>
    <mergeCell ref="AT287:AT288"/>
    <mergeCell ref="AU287:AU288"/>
    <mergeCell ref="AV287:AV288"/>
    <mergeCell ref="AW287:AW288"/>
    <mergeCell ref="AX287:AX288"/>
    <mergeCell ref="AY287:AY288"/>
    <mergeCell ref="AZ287:AZ288"/>
    <mergeCell ref="BA287:BA288"/>
    <mergeCell ref="BB287:BB288"/>
    <mergeCell ref="BC287:BC288"/>
    <mergeCell ref="BD287:BD288"/>
    <mergeCell ref="BE287:BE288"/>
    <mergeCell ref="BF287:BF288"/>
    <mergeCell ref="BG287:BG288"/>
    <mergeCell ref="BH287:BH288"/>
    <mergeCell ref="BI287:BI288"/>
    <mergeCell ref="BJ287:BJ288"/>
    <mergeCell ref="BK287:BK288"/>
    <mergeCell ref="BL287:BL288"/>
    <mergeCell ref="BM287:BM288"/>
    <mergeCell ref="BN287:BN288"/>
    <mergeCell ref="BO287:BO288"/>
    <mergeCell ref="BP287:BP288"/>
    <mergeCell ref="BQ287:BQ288"/>
    <mergeCell ref="BR287:BR288"/>
    <mergeCell ref="BS287:BS288"/>
    <mergeCell ref="BT287:BT288"/>
    <mergeCell ref="BU287:BU288"/>
    <mergeCell ref="BV287:BV288"/>
    <mergeCell ref="BW287:BW288"/>
    <mergeCell ref="BX287:BX288"/>
    <mergeCell ref="BY287:BY288"/>
    <mergeCell ref="BZ287:BZ288"/>
    <mergeCell ref="CA287:CA288"/>
    <mergeCell ref="CB287:CB288"/>
    <mergeCell ref="CC287:CC288"/>
    <mergeCell ref="CD287:CD288"/>
    <mergeCell ref="CE287:CE288"/>
    <mergeCell ref="CF287:CF288"/>
    <mergeCell ref="CG287:CG288"/>
    <mergeCell ref="CH287:CH288"/>
    <mergeCell ref="CI287:CI288"/>
    <mergeCell ref="CJ287:CJ288"/>
    <mergeCell ref="CK287:CK288"/>
    <mergeCell ref="CL287:CL288"/>
    <mergeCell ref="CM287:CM288"/>
    <mergeCell ref="CN287:CN288"/>
    <mergeCell ref="CO287:CO288"/>
    <mergeCell ref="CP287:CP288"/>
    <mergeCell ref="CQ287:CQ288"/>
    <mergeCell ref="CR287:CR288"/>
    <mergeCell ref="CS287:CS288"/>
    <mergeCell ref="CT287:CT288"/>
    <mergeCell ref="CU287:CU288"/>
    <mergeCell ref="CV287:CV288"/>
    <mergeCell ref="CW287:CW288"/>
    <mergeCell ref="CX287:CX288"/>
    <mergeCell ref="CY287:CY288"/>
    <mergeCell ref="CZ287:CZ288"/>
    <mergeCell ref="DA287:DA288"/>
    <mergeCell ref="DB287:DB288"/>
    <mergeCell ref="DC287:DC288"/>
    <mergeCell ref="DD287:DD288"/>
    <mergeCell ref="DE287:DE288"/>
    <mergeCell ref="DF287:DF288"/>
    <mergeCell ref="DG287:DG288"/>
    <mergeCell ref="DH287:DH288"/>
    <mergeCell ref="DI287:DI288"/>
    <mergeCell ref="DJ287:DJ288"/>
    <mergeCell ref="DK287:DK288"/>
    <mergeCell ref="DL287:DL288"/>
    <mergeCell ref="DM287:DM288"/>
    <mergeCell ref="DN287:DN288"/>
    <mergeCell ref="DO287:DO288"/>
    <mergeCell ref="DP287:DP288"/>
    <mergeCell ref="DQ287:DQ288"/>
    <mergeCell ref="DR287:DR288"/>
    <mergeCell ref="DS287:DS288"/>
    <mergeCell ref="DT287:DT288"/>
    <mergeCell ref="DU287:DU288"/>
    <mergeCell ref="DV287:DV288"/>
    <mergeCell ref="DW287:DW288"/>
    <mergeCell ref="DX287:DX288"/>
    <mergeCell ref="DY287:DY288"/>
    <mergeCell ref="DZ287:DZ288"/>
    <mergeCell ref="EA287:EA288"/>
    <mergeCell ref="EB287:EB288"/>
    <mergeCell ref="EC287:EC288"/>
    <mergeCell ref="ED287:ED288"/>
    <mergeCell ref="EE287:EE288"/>
    <mergeCell ref="EF287:EF288"/>
    <mergeCell ref="EG287:EG288"/>
    <mergeCell ref="EH287:EH288"/>
    <mergeCell ref="EI287:EI288"/>
    <mergeCell ref="EJ287:EJ288"/>
    <mergeCell ref="EK287:EK288"/>
    <mergeCell ref="EL287:EL288"/>
    <mergeCell ref="EM287:EM288"/>
    <mergeCell ref="EN287:EN288"/>
    <mergeCell ref="EO287:EO288"/>
    <mergeCell ref="EP287:EP288"/>
    <mergeCell ref="EQ287:EQ288"/>
    <mergeCell ref="ER287:ER288"/>
    <mergeCell ref="ES287:ES288"/>
    <mergeCell ref="ET287:ET288"/>
    <mergeCell ref="EU287:EU288"/>
    <mergeCell ref="EV287:EV288"/>
    <mergeCell ref="EW287:EW288"/>
    <mergeCell ref="EX287:EX288"/>
    <mergeCell ref="EY287:EY288"/>
    <mergeCell ref="EZ287:EZ288"/>
    <mergeCell ref="FA287:FA288"/>
    <mergeCell ref="FB287:FB288"/>
    <mergeCell ref="FC287:FC288"/>
    <mergeCell ref="FD287:FD288"/>
    <mergeCell ref="FE287:FE288"/>
    <mergeCell ref="FF287:FF288"/>
    <mergeCell ref="FG287:FG288"/>
    <mergeCell ref="FH287:FH288"/>
    <mergeCell ref="FI287:FI288"/>
    <mergeCell ref="FJ287:FJ288"/>
    <mergeCell ref="FK287:FK288"/>
    <mergeCell ref="FL287:FL288"/>
    <mergeCell ref="FM287:FM288"/>
    <mergeCell ref="FN287:FN288"/>
    <mergeCell ref="FO287:FO288"/>
    <mergeCell ref="FP287:FP288"/>
    <mergeCell ref="FQ287:FQ288"/>
    <mergeCell ref="FR287:FR288"/>
    <mergeCell ref="FS287:FS288"/>
    <mergeCell ref="FT287:FT288"/>
    <mergeCell ref="FU287:FU288"/>
    <mergeCell ref="FV287:FV288"/>
    <mergeCell ref="FW287:FW288"/>
    <mergeCell ref="FX287:FX288"/>
    <mergeCell ref="FY287:FY288"/>
    <mergeCell ref="FZ287:FZ288"/>
    <mergeCell ref="GA287:GA288"/>
    <mergeCell ref="GB287:GB288"/>
    <mergeCell ref="GC287:GC288"/>
    <mergeCell ref="GD287:GD288"/>
    <mergeCell ref="GE287:GE288"/>
    <mergeCell ref="GF287:GF288"/>
    <mergeCell ref="GG287:GG288"/>
    <mergeCell ref="GH287:GH288"/>
    <mergeCell ref="GI287:GI288"/>
    <mergeCell ref="GJ287:GJ288"/>
    <mergeCell ref="GK287:GK288"/>
    <mergeCell ref="GL287:GL288"/>
    <mergeCell ref="GM287:GM288"/>
    <mergeCell ref="GN287:GN288"/>
    <mergeCell ref="GO287:GO288"/>
    <mergeCell ref="GP287:GP288"/>
    <mergeCell ref="GQ287:GQ288"/>
    <mergeCell ref="GR287:GR288"/>
    <mergeCell ref="GS287:GS288"/>
    <mergeCell ref="GT287:GT288"/>
    <mergeCell ref="GU287:GU288"/>
    <mergeCell ref="GV287:GV288"/>
    <mergeCell ref="GW287:GW288"/>
    <mergeCell ref="GX287:GX288"/>
    <mergeCell ref="GY287:GY288"/>
    <mergeCell ref="GZ287:GZ288"/>
    <mergeCell ref="HA287:HA288"/>
    <mergeCell ref="HB287:HB288"/>
    <mergeCell ref="HC287:HC288"/>
    <mergeCell ref="HD287:HD288"/>
    <mergeCell ref="HE287:HE288"/>
    <mergeCell ref="HF287:HF288"/>
    <mergeCell ref="HG287:HG288"/>
    <mergeCell ref="HH287:HH288"/>
    <mergeCell ref="HI287:HI288"/>
    <mergeCell ref="HJ287:HJ288"/>
    <mergeCell ref="HK287:HK288"/>
    <mergeCell ref="HL287:HL288"/>
    <mergeCell ref="HM287:HM288"/>
    <mergeCell ref="HN287:HN288"/>
    <mergeCell ref="HO287:HO288"/>
    <mergeCell ref="HP287:HP288"/>
    <mergeCell ref="HQ287:HQ288"/>
    <mergeCell ref="HR287:HR288"/>
    <mergeCell ref="HS287:HS288"/>
    <mergeCell ref="HT287:HT288"/>
    <mergeCell ref="HU287:HU288"/>
    <mergeCell ref="HV287:HV288"/>
    <mergeCell ref="HW287:HW288"/>
    <mergeCell ref="HX287:HX288"/>
    <mergeCell ref="HY287:HY288"/>
    <mergeCell ref="HZ287:HZ288"/>
    <mergeCell ref="IA287:IA288"/>
    <mergeCell ref="IB287:IB288"/>
    <mergeCell ref="IC287:IC288"/>
    <mergeCell ref="ID287:ID288"/>
    <mergeCell ref="IE287:IE288"/>
    <mergeCell ref="IF287:IF288"/>
    <mergeCell ref="IG287:IG288"/>
    <mergeCell ref="IH287:IH288"/>
    <mergeCell ref="II287:II288"/>
    <mergeCell ref="IJ287:IJ288"/>
    <mergeCell ref="IK287:IK288"/>
    <mergeCell ref="B289:B290"/>
    <mergeCell ref="C289:C290"/>
    <mergeCell ref="H289:H290"/>
    <mergeCell ref="I289:I290"/>
    <mergeCell ref="J289:J290"/>
    <mergeCell ref="K289:K290"/>
    <mergeCell ref="F290:G290"/>
    <mergeCell ref="L289:L290"/>
    <mergeCell ref="M289:M290"/>
    <mergeCell ref="N289:N290"/>
    <mergeCell ref="O289:O290"/>
    <mergeCell ref="P289:P290"/>
    <mergeCell ref="Q289:Q290"/>
    <mergeCell ref="R289:R290"/>
    <mergeCell ref="S289:S290"/>
    <mergeCell ref="T289:T290"/>
    <mergeCell ref="U289:U290"/>
    <mergeCell ref="V289:V290"/>
    <mergeCell ref="W289:W290"/>
    <mergeCell ref="X289:X290"/>
    <mergeCell ref="Y289:Y290"/>
    <mergeCell ref="Z289:Z290"/>
    <mergeCell ref="AA289:AA290"/>
    <mergeCell ref="AB289:AB290"/>
    <mergeCell ref="AC289:AC290"/>
    <mergeCell ref="AD289:AD290"/>
    <mergeCell ref="AE289:AE290"/>
    <mergeCell ref="AF289:AF290"/>
    <mergeCell ref="AG289:AG290"/>
    <mergeCell ref="AH289:AH290"/>
    <mergeCell ref="AI289:AI290"/>
    <mergeCell ref="AJ289:AJ290"/>
    <mergeCell ref="AK289:AK290"/>
    <mergeCell ref="AL289:AL290"/>
    <mergeCell ref="AM289:AM290"/>
    <mergeCell ref="AN289:AN290"/>
    <mergeCell ref="AO289:AO290"/>
    <mergeCell ref="AP289:AP290"/>
    <mergeCell ref="AQ289:AQ290"/>
    <mergeCell ref="AR289:AR290"/>
    <mergeCell ref="AS289:AS290"/>
    <mergeCell ref="AT289:AT290"/>
    <mergeCell ref="AU289:AU290"/>
    <mergeCell ref="AV289:AV290"/>
    <mergeCell ref="AW289:AW290"/>
    <mergeCell ref="AX289:AX290"/>
    <mergeCell ref="AY289:AY290"/>
    <mergeCell ref="AZ289:AZ290"/>
    <mergeCell ref="BA289:BA290"/>
    <mergeCell ref="BB289:BB290"/>
    <mergeCell ref="BC289:BC290"/>
    <mergeCell ref="BD289:BD290"/>
    <mergeCell ref="BE289:BE290"/>
    <mergeCell ref="BF289:BF290"/>
    <mergeCell ref="BG289:BG290"/>
    <mergeCell ref="BH289:BH290"/>
    <mergeCell ref="BI289:BI290"/>
    <mergeCell ref="BJ289:BJ290"/>
    <mergeCell ref="BK289:BK290"/>
    <mergeCell ref="BL289:BL290"/>
    <mergeCell ref="BM289:BM290"/>
    <mergeCell ref="BN289:BN290"/>
    <mergeCell ref="BO289:BO290"/>
    <mergeCell ref="BP289:BP290"/>
    <mergeCell ref="BQ289:BQ290"/>
    <mergeCell ref="BR289:BR290"/>
    <mergeCell ref="BS289:BS290"/>
    <mergeCell ref="BT289:BT290"/>
    <mergeCell ref="BU289:BU290"/>
    <mergeCell ref="BV289:BV290"/>
    <mergeCell ref="BW289:BW290"/>
    <mergeCell ref="BX289:BX290"/>
    <mergeCell ref="BY289:BY290"/>
    <mergeCell ref="BZ289:BZ290"/>
    <mergeCell ref="CA289:CA290"/>
    <mergeCell ref="CB289:CB290"/>
    <mergeCell ref="CC289:CC290"/>
    <mergeCell ref="CD289:CD290"/>
    <mergeCell ref="CE289:CE290"/>
    <mergeCell ref="CF289:CF290"/>
    <mergeCell ref="CG289:CG290"/>
    <mergeCell ref="CH289:CH290"/>
    <mergeCell ref="CI289:CI290"/>
    <mergeCell ref="CJ289:CJ290"/>
    <mergeCell ref="CK289:CK290"/>
    <mergeCell ref="CL289:CL290"/>
    <mergeCell ref="CM289:CM290"/>
    <mergeCell ref="CN289:CN290"/>
    <mergeCell ref="CO289:CO290"/>
    <mergeCell ref="CP289:CP290"/>
    <mergeCell ref="CQ289:CQ290"/>
    <mergeCell ref="CR289:CR290"/>
    <mergeCell ref="CS289:CS290"/>
    <mergeCell ref="CT289:CT290"/>
    <mergeCell ref="CU289:CU290"/>
    <mergeCell ref="CV289:CV290"/>
    <mergeCell ref="CW289:CW290"/>
    <mergeCell ref="CX289:CX290"/>
    <mergeCell ref="CY289:CY290"/>
    <mergeCell ref="CZ289:CZ290"/>
    <mergeCell ref="DA289:DA290"/>
    <mergeCell ref="DB289:DB290"/>
    <mergeCell ref="DC289:DC290"/>
    <mergeCell ref="DD289:DD290"/>
    <mergeCell ref="DE289:DE290"/>
    <mergeCell ref="DF289:DF290"/>
    <mergeCell ref="DG289:DG290"/>
    <mergeCell ref="DH289:DH290"/>
    <mergeCell ref="DI289:DI290"/>
    <mergeCell ref="DJ289:DJ290"/>
    <mergeCell ref="DK289:DK290"/>
    <mergeCell ref="DL289:DL290"/>
    <mergeCell ref="DM289:DM290"/>
    <mergeCell ref="DN289:DN290"/>
    <mergeCell ref="DO289:DO290"/>
    <mergeCell ref="DP289:DP290"/>
    <mergeCell ref="DQ289:DQ290"/>
    <mergeCell ref="DR289:DR290"/>
    <mergeCell ref="DS289:DS290"/>
    <mergeCell ref="DT289:DT290"/>
    <mergeCell ref="DU289:DU290"/>
    <mergeCell ref="DV289:DV290"/>
    <mergeCell ref="DW289:DW290"/>
    <mergeCell ref="DX289:DX290"/>
    <mergeCell ref="DY289:DY290"/>
    <mergeCell ref="DZ289:DZ290"/>
    <mergeCell ref="EA289:EA290"/>
    <mergeCell ref="EB289:EB290"/>
    <mergeCell ref="EC289:EC290"/>
    <mergeCell ref="ED289:ED290"/>
    <mergeCell ref="EE289:EE290"/>
    <mergeCell ref="EF289:EF290"/>
    <mergeCell ref="EG289:EG290"/>
    <mergeCell ref="EH289:EH290"/>
    <mergeCell ref="EI289:EI290"/>
    <mergeCell ref="GN289:GN290"/>
    <mergeCell ref="GO289:GO290"/>
    <mergeCell ref="GP289:GP290"/>
    <mergeCell ref="GQ289:GQ290"/>
    <mergeCell ref="GR289:GR290"/>
    <mergeCell ref="GS289:GS290"/>
    <mergeCell ref="GT289:GT290"/>
    <mergeCell ref="GU289:GU290"/>
    <mergeCell ref="GV289:GV290"/>
    <mergeCell ref="GW289:GW290"/>
    <mergeCell ref="EJ289:EJ290"/>
    <mergeCell ref="EK289:EK290"/>
    <mergeCell ref="EL289:EL290"/>
    <mergeCell ref="EM289:EM290"/>
    <mergeCell ref="EN289:EN290"/>
    <mergeCell ref="EO289:EO290"/>
    <mergeCell ref="EP289:EP290"/>
    <mergeCell ref="EQ289:EQ290"/>
    <mergeCell ref="ER289:ER290"/>
    <mergeCell ref="ES289:ES290"/>
    <mergeCell ref="ET289:ET290"/>
    <mergeCell ref="EU289:EU290"/>
    <mergeCell ref="EV289:EV290"/>
    <mergeCell ref="EW289:EW290"/>
    <mergeCell ref="EX289:EX290"/>
    <mergeCell ref="EY289:EY290"/>
    <mergeCell ref="EZ289:EZ290"/>
    <mergeCell ref="FA289:FA290"/>
    <mergeCell ref="FB289:FB290"/>
    <mergeCell ref="FC289:FC290"/>
    <mergeCell ref="FD289:FD290"/>
    <mergeCell ref="FE289:FE290"/>
    <mergeCell ref="FF289:FF290"/>
    <mergeCell ref="FG289:FG290"/>
    <mergeCell ref="FH289:FH290"/>
    <mergeCell ref="FI289:FI290"/>
    <mergeCell ref="FJ289:FJ290"/>
    <mergeCell ref="FK289:FK290"/>
    <mergeCell ref="FL289:FL290"/>
    <mergeCell ref="FM289:FM290"/>
    <mergeCell ref="FN289:FN290"/>
    <mergeCell ref="FO289:FO290"/>
    <mergeCell ref="FP289:FP290"/>
    <mergeCell ref="J3:L3"/>
    <mergeCell ref="IE289:IE290"/>
    <mergeCell ref="IF289:IF290"/>
    <mergeCell ref="IG289:IG290"/>
    <mergeCell ref="IH289:IH290"/>
    <mergeCell ref="II289:II290"/>
    <mergeCell ref="IJ289:IJ290"/>
    <mergeCell ref="IK289:IK290"/>
    <mergeCell ref="GX289:GX290"/>
    <mergeCell ref="GY289:GY290"/>
    <mergeCell ref="GZ289:GZ290"/>
    <mergeCell ref="HA289:HA290"/>
    <mergeCell ref="HB289:HB290"/>
    <mergeCell ref="HC289:HC290"/>
    <mergeCell ref="HD289:HD290"/>
    <mergeCell ref="HE289:HE290"/>
    <mergeCell ref="HF289:HF290"/>
    <mergeCell ref="HG289:HG290"/>
    <mergeCell ref="HH289:HH290"/>
    <mergeCell ref="HI289:HI290"/>
    <mergeCell ref="HJ289:HJ290"/>
    <mergeCell ref="HK289:HK290"/>
    <mergeCell ref="HL289:HL290"/>
    <mergeCell ref="HM289:HM290"/>
    <mergeCell ref="HN289:HN290"/>
    <mergeCell ref="HO289:HO290"/>
    <mergeCell ref="HP289:HP290"/>
    <mergeCell ref="HQ289:HQ290"/>
    <mergeCell ref="HR289:HR290"/>
    <mergeCell ref="HS289:HS290"/>
    <mergeCell ref="HT289:HT290"/>
    <mergeCell ref="HU289:HU290"/>
    <mergeCell ref="HV289:HV290"/>
    <mergeCell ref="HW289:HW290"/>
    <mergeCell ref="HX289:HX290"/>
    <mergeCell ref="HY289:HY290"/>
    <mergeCell ref="HZ289:HZ290"/>
    <mergeCell ref="IA289:IA290"/>
    <mergeCell ref="IB289:IB290"/>
    <mergeCell ref="IC289:IC290"/>
    <mergeCell ref="ID289:ID290"/>
    <mergeCell ref="FQ289:FQ290"/>
    <mergeCell ref="FR289:FR290"/>
    <mergeCell ref="FS289:FS290"/>
    <mergeCell ref="FT289:FT290"/>
    <mergeCell ref="FU289:FU290"/>
    <mergeCell ref="FV289:FV290"/>
    <mergeCell ref="FW289:FW290"/>
    <mergeCell ref="FX289:FX290"/>
    <mergeCell ref="FY289:FY290"/>
    <mergeCell ref="FZ289:FZ290"/>
    <mergeCell ref="GA289:GA290"/>
    <mergeCell ref="GB289:GB290"/>
    <mergeCell ref="GC289:GC290"/>
    <mergeCell ref="GD289:GD290"/>
    <mergeCell ref="GE289:GE290"/>
    <mergeCell ref="GF289:GF290"/>
    <mergeCell ref="GG289:GG290"/>
    <mergeCell ref="GH289:GH290"/>
    <mergeCell ref="GI289:GI290"/>
    <mergeCell ref="GJ289:GJ290"/>
    <mergeCell ref="GK289:GK290"/>
    <mergeCell ref="GL289:GL290"/>
    <mergeCell ref="GM289:GM290"/>
  </mergeCells>
  <conditionalFormatting sqref="F30:G30">
    <cfRule type="cellIs" dxfId="90" priority="1913" stopIfTrue="1" operator="equal">
      <formula>0</formula>
    </cfRule>
  </conditionalFormatting>
  <conditionalFormatting sqref="F32:G32">
    <cfRule type="cellIs" dxfId="89" priority="395" stopIfTrue="1" operator="equal">
      <formula>0</formula>
    </cfRule>
  </conditionalFormatting>
  <conditionalFormatting sqref="F34:G34">
    <cfRule type="cellIs" dxfId="88" priority="154" stopIfTrue="1" operator="equal">
      <formula>0</formula>
    </cfRule>
  </conditionalFormatting>
  <conditionalFormatting sqref="F36:G36">
    <cfRule type="cellIs" dxfId="87" priority="146" stopIfTrue="1" operator="equal">
      <formula>0</formula>
    </cfRule>
  </conditionalFormatting>
  <conditionalFormatting sqref="F38:G38">
    <cfRule type="cellIs" dxfId="86" priority="145" stopIfTrue="1" operator="equal">
      <formula>0</formula>
    </cfRule>
  </conditionalFormatting>
  <conditionalFormatting sqref="F114:G114">
    <cfRule type="cellIs" dxfId="85" priority="213" stopIfTrue="1" operator="equal">
      <formula>0</formula>
    </cfRule>
  </conditionalFormatting>
  <conditionalFormatting sqref="F116:G116">
    <cfRule type="cellIs" dxfId="84" priority="212" stopIfTrue="1" operator="equal">
      <formula>0</formula>
    </cfRule>
  </conditionalFormatting>
  <conditionalFormatting sqref="F118:G118">
    <cfRule type="cellIs" dxfId="83" priority="144" stopIfTrue="1" operator="equal">
      <formula>0</formula>
    </cfRule>
  </conditionalFormatting>
  <conditionalFormatting sqref="F120:G120">
    <cfRule type="cellIs" dxfId="82" priority="141" stopIfTrue="1" operator="equal">
      <formula>0</formula>
    </cfRule>
  </conditionalFormatting>
  <conditionalFormatting sqref="F122:G122">
    <cfRule type="cellIs" dxfId="81" priority="140" stopIfTrue="1" operator="equal">
      <formula>0</formula>
    </cfRule>
  </conditionalFormatting>
  <conditionalFormatting sqref="F198:G198">
    <cfRule type="cellIs" dxfId="80" priority="184" stopIfTrue="1" operator="equal">
      <formula>0</formula>
    </cfRule>
  </conditionalFormatting>
  <conditionalFormatting sqref="F200:G200">
    <cfRule type="cellIs" dxfId="79" priority="183" stopIfTrue="1" operator="equal">
      <formula>0</formula>
    </cfRule>
  </conditionalFormatting>
  <conditionalFormatting sqref="F202:G202">
    <cfRule type="cellIs" dxfId="78" priority="139" stopIfTrue="1" operator="equal">
      <formula>0</formula>
    </cfRule>
  </conditionalFormatting>
  <conditionalFormatting sqref="F204:G204">
    <cfRule type="cellIs" dxfId="77" priority="136" stopIfTrue="1" operator="equal">
      <formula>0</formula>
    </cfRule>
  </conditionalFormatting>
  <conditionalFormatting sqref="F206:G206">
    <cfRule type="cellIs" dxfId="76" priority="135" stopIfTrue="1" operator="equal">
      <formula>0</formula>
    </cfRule>
  </conditionalFormatting>
  <conditionalFormatting sqref="F282:G282">
    <cfRule type="cellIs" dxfId="75" priority="170" stopIfTrue="1" operator="equal">
      <formula>0</formula>
    </cfRule>
  </conditionalFormatting>
  <conditionalFormatting sqref="F284:G284">
    <cfRule type="cellIs" dxfId="74" priority="169" stopIfTrue="1" operator="equal">
      <formula>0</formula>
    </cfRule>
  </conditionalFormatting>
  <conditionalFormatting sqref="F286:G286">
    <cfRule type="cellIs" dxfId="73" priority="134" stopIfTrue="1" operator="equal">
      <formula>0</formula>
    </cfRule>
  </conditionalFormatting>
  <conditionalFormatting sqref="F288:G288">
    <cfRule type="cellIs" dxfId="72" priority="131" stopIfTrue="1" operator="equal">
      <formula>0</formula>
    </cfRule>
  </conditionalFormatting>
  <conditionalFormatting sqref="F290:G290">
    <cfRule type="cellIs" dxfId="71" priority="130" stopIfTrue="1" operator="equal">
      <formula>0</formula>
    </cfRule>
  </conditionalFormatting>
  <conditionalFormatting sqref="H17:IK18">
    <cfRule type="cellIs" dxfId="70" priority="290" stopIfTrue="1" operator="equal">
      <formula>"x"</formula>
    </cfRule>
  </conditionalFormatting>
  <conditionalFormatting sqref="H21:IK22">
    <cfRule type="cellIs" dxfId="69" priority="103" stopIfTrue="1" operator="equal">
      <formula>1000</formula>
    </cfRule>
  </conditionalFormatting>
  <conditionalFormatting sqref="H23:IK23">
    <cfRule type="cellIs" dxfId="68" priority="254" stopIfTrue="1" operator="equal">
      <formula>10</formula>
    </cfRule>
  </conditionalFormatting>
  <conditionalFormatting sqref="H25:IK25">
    <cfRule type="cellIs" dxfId="67" priority="253" stopIfTrue="1" operator="equal">
      <formula>10</formula>
    </cfRule>
  </conditionalFormatting>
  <conditionalFormatting sqref="H27:IK27">
    <cfRule type="cellIs" dxfId="66" priority="246" stopIfTrue="1" operator="equal">
      <formula>10</formula>
    </cfRule>
  </conditionalFormatting>
  <conditionalFormatting sqref="H29:IK30">
    <cfRule type="cellIs" dxfId="65" priority="251" stopIfTrue="1" operator="equal">
      <formula>10</formula>
    </cfRule>
  </conditionalFormatting>
  <conditionalFormatting sqref="H31:IK32">
    <cfRule type="cellIs" dxfId="64" priority="250" stopIfTrue="1" operator="equal">
      <formula>10</formula>
    </cfRule>
  </conditionalFormatting>
  <conditionalFormatting sqref="H33:IK38">
    <cfRule type="cellIs" dxfId="63" priority="97" stopIfTrue="1" operator="equal">
      <formula>10</formula>
    </cfRule>
  </conditionalFormatting>
  <conditionalFormatting sqref="H105:IK106">
    <cfRule type="cellIs" dxfId="62" priority="101" stopIfTrue="1" operator="equal">
      <formula>1000</formula>
    </cfRule>
  </conditionalFormatting>
  <conditionalFormatting sqref="H107:IK107">
    <cfRule type="cellIs" dxfId="61" priority="204" stopIfTrue="1" operator="equal">
      <formula>10</formula>
    </cfRule>
  </conditionalFormatting>
  <conditionalFormatting sqref="H109:IK109">
    <cfRule type="cellIs" dxfId="60" priority="203" stopIfTrue="1" operator="equal">
      <formula>10</formula>
    </cfRule>
  </conditionalFormatting>
  <conditionalFormatting sqref="H111:IK111">
    <cfRule type="cellIs" dxfId="59" priority="199" stopIfTrue="1" operator="equal">
      <formula>10</formula>
    </cfRule>
  </conditionalFormatting>
  <conditionalFormatting sqref="H113:IK114">
    <cfRule type="cellIs" dxfId="58" priority="202" stopIfTrue="1" operator="equal">
      <formula>10</formula>
    </cfRule>
  </conditionalFormatting>
  <conditionalFormatting sqref="H115:IK116">
    <cfRule type="cellIs" dxfId="57" priority="201" stopIfTrue="1" operator="equal">
      <formula>10</formula>
    </cfRule>
  </conditionalFormatting>
  <conditionalFormatting sqref="H117:IK122">
    <cfRule type="cellIs" dxfId="56" priority="108" stopIfTrue="1" operator="equal">
      <formula>10</formula>
    </cfRule>
  </conditionalFormatting>
  <conditionalFormatting sqref="H189:IK190">
    <cfRule type="cellIs" dxfId="55" priority="100" stopIfTrue="1" operator="equal">
      <formula>1000</formula>
    </cfRule>
  </conditionalFormatting>
  <conditionalFormatting sqref="H191:IK191">
    <cfRule type="cellIs" dxfId="54" priority="176" stopIfTrue="1" operator="equal">
      <formula>10</formula>
    </cfRule>
  </conditionalFormatting>
  <conditionalFormatting sqref="H193:IK193">
    <cfRule type="cellIs" dxfId="53" priority="175" stopIfTrue="1" operator="equal">
      <formula>10</formula>
    </cfRule>
  </conditionalFormatting>
  <conditionalFormatting sqref="H195:IK195">
    <cfRule type="cellIs" dxfId="52" priority="171" stopIfTrue="1" operator="equal">
      <formula>10</formula>
    </cfRule>
  </conditionalFormatting>
  <conditionalFormatting sqref="H197:IK198">
    <cfRule type="cellIs" dxfId="51" priority="174" stopIfTrue="1" operator="equal">
      <formula>10</formula>
    </cfRule>
  </conditionalFormatting>
  <conditionalFormatting sqref="H199:IK200">
    <cfRule type="cellIs" dxfId="50" priority="173" stopIfTrue="1" operator="equal">
      <formula>10</formula>
    </cfRule>
  </conditionalFormatting>
  <conditionalFormatting sqref="H201:IK206">
    <cfRule type="cellIs" dxfId="49" priority="106" stopIfTrue="1" operator="equal">
      <formula>10</formula>
    </cfRule>
  </conditionalFormatting>
  <conditionalFormatting sqref="H273:IK274">
    <cfRule type="cellIs" dxfId="48" priority="99" stopIfTrue="1" operator="equal">
      <formula>1000</formula>
    </cfRule>
  </conditionalFormatting>
  <conditionalFormatting sqref="H275:IK275">
    <cfRule type="cellIs" dxfId="47" priority="162" stopIfTrue="1" operator="equal">
      <formula>10</formula>
    </cfRule>
  </conditionalFormatting>
  <conditionalFormatting sqref="H277:IK277">
    <cfRule type="cellIs" dxfId="46" priority="161" stopIfTrue="1" operator="equal">
      <formula>10</formula>
    </cfRule>
  </conditionalFormatting>
  <conditionalFormatting sqref="H279:IK279">
    <cfRule type="cellIs" dxfId="45" priority="157" stopIfTrue="1" operator="equal">
      <formula>10</formula>
    </cfRule>
  </conditionalFormatting>
  <conditionalFormatting sqref="H281:IK282">
    <cfRule type="cellIs" dxfId="44" priority="160" stopIfTrue="1" operator="equal">
      <formula>10</formula>
    </cfRule>
  </conditionalFormatting>
  <conditionalFormatting sqref="H283:IK284">
    <cfRule type="cellIs" dxfId="43" priority="159" stopIfTrue="1" operator="equal">
      <formula>10</formula>
    </cfRule>
  </conditionalFormatting>
  <conditionalFormatting sqref="H285:IK290">
    <cfRule type="cellIs" dxfId="42" priority="104" stopIfTrue="1" operator="equal">
      <formula>10</formula>
    </cfRule>
  </conditionalFormatting>
  <conditionalFormatting sqref="H345:IK345">
    <cfRule type="cellIs" dxfId="41" priority="59" operator="equal">
      <formula>1000</formula>
    </cfRule>
  </conditionalFormatting>
  <conditionalFormatting sqref="H346:IK346">
    <cfRule type="cellIs" dxfId="40" priority="56" operator="equal">
      <formula>1000</formula>
    </cfRule>
    <cfRule type="cellIs" dxfId="39" priority="57" operator="equal">
      <formula>10</formula>
    </cfRule>
  </conditionalFormatting>
  <conditionalFormatting sqref="H348:IK348">
    <cfRule type="cellIs" dxfId="38" priority="45" operator="equal">
      <formula>1000</formula>
    </cfRule>
  </conditionalFormatting>
  <conditionalFormatting sqref="H349:IK349">
    <cfRule type="cellIs" dxfId="37" priority="44" operator="equal">
      <formula>1000</formula>
    </cfRule>
  </conditionalFormatting>
  <conditionalFormatting sqref="H350:IK350">
    <cfRule type="cellIs" dxfId="36" priority="43" operator="equal">
      <formula>1000</formula>
    </cfRule>
  </conditionalFormatting>
  <conditionalFormatting sqref="H352:IK352">
    <cfRule type="cellIs" dxfId="35" priority="96" operator="equal">
      <formula>1000</formula>
    </cfRule>
  </conditionalFormatting>
  <conditionalFormatting sqref="H353:IK353">
    <cfRule type="cellIs" dxfId="34" priority="94" operator="equal">
      <formula>10</formula>
    </cfRule>
    <cfRule type="cellIs" dxfId="33" priority="93" operator="equal">
      <formula>1000</formula>
    </cfRule>
  </conditionalFormatting>
  <conditionalFormatting sqref="H355:IK355">
    <cfRule type="cellIs" dxfId="32" priority="37" operator="equal">
      <formula>1000</formula>
    </cfRule>
  </conditionalFormatting>
  <conditionalFormatting sqref="H356:IK356">
    <cfRule type="cellIs" dxfId="31" priority="34" operator="equal">
      <formula>1000</formula>
    </cfRule>
  </conditionalFormatting>
  <conditionalFormatting sqref="H357:IK357">
    <cfRule type="cellIs" dxfId="30" priority="35" operator="equal">
      <formula>1000</formula>
    </cfRule>
  </conditionalFormatting>
  <conditionalFormatting sqref="H359:IK359">
    <cfRule type="cellIs" dxfId="29" priority="92" operator="equal">
      <formula>1000</formula>
    </cfRule>
  </conditionalFormatting>
  <conditionalFormatting sqref="H360:IK360">
    <cfRule type="cellIs" dxfId="28" priority="89" operator="equal">
      <formula>1000</formula>
    </cfRule>
    <cfRule type="cellIs" dxfId="27" priority="90" operator="equal">
      <formula>10</formula>
    </cfRule>
  </conditionalFormatting>
  <conditionalFormatting sqref="H362:IK362">
    <cfRule type="cellIs" dxfId="26" priority="33" operator="equal">
      <formula>1000</formula>
    </cfRule>
  </conditionalFormatting>
  <conditionalFormatting sqref="H363:IK363">
    <cfRule type="cellIs" dxfId="25" priority="30" operator="equal">
      <formula>1000</formula>
    </cfRule>
  </conditionalFormatting>
  <conditionalFormatting sqref="H364:IK364">
    <cfRule type="cellIs" dxfId="24" priority="31" operator="equal">
      <formula>1000</formula>
    </cfRule>
  </conditionalFormatting>
  <conditionalFormatting sqref="H366:IK366">
    <cfRule type="cellIs" dxfId="23" priority="88" operator="equal">
      <formula>1000</formula>
    </cfRule>
  </conditionalFormatting>
  <conditionalFormatting sqref="H367:IK367">
    <cfRule type="cellIs" dxfId="22" priority="85" operator="equal">
      <formula>1000</formula>
    </cfRule>
    <cfRule type="cellIs" dxfId="21" priority="86" operator="equal">
      <formula>10</formula>
    </cfRule>
  </conditionalFormatting>
  <conditionalFormatting sqref="H371:IK371">
    <cfRule type="cellIs" dxfId="20" priority="50" operator="equal">
      <formula>1000</formula>
    </cfRule>
  </conditionalFormatting>
  <conditionalFormatting sqref="H373:IK373">
    <cfRule type="cellIs" dxfId="19" priority="84" operator="equal">
      <formula>1000</formula>
    </cfRule>
  </conditionalFormatting>
  <conditionalFormatting sqref="H375:IK376">
    <cfRule type="cellIs" dxfId="18" priority="53" operator="equal">
      <formula>1000</formula>
    </cfRule>
    <cfRule type="cellIs" dxfId="17" priority="52" operator="equal">
      <formula>1</formula>
    </cfRule>
  </conditionalFormatting>
  <conditionalFormatting sqref="H378:IK378">
    <cfRule type="cellIs" dxfId="16" priority="29" operator="equal">
      <formula>1000</formula>
    </cfRule>
  </conditionalFormatting>
  <conditionalFormatting sqref="H380:IK382">
    <cfRule type="cellIs" dxfId="15" priority="1" operator="equal">
      <formula>1</formula>
    </cfRule>
  </conditionalFormatting>
  <conditionalFormatting sqref="H380:IK383">
    <cfRule type="cellIs" dxfId="14" priority="2" operator="equal">
      <formula>1000</formula>
    </cfRule>
  </conditionalFormatting>
  <conditionalFormatting sqref="H385:IK386">
    <cfRule type="cellIs" dxfId="13" priority="13" operator="equal">
      <formula>1000</formula>
    </cfRule>
    <cfRule type="cellIs" dxfId="12" priority="12" operator="equal">
      <formula>1</formula>
    </cfRule>
  </conditionalFormatting>
  <conditionalFormatting sqref="H391:IK396">
    <cfRule type="cellIs" dxfId="11" priority="60" operator="equal">
      <formula>1000</formula>
    </cfRule>
  </conditionalFormatting>
  <conditionalFormatting sqref="H392:IK393">
    <cfRule type="cellIs" dxfId="10" priority="66" operator="equal">
      <formula>1</formula>
    </cfRule>
  </conditionalFormatting>
  <conditionalFormatting sqref="H399:IK404">
    <cfRule type="cellIs" dxfId="9" priority="19" operator="equal">
      <formula>1000</formula>
    </cfRule>
  </conditionalFormatting>
  <conditionalFormatting sqref="H400:IK401">
    <cfRule type="cellIs" dxfId="8" priority="23" operator="equal">
      <formula>1</formula>
    </cfRule>
  </conditionalFormatting>
  <conditionalFormatting sqref="H407:IK412">
    <cfRule type="cellIs" dxfId="7" priority="3" operator="equal">
      <formula>1000</formula>
    </cfRule>
  </conditionalFormatting>
  <conditionalFormatting sqref="H408:IK409">
    <cfRule type="cellIs" dxfId="6" priority="7" operator="equal">
      <formula>1</formula>
    </cfRule>
  </conditionalFormatting>
  <conditionalFormatting sqref="Q2:AI2">
    <cfRule type="cellIs" dxfId="5" priority="867" stopIfTrue="1" operator="equal">
      <formula>0</formula>
    </cfRule>
  </conditionalFormatting>
  <conditionalFormatting sqref="GH3:GN3">
    <cfRule type="cellIs" dxfId="4" priority="156" stopIfTrue="1" operator="equal">
      <formula>0</formula>
    </cfRule>
  </conditionalFormatting>
  <printOptions horizontalCentered="1" verticalCentered="1"/>
  <pageMargins left="0" right="0" top="0.78740157480314965" bottom="0.78740157480314965" header="0.31496062992125984" footer="0.31496062992125984"/>
  <pageSetup paperSize="9" scale="81" orientation="landscape"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4" filterMode="1">
    <tabColor rgb="FFFFC000"/>
  </sheetPr>
  <dimension ref="A1:AA219"/>
  <sheetViews>
    <sheetView showGridLines="0" showZeros="0" tabSelected="1" topLeftCell="A7" zoomScaleNormal="100" workbookViewId="0">
      <selection activeCell="M218" sqref="M218:O218"/>
    </sheetView>
  </sheetViews>
  <sheetFormatPr defaultRowHeight="12.75" x14ac:dyDescent="0.35"/>
  <cols>
    <col min="1" max="1" width="2.59765625" customWidth="1"/>
    <col min="2" max="2" width="5.59765625" customWidth="1"/>
    <col min="3" max="3" width="4.3984375" customWidth="1"/>
    <col min="4" max="7" width="4" customWidth="1"/>
    <col min="8" max="8" width="3.59765625" customWidth="1"/>
    <col min="9" max="9" width="4.86328125" customWidth="1"/>
    <col min="10" max="11" width="4" customWidth="1"/>
    <col min="12" max="12" width="4.59765625" bestFit="1" customWidth="1"/>
    <col min="13" max="13" width="4" customWidth="1"/>
    <col min="14" max="14" width="4.59765625" customWidth="1"/>
    <col min="15" max="15" width="4.3984375" customWidth="1"/>
    <col min="16" max="17" width="4" customWidth="1"/>
    <col min="18" max="18" width="4.3984375" customWidth="1"/>
    <col min="19" max="19" width="8.3984375" customWidth="1"/>
    <col min="20" max="20" width="4.59765625" customWidth="1"/>
    <col min="21" max="21" width="2.59765625" customWidth="1"/>
    <col min="22" max="22" width="1.59765625" customWidth="1"/>
    <col min="23" max="23" width="9" customWidth="1"/>
    <col min="24" max="24" width="7.86328125" customWidth="1"/>
    <col min="25" max="26" width="4" customWidth="1"/>
    <col min="27" max="27" width="8.3984375" customWidth="1"/>
    <col min="28" max="29" width="4" customWidth="1"/>
  </cols>
  <sheetData>
    <row r="1" spans="2:24" ht="12.75" customHeight="1" x14ac:dyDescent="0.35">
      <c r="B1" s="1533"/>
      <c r="C1" s="1534"/>
      <c r="D1" s="1534"/>
      <c r="E1" s="1534"/>
      <c r="F1" s="1534"/>
      <c r="G1" s="1330" t="str">
        <f>CÁLCULOS!E1</f>
        <v>SISTEMA SC-10 e SC-14  ORÇAMENTO
DADOS DE ENTRADA E CÁLCULOS</v>
      </c>
      <c r="H1" s="1331"/>
      <c r="I1" s="1331"/>
      <c r="J1" s="1331"/>
      <c r="K1" s="1331"/>
      <c r="L1" s="1331"/>
      <c r="M1" s="1331"/>
      <c r="N1" s="1331"/>
      <c r="O1" s="1331"/>
      <c r="P1" s="1331"/>
      <c r="Q1" s="1331"/>
      <c r="R1" s="1331"/>
      <c r="S1" s="1332"/>
      <c r="T1" s="1373" t="s">
        <v>1</v>
      </c>
      <c r="U1" s="1377"/>
      <c r="V1" s="1377"/>
      <c r="W1" s="2052">
        <f>CÁLCULOS!O1</f>
        <v>45638</v>
      </c>
      <c r="X1" s="2053"/>
    </row>
    <row r="2" spans="2:24" ht="12.75" customHeight="1" x14ac:dyDescent="0.35">
      <c r="B2" s="1536"/>
      <c r="C2" s="1537"/>
      <c r="D2" s="1537"/>
      <c r="E2" s="1537"/>
      <c r="F2" s="1537"/>
      <c r="G2" s="1333"/>
      <c r="H2" s="1334"/>
      <c r="I2" s="1334"/>
      <c r="J2" s="1334"/>
      <c r="K2" s="1334"/>
      <c r="L2" s="1334"/>
      <c r="M2" s="1334"/>
      <c r="N2" s="1334"/>
      <c r="O2" s="1334"/>
      <c r="P2" s="1334"/>
      <c r="Q2" s="1334"/>
      <c r="R2" s="1334"/>
      <c r="S2" s="1335"/>
      <c r="T2" s="1338" t="s">
        <v>3</v>
      </c>
      <c r="U2" s="1441"/>
      <c r="V2" s="1441"/>
      <c r="W2" s="2054">
        <f>CÁLCULOS!O2</f>
        <v>3</v>
      </c>
      <c r="X2" s="2055"/>
    </row>
    <row r="3" spans="2:24" ht="18" customHeight="1" x14ac:dyDescent="0.35">
      <c r="B3" s="1536"/>
      <c r="C3" s="1537"/>
      <c r="D3" s="1537"/>
      <c r="E3" s="1537"/>
      <c r="F3" s="1537"/>
      <c r="G3" s="2026" t="s">
        <v>5</v>
      </c>
      <c r="H3" s="2027"/>
      <c r="I3" s="2027"/>
      <c r="J3" s="2028" t="str">
        <f>CÁLCULOS!F3</f>
        <v>Passarelli</v>
      </c>
      <c r="K3" s="2028"/>
      <c r="L3" s="2028"/>
      <c r="M3" s="2028"/>
      <c r="N3" s="2028"/>
      <c r="O3" s="2028"/>
      <c r="P3" s="2028"/>
      <c r="Q3" s="2028"/>
      <c r="R3" s="2028"/>
      <c r="S3" s="2029"/>
      <c r="T3" s="1318" t="s">
        <v>844</v>
      </c>
      <c r="U3" s="1319"/>
      <c r="V3" s="1319"/>
      <c r="W3" s="1319"/>
      <c r="X3" s="1400"/>
    </row>
    <row r="4" spans="2:24" ht="23.25" customHeight="1" x14ac:dyDescent="0.35">
      <c r="B4" s="1539"/>
      <c r="C4" s="1540"/>
      <c r="D4" s="1540"/>
      <c r="E4" s="1540"/>
      <c r="F4" s="1540"/>
      <c r="G4" s="2026" t="s">
        <v>7</v>
      </c>
      <c r="H4" s="2027"/>
      <c r="I4" s="2027"/>
      <c r="J4" s="2028" t="str">
        <f>CÁLCULOS!F4</f>
        <v>12 tqs Nereda</v>
      </c>
      <c r="K4" s="2028"/>
      <c r="L4" s="2028"/>
      <c r="M4" s="2028"/>
      <c r="N4" s="2028"/>
      <c r="O4" s="2028"/>
      <c r="P4" s="2028"/>
      <c r="Q4" s="2028"/>
      <c r="R4" s="2028"/>
      <c r="S4" s="2029"/>
      <c r="T4" s="2056" t="str">
        <f>FECHAMENTO!M5</f>
        <v>São Paulo - Tatuapé - SP</v>
      </c>
      <c r="U4" s="2057"/>
      <c r="V4" s="2057"/>
      <c r="W4" s="2057"/>
      <c r="X4" s="2058"/>
    </row>
    <row r="6" spans="2:24" ht="18" customHeight="1" x14ac:dyDescent="0.35">
      <c r="B6" s="305">
        <v>1</v>
      </c>
      <c r="C6" s="306" t="s">
        <v>1632</v>
      </c>
      <c r="D6" s="307"/>
      <c r="E6" s="307"/>
      <c r="F6" s="307"/>
      <c r="G6" s="307"/>
      <c r="H6" s="307"/>
      <c r="I6" s="307"/>
      <c r="J6" s="307"/>
      <c r="K6" s="307"/>
      <c r="L6" s="307"/>
      <c r="M6" s="307"/>
      <c r="N6" s="307"/>
      <c r="O6" s="307"/>
      <c r="P6" s="307"/>
      <c r="Q6" s="307"/>
      <c r="R6" s="307"/>
      <c r="S6" s="307"/>
      <c r="T6" s="307"/>
      <c r="U6" s="307"/>
      <c r="V6" s="307"/>
      <c r="W6" s="307"/>
      <c r="X6" s="307"/>
    </row>
    <row r="7" spans="2:24" ht="18" customHeight="1" x14ac:dyDescent="0.35">
      <c r="B7" s="695" t="s">
        <v>1633</v>
      </c>
      <c r="C7" s="35" t="s">
        <v>1634</v>
      </c>
      <c r="D7" s="35"/>
      <c r="E7" s="35"/>
      <c r="F7" s="35"/>
      <c r="G7" s="35"/>
      <c r="H7" s="35"/>
      <c r="I7" s="35"/>
      <c r="J7" s="35"/>
      <c r="K7" s="35"/>
      <c r="L7" s="35"/>
      <c r="M7" s="35"/>
      <c r="N7" s="35"/>
      <c r="O7" s="35"/>
      <c r="P7" s="35"/>
      <c r="Q7" s="35"/>
      <c r="R7" s="35"/>
      <c r="S7" s="35"/>
      <c r="T7" s="35"/>
      <c r="U7" s="35"/>
      <c r="V7" s="35"/>
      <c r="W7" s="583">
        <f>ENTRADAS!G26</f>
        <v>47.041150642112115</v>
      </c>
      <c r="X7" s="52" t="s">
        <v>20</v>
      </c>
    </row>
    <row r="8" spans="2:24" ht="18" customHeight="1" x14ac:dyDescent="0.35">
      <c r="B8" s="695" t="s">
        <v>1635</v>
      </c>
      <c r="C8" s="35" t="s">
        <v>1636</v>
      </c>
      <c r="D8" s="35"/>
      <c r="E8" s="35"/>
      <c r="F8" s="35"/>
      <c r="G8" s="35"/>
      <c r="H8" s="35"/>
      <c r="I8" s="35"/>
      <c r="J8" s="35"/>
      <c r="K8" s="35"/>
      <c r="L8" s="35"/>
      <c r="M8" s="35"/>
      <c r="N8" s="35"/>
      <c r="O8" s="35"/>
      <c r="P8" s="35"/>
      <c r="Q8" s="35"/>
      <c r="R8" s="35"/>
      <c r="S8" s="35"/>
      <c r="T8" s="35"/>
      <c r="U8" s="35"/>
      <c r="V8" s="35"/>
      <c r="W8" s="583">
        <f>ENTRADAS!E15</f>
        <v>7.15</v>
      </c>
      <c r="X8" s="52" t="s">
        <v>20</v>
      </c>
    </row>
    <row r="9" spans="2:24" ht="18" customHeight="1" x14ac:dyDescent="0.35">
      <c r="B9" s="695" t="s">
        <v>1637</v>
      </c>
      <c r="C9" s="35" t="s">
        <v>1638</v>
      </c>
      <c r="D9" s="35"/>
      <c r="E9" s="35"/>
      <c r="F9" s="35"/>
      <c r="G9" s="35"/>
      <c r="H9" s="35"/>
      <c r="I9" s="35"/>
      <c r="J9" s="35"/>
      <c r="K9" s="35"/>
      <c r="L9" s="35"/>
      <c r="M9" s="35"/>
      <c r="N9" s="35"/>
      <c r="O9" s="35"/>
      <c r="P9" s="35"/>
      <c r="Q9" s="35"/>
      <c r="R9" s="35"/>
      <c r="S9" s="35"/>
      <c r="T9" s="35"/>
      <c r="U9" s="35"/>
      <c r="V9" s="35"/>
      <c r="W9" s="583">
        <f>ENTRADAS!E16</f>
        <v>6.4</v>
      </c>
      <c r="X9" s="52" t="s">
        <v>20</v>
      </c>
    </row>
    <row r="10" spans="2:24" ht="18" customHeight="1" x14ac:dyDescent="0.35">
      <c r="B10" s="695" t="s">
        <v>1639</v>
      </c>
      <c r="C10" s="35" t="s">
        <v>1640</v>
      </c>
      <c r="D10" s="35"/>
      <c r="E10" s="35"/>
      <c r="F10" s="35"/>
      <c r="G10" s="35"/>
      <c r="H10" s="35"/>
      <c r="I10" s="35"/>
      <c r="J10" s="35"/>
      <c r="K10" s="35"/>
      <c r="L10" s="35"/>
      <c r="M10" s="35"/>
      <c r="N10" s="35"/>
      <c r="O10" s="35"/>
      <c r="P10" s="35"/>
      <c r="Q10" s="35"/>
      <c r="R10" s="35"/>
      <c r="S10" s="35"/>
      <c r="T10" s="35"/>
      <c r="U10" s="35"/>
      <c r="V10" s="35"/>
      <c r="W10" s="313">
        <f ca="1">CÁLCULOS!F82</f>
        <v>11132.918115017466</v>
      </c>
      <c r="X10" s="52" t="s">
        <v>31</v>
      </c>
    </row>
    <row r="11" spans="2:24" ht="18" customHeight="1" x14ac:dyDescent="0.35">
      <c r="B11" s="695" t="s">
        <v>1641</v>
      </c>
      <c r="C11" s="35" t="s">
        <v>1642</v>
      </c>
      <c r="D11" s="35"/>
      <c r="E11" s="35"/>
      <c r="F11" s="35"/>
      <c r="G11" s="35"/>
      <c r="H11" s="35"/>
      <c r="I11" s="35"/>
      <c r="J11" s="35"/>
      <c r="K11" s="35"/>
      <c r="L11" s="35"/>
      <c r="M11" s="35"/>
      <c r="N11" s="35"/>
      <c r="O11" s="35"/>
      <c r="P11" s="35"/>
      <c r="Q11" s="35"/>
      <c r="R11" s="35"/>
      <c r="S11" s="35"/>
      <c r="T11" s="35"/>
      <c r="U11" s="35"/>
      <c r="V11" s="35"/>
      <c r="W11" s="313">
        <f ca="1">CÁLCULOS!F80</f>
        <v>1739.518455471479</v>
      </c>
      <c r="X11" s="52" t="s">
        <v>78</v>
      </c>
    </row>
    <row r="12" spans="2:24" ht="18" customHeight="1" x14ac:dyDescent="0.35">
      <c r="B12" s="695" t="s">
        <v>1643</v>
      </c>
      <c r="C12" s="35" t="s">
        <v>1644</v>
      </c>
      <c r="D12" s="35"/>
      <c r="E12" s="35"/>
      <c r="F12" s="35"/>
      <c r="G12" s="35"/>
      <c r="H12" s="35"/>
      <c r="I12" s="35"/>
      <c r="J12" s="35"/>
      <c r="K12" s="35"/>
      <c r="L12" s="35"/>
      <c r="M12" s="35"/>
      <c r="N12" s="35"/>
      <c r="O12" s="35" t="str">
        <f>IF(ENTRADAS!F22&lt;2,"PARA "&amp;ENTRADAS!F22&amp;" TANQUE","PARA "&amp;ENTRADAS!F22&amp;" TANQUES")</f>
        <v>PARA 4 TANQUES</v>
      </c>
      <c r="P12" s="35"/>
      <c r="Q12" s="35"/>
      <c r="R12" s="35"/>
      <c r="S12" s="35"/>
      <c r="T12" s="35"/>
      <c r="U12" s="35"/>
      <c r="V12" s="35"/>
      <c r="W12" s="313">
        <f ca="1">IF(ENTRADAS!I15=0,0,CÁLCULOS!F83/ENTRADAS!I15*ENTRADAS!E15)</f>
        <v>4255.6799999999994</v>
      </c>
      <c r="X12" s="52" t="s">
        <v>78</v>
      </c>
    </row>
    <row r="13" spans="2:24" ht="18" customHeight="1" x14ac:dyDescent="0.35">
      <c r="B13" s="695" t="s">
        <v>1645</v>
      </c>
      <c r="C13" s="35" t="s">
        <v>1646</v>
      </c>
      <c r="D13" s="35"/>
      <c r="E13" s="35"/>
      <c r="F13" s="35"/>
      <c r="G13" s="35"/>
      <c r="H13" s="35"/>
      <c r="I13" s="35"/>
      <c r="J13" s="35"/>
      <c r="K13" s="35"/>
      <c r="L13" s="35"/>
      <c r="M13" s="35"/>
      <c r="N13" s="35"/>
      <c r="O13" s="35" t="str">
        <f>IF(ENTRADAS!F22&lt;2,"PARA "&amp;ENTRADAS!F22&amp;" TANQUE","PARA "&amp;ENTRADAS!F22&amp;" TANQUES")</f>
        <v>PARA 4 TANQUES</v>
      </c>
      <c r="P13" s="35"/>
      <c r="Q13" s="35"/>
      <c r="R13" s="35"/>
      <c r="S13" s="35"/>
      <c r="T13" s="35"/>
      <c r="U13" s="35"/>
      <c r="V13" s="35"/>
      <c r="W13" s="313">
        <f ca="1">CÁLCULOS!F84</f>
        <v>4397.5360000000001</v>
      </c>
      <c r="X13" s="52" t="s">
        <v>78</v>
      </c>
    </row>
    <row r="14" spans="2:24" x14ac:dyDescent="0.35">
      <c r="B14" s="131"/>
    </row>
    <row r="15" spans="2:24" ht="18" customHeight="1" x14ac:dyDescent="0.35">
      <c r="B15" s="305">
        <v>2</v>
      </c>
      <c r="C15" s="306" t="s">
        <v>1647</v>
      </c>
      <c r="D15" s="307"/>
      <c r="E15" s="307"/>
      <c r="F15" s="307"/>
      <c r="G15" s="307"/>
      <c r="H15" s="307"/>
      <c r="I15" s="307"/>
      <c r="J15" s="307"/>
      <c r="K15" s="307"/>
      <c r="L15" s="307"/>
      <c r="M15" s="307"/>
      <c r="N15" s="307"/>
      <c r="O15" s="307"/>
      <c r="P15" s="307"/>
      <c r="Q15" s="307"/>
      <c r="R15" s="307"/>
      <c r="S15" s="307"/>
      <c r="T15" s="307"/>
      <c r="U15" s="307"/>
      <c r="V15" s="307"/>
      <c r="W15" s="307"/>
      <c r="X15" s="307"/>
    </row>
    <row r="16" spans="2:24" ht="18" customHeight="1" x14ac:dyDescent="0.35">
      <c r="B16" s="695" t="s">
        <v>1648</v>
      </c>
      <c r="C16" s="35" t="str">
        <f>IF(AND(ENTRADAS!C104&lt;&gt;0,ENTRADAS!C110&lt;&gt;0),"VOLUME DE CONCRETO DE 1 PAINEL NORMAL COM CANALETA E BORDA DE APOIO",IF(AND(ENTRADAS!C104&lt;&gt;0,ENTRADAS!C110=0),"VOLUME DE CONCRETO DE 1 PAINEL NORMAL COM CANALETA ",IF(AND(ENTRADAS!C104=0,ENTRADAS!C110&lt;&gt;0),"VOLUME DE CONCRETO DE 1 PAINEL NORMAL COM BORDA DE APOIO","VOLUME DE CONCRETO DE 1 PAINEL NORMAL")))</f>
        <v>VOLUME DE CONCRETO DE 1 PAINEL NORMAL</v>
      </c>
      <c r="D16" s="35"/>
      <c r="E16" s="35"/>
      <c r="F16" s="35"/>
      <c r="G16" s="35"/>
      <c r="H16" s="35"/>
      <c r="I16" s="35"/>
      <c r="J16" s="35"/>
      <c r="K16" s="35"/>
      <c r="L16" s="35"/>
      <c r="M16" s="35"/>
      <c r="N16" s="35"/>
      <c r="O16" s="35"/>
      <c r="P16" s="35"/>
      <c r="Q16" s="35"/>
      <c r="R16" s="35"/>
      <c r="S16" s="35"/>
      <c r="T16" s="35"/>
      <c r="U16" s="35"/>
      <c r="V16" s="35"/>
      <c r="W16" s="313">
        <f ca="1">IF(CÁLCULOS!C19="X",CÁLCULOS!Z225*CÁLCULOS!I11+(CÁLCULOS!Z227+CÁLCULOS!Z228)/2.5,IF(CÁLCULOS!E19="X",CÁLCULOS!AB225*CÁLCULOS!I11+(CÁLCULOS!AB227+CÁLCULOS!AB228)/2.5,IF(ENTRADAS!G66="X",CÁLCULOS!Z225*CÁLCULOS!I11+(CÁLCULOS!Z227+CÁLCULOS!Z228)/2.5,0)))</f>
        <v>3.4694088273750858</v>
      </c>
      <c r="X16" s="52" t="s">
        <v>31</v>
      </c>
    </row>
    <row r="17" spans="2:24" ht="18" customHeight="1" x14ac:dyDescent="0.35">
      <c r="B17" s="695" t="s">
        <v>1649</v>
      </c>
      <c r="C17" s="35" t="s">
        <v>1650</v>
      </c>
      <c r="D17" s="35"/>
      <c r="E17" s="35"/>
      <c r="F17" s="35"/>
      <c r="G17" s="35"/>
      <c r="H17" s="35"/>
      <c r="I17" s="35"/>
      <c r="J17" s="35">
        <f ca="1">CÁLCULOS!G50*ENTRADAS!F22</f>
        <v>240</v>
      </c>
      <c r="K17" s="35" t="str">
        <f>IF(AND(ENTRADAS!C104&lt;&gt;0,ENTRADAS!C110&lt;&gt;0),"PAINÉIS NORMAIS COM CANALETA E BORDA DE APOIO",IF(AND(ENTRADAS!C104&lt;&gt;0,ENTRADAS!C110=0),"PAINÉIS NORMAIS COM CANALETA ",IF(AND(ENTRADAS!C104=0,ENTRADAS!C110&lt;&gt;0),"PAINÉIS NORMAIS COM BORDA DE APOIO","PAINÉIS NORMAIS")))</f>
        <v>PAINÉIS NORMAIS</v>
      </c>
      <c r="L17" s="35"/>
      <c r="M17" s="574"/>
      <c r="N17" s="35"/>
      <c r="O17" s="35"/>
      <c r="P17" s="35"/>
      <c r="Q17" s="35"/>
      <c r="R17" s="35"/>
      <c r="S17" s="35"/>
      <c r="T17" s="35"/>
      <c r="U17" s="35"/>
      <c r="V17" s="35"/>
      <c r="W17" s="313">
        <f ca="1">W16*J17</f>
        <v>832.65811857002063</v>
      </c>
      <c r="X17" s="52" t="s">
        <v>31</v>
      </c>
    </row>
    <row r="18" spans="2:24" ht="18" customHeight="1" x14ac:dyDescent="0.35">
      <c r="B18" s="695" t="s">
        <v>1651</v>
      </c>
      <c r="C18" s="35" t="str">
        <f>IF(AND(ENTRADAS!C104&lt;&gt;0,ENTRADAS!C110&lt;&gt;0),"VOLUME DE CONCRETO DE 1 PAINEL FECHO COM CANALETA E BORDA DE APOIO",IF(AND(ENTRADAS!C104&lt;&gt;0,ENTRADAS!C110=0),"VOLUME DE CONCRETO DE 1 PAINEL FECHO COM CANALETA ",IF(AND(ENTRADAS!C104=0,ENTRADAS!C110&lt;&gt;0),"VOLUME DE CONCRETO DE 1 PAINEL FECHO COM BORDA DE APOIO","VOLUME DE CONCRETO DE 1 PAINEL FECHO")))</f>
        <v>VOLUME DE CONCRETO DE 1 PAINEL FECHO</v>
      </c>
      <c r="D18" s="35"/>
      <c r="E18" s="35"/>
      <c r="F18" s="35"/>
      <c r="G18" s="35"/>
      <c r="H18" s="35"/>
      <c r="I18" s="35"/>
      <c r="J18" s="35"/>
      <c r="K18" s="35"/>
      <c r="L18" s="35"/>
      <c r="M18" s="35"/>
      <c r="N18" s="35"/>
      <c r="O18" s="35"/>
      <c r="P18" s="35"/>
      <c r="Q18" s="35"/>
      <c r="R18" s="35"/>
      <c r="S18" s="35"/>
      <c r="T18" s="35"/>
      <c r="U18" s="35"/>
      <c r="V18" s="35"/>
      <c r="W18" s="313">
        <f ca="1">IF(CÁLCULOS!C19="X",CÁLCULOS!AA225*CÁLCULOS!I11+(CÁLCULOS!Z227+CÁLCULOS!Z228)/2.5,IF(CÁLCULOS!E19="X",CÁLCULOS!AC225*CÁLCULOS!I11+(CÁLCULOS!AB227+CÁLCULOS!AB228)/2.5,IF(ENTRADAS!G66="X",CÁLCULOS!AA225*CÁLCULOS!I11+(CÁLCULOS!Z227+CÁLCULOS!Z228)/2.5,0)))</f>
        <v>4.7815000000000003</v>
      </c>
      <c r="X18" s="52" t="s">
        <v>31</v>
      </c>
    </row>
    <row r="19" spans="2:24" ht="18" customHeight="1" x14ac:dyDescent="0.35">
      <c r="B19" s="695" t="s">
        <v>1652</v>
      </c>
      <c r="C19" s="35" t="s">
        <v>1650</v>
      </c>
      <c r="D19" s="35"/>
      <c r="E19" s="35"/>
      <c r="F19" s="35"/>
      <c r="G19" s="35"/>
      <c r="H19" s="35"/>
      <c r="I19" s="35"/>
      <c r="J19" s="35">
        <f>(CÁLCULOS!G44+CÁLCULOS!G46)*ENTRADAS!F22</f>
        <v>8</v>
      </c>
      <c r="K19" s="35" t="str">
        <f>IF(L19&gt;1,IF(AND(ENTRADAS!C104&lt;&gt;0,ENTRADAS!C110&lt;&gt;0),"PAINÉIS FECHOS COM CANALETA E BORDA DE APOIO",IF(AND(ENTRADAS!C104&lt;&gt;0,ENTRADAS!C110=0),"PAINÉIS FECHOS COM CANALETA ",IF(AND(ENTRADAS!C104=0,ENTRADAS!C110&lt;&gt;0),"PAINEL FECHO COM BORDA DE APOIO","PAINÉIS FECHOS"))),IF(AND(ENTRADAS!C104&lt;&gt;0,ENTRADAS!C110&lt;&gt;0),"PAINEL FECHO COM CANALETA E BORDA DE APOIO",IF(AND(ENTRADAS!C104&lt;&gt;0,ENTRADAS!C110=0),"PAINEL FECHO COM CANALETA ",IF(AND(ENTRADAS!C104=0,ENTRADAS!C110&lt;&gt;0),"PAINEL FECHO BORDA DE APOIO","PAINEL FECHO"))))</f>
        <v>PAINEL FECHO</v>
      </c>
      <c r="L19" s="35"/>
      <c r="M19" s="574"/>
      <c r="N19" s="35"/>
      <c r="O19" s="35"/>
      <c r="P19" s="35"/>
      <c r="Q19" s="35"/>
      <c r="R19" s="35"/>
      <c r="S19" s="35"/>
      <c r="T19" s="35"/>
      <c r="U19" s="35"/>
      <c r="V19" s="35"/>
      <c r="W19" s="313">
        <f ca="1">W18*J19</f>
        <v>38.252000000000002</v>
      </c>
      <c r="X19" s="52" t="s">
        <v>31</v>
      </c>
    </row>
    <row r="20" spans="2:24" ht="18" customHeight="1" x14ac:dyDescent="0.35">
      <c r="B20" s="695" t="s">
        <v>1653</v>
      </c>
      <c r="C20" s="35" t="s">
        <v>1654</v>
      </c>
      <c r="D20" s="35"/>
      <c r="E20" s="35"/>
      <c r="F20" s="35"/>
      <c r="G20" s="35"/>
      <c r="H20" s="35"/>
      <c r="I20" s="35"/>
      <c r="J20" s="35"/>
      <c r="K20" s="35"/>
      <c r="L20" s="35"/>
      <c r="M20" s="35" t="str">
        <f>IF(ENTRADAS!F22&lt;2,"PARA "&amp;ENTRADAS!F22&amp;" TANQUE","PARA "&amp;ENTRADAS!F22&amp;" TANQUES")</f>
        <v>PARA 4 TANQUES</v>
      </c>
      <c r="N20" s="35"/>
      <c r="O20" s="35"/>
      <c r="P20" s="35"/>
      <c r="Q20" s="35"/>
      <c r="R20" s="35"/>
      <c r="S20" s="35"/>
      <c r="T20" s="35"/>
      <c r="U20" s="35"/>
      <c r="V20" s="35"/>
      <c r="W20" s="313">
        <f ca="1">W17+W19</f>
        <v>870.91011857002059</v>
      </c>
      <c r="X20" s="52" t="s">
        <v>31</v>
      </c>
    </row>
    <row r="21" spans="2:24" x14ac:dyDescent="0.35">
      <c r="B21" s="131"/>
    </row>
    <row r="22" spans="2:24" ht="18" customHeight="1" x14ac:dyDescent="0.35">
      <c r="B22" s="305">
        <v>3</v>
      </c>
      <c r="C22" s="306" t="s">
        <v>1655</v>
      </c>
      <c r="D22" s="307"/>
      <c r="E22" s="307"/>
      <c r="F22" s="307"/>
      <c r="G22" s="307"/>
      <c r="H22" s="307"/>
      <c r="I22" s="307"/>
      <c r="J22" s="307"/>
      <c r="K22" s="307"/>
      <c r="L22" s="307"/>
      <c r="M22" s="307"/>
      <c r="N22" s="307"/>
      <c r="O22" s="307"/>
      <c r="P22" s="307"/>
      <c r="Q22" s="307"/>
      <c r="R22" s="307"/>
      <c r="S22" s="307"/>
      <c r="T22" s="307"/>
      <c r="U22" s="307"/>
      <c r="V22" s="307"/>
      <c r="W22" s="307"/>
      <c r="X22" s="307"/>
    </row>
    <row r="23" spans="2:24" ht="18" customHeight="1" x14ac:dyDescent="0.35">
      <c r="B23" s="695" t="s">
        <v>1656</v>
      </c>
      <c r="C23" s="35" t="str">
        <f>IF(AND(ENTRADAS!C104&lt;&gt;0,ENTRADAS!C110&lt;&gt;0),"PESO DE 1 PAINEL NORMAL COM CANALETA E BORDA DE APOIO",IF(AND(ENTRADAS!C104&lt;&gt;0,ENTRADAS!C110=0),"PESO DE 1 PAINEL NORMAL COM CANALETA ",IF(AND(ENTRADAS!C104=0,ENTRADAS!C110&lt;&gt;0),"PESO DE 1 PAINEL NORMAL COM BORDA DE APOIO","PESO DE 1 PAINEL NORMAL")))</f>
        <v>PESO DE 1 PAINEL NORMAL</v>
      </c>
      <c r="D23" s="35"/>
      <c r="E23" s="35"/>
      <c r="F23" s="35"/>
      <c r="G23" s="35"/>
      <c r="H23" s="35"/>
      <c r="I23" s="35"/>
      <c r="J23" s="35"/>
      <c r="K23" s="35"/>
      <c r="L23" s="35"/>
      <c r="M23" s="35"/>
      <c r="N23" s="35"/>
      <c r="O23" s="35"/>
      <c r="P23" s="35"/>
      <c r="Q23" s="35"/>
      <c r="R23" s="35"/>
      <c r="S23" s="35"/>
      <c r="T23" s="35"/>
      <c r="U23" s="35"/>
      <c r="V23" s="35"/>
      <c r="W23" s="313">
        <f ca="1">W16*2.5</f>
        <v>8.6735220684377143</v>
      </c>
      <c r="X23" s="52" t="s">
        <v>328</v>
      </c>
    </row>
    <row r="24" spans="2:24" ht="18" customHeight="1" x14ac:dyDescent="0.35">
      <c r="B24" s="695" t="s">
        <v>1657</v>
      </c>
      <c r="C24" s="35" t="s">
        <v>1658</v>
      </c>
      <c r="D24" s="35"/>
      <c r="E24" s="35"/>
      <c r="F24" s="35">
        <f ca="1">J17</f>
        <v>240</v>
      </c>
      <c r="G24" s="35" t="str">
        <f>K17</f>
        <v>PAINÉIS NORMAIS</v>
      </c>
      <c r="H24" s="35"/>
      <c r="I24" s="574"/>
      <c r="J24" s="35"/>
      <c r="K24" s="35"/>
      <c r="L24" s="35"/>
      <c r="M24" s="35"/>
      <c r="N24" s="35"/>
      <c r="O24" s="35"/>
      <c r="P24" s="35"/>
      <c r="Q24" s="35"/>
      <c r="R24" s="35"/>
      <c r="S24" s="35"/>
      <c r="T24" s="35"/>
      <c r="U24" s="35"/>
      <c r="V24" s="35"/>
      <c r="W24" s="313">
        <f ca="1">W23*F24</f>
        <v>2081.6452964250516</v>
      </c>
      <c r="X24" s="52" t="s">
        <v>328</v>
      </c>
    </row>
    <row r="25" spans="2:24" ht="18" customHeight="1" x14ac:dyDescent="0.35">
      <c r="B25" s="695" t="s">
        <v>1659</v>
      </c>
      <c r="C25" s="35" t="str">
        <f>IF(AND(ENTRADAS!C104&lt;&gt;0,ENTRADAS!C110&lt;&gt;0),"PESO DE 1 PAINEL FECHO COM CANALETA E BORDA DE APOIO",IF(AND(ENTRADAS!C104&lt;&gt;0,ENTRADAS!C110=0),"PESO DE 1 PAINEL FECHO COM CANALETA ",IF(AND(ENTRADAS!C104=0,ENTRADAS!C110&lt;&gt;0),"PESO DE 1 PAINEL FECHO COM BORDA DE APOIO","PESO DE 1 PAINEL FECHO")))</f>
        <v>PESO DE 1 PAINEL FECHO</v>
      </c>
      <c r="D25" s="35"/>
      <c r="E25" s="35"/>
      <c r="F25" s="35"/>
      <c r="G25" s="35"/>
      <c r="H25" s="35"/>
      <c r="I25" s="35"/>
      <c r="J25" s="35"/>
      <c r="K25" s="35"/>
      <c r="L25" s="35"/>
      <c r="M25" s="35"/>
      <c r="N25" s="35"/>
      <c r="O25" s="35"/>
      <c r="P25" s="35"/>
      <c r="Q25" s="35"/>
      <c r="R25" s="35"/>
      <c r="S25" s="35"/>
      <c r="T25" s="35"/>
      <c r="U25" s="35"/>
      <c r="V25" s="35"/>
      <c r="W25" s="313">
        <f ca="1">W18*2.5</f>
        <v>11.953750000000001</v>
      </c>
      <c r="X25" s="52" t="s">
        <v>328</v>
      </c>
    </row>
    <row r="26" spans="2:24" ht="18" customHeight="1" x14ac:dyDescent="0.35">
      <c r="B26" s="695" t="s">
        <v>1660</v>
      </c>
      <c r="C26" s="35" t="s">
        <v>1658</v>
      </c>
      <c r="D26" s="35"/>
      <c r="E26" s="35"/>
      <c r="F26" s="35">
        <f>J19</f>
        <v>8</v>
      </c>
      <c r="G26" s="35" t="str">
        <f>K19</f>
        <v>PAINEL FECHO</v>
      </c>
      <c r="H26" s="35"/>
      <c r="I26" s="574"/>
      <c r="J26" s="35"/>
      <c r="K26" s="35"/>
      <c r="L26" s="35"/>
      <c r="M26" s="35"/>
      <c r="N26" s="35"/>
      <c r="O26" s="35"/>
      <c r="P26" s="35"/>
      <c r="Q26" s="35"/>
      <c r="R26" s="35"/>
      <c r="S26" s="35"/>
      <c r="T26" s="35"/>
      <c r="U26" s="35"/>
      <c r="V26" s="35"/>
      <c r="W26" s="313">
        <f ca="1">W25*F26</f>
        <v>95.63000000000001</v>
      </c>
      <c r="X26" s="52" t="s">
        <v>328</v>
      </c>
    </row>
    <row r="27" spans="2:24" ht="18" customHeight="1" x14ac:dyDescent="0.35">
      <c r="B27" s="695" t="s">
        <v>1661</v>
      </c>
      <c r="C27" s="35" t="s">
        <v>1662</v>
      </c>
      <c r="D27" s="35"/>
      <c r="E27" s="35"/>
      <c r="F27" s="35"/>
      <c r="G27" s="35"/>
      <c r="H27" s="35"/>
      <c r="I27" s="35"/>
      <c r="J27" s="35" t="str">
        <f>IF(ENTRADAS!F22&lt;2,"PARA "&amp;ENTRADAS!F22&amp;" TANQUE","PARA "&amp;ENTRADAS!F22&amp;" TANQUES")</f>
        <v>PARA 4 TANQUES</v>
      </c>
      <c r="K27" s="35"/>
      <c r="L27" s="35"/>
      <c r="M27" s="35"/>
      <c r="N27" s="35"/>
      <c r="O27" s="35"/>
      <c r="P27" s="35"/>
      <c r="Q27" s="35"/>
      <c r="R27" s="35"/>
      <c r="S27" s="35"/>
      <c r="T27" s="35"/>
      <c r="U27" s="35"/>
      <c r="V27" s="35"/>
      <c r="W27" s="313">
        <f ca="1">W24+W26</f>
        <v>2177.2752964250517</v>
      </c>
      <c r="X27" s="52" t="s">
        <v>328</v>
      </c>
    </row>
    <row r="28" spans="2:24" x14ac:dyDescent="0.35">
      <c r="B28" s="131"/>
    </row>
    <row r="29" spans="2:24" ht="18" customHeight="1" x14ac:dyDescent="0.35">
      <c r="B29" s="305">
        <v>4</v>
      </c>
      <c r="C29" s="306" t="s">
        <v>1663</v>
      </c>
      <c r="D29" s="307"/>
      <c r="E29" s="307"/>
      <c r="F29" s="307"/>
      <c r="G29" s="307"/>
      <c r="H29" s="307"/>
      <c r="I29" s="307"/>
      <c r="J29" s="307"/>
      <c r="K29" s="307"/>
      <c r="L29" s="307"/>
      <c r="M29" s="307"/>
      <c r="N29" s="307"/>
      <c r="O29" s="307"/>
      <c r="P29" s="307"/>
      <c r="Q29" s="307"/>
      <c r="R29" s="307"/>
      <c r="S29" s="307"/>
      <c r="T29" s="307"/>
      <c r="U29" s="307"/>
      <c r="V29" s="307"/>
      <c r="W29" s="307"/>
      <c r="X29" s="307"/>
    </row>
    <row r="30" spans="2:24" ht="18" customHeight="1" x14ac:dyDescent="0.35">
      <c r="B30" s="695" t="s">
        <v>1664</v>
      </c>
      <c r="C30" s="35" t="s">
        <v>1665</v>
      </c>
      <c r="D30" s="10"/>
      <c r="E30" s="10"/>
      <c r="F30" s="10"/>
      <c r="G30" s="10"/>
      <c r="H30" s="10"/>
      <c r="I30" s="10"/>
      <c r="J30" s="10"/>
      <c r="K30" s="10"/>
      <c r="L30" s="10"/>
      <c r="M30" s="10"/>
      <c r="N30" s="10"/>
      <c r="O30" s="10"/>
      <c r="P30" s="10"/>
      <c r="Q30" s="10"/>
      <c r="R30" s="10"/>
      <c r="S30" s="35">
        <f>IF(ENTRADAS!F1237&gt;0,"SISTEMA MODIFICADO- ",0)</f>
        <v>0</v>
      </c>
      <c r="T30" s="10"/>
      <c r="U30" s="10"/>
      <c r="V30" s="10"/>
      <c r="W30" s="35" t="str">
        <f>IF(ENTRADAS!G66="X","SC6",IF(ENTRADAS!C60="X","SC10",IF(ENTRADAS!E60="x","SC14",0)))</f>
        <v>SC10</v>
      </c>
      <c r="X30" s="52"/>
    </row>
    <row r="31" spans="2:24" ht="18" customHeight="1" x14ac:dyDescent="0.35">
      <c r="B31" s="695" t="s">
        <v>1666</v>
      </c>
      <c r="C31" s="35" t="s">
        <v>1667</v>
      </c>
      <c r="D31" s="35"/>
      <c r="E31" s="35"/>
      <c r="F31" s="35"/>
      <c r="G31" s="35"/>
      <c r="H31" s="35"/>
      <c r="I31" s="35"/>
      <c r="J31" s="35"/>
      <c r="K31" s="35"/>
      <c r="L31" s="35"/>
      <c r="M31" s="35"/>
      <c r="N31" s="35"/>
      <c r="O31" s="35"/>
      <c r="P31" s="35"/>
      <c r="Q31" s="35"/>
      <c r="R31" s="35"/>
      <c r="S31" s="35"/>
      <c r="T31" s="35"/>
      <c r="U31" s="35"/>
      <c r="V31" s="35"/>
      <c r="W31" s="281">
        <f ca="1">CÁLCULOS!I11</f>
        <v>7.3000000000000007</v>
      </c>
      <c r="X31" s="52" t="s">
        <v>20</v>
      </c>
    </row>
    <row r="32" spans="2:24" ht="18" customHeight="1" x14ac:dyDescent="0.35">
      <c r="B32" s="695" t="s">
        <v>1668</v>
      </c>
      <c r="C32" s="35" t="s">
        <v>1669</v>
      </c>
      <c r="D32" s="35"/>
      <c r="E32" s="35"/>
      <c r="F32" s="35"/>
      <c r="G32" s="35"/>
      <c r="H32" s="35"/>
      <c r="I32" s="35"/>
      <c r="J32" s="35"/>
      <c r="K32" s="35"/>
      <c r="L32" s="35"/>
      <c r="M32" s="35"/>
      <c r="N32" s="35"/>
      <c r="O32" s="35"/>
      <c r="P32" s="35"/>
      <c r="Q32" s="35"/>
      <c r="R32" s="35"/>
      <c r="S32" s="35"/>
      <c r="T32" s="35"/>
      <c r="U32" s="35"/>
      <c r="V32" s="35"/>
      <c r="W32" s="596">
        <f ca="1">IF(ENTRADAS!I15=0,0,IF(W30="SC6","n.a.",90-(180/(J17+J19))))</f>
        <v>89.274193548387103</v>
      </c>
      <c r="X32" s="52" t="str">
        <f ca="1">IF(W32="n.a.",0,"°")</f>
        <v>°</v>
      </c>
    </row>
    <row r="33" spans="1:24" ht="18" customHeight="1" x14ac:dyDescent="0.35">
      <c r="B33" s="695" t="s">
        <v>1670</v>
      </c>
      <c r="C33" s="35" t="s">
        <v>1671</v>
      </c>
      <c r="D33" s="35"/>
      <c r="E33" s="35"/>
      <c r="F33" s="35"/>
      <c r="G33" s="35"/>
      <c r="H33" s="35"/>
      <c r="I33" s="35"/>
      <c r="J33" s="35"/>
      <c r="K33" s="35"/>
      <c r="L33" s="35"/>
      <c r="M33" s="35"/>
      <c r="N33" s="35"/>
      <c r="O33" s="35"/>
      <c r="P33" s="35"/>
      <c r="Q33" s="35"/>
      <c r="R33" s="35"/>
      <c r="S33" s="35"/>
      <c r="T33" s="35"/>
      <c r="U33" s="35"/>
      <c r="V33" s="35"/>
      <c r="W33" s="283">
        <f ca="1">CÁLCULOS!F79</f>
        <v>2.3856883989574178</v>
      </c>
      <c r="X33" s="52" t="s">
        <v>20</v>
      </c>
    </row>
    <row r="34" spans="1:24" ht="18" customHeight="1" x14ac:dyDescent="0.35">
      <c r="B34" s="695" t="s">
        <v>1672</v>
      </c>
      <c r="C34" s="35" t="s">
        <v>1673</v>
      </c>
      <c r="D34" s="35"/>
      <c r="E34" s="35"/>
      <c r="F34" s="35"/>
      <c r="G34" s="35"/>
      <c r="H34" s="35"/>
      <c r="I34" s="35"/>
      <c r="J34" s="35"/>
      <c r="K34" s="35"/>
      <c r="L34" s="35"/>
      <c r="M34" s="35"/>
      <c r="N34" s="35"/>
      <c r="O34" s="35"/>
      <c r="P34" s="35"/>
      <c r="Q34" s="35"/>
      <c r="R34" s="35"/>
      <c r="S34" s="35"/>
      <c r="T34" s="35"/>
      <c r="U34" s="35"/>
      <c r="V34" s="35"/>
      <c r="W34" s="283">
        <f ca="1">CÁLCULOS!Z684</f>
        <v>1.0678571428571419</v>
      </c>
      <c r="X34" s="52" t="s">
        <v>20</v>
      </c>
    </row>
    <row r="35" spans="1:24" x14ac:dyDescent="0.35">
      <c r="B35" s="131"/>
    </row>
    <row r="36" spans="1:24" ht="18" customHeight="1" x14ac:dyDescent="0.35">
      <c r="B36" s="305">
        <v>5</v>
      </c>
      <c r="C36" s="306" t="s">
        <v>1674</v>
      </c>
      <c r="D36" s="307"/>
      <c r="E36" s="307"/>
      <c r="F36" s="307"/>
      <c r="G36" s="307"/>
      <c r="H36" s="307"/>
      <c r="I36" s="307"/>
      <c r="J36" s="307"/>
      <c r="K36" s="307"/>
      <c r="L36" s="307"/>
      <c r="M36" s="307"/>
      <c r="N36" s="307"/>
      <c r="O36" s="307"/>
      <c r="P36" s="307"/>
      <c r="Q36" s="307"/>
      <c r="R36" s="307"/>
      <c r="S36" s="307"/>
      <c r="T36" s="307"/>
      <c r="U36" s="307"/>
      <c r="V36" s="307"/>
      <c r="W36" s="307"/>
      <c r="X36" s="307"/>
    </row>
    <row r="37" spans="1:24" ht="18" customHeight="1" x14ac:dyDescent="0.35">
      <c r="B37" s="695" t="s">
        <v>1675</v>
      </c>
      <c r="C37" s="35" t="s">
        <v>1676</v>
      </c>
      <c r="D37" s="35"/>
      <c r="E37" s="35"/>
      <c r="F37" s="35"/>
      <c r="G37" s="35"/>
      <c r="H37" s="35"/>
      <c r="I37" s="35"/>
      <c r="J37" s="35"/>
      <c r="K37" s="35"/>
      <c r="L37" s="35"/>
      <c r="M37" s="35"/>
      <c r="N37" s="35"/>
      <c r="O37" s="35"/>
      <c r="P37" s="35"/>
      <c r="Q37" s="35"/>
      <c r="R37" s="35"/>
      <c r="S37" s="35"/>
      <c r="T37" s="35"/>
      <c r="U37" s="35"/>
      <c r="V37" s="35"/>
      <c r="W37" s="282">
        <f ca="1">IF(ENTRADAS!I15=0,0,360/(J17+J19))</f>
        <v>1.4516129032258065</v>
      </c>
      <c r="X37" s="52" t="s">
        <v>1677</v>
      </c>
    </row>
    <row r="38" spans="1:24" ht="18" customHeight="1" x14ac:dyDescent="0.35">
      <c r="B38" s="695" t="s">
        <v>1678</v>
      </c>
      <c r="C38" s="35" t="s">
        <v>1679</v>
      </c>
      <c r="D38" s="35"/>
      <c r="E38" s="35"/>
      <c r="F38" s="35"/>
      <c r="G38" s="35"/>
      <c r="H38" s="35"/>
      <c r="I38" s="35"/>
      <c r="J38" s="35"/>
      <c r="K38" s="35"/>
      <c r="L38" s="35"/>
      <c r="M38" s="35"/>
      <c r="N38" s="35"/>
      <c r="O38" s="35"/>
      <c r="P38" s="35"/>
      <c r="Q38" s="35"/>
      <c r="R38" s="35"/>
      <c r="S38" s="35"/>
      <c r="T38" s="35"/>
      <c r="U38" s="35"/>
      <c r="V38" s="35"/>
      <c r="W38" s="283">
        <f ca="1">CÁLCULOS!F77</f>
        <v>23.55111104147047</v>
      </c>
      <c r="X38" s="52" t="s">
        <v>20</v>
      </c>
    </row>
    <row r="39" spans="1:24" ht="18" customHeight="1" x14ac:dyDescent="0.35">
      <c r="B39" s="695" t="s">
        <v>1680</v>
      </c>
      <c r="C39" s="35" t="s">
        <v>1681</v>
      </c>
      <c r="D39" s="35"/>
      <c r="E39" s="35"/>
      <c r="F39" s="35"/>
      <c r="G39" s="35"/>
      <c r="H39" s="35"/>
      <c r="I39" s="35"/>
      <c r="J39" s="35"/>
      <c r="K39" s="35"/>
      <c r="L39" s="35"/>
      <c r="M39" s="35"/>
      <c r="N39" s="35"/>
      <c r="O39" s="35"/>
      <c r="P39" s="35"/>
      <c r="Q39" s="35"/>
      <c r="R39" s="35"/>
      <c r="S39" s="35"/>
      <c r="T39" s="35"/>
      <c r="U39" s="35"/>
      <c r="V39" s="35"/>
      <c r="W39" s="283">
        <f ca="1">CÁLCULOS!F78</f>
        <v>23.520883359335002</v>
      </c>
      <c r="X39" s="52" t="s">
        <v>20</v>
      </c>
    </row>
    <row r="41" spans="1:24" ht="13.5" x14ac:dyDescent="0.35">
      <c r="A41" s="523"/>
      <c r="B41" s="305">
        <v>6</v>
      </c>
      <c r="C41" s="306" t="s">
        <v>1682</v>
      </c>
      <c r="D41" s="307"/>
      <c r="E41" s="307"/>
      <c r="F41" s="307"/>
      <c r="G41" s="307"/>
      <c r="H41" s="307"/>
      <c r="I41" s="307" t="str">
        <f>IF(ENTRADAS!D912="X",0,"SEM COBERTURA")</f>
        <v>SEM COBERTURA</v>
      </c>
      <c r="J41" s="307"/>
      <c r="K41" s="307"/>
      <c r="L41" s="307"/>
      <c r="M41" s="307"/>
      <c r="N41" s="307"/>
      <c r="O41" s="307"/>
      <c r="P41" s="307"/>
      <c r="Q41" s="307"/>
      <c r="R41" s="307"/>
      <c r="S41" s="307"/>
      <c r="T41" s="307"/>
      <c r="U41" s="307"/>
      <c r="V41" s="307"/>
      <c r="W41" s="307"/>
      <c r="X41" s="307"/>
    </row>
    <row r="42" spans="1:24" x14ac:dyDescent="0.35">
      <c r="A42" s="742"/>
      <c r="B42" s="695" t="s">
        <v>1683</v>
      </c>
      <c r="C42" s="995" t="s">
        <v>1684</v>
      </c>
      <c r="D42" s="35"/>
      <c r="E42" s="35"/>
      <c r="F42" s="35"/>
      <c r="G42" s="35"/>
      <c r="H42" s="35"/>
      <c r="I42" s="35"/>
      <c r="J42" s="35"/>
      <c r="K42" s="35"/>
      <c r="L42" s="35" t="str">
        <f>IF(ENTRADAS!$F$22&lt;2,"PARA "&amp;ENTRADAS!$F$22&amp;" TANQUE","PARA "&amp;ENTRADAS!$F$22&amp;" TANQUES")</f>
        <v>PARA 4 TANQUES</v>
      </c>
      <c r="M42" s="35"/>
      <c r="N42" s="35"/>
      <c r="O42" s="35"/>
      <c r="P42" s="35"/>
      <c r="Q42" s="35"/>
      <c r="R42" s="35"/>
      <c r="S42" s="35"/>
      <c r="T42" s="35"/>
      <c r="U42" s="35"/>
      <c r="V42" s="35"/>
      <c r="W42" s="282">
        <f>IF(ENTRADAS!$D$912="X",LAJES!AK4*ENTRADAS!$F$22,0)</f>
        <v>0</v>
      </c>
      <c r="X42" s="997" t="s">
        <v>78</v>
      </c>
    </row>
    <row r="43" spans="1:24" ht="4.5" customHeight="1" x14ac:dyDescent="0.35">
      <c r="A43" s="743" t="str">
        <f t="shared" ref="A43:A48" si="0">IF(B43=0,0,"xxx")</f>
        <v>xxx</v>
      </c>
      <c r="B43" s="581" t="s">
        <v>1685</v>
      </c>
      <c r="C43" s="1010"/>
      <c r="D43" s="25"/>
      <c r="E43" s="25"/>
      <c r="F43" s="25"/>
      <c r="G43" s="25"/>
      <c r="H43" s="25"/>
      <c r="I43" s="25"/>
      <c r="J43" s="25"/>
      <c r="K43" s="25"/>
      <c r="L43" s="25"/>
      <c r="M43" s="25"/>
      <c r="N43" s="25"/>
      <c r="O43" s="25"/>
      <c r="P43" s="25"/>
      <c r="Q43" s="25"/>
      <c r="R43" s="25"/>
      <c r="S43" s="25"/>
      <c r="T43" s="25"/>
      <c r="U43" s="25"/>
      <c r="V43" s="25"/>
      <c r="W43" s="330"/>
      <c r="X43" s="1010"/>
    </row>
    <row r="44" spans="1:24" x14ac:dyDescent="0.35">
      <c r="A44" s="581" t="str">
        <f t="shared" si="0"/>
        <v>xxx</v>
      </c>
      <c r="B44" s="695" t="s">
        <v>1686</v>
      </c>
      <c r="C44" s="995" t="s">
        <v>1687</v>
      </c>
      <c r="D44" s="35"/>
      <c r="E44" s="35"/>
      <c r="F44" s="35"/>
      <c r="G44" s="35"/>
      <c r="H44" s="35"/>
      <c r="I44" s="35"/>
      <c r="J44" s="35"/>
      <c r="K44" s="35"/>
      <c r="L44" s="35"/>
      <c r="M44" s="35"/>
      <c r="N44" s="35"/>
      <c r="O44" s="35"/>
      <c r="P44" s="35"/>
      <c r="Q44" s="35" t="str">
        <f>IF(ENTRADAS!$F$22&lt;2,"PARA "&amp;ENTRADAS!$F$22&amp;" TANQUE","PARA "&amp;ENTRADAS!$F$22&amp;" TANQUES")</f>
        <v>PARA 4 TANQUES</v>
      </c>
      <c r="R44" s="35"/>
      <c r="S44" s="35"/>
      <c r="T44" s="35"/>
      <c r="U44" s="35"/>
      <c r="V44" s="35"/>
      <c r="W44" s="282">
        <f>IF(ENTRADAS!$D$912="X",LAJES!I534,0)</f>
        <v>0</v>
      </c>
      <c r="X44" s="997" t="s">
        <v>78</v>
      </c>
    </row>
    <row r="45" spans="1:24" x14ac:dyDescent="0.35">
      <c r="A45" s="581" t="str">
        <f t="shared" si="0"/>
        <v>xxx</v>
      </c>
      <c r="B45" s="695" t="s">
        <v>1688</v>
      </c>
      <c r="C45" s="995" t="s">
        <v>1689</v>
      </c>
      <c r="D45" s="35"/>
      <c r="E45" s="35"/>
      <c r="F45" s="35"/>
      <c r="G45" s="35"/>
      <c r="H45" s="35"/>
      <c r="I45" s="35"/>
      <c r="J45" s="35"/>
      <c r="K45" s="35"/>
      <c r="L45" s="35"/>
      <c r="M45" s="35"/>
      <c r="N45" s="35"/>
      <c r="O45" s="35"/>
      <c r="P45" s="35"/>
      <c r="Q45" s="35" t="str">
        <f>IF(ENTRADAS!$F$22&lt;2,"PARA "&amp;ENTRADAS!$F$22&amp;" TANQUE","PARA "&amp;ENTRADAS!$F$22&amp;" TANQUES")</f>
        <v>PARA 4 TANQUES</v>
      </c>
      <c r="R45" s="35"/>
      <c r="S45" s="35"/>
      <c r="T45" s="35"/>
      <c r="U45" s="35"/>
      <c r="V45" s="35"/>
      <c r="W45" s="282">
        <f>IF(ENTRADAS!$D$912="X",LAJES!I535,0)</f>
        <v>0</v>
      </c>
      <c r="X45" s="997" t="s">
        <v>78</v>
      </c>
    </row>
    <row r="46" spans="1:24" x14ac:dyDescent="0.35">
      <c r="A46" s="581" t="str">
        <f t="shared" si="0"/>
        <v>xxx</v>
      </c>
      <c r="B46" s="695" t="s">
        <v>1690</v>
      </c>
      <c r="C46" s="995" t="s">
        <v>1691</v>
      </c>
      <c r="D46" s="35"/>
      <c r="E46" s="35"/>
      <c r="F46" s="35"/>
      <c r="G46" s="35"/>
      <c r="H46" s="35"/>
      <c r="I46" s="35"/>
      <c r="J46" s="35"/>
      <c r="K46" s="35"/>
      <c r="L46" s="35"/>
      <c r="M46" s="35"/>
      <c r="N46" s="35"/>
      <c r="O46" s="35"/>
      <c r="P46" s="35"/>
      <c r="Q46" s="35" t="str">
        <f>IF(ENTRADAS!$F$22&lt;2,"PARA "&amp;ENTRADAS!$F$22&amp;" TANQUE","PARA "&amp;ENTRADAS!$F$22&amp;" TANQUES")</f>
        <v>PARA 4 TANQUES</v>
      </c>
      <c r="R46" s="35"/>
      <c r="S46" s="35"/>
      <c r="T46" s="35"/>
      <c r="U46" s="35"/>
      <c r="V46" s="35"/>
      <c r="W46" s="282">
        <f>IF(ENTRADAS!$D$912="X",LAJES!I536,0)</f>
        <v>0</v>
      </c>
      <c r="X46" s="997" t="s">
        <v>78</v>
      </c>
    </row>
    <row r="47" spans="1:24" x14ac:dyDescent="0.35">
      <c r="A47" s="581" t="str">
        <f t="shared" si="0"/>
        <v>xxx</v>
      </c>
      <c r="B47" s="695" t="s">
        <v>1692</v>
      </c>
      <c r="C47" s="995" t="s">
        <v>1693</v>
      </c>
      <c r="D47" s="35"/>
      <c r="E47" s="35"/>
      <c r="F47" s="35"/>
      <c r="G47" s="35"/>
      <c r="H47" s="35"/>
      <c r="I47" s="35"/>
      <c r="J47" s="35"/>
      <c r="K47" s="35"/>
      <c r="L47" s="35"/>
      <c r="M47" s="35"/>
      <c r="N47" s="35"/>
      <c r="O47" s="35"/>
      <c r="P47" s="35"/>
      <c r="Q47" s="35" t="str">
        <f>IF(ENTRADAS!$F$22&lt;2,"PARA "&amp;ENTRADAS!$F$22&amp;" TANQUE","PARA "&amp;ENTRADAS!$F$22&amp;" TANQUES")</f>
        <v>PARA 4 TANQUES</v>
      </c>
      <c r="R47" s="35"/>
      <c r="S47" s="35"/>
      <c r="T47" s="35"/>
      <c r="U47" s="35"/>
      <c r="V47" s="35"/>
      <c r="W47" s="282">
        <f>IF(ENTRADAS!$D$912="X",LAJES!I537,0)</f>
        <v>0</v>
      </c>
      <c r="X47" s="997" t="s">
        <v>78</v>
      </c>
    </row>
    <row r="48" spans="1:24" x14ac:dyDescent="0.35">
      <c r="A48" s="581" t="str">
        <f t="shared" si="0"/>
        <v>xxx</v>
      </c>
      <c r="B48" s="695" t="s">
        <v>1694</v>
      </c>
      <c r="C48" s="995" t="s">
        <v>1695</v>
      </c>
      <c r="D48" s="35"/>
      <c r="E48" s="35"/>
      <c r="F48" s="35"/>
      <c r="G48" s="35"/>
      <c r="H48" s="35"/>
      <c r="I48" s="35"/>
      <c r="J48" s="35"/>
      <c r="K48" s="35"/>
      <c r="L48" s="35"/>
      <c r="M48" s="35"/>
      <c r="N48" s="35"/>
      <c r="O48" s="35"/>
      <c r="P48" s="35"/>
      <c r="Q48" s="35" t="str">
        <f>IF(ENTRADAS!$F$22&lt;2,"PARA "&amp;ENTRADAS!$F$22&amp;" TANQUE","PARA "&amp;ENTRADAS!$F$22&amp;" TANQUES")</f>
        <v>PARA 4 TANQUES</v>
      </c>
      <c r="R48" s="35"/>
      <c r="S48" s="35"/>
      <c r="T48" s="35"/>
      <c r="U48" s="35"/>
      <c r="V48" s="35"/>
      <c r="W48" s="282">
        <f>IF(ENTRADAS!$D$912="X",LAJES!I538,0)</f>
        <v>0</v>
      </c>
      <c r="X48" s="997" t="s">
        <v>78</v>
      </c>
    </row>
    <row r="49" spans="1:24" x14ac:dyDescent="0.35">
      <c r="A49" s="581" t="str">
        <f>IF(B49=0,0,"xxx")</f>
        <v>xxx</v>
      </c>
      <c r="B49" s="581" t="s">
        <v>1685</v>
      </c>
    </row>
    <row r="50" spans="1:24" x14ac:dyDescent="0.35">
      <c r="A50" s="581" t="str">
        <f>IF(B50=0,0,"xxx")</f>
        <v>xxx</v>
      </c>
      <c r="B50" s="695" t="s">
        <v>1696</v>
      </c>
      <c r="C50" s="995" t="s">
        <v>1697</v>
      </c>
      <c r="D50" s="35"/>
      <c r="E50" s="35"/>
      <c r="F50" s="35"/>
      <c r="G50" s="35"/>
      <c r="H50" s="35"/>
      <c r="I50" s="35"/>
      <c r="J50" s="35"/>
      <c r="K50" s="995" t="s">
        <v>1698</v>
      </c>
      <c r="L50" s="35"/>
      <c r="M50" s="35"/>
      <c r="N50" s="995"/>
      <c r="O50" s="35"/>
      <c r="P50" s="35"/>
      <c r="Q50" s="35"/>
      <c r="R50" s="35"/>
      <c r="S50" s="35"/>
      <c r="T50" s="35"/>
      <c r="U50" s="35"/>
      <c r="V50" s="35"/>
      <c r="W50" s="282"/>
      <c r="X50" s="52"/>
    </row>
    <row r="51" spans="1:24" ht="79.5" customHeight="1" x14ac:dyDescent="0.35">
      <c r="A51" s="581" t="str">
        <f>IF(B51=0,0,"xxx")</f>
        <v>xxx</v>
      </c>
      <c r="B51" s="2032" t="s">
        <v>1699</v>
      </c>
      <c r="C51" s="2032"/>
      <c r="D51" s="2032" t="s">
        <v>1700</v>
      </c>
      <c r="E51" s="2037"/>
      <c r="F51" s="2032" t="s">
        <v>1701</v>
      </c>
      <c r="G51" s="2037"/>
      <c r="H51" s="2023" t="s">
        <v>1702</v>
      </c>
      <c r="I51" s="2024"/>
      <c r="J51" s="2025"/>
      <c r="K51" s="2023" t="s">
        <v>1703</v>
      </c>
      <c r="L51" s="2024"/>
      <c r="M51" s="2025"/>
      <c r="N51" s="2023" t="s">
        <v>1704</v>
      </c>
      <c r="O51" s="2024"/>
      <c r="P51" s="2025"/>
      <c r="Q51" s="2023" t="s">
        <v>1705</v>
      </c>
      <c r="R51" s="2025"/>
      <c r="S51" s="2023" t="s">
        <v>1706</v>
      </c>
      <c r="T51" s="2025"/>
      <c r="U51" s="2040" t="s">
        <v>1707</v>
      </c>
      <c r="V51" s="2041"/>
      <c r="W51" s="2042"/>
      <c r="X51" s="974" t="s">
        <v>1708</v>
      </c>
    </row>
    <row r="52" spans="1:24" x14ac:dyDescent="0.35">
      <c r="A52" s="581">
        <f ca="1">IF(B52=0,0,"xxx")</f>
        <v>0</v>
      </c>
      <c r="B52" s="2022">
        <f ca="1">IF(D52=1,"P-central",IF(D52=0,0,"P-1"))</f>
        <v>0</v>
      </c>
      <c r="C52" s="2022"/>
      <c r="D52" s="2008">
        <f ca="1">IF(LAJES!$E$3=0,0,IF(LAJES!CP151&gt;0,LAJES!CP151,0))</f>
        <v>0</v>
      </c>
      <c r="E52" s="2009"/>
      <c r="F52" s="2008">
        <f ca="1">D52*LAJES!$E$3</f>
        <v>0</v>
      </c>
      <c r="G52" s="2009"/>
      <c r="H52" s="2010">
        <f ca="1">IF(B52="P-central","centro",LAJES!CR151)</f>
        <v>0</v>
      </c>
      <c r="I52" s="2011"/>
      <c r="J52" s="2012"/>
      <c r="K52" s="2013">
        <f ca="1">IF(B52=0,0,LAJES!CS151)</f>
        <v>0</v>
      </c>
      <c r="L52" s="2014"/>
      <c r="M52" s="2015"/>
      <c r="N52" s="2019">
        <f ca="1">LAJES!DA151</f>
        <v>0</v>
      </c>
      <c r="O52" s="2020"/>
      <c r="P52" s="2021"/>
      <c r="Q52" s="2010">
        <f ca="1">IF(B52=0,0,LAJES!$BW$1)</f>
        <v>0</v>
      </c>
      <c r="R52" s="2012"/>
      <c r="S52" s="2016">
        <f ca="1">IF(LAJES!CT151+LAJES!CU151&gt;0,"+"&amp;LAJES!CT151+LAJES!CU151+LAJES!$BW$1,LAJES!CT151+LAJES!CU151+LAJES!$BW$1)</f>
        <v>0.05</v>
      </c>
      <c r="T52" s="2018"/>
      <c r="U52" s="2016">
        <f ca="1">LAJES!DC151</f>
        <v>0</v>
      </c>
      <c r="V52" s="2017"/>
      <c r="W52" s="2018"/>
      <c r="X52" s="535">
        <f ca="1">LAJES!DF151</f>
        <v>0</v>
      </c>
    </row>
    <row r="53" spans="1:24" hidden="1" x14ac:dyDescent="0.35">
      <c r="A53" s="581">
        <f t="shared" ref="A53:A66" ca="1" si="1">IF(B53=0,0,"xxx")</f>
        <v>0</v>
      </c>
      <c r="B53" s="2022">
        <f ca="1">IF(D53=1,"P-central",IF(D53=0,0,"P-1"))</f>
        <v>0</v>
      </c>
      <c r="C53" s="2022"/>
      <c r="D53" s="2008">
        <f ca="1">IF(LAJES!$E$3=0,0,IF(AND(LAJES!CP152=0,LAJES!CQ151=1),LAJES!CQ151,0))</f>
        <v>0</v>
      </c>
      <c r="E53" s="2009"/>
      <c r="F53" s="2008">
        <f ca="1">D53*LAJES!$E$3</f>
        <v>0</v>
      </c>
      <c r="G53" s="2009"/>
      <c r="H53" s="2010">
        <f ca="1">IF(B53="P-central","centro",0)</f>
        <v>0</v>
      </c>
      <c r="I53" s="2011"/>
      <c r="J53" s="2012"/>
      <c r="K53" s="2013">
        <v>0</v>
      </c>
      <c r="L53" s="2014"/>
      <c r="M53" s="2015"/>
      <c r="N53" s="2019">
        <f ca="1">LAJES!DB151</f>
        <v>0</v>
      </c>
      <c r="O53" s="2020"/>
      <c r="P53" s="2021">
        <f>LAJES!CC110</f>
        <v>0</v>
      </c>
      <c r="Q53" s="2010">
        <f ca="1">IF(B53=0,0,LAJES!$BW$1)</f>
        <v>0</v>
      </c>
      <c r="R53" s="2012"/>
      <c r="S53" s="2016">
        <f ca="1">IF(LAJES!CV151+LAJES!CW151&gt;0,"+"&amp;LAJES!CV151+LAJES!CW151+LAJES!$BW$1,LAJES!CV151+LAJES!CW151+LAJES!$BW$1)</f>
        <v>0.05</v>
      </c>
      <c r="T53" s="2018"/>
      <c r="U53" s="2016">
        <f ca="1">LAJES!DD151</f>
        <v>0</v>
      </c>
      <c r="V53" s="2017"/>
      <c r="W53" s="2018"/>
      <c r="X53" s="535">
        <f ca="1">LAJES!DG151</f>
        <v>0</v>
      </c>
    </row>
    <row r="54" spans="1:24" x14ac:dyDescent="0.35">
      <c r="A54" s="581">
        <f t="shared" ca="1" si="1"/>
        <v>0</v>
      </c>
      <c r="B54" s="2022">
        <f ca="1">IF(D54=1,"P-central",IF(D54=0,0,"P-2"))</f>
        <v>0</v>
      </c>
      <c r="C54" s="2022"/>
      <c r="D54" s="2008">
        <f ca="1">IF(LAJES!$E$3=0,0,IF(LAJES!CP152&gt;0,LAJES!CP152,0))</f>
        <v>0</v>
      </c>
      <c r="E54" s="2009"/>
      <c r="F54" s="2008">
        <f ca="1">D54*LAJES!$E$3</f>
        <v>0</v>
      </c>
      <c r="G54" s="2009"/>
      <c r="H54" s="2010">
        <f ca="1">IF(B54="P-central","centro",LAJES!CR152)</f>
        <v>0</v>
      </c>
      <c r="I54" s="2011"/>
      <c r="J54" s="2012"/>
      <c r="K54" s="2013">
        <f ca="1">IF(B54=0,0,LAJES!CS152)</f>
        <v>0</v>
      </c>
      <c r="L54" s="2014"/>
      <c r="M54" s="2015"/>
      <c r="N54" s="2019">
        <f ca="1">LAJES!DA152</f>
        <v>0</v>
      </c>
      <c r="O54" s="2020"/>
      <c r="P54" s="2021">
        <f>LAJES!CC111</f>
        <v>0</v>
      </c>
      <c r="Q54" s="2010">
        <f ca="1">IF(B54=0,0,LAJES!$BW$1)</f>
        <v>0</v>
      </c>
      <c r="R54" s="2012"/>
      <c r="S54" s="2016">
        <f ca="1">IF(LAJES!CT152+LAJES!CU152&gt;0,"+"&amp;LAJES!CT152+LAJES!CU152+LAJES!$BW$1,LAJES!CT152+LAJES!CU152+LAJES!$BW$1)</f>
        <v>0.05</v>
      </c>
      <c r="T54" s="2018"/>
      <c r="U54" s="2016">
        <f ca="1">LAJES!DC152</f>
        <v>0</v>
      </c>
      <c r="V54" s="2017"/>
      <c r="W54" s="2018"/>
      <c r="X54" s="535">
        <f ca="1">LAJES!DF152</f>
        <v>0</v>
      </c>
    </row>
    <row r="55" spans="1:24" hidden="1" x14ac:dyDescent="0.35">
      <c r="A55" s="581">
        <f t="shared" ca="1" si="1"/>
        <v>0</v>
      </c>
      <c r="B55" s="2022">
        <f ca="1">IF(D55=1,"P-central",IF(D55=0,0,"P-2"))</f>
        <v>0</v>
      </c>
      <c r="C55" s="2022"/>
      <c r="D55" s="2008">
        <f ca="1">IF(LAJES!$E$3=0,0,IF(AND(LAJES!CP153=0,LAJES!CQ152=1),LAJES!CQ152,0))</f>
        <v>0</v>
      </c>
      <c r="E55" s="2009"/>
      <c r="F55" s="2008">
        <f ca="1">D55*LAJES!$E$3</f>
        <v>0</v>
      </c>
      <c r="G55" s="2009"/>
      <c r="H55" s="2010">
        <f ca="1">IF(B55="P-central","centro",0)</f>
        <v>0</v>
      </c>
      <c r="I55" s="2011"/>
      <c r="J55" s="2012"/>
      <c r="K55" s="2013">
        <v>0</v>
      </c>
      <c r="L55" s="2014"/>
      <c r="M55" s="2015"/>
      <c r="N55" s="2019">
        <f ca="1">LAJES!DB152</f>
        <v>0</v>
      </c>
      <c r="O55" s="2020"/>
      <c r="P55" s="2021">
        <f>LAJES!CC112</f>
        <v>0</v>
      </c>
      <c r="Q55" s="2010">
        <f ca="1">IF(B55=0,0,LAJES!$BW$1)</f>
        <v>0</v>
      </c>
      <c r="R55" s="2012"/>
      <c r="S55" s="2016">
        <f ca="1">IF(LAJES!CV152+LAJES!CW152&gt;0,"+"&amp;LAJES!CV152+LAJES!CW152+LAJES!$BW$1,LAJES!CV152+LAJES!CW152+LAJES!$BW$1)</f>
        <v>0.05</v>
      </c>
      <c r="T55" s="2018"/>
      <c r="U55" s="2016">
        <f ca="1">LAJES!DD152</f>
        <v>0</v>
      </c>
      <c r="V55" s="2017"/>
      <c r="W55" s="2018"/>
      <c r="X55" s="535">
        <f ca="1">LAJES!DG152</f>
        <v>0</v>
      </c>
    </row>
    <row r="56" spans="1:24" hidden="1" x14ac:dyDescent="0.35">
      <c r="A56" s="581">
        <f t="shared" ca="1" si="1"/>
        <v>0</v>
      </c>
      <c r="B56" s="2022">
        <f ca="1">IF(D56=1,"P-central",IF(D56=0,0,"P-3"))</f>
        <v>0</v>
      </c>
      <c r="C56" s="2022"/>
      <c r="D56" s="2008">
        <f ca="1">IF(LAJES!$E$3=0,0,IF(LAJES!CP153&gt;0,LAJES!CP153,0))</f>
        <v>0</v>
      </c>
      <c r="E56" s="2009"/>
      <c r="F56" s="2008">
        <f ca="1">D56*LAJES!$E$3</f>
        <v>0</v>
      </c>
      <c r="G56" s="2009"/>
      <c r="H56" s="2010">
        <f ca="1">IF(B56="P-central","centro",LAJES!CR153)</f>
        <v>0</v>
      </c>
      <c r="I56" s="2011"/>
      <c r="J56" s="2012"/>
      <c r="K56" s="2013">
        <f ca="1">IF(B56=0,0,LAJES!CS153)</f>
        <v>0</v>
      </c>
      <c r="L56" s="2014"/>
      <c r="M56" s="2015"/>
      <c r="N56" s="2019">
        <f ca="1">LAJES!DA153</f>
        <v>0</v>
      </c>
      <c r="O56" s="2020"/>
      <c r="P56" s="2021">
        <f>LAJES!CC113</f>
        <v>0</v>
      </c>
      <c r="Q56" s="2010">
        <f ca="1">IF(B56=0,0,LAJES!$BW$1)</f>
        <v>0</v>
      </c>
      <c r="R56" s="2012"/>
      <c r="S56" s="2016">
        <f ca="1">IF(LAJES!CT153+LAJES!CU153&gt;0,"+"&amp;LAJES!CT153+LAJES!CU153+LAJES!$BW$1,LAJES!CT153+LAJES!CU153+LAJES!$BW$1)</f>
        <v>0.05</v>
      </c>
      <c r="T56" s="2018"/>
      <c r="U56" s="2016">
        <f ca="1">LAJES!DC153</f>
        <v>0</v>
      </c>
      <c r="V56" s="2017"/>
      <c r="W56" s="2018"/>
      <c r="X56" s="535">
        <f ca="1">LAJES!DF153</f>
        <v>0</v>
      </c>
    </row>
    <row r="57" spans="1:24" hidden="1" x14ac:dyDescent="0.35">
      <c r="A57" s="581">
        <f t="shared" ca="1" si="1"/>
        <v>0</v>
      </c>
      <c r="B57" s="2022">
        <f ca="1">IF(D57=1,"P-central",IF(D57=0,0,"P-3"))</f>
        <v>0</v>
      </c>
      <c r="C57" s="2022"/>
      <c r="D57" s="2008">
        <f ca="1">IF(LAJES!$E$3=0,0,IF(AND(LAJES!CP154=0,LAJES!CQ153=1),LAJES!CQ153,0))</f>
        <v>0</v>
      </c>
      <c r="E57" s="2009"/>
      <c r="F57" s="2008">
        <f ca="1">D57*LAJES!$E$3</f>
        <v>0</v>
      </c>
      <c r="G57" s="2009"/>
      <c r="H57" s="2010">
        <f ca="1">IF(B57="P-central","centro",0)</f>
        <v>0</v>
      </c>
      <c r="I57" s="2011"/>
      <c r="J57" s="2012"/>
      <c r="K57" s="2013">
        <v>0</v>
      </c>
      <c r="L57" s="2014"/>
      <c r="M57" s="2015"/>
      <c r="N57" s="2019">
        <f ca="1">LAJES!DB153</f>
        <v>0</v>
      </c>
      <c r="O57" s="2020"/>
      <c r="P57" s="2021">
        <f>LAJES!CC114</f>
        <v>0</v>
      </c>
      <c r="Q57" s="2010">
        <f ca="1">IF(B57=0,0,LAJES!$BW$1)</f>
        <v>0</v>
      </c>
      <c r="R57" s="2012"/>
      <c r="S57" s="2016">
        <f ca="1">IF(LAJES!CV153+LAJES!CW153&gt;0,"+"&amp;LAJES!CV153+LAJES!CW153+LAJES!$BW$1,LAJES!CV153+LAJES!CW153+LAJES!$BW$1)</f>
        <v>0.05</v>
      </c>
      <c r="T57" s="2018"/>
      <c r="U57" s="2016">
        <f ca="1">LAJES!DD153</f>
        <v>0</v>
      </c>
      <c r="V57" s="2017"/>
      <c r="W57" s="2018"/>
      <c r="X57" s="535">
        <f ca="1">LAJES!DG153</f>
        <v>0</v>
      </c>
    </row>
    <row r="58" spans="1:24" hidden="1" x14ac:dyDescent="0.35">
      <c r="A58" s="581">
        <f t="shared" ca="1" si="1"/>
        <v>0</v>
      </c>
      <c r="B58" s="2022">
        <f ca="1">IF(D58=1,"P-central",IF(D58=0,0,"P-4"))</f>
        <v>0</v>
      </c>
      <c r="C58" s="2022"/>
      <c r="D58" s="2008">
        <f ca="1">IF(LAJES!$E$3=0,0,IF(LAJES!CP154&gt;0,LAJES!CP154,0))</f>
        <v>0</v>
      </c>
      <c r="E58" s="2009"/>
      <c r="F58" s="2008">
        <f ca="1">D58*LAJES!$E$3</f>
        <v>0</v>
      </c>
      <c r="G58" s="2009"/>
      <c r="H58" s="2010">
        <f ca="1">IF(B58="P-central","centro",LAJES!CR154)</f>
        <v>0</v>
      </c>
      <c r="I58" s="2011"/>
      <c r="J58" s="2012"/>
      <c r="K58" s="2013">
        <f ca="1">IF(B58=0,0,LAJES!CS154)</f>
        <v>0</v>
      </c>
      <c r="L58" s="2014"/>
      <c r="M58" s="2015"/>
      <c r="N58" s="2019">
        <f ca="1">LAJES!DA154</f>
        <v>0</v>
      </c>
      <c r="O58" s="2020"/>
      <c r="P58" s="2021">
        <f>LAJES!CC115</f>
        <v>0</v>
      </c>
      <c r="Q58" s="2010">
        <f ca="1">IF(B58=0,0,LAJES!$BW$1)</f>
        <v>0</v>
      </c>
      <c r="R58" s="2012"/>
      <c r="S58" s="2016">
        <f ca="1">IF(LAJES!CT154+LAJES!CU154&gt;0,"+"&amp;LAJES!CT154+LAJES!CU154+LAJES!$BW$1,LAJES!CT154+LAJES!CU154+LAJES!$BW$1)</f>
        <v>0.05</v>
      </c>
      <c r="T58" s="2018"/>
      <c r="U58" s="2016">
        <f ca="1">LAJES!DC154</f>
        <v>0</v>
      </c>
      <c r="V58" s="2017"/>
      <c r="W58" s="2018"/>
      <c r="X58" s="535">
        <f ca="1">LAJES!DF154</f>
        <v>0</v>
      </c>
    </row>
    <row r="59" spans="1:24" hidden="1" x14ac:dyDescent="0.35">
      <c r="A59" s="581">
        <f t="shared" ca="1" si="1"/>
        <v>0</v>
      </c>
      <c r="B59" s="2022">
        <f ca="1">IF(D59=1,"P-central",IF(D59=0,0,"P-4"))</f>
        <v>0</v>
      </c>
      <c r="C59" s="2022"/>
      <c r="D59" s="2008">
        <f ca="1">IF(LAJES!$E$3=0,0,IF(AND(LAJES!CP155=0,LAJES!CQ154=1),LAJES!CQ154,0))</f>
        <v>0</v>
      </c>
      <c r="E59" s="2009"/>
      <c r="F59" s="2008">
        <f ca="1">D59*LAJES!$E$3</f>
        <v>0</v>
      </c>
      <c r="G59" s="2009"/>
      <c r="H59" s="2010">
        <f ca="1">IF(B59="P-central","centro",0)</f>
        <v>0</v>
      </c>
      <c r="I59" s="2011"/>
      <c r="J59" s="2012"/>
      <c r="K59" s="2013">
        <v>0</v>
      </c>
      <c r="L59" s="2014"/>
      <c r="M59" s="2015"/>
      <c r="N59" s="2019">
        <f ca="1">LAJES!DB154</f>
        <v>0</v>
      </c>
      <c r="O59" s="2020"/>
      <c r="P59" s="2021">
        <f>LAJES!CC116</f>
        <v>0</v>
      </c>
      <c r="Q59" s="2010">
        <f ca="1">IF(B59=0,0,LAJES!$BW$1)</f>
        <v>0</v>
      </c>
      <c r="R59" s="2012"/>
      <c r="S59" s="2033">
        <f ca="1">IF(LAJES!CV154+LAJES!CW154&gt;0,"+"&amp;LAJES!CV154+LAJES!CW154+LAJES!$BW$1,LAJES!CV154+LAJES!CW154+LAJES!$BW$1)</f>
        <v>0.05</v>
      </c>
      <c r="T59" s="2034"/>
      <c r="U59" s="2016">
        <f ca="1">LAJES!DD154</f>
        <v>0</v>
      </c>
      <c r="V59" s="2017"/>
      <c r="W59" s="2018"/>
      <c r="X59" s="535">
        <f ca="1">LAJES!DG154</f>
        <v>0</v>
      </c>
    </row>
    <row r="60" spans="1:24" hidden="1" x14ac:dyDescent="0.35">
      <c r="A60" s="581">
        <f t="shared" ca="1" si="1"/>
        <v>0</v>
      </c>
      <c r="B60" s="2022">
        <f ca="1">IF(D60=1,"P-central",IF(D60=0,0,"P-5"))</f>
        <v>0</v>
      </c>
      <c r="C60" s="2022"/>
      <c r="D60" s="2008">
        <f ca="1">IF(LAJES!$E$3=0,0,IF(LAJES!CP155&gt;0,LAJES!CP155,0))</f>
        <v>0</v>
      </c>
      <c r="E60" s="2009"/>
      <c r="F60" s="2008">
        <f ca="1">D60*LAJES!$E$3</f>
        <v>0</v>
      </c>
      <c r="G60" s="2009"/>
      <c r="H60" s="2010">
        <f ca="1">IF(B60="P-central","centro",LAJES!CR155)</f>
        <v>0</v>
      </c>
      <c r="I60" s="2011"/>
      <c r="J60" s="2012"/>
      <c r="K60" s="2013">
        <f ca="1">IF(B60=0,0,LAJES!CS155)</f>
        <v>0</v>
      </c>
      <c r="L60" s="2014"/>
      <c r="M60" s="2015"/>
      <c r="N60" s="2019">
        <f ca="1">LAJES!DA155</f>
        <v>0</v>
      </c>
      <c r="O60" s="2020"/>
      <c r="P60" s="2021">
        <f>LAJES!CC117</f>
        <v>0</v>
      </c>
      <c r="Q60" s="2010">
        <f ca="1">IF(B60=0,0,LAJES!$BW$1)</f>
        <v>0</v>
      </c>
      <c r="R60" s="2012"/>
      <c r="S60" s="2030">
        <f ca="1">IF(LAJES!CT155+LAJES!CU155&gt;0,"+"&amp;LAJES!CT155+LAJES!CU155+LAJES!$BW$1,LAJES!CT155+LAJES!CU155+LAJES!$BW$1)</f>
        <v>0.05</v>
      </c>
      <c r="T60" s="2031"/>
      <c r="U60" s="2016">
        <f ca="1">LAJES!DC155</f>
        <v>0</v>
      </c>
      <c r="V60" s="2017"/>
      <c r="W60" s="2018"/>
      <c r="X60" s="535">
        <f ca="1">LAJES!DF155</f>
        <v>0</v>
      </c>
    </row>
    <row r="61" spans="1:24" hidden="1" x14ac:dyDescent="0.35">
      <c r="A61" s="581">
        <f t="shared" ca="1" si="1"/>
        <v>0</v>
      </c>
      <c r="B61" s="2022">
        <f ca="1">IF(D61=1,"P-central",IF(D61=0,0,"P-5"))</f>
        <v>0</v>
      </c>
      <c r="C61" s="2022"/>
      <c r="D61" s="2008">
        <f ca="1">IF(LAJES!$E$3=0,0,IF(AND(LAJES!CP156=0,LAJES!CQ155=1),LAJES!CQ155,0))</f>
        <v>0</v>
      </c>
      <c r="E61" s="2009"/>
      <c r="F61" s="2008">
        <f ca="1">D61*LAJES!$E$3</f>
        <v>0</v>
      </c>
      <c r="G61" s="2009"/>
      <c r="H61" s="2010">
        <f ca="1">IF(B61="P-central","centro",0)</f>
        <v>0</v>
      </c>
      <c r="I61" s="2011"/>
      <c r="J61" s="2012"/>
      <c r="K61" s="2013">
        <v>0</v>
      </c>
      <c r="L61" s="2014"/>
      <c r="M61" s="2015"/>
      <c r="N61" s="2019">
        <f ca="1">LAJES!DB155</f>
        <v>0</v>
      </c>
      <c r="O61" s="2020"/>
      <c r="P61" s="2021">
        <f>LAJES!CC118</f>
        <v>0</v>
      </c>
      <c r="Q61" s="2010">
        <f ca="1">IF(B61=0,0,LAJES!$BW$1)</f>
        <v>0</v>
      </c>
      <c r="R61" s="2012"/>
      <c r="S61" s="2030">
        <f ca="1">IF(LAJES!CV155+LAJES!CW155&gt;0,"+"&amp;LAJES!CV155+LAJES!CW155+LAJES!$BW$1,LAJES!CV155+LAJES!CW155+LAJES!$BW$1)</f>
        <v>0.05</v>
      </c>
      <c r="T61" s="2031"/>
      <c r="U61" s="2016">
        <f ca="1">LAJES!DD155</f>
        <v>0</v>
      </c>
      <c r="V61" s="2017"/>
      <c r="W61" s="2018"/>
      <c r="X61" s="535">
        <f ca="1">LAJES!DG155</f>
        <v>0</v>
      </c>
    </row>
    <row r="62" spans="1:24" hidden="1" x14ac:dyDescent="0.35">
      <c r="A62" s="581">
        <f t="shared" ca="1" si="1"/>
        <v>0</v>
      </c>
      <c r="B62" s="2022">
        <f ca="1">IF(D62=1,"P-central",IF(D62=0,0,"P-6"))</f>
        <v>0</v>
      </c>
      <c r="C62" s="2022"/>
      <c r="D62" s="2008">
        <f ca="1">IF(LAJES!$E$3=0,0,IF(LAJES!CP156&gt;0,LAJES!CP156,0))</f>
        <v>0</v>
      </c>
      <c r="E62" s="2009"/>
      <c r="F62" s="2008">
        <f ca="1">D62*LAJES!$E$3</f>
        <v>0</v>
      </c>
      <c r="G62" s="2009"/>
      <c r="H62" s="2010">
        <f ca="1">IF(B62="P-central","centro",LAJES!CR156)</f>
        <v>0</v>
      </c>
      <c r="I62" s="2011"/>
      <c r="J62" s="2012"/>
      <c r="K62" s="2013">
        <f ca="1">IF(B62=0,0,LAJES!CS156)</f>
        <v>0</v>
      </c>
      <c r="L62" s="2014"/>
      <c r="M62" s="2015"/>
      <c r="N62" s="2019">
        <f ca="1">LAJES!DA156</f>
        <v>0</v>
      </c>
      <c r="O62" s="2020"/>
      <c r="P62" s="2021">
        <f>LAJES!CC119</f>
        <v>0</v>
      </c>
      <c r="Q62" s="2010">
        <f ca="1">IF(B62=0,0,LAJES!$BW$1)</f>
        <v>0</v>
      </c>
      <c r="R62" s="2012"/>
      <c r="S62" s="2030">
        <f ca="1">IF(LAJES!CT156+LAJES!CU156&gt;0,"+"&amp;LAJES!CT156+LAJES!CU156+LAJES!$BW$1,LAJES!CT156+LAJES!CU156+LAJES!$BW$1)</f>
        <v>0.05</v>
      </c>
      <c r="T62" s="2031"/>
      <c r="U62" s="2016">
        <f ca="1">LAJES!DC156</f>
        <v>0</v>
      </c>
      <c r="V62" s="2017"/>
      <c r="W62" s="2018"/>
      <c r="X62" s="535">
        <f ca="1">LAJES!DF156</f>
        <v>0</v>
      </c>
    </row>
    <row r="63" spans="1:24" hidden="1" x14ac:dyDescent="0.35">
      <c r="A63" s="581">
        <f t="shared" ca="1" si="1"/>
        <v>0</v>
      </c>
      <c r="B63" s="2022">
        <f ca="1">IF(D63=1,"P-central",IF(D63=0,0,"P-6"))</f>
        <v>0</v>
      </c>
      <c r="C63" s="2022"/>
      <c r="D63" s="2008">
        <f ca="1">IF(LAJES!$E$3=0,0,IF(AND(LAJES!CP157=0,LAJES!CQ156=1),LAJES!CQ156,0))</f>
        <v>0</v>
      </c>
      <c r="E63" s="2009"/>
      <c r="F63" s="2008">
        <f ca="1">D63*LAJES!$E$3</f>
        <v>0</v>
      </c>
      <c r="G63" s="2009"/>
      <c r="H63" s="2010">
        <f ca="1">IF(B63="P-central","centro",0)</f>
        <v>0</v>
      </c>
      <c r="I63" s="2011"/>
      <c r="J63" s="2012"/>
      <c r="K63" s="2013">
        <v>0</v>
      </c>
      <c r="L63" s="2014"/>
      <c r="M63" s="2015"/>
      <c r="N63" s="2019">
        <f ca="1">LAJES!DB156</f>
        <v>0</v>
      </c>
      <c r="O63" s="2020"/>
      <c r="P63" s="2021">
        <f>LAJES!CC120</f>
        <v>0</v>
      </c>
      <c r="Q63" s="2010">
        <f ca="1">IF(B63=0,0,LAJES!$BW$1)</f>
        <v>0</v>
      </c>
      <c r="R63" s="2012"/>
      <c r="S63" s="2030">
        <f ca="1">IF(LAJES!CV156+LAJES!CW156&gt;0,"+"&amp;LAJES!CV156+LAJES!CW156+LAJES!$BW$1,LAJES!CV156+LAJES!CW156+LAJES!$BW$1)</f>
        <v>0.05</v>
      </c>
      <c r="T63" s="2031"/>
      <c r="U63" s="2016">
        <f ca="1">LAJES!DD156</f>
        <v>0</v>
      </c>
      <c r="V63" s="2017"/>
      <c r="W63" s="2018"/>
      <c r="X63" s="535">
        <f ca="1">LAJES!DG156</f>
        <v>0</v>
      </c>
    </row>
    <row r="64" spans="1:24" hidden="1" x14ac:dyDescent="0.35">
      <c r="A64" s="581">
        <f t="shared" ca="1" si="1"/>
        <v>0</v>
      </c>
      <c r="B64" s="2022">
        <f ca="1">IF(D64=1,"P-central",IF(D64=0,0,"P-7"))</f>
        <v>0</v>
      </c>
      <c r="C64" s="2022"/>
      <c r="D64" s="2008">
        <f ca="1">IF(LAJES!$E$3=0,0,IF(LAJES!CP157&gt;0,LAJES!CP157,0))</f>
        <v>0</v>
      </c>
      <c r="E64" s="2009"/>
      <c r="F64" s="2008">
        <f ca="1">D64*LAJES!$E$3</f>
        <v>0</v>
      </c>
      <c r="G64" s="2009"/>
      <c r="H64" s="2010">
        <f ca="1">IF(B64="P-central","centro",LAJES!CR157)</f>
        <v>0</v>
      </c>
      <c r="I64" s="2011"/>
      <c r="J64" s="2012"/>
      <c r="K64" s="2013">
        <f ca="1">IF(B64=0,0,LAJES!CS157)</f>
        <v>0</v>
      </c>
      <c r="L64" s="2014"/>
      <c r="M64" s="2015"/>
      <c r="N64" s="2019">
        <f ca="1">LAJES!DA157</f>
        <v>0</v>
      </c>
      <c r="O64" s="2020"/>
      <c r="P64" s="2021">
        <f>LAJES!CC121</f>
        <v>0</v>
      </c>
      <c r="Q64" s="2010">
        <f ca="1">IF(B64=0,0,LAJES!$BW$1)</f>
        <v>0</v>
      </c>
      <c r="R64" s="2012"/>
      <c r="S64" s="2030">
        <f ca="1">IF(LAJES!CT157+LAJES!CU157&gt;0,"+"&amp;LAJES!CT157+LAJES!CU157+LAJES!$BW$1,LAJES!CT157+LAJES!CU157+LAJES!$BW$1)</f>
        <v>0.05</v>
      </c>
      <c r="T64" s="2031"/>
      <c r="U64" s="2016">
        <f ca="1">LAJES!DC157</f>
        <v>0</v>
      </c>
      <c r="V64" s="2017"/>
      <c r="W64" s="2018"/>
      <c r="X64" s="535">
        <f ca="1">LAJES!DF157</f>
        <v>0</v>
      </c>
    </row>
    <row r="65" spans="1:24" hidden="1" x14ac:dyDescent="0.35">
      <c r="A65" s="581">
        <f t="shared" ca="1" si="1"/>
        <v>0</v>
      </c>
      <c r="B65" s="2022">
        <f ca="1">IF(D65=1,"P-central",IF(D65=0,0,"P-7"))</f>
        <v>0</v>
      </c>
      <c r="C65" s="2022"/>
      <c r="D65" s="2008">
        <f ca="1">IF(LAJES!$E$3=0,0,IF(AND(LAJES!CP158=0,LAJES!CQ157=1),LAJES!CQ157,0))</f>
        <v>0</v>
      </c>
      <c r="E65" s="2009"/>
      <c r="F65" s="2008">
        <f ca="1">D65*LAJES!$E$3</f>
        <v>0</v>
      </c>
      <c r="G65" s="2009"/>
      <c r="H65" s="2010">
        <f ca="1">IF(B65="P-central","centro",0)</f>
        <v>0</v>
      </c>
      <c r="I65" s="2011"/>
      <c r="J65" s="2012"/>
      <c r="K65" s="2013">
        <v>0</v>
      </c>
      <c r="L65" s="2014"/>
      <c r="M65" s="2015"/>
      <c r="N65" s="2019">
        <f ca="1">LAJES!DB157</f>
        <v>0</v>
      </c>
      <c r="O65" s="2020"/>
      <c r="P65" s="2021">
        <f>LAJES!CC122</f>
        <v>0</v>
      </c>
      <c r="Q65" s="2010">
        <f ca="1">IF(B65=0,0,LAJES!$BW$1)</f>
        <v>0</v>
      </c>
      <c r="R65" s="2012"/>
      <c r="S65" s="2030">
        <f ca="1">IF(LAJES!CV157+LAJES!CW157&gt;0,"+"&amp;LAJES!CV157+LAJES!CW157+LAJES!$BW$1,LAJES!CV157+LAJES!CW157+LAJES!$BW$1)</f>
        <v>0.05</v>
      </c>
      <c r="T65" s="2031"/>
      <c r="U65" s="2016">
        <f ca="1">LAJES!DD157</f>
        <v>0</v>
      </c>
      <c r="V65" s="2017"/>
      <c r="W65" s="2018"/>
      <c r="X65" s="535">
        <f ca="1">LAJES!DG157</f>
        <v>0</v>
      </c>
    </row>
    <row r="66" spans="1:24" hidden="1" x14ac:dyDescent="0.35">
      <c r="A66" s="581">
        <f t="shared" ca="1" si="1"/>
        <v>0</v>
      </c>
      <c r="B66" s="2022">
        <f ca="1">IF(D66=1,"P-central",IF(D66=0,0,"P-8"))</f>
        <v>0</v>
      </c>
      <c r="C66" s="2022"/>
      <c r="D66" s="2008">
        <f ca="1">IF(LAJES!$E$3=0,0,IF(LAJES!CP158&gt;0,LAJES!CP158,0))</f>
        <v>0</v>
      </c>
      <c r="E66" s="2009"/>
      <c r="F66" s="2008">
        <f ca="1">D66*LAJES!$E$3</f>
        <v>0</v>
      </c>
      <c r="G66" s="2009"/>
      <c r="H66" s="2010">
        <f ca="1">IF(B66="P-central","centro",LAJES!CR165)</f>
        <v>0</v>
      </c>
      <c r="I66" s="2011"/>
      <c r="J66" s="2012"/>
      <c r="K66" s="2013">
        <f ca="1">IF(B66=0,0,LAJES!CS158)</f>
        <v>0</v>
      </c>
      <c r="L66" s="2014"/>
      <c r="M66" s="2015"/>
      <c r="N66" s="2019">
        <f ca="1">LAJES!DA158</f>
        <v>0</v>
      </c>
      <c r="O66" s="2020"/>
      <c r="P66" s="2021">
        <f>LAJES!CC123</f>
        <v>0</v>
      </c>
      <c r="Q66" s="2010">
        <f ca="1">IF(B66=0,0,LAJES!$BW$1)</f>
        <v>0</v>
      </c>
      <c r="R66" s="2012"/>
      <c r="S66" s="2030">
        <f ca="1">IF(LAJES!CT158+LAJES!CU158&gt;0,"+"&amp;LAJES!CT158+LAJES!CU158+LAJES!$BW$1,LAJES!CT158+LAJES!CU158+LAJES!$BW$1)</f>
        <v>0.05</v>
      </c>
      <c r="T66" s="2031"/>
      <c r="U66" s="2016">
        <f ca="1">LAJES!DC158</f>
        <v>0</v>
      </c>
      <c r="V66" s="2017"/>
      <c r="W66" s="2018"/>
      <c r="X66" s="535">
        <f ca="1">LAJES!DF158</f>
        <v>0</v>
      </c>
    </row>
    <row r="67" spans="1:24" hidden="1" x14ac:dyDescent="0.35">
      <c r="B67" s="2022">
        <f ca="1">IF(D67=1,"P-central",IF(D67=0,0,"P-8"))</f>
        <v>0</v>
      </c>
      <c r="C67" s="2022"/>
      <c r="D67" s="2008">
        <f ca="1">IF(LAJES!$E$3=0,0,IF(AND(LAJES!CP159=0,LAJES!CQ158=1),LAJES!CQ158,0))</f>
        <v>0</v>
      </c>
      <c r="E67" s="2009"/>
      <c r="F67" s="2008">
        <f ca="1">D67*LAJES!$E$3</f>
        <v>0</v>
      </c>
      <c r="G67" s="2009"/>
      <c r="H67" s="2010">
        <f ca="1">IF(B67="P-central","centro",0)</f>
        <v>0</v>
      </c>
      <c r="I67" s="2011"/>
      <c r="J67" s="2012"/>
      <c r="K67" s="2013">
        <v>0</v>
      </c>
      <c r="L67" s="2014"/>
      <c r="M67" s="2015"/>
      <c r="N67" s="2019">
        <f ca="1">LAJES!DB158</f>
        <v>0</v>
      </c>
      <c r="O67" s="2020"/>
      <c r="P67" s="2021"/>
      <c r="Q67" s="2010">
        <f ca="1">IF(B67=0,0,LAJES!$BW$1)</f>
        <v>0</v>
      </c>
      <c r="R67" s="2012"/>
      <c r="S67" s="2016">
        <f ca="1">IF(LAJES!CV158+LAJES!CW158&gt;0,"+"&amp;LAJES!CV158+LAJES!CW158+LAJES!$BW$1,LAJES!CV158+LAJES!CW158+LAJES!$BW$1)</f>
        <v>0.05</v>
      </c>
      <c r="T67" s="2018"/>
      <c r="U67" s="2016">
        <f ca="1">LAJES!DD158</f>
        <v>0</v>
      </c>
      <c r="V67" s="2017"/>
      <c r="W67" s="2018"/>
      <c r="X67" s="535">
        <f ca="1">LAJES!DG158</f>
        <v>0</v>
      </c>
    </row>
    <row r="68" spans="1:24" hidden="1" x14ac:dyDescent="0.35">
      <c r="B68" s="2022">
        <f ca="1">IF(D68=1,"P-central",IF(D68=0,0,"P-9"))</f>
        <v>0</v>
      </c>
      <c r="C68" s="2022"/>
      <c r="D68" s="2008">
        <f ca="1">IF(LAJES!$E$3=0,0,IF(LAJES!CP159&gt;0,LAJES!CP159,0))</f>
        <v>0</v>
      </c>
      <c r="E68" s="2009"/>
      <c r="F68" s="2008">
        <f ca="1">D68*LAJES!$E$3</f>
        <v>0</v>
      </c>
      <c r="G68" s="2009"/>
      <c r="H68" s="2010">
        <f ca="1">IF(B68="P-central","centro",LAJES!CR167)</f>
        <v>0</v>
      </c>
      <c r="I68" s="2011"/>
      <c r="J68" s="2012"/>
      <c r="K68" s="2013">
        <f ca="1">IF(B68=0,0,LAJES!CS159)</f>
        <v>0</v>
      </c>
      <c r="L68" s="2014"/>
      <c r="M68" s="2015"/>
      <c r="N68" s="2019">
        <f ca="1">LAJES!DA159</f>
        <v>0</v>
      </c>
      <c r="O68" s="2020"/>
      <c r="P68" s="2021"/>
      <c r="Q68" s="2010">
        <f ca="1">IF(B68=0,0,LAJES!$BW$1)</f>
        <v>0</v>
      </c>
      <c r="R68" s="2012"/>
      <c r="S68" s="2016">
        <f ca="1">IF(LAJES!CT159+LAJES!CU159&gt;0,"+"&amp;LAJES!CT159+LAJES!CU159+LAJES!$BW$1,LAJES!CT159+LAJES!CU159+LAJES!$BW$1)</f>
        <v>0.05</v>
      </c>
      <c r="T68" s="2018"/>
      <c r="U68" s="2016">
        <f ca="1">LAJES!DC159</f>
        <v>0</v>
      </c>
      <c r="V68" s="2017"/>
      <c r="W68" s="2018"/>
      <c r="X68" s="535">
        <f ca="1">LAJES!DF159</f>
        <v>0</v>
      </c>
    </row>
    <row r="69" spans="1:24" hidden="1" x14ac:dyDescent="0.35">
      <c r="B69" s="2022">
        <f ca="1">IF(D69=1,"P-central",IF(D69=0,0,"P-9"))</f>
        <v>0</v>
      </c>
      <c r="C69" s="2022"/>
      <c r="D69" s="2008">
        <f ca="1">IF(LAJES!$E$3=0,0,IF(AND(LAJES!CP160=0,LAJES!CQ159=1),LAJES!CQ159,0))</f>
        <v>0</v>
      </c>
      <c r="E69" s="2009"/>
      <c r="F69" s="2008">
        <f ca="1">D69*LAJES!$E$3</f>
        <v>0</v>
      </c>
      <c r="G69" s="2009"/>
      <c r="H69" s="2010">
        <f ca="1">IF(B69="P-central","centro",0)</f>
        <v>0</v>
      </c>
      <c r="I69" s="2011"/>
      <c r="J69" s="2012"/>
      <c r="K69" s="2013">
        <v>0</v>
      </c>
      <c r="L69" s="2014"/>
      <c r="M69" s="2015"/>
      <c r="N69" s="2019">
        <f ca="1">LAJES!DB159</f>
        <v>0</v>
      </c>
      <c r="O69" s="2020"/>
      <c r="P69" s="2021"/>
      <c r="Q69" s="2010">
        <f ca="1">IF(B69=0,0,LAJES!$BW$1)</f>
        <v>0</v>
      </c>
      <c r="R69" s="2012"/>
      <c r="S69" s="2016">
        <f ca="1">IF(LAJES!CV159+LAJES!CW159&gt;0,"+"&amp;LAJES!CV159+LAJES!CW159+LAJES!$BW$1,LAJES!CV159+LAJES!CW159+LAJES!$BW$1)</f>
        <v>0.05</v>
      </c>
      <c r="T69" s="2018"/>
      <c r="U69" s="2016">
        <f ca="1">LAJES!DD159</f>
        <v>0</v>
      </c>
      <c r="V69" s="2017"/>
      <c r="W69" s="2018"/>
      <c r="X69" s="535">
        <f ca="1">LAJES!DG159</f>
        <v>0</v>
      </c>
    </row>
    <row r="70" spans="1:24" hidden="1" x14ac:dyDescent="0.35">
      <c r="B70" s="2022">
        <f ca="1">IF(D70=1,"P-central",IF(D70=0,0,"P-10"))</f>
        <v>0</v>
      </c>
      <c r="C70" s="2022"/>
      <c r="D70" s="2008">
        <f ca="1">IF(LAJES!$E$3=0,0,IF(LAJES!CP160&gt;0,LAJES!CP160,0))</f>
        <v>0</v>
      </c>
      <c r="E70" s="2009"/>
      <c r="F70" s="2008">
        <f ca="1">D70*LAJES!$E$3</f>
        <v>0</v>
      </c>
      <c r="G70" s="2009"/>
      <c r="H70" s="2010">
        <f ca="1">IF(B70="P-central","centro",LAJES!CR169)</f>
        <v>0</v>
      </c>
      <c r="I70" s="2011"/>
      <c r="J70" s="2012"/>
      <c r="K70" s="2013">
        <f ca="1">IF(B70=0,0,LAJES!CS160)</f>
        <v>0</v>
      </c>
      <c r="L70" s="2014"/>
      <c r="M70" s="2015"/>
      <c r="N70" s="2019">
        <f ca="1">LAJES!DA160</f>
        <v>0</v>
      </c>
      <c r="O70" s="2020"/>
      <c r="P70" s="2021"/>
      <c r="Q70" s="2010">
        <f ca="1">IF(B70=0,0,LAJES!$BW$1)</f>
        <v>0</v>
      </c>
      <c r="R70" s="2012"/>
      <c r="S70" s="2016">
        <f ca="1">IF(LAJES!CT160+LAJES!CU160&gt;0,"+"&amp;LAJES!CT160+LAJES!CU160+LAJES!$BW$1,LAJES!CT160+LAJES!CU160+LAJES!$BW$1)</f>
        <v>0.05</v>
      </c>
      <c r="T70" s="2018"/>
      <c r="U70" s="2016">
        <f ca="1">LAJES!DC160</f>
        <v>0</v>
      </c>
      <c r="V70" s="2017"/>
      <c r="W70" s="2018"/>
      <c r="X70" s="535">
        <f ca="1">LAJES!DF160</f>
        <v>0</v>
      </c>
    </row>
    <row r="71" spans="1:24" hidden="1" x14ac:dyDescent="0.35">
      <c r="B71" s="2022">
        <f ca="1">IF(D71=1,"P-central",IF(D71=0,0,"P-10"))</f>
        <v>0</v>
      </c>
      <c r="C71" s="2022"/>
      <c r="D71" s="2008">
        <f ca="1">IF(LAJES!$E$3=0,0,IF(AND(LAJES!CP161=0,LAJES!CQ160=1),LAJES!CQ160,0))</f>
        <v>0</v>
      </c>
      <c r="E71" s="2009"/>
      <c r="F71" s="2008">
        <f ca="1">D71*LAJES!$E$3</f>
        <v>0</v>
      </c>
      <c r="G71" s="2009"/>
      <c r="H71" s="2010">
        <f ca="1">IF(B71="P-central","centro",0)</f>
        <v>0</v>
      </c>
      <c r="I71" s="2011"/>
      <c r="J71" s="2012"/>
      <c r="K71" s="2013">
        <v>0</v>
      </c>
      <c r="L71" s="2014"/>
      <c r="M71" s="2015"/>
      <c r="N71" s="2019">
        <f ca="1">LAJES!DB160</f>
        <v>0</v>
      </c>
      <c r="O71" s="2020"/>
      <c r="P71" s="2021"/>
      <c r="Q71" s="2010">
        <f ca="1">IF(B71=0,0,LAJES!$BW$1)</f>
        <v>0</v>
      </c>
      <c r="R71" s="2012"/>
      <c r="S71" s="2016">
        <f ca="1">IF(LAJES!CV160+LAJES!CW160&gt;0,"+"&amp;LAJES!CV160+LAJES!CW160+LAJES!$BW$1,LAJES!CV160+LAJES!CW160+LAJES!$BW$1)</f>
        <v>0.05</v>
      </c>
      <c r="T71" s="2018"/>
      <c r="U71" s="2016">
        <f ca="1">LAJES!DD160</f>
        <v>0</v>
      </c>
      <c r="V71" s="2017"/>
      <c r="W71" s="2018"/>
      <c r="X71" s="535">
        <f ca="1">LAJES!DG160</f>
        <v>0</v>
      </c>
    </row>
    <row r="72" spans="1:24" hidden="1" x14ac:dyDescent="0.35">
      <c r="B72" s="2022">
        <f ca="1">IF(D72=1,"P-central",IF(D72=0,0,"P-11"))</f>
        <v>0</v>
      </c>
      <c r="C72" s="2022"/>
      <c r="D72" s="2008">
        <f ca="1">IF(LAJES!$E$3=0,0,IF(LAJES!CP161&gt;0,LAJES!CP161,0))</f>
        <v>0</v>
      </c>
      <c r="E72" s="2009"/>
      <c r="F72" s="2008">
        <f ca="1">D72*LAJES!$E$3</f>
        <v>0</v>
      </c>
      <c r="G72" s="2009"/>
      <c r="H72" s="2010">
        <f ca="1">IF(B72="P-central","centro",LAJES!CR171)</f>
        <v>0</v>
      </c>
      <c r="I72" s="2011"/>
      <c r="J72" s="2012"/>
      <c r="K72" s="2013">
        <f ca="1">IF(B72=0,0,LAJES!CS161)</f>
        <v>0</v>
      </c>
      <c r="L72" s="2014"/>
      <c r="M72" s="2015"/>
      <c r="N72" s="2019">
        <f ca="1">LAJES!DA161</f>
        <v>0</v>
      </c>
      <c r="O72" s="2020"/>
      <c r="P72" s="2021"/>
      <c r="Q72" s="2010">
        <f ca="1">IF(B72=0,0,LAJES!$BW$1)</f>
        <v>0</v>
      </c>
      <c r="R72" s="2012"/>
      <c r="S72" s="2016">
        <f ca="1">IF(LAJES!CT161+LAJES!CU161&gt;0,"+"&amp;LAJES!CT161+LAJES!CU161+LAJES!$BW$1,LAJES!CT161+LAJES!CU161+LAJES!$BW$1)</f>
        <v>0.05</v>
      </c>
      <c r="T72" s="2018"/>
      <c r="U72" s="2016">
        <f ca="1">LAJES!DC161</f>
        <v>0</v>
      </c>
      <c r="V72" s="2017"/>
      <c r="W72" s="2018"/>
      <c r="X72" s="535">
        <f ca="1">LAJES!DF161</f>
        <v>0</v>
      </c>
    </row>
    <row r="73" spans="1:24" hidden="1" x14ac:dyDescent="0.35">
      <c r="B73" s="2022">
        <f ca="1">IF(D73=1,"P-central",IF(D73=0,0,"P-11"))</f>
        <v>0</v>
      </c>
      <c r="C73" s="2022"/>
      <c r="D73" s="2008">
        <f ca="1">IF(LAJES!$E$3=0,0,IF(AND(LAJES!CP162=0,LAJES!CQ161=1),LAJES!CQ161,0))</f>
        <v>0</v>
      </c>
      <c r="E73" s="2009"/>
      <c r="F73" s="2008">
        <f ca="1">D73*LAJES!$E$3</f>
        <v>0</v>
      </c>
      <c r="G73" s="2009"/>
      <c r="H73" s="2010">
        <f ca="1">IF(B73="P-central","centro",0)</f>
        <v>0</v>
      </c>
      <c r="I73" s="2011"/>
      <c r="J73" s="2012"/>
      <c r="K73" s="2013">
        <v>0</v>
      </c>
      <c r="L73" s="2014"/>
      <c r="M73" s="2015"/>
      <c r="N73" s="2019">
        <f ca="1">LAJES!DB161</f>
        <v>0</v>
      </c>
      <c r="O73" s="2020"/>
      <c r="P73" s="2021"/>
      <c r="Q73" s="2010">
        <f ca="1">IF(B73=0,0,LAJES!$BW$1)</f>
        <v>0</v>
      </c>
      <c r="R73" s="2012"/>
      <c r="S73" s="2016">
        <f ca="1">IF(LAJES!CV161+LAJES!CW161&gt;0,"+"&amp;LAJES!CV161+LAJES!CW161+LAJES!$BW$1,LAJES!CV161+LAJES!CW161+LAJES!$BW$1)</f>
        <v>0.05</v>
      </c>
      <c r="T73" s="2018"/>
      <c r="U73" s="2016">
        <f ca="1">LAJES!DD161</f>
        <v>0</v>
      </c>
      <c r="V73" s="2017"/>
      <c r="W73" s="2018"/>
      <c r="X73" s="535">
        <f ca="1">LAJES!DG161</f>
        <v>0</v>
      </c>
    </row>
    <row r="74" spans="1:24" hidden="1" x14ac:dyDescent="0.35">
      <c r="B74" s="2022">
        <f ca="1">IF(D74=1,"P-central",IF(D74=0,0,"P-12"))</f>
        <v>0</v>
      </c>
      <c r="C74" s="2022"/>
      <c r="D74" s="2008">
        <f ca="1">IF(LAJES!$E$3=0,0,IF(LAJES!CP162&gt;0,LAJES!CP162,0))</f>
        <v>0</v>
      </c>
      <c r="E74" s="2009"/>
      <c r="F74" s="2008">
        <f ca="1">D74*LAJES!$E$3</f>
        <v>0</v>
      </c>
      <c r="G74" s="2009"/>
      <c r="H74" s="2010">
        <f ca="1">IF(B74="P-central","centro",LAJES!CR173)</f>
        <v>0</v>
      </c>
      <c r="I74" s="2011"/>
      <c r="J74" s="2012"/>
      <c r="K74" s="2013">
        <f ca="1">IF(B74=0,0,LAJES!CS162)</f>
        <v>0</v>
      </c>
      <c r="L74" s="2014"/>
      <c r="M74" s="2015"/>
      <c r="N74" s="2019">
        <f ca="1">LAJES!DA162</f>
        <v>0</v>
      </c>
      <c r="O74" s="2020"/>
      <c r="P74" s="2021"/>
      <c r="Q74" s="2010">
        <f ca="1">IF(B74=0,0,LAJES!$BW$1)</f>
        <v>0</v>
      </c>
      <c r="R74" s="2012"/>
      <c r="S74" s="2016">
        <f ca="1">IF(LAJES!CT162+LAJES!CU162&gt;0,"+"&amp;LAJES!CT162+LAJES!CU162+LAJES!$BW$1,LAJES!CT162+LAJES!CU162+LAJES!$BW$1)</f>
        <v>0.05</v>
      </c>
      <c r="T74" s="2018"/>
      <c r="U74" s="2016">
        <f ca="1">LAJES!DC162</f>
        <v>0</v>
      </c>
      <c r="V74" s="2017"/>
      <c r="W74" s="2018"/>
      <c r="X74" s="535">
        <f ca="1">LAJES!DF162</f>
        <v>0</v>
      </c>
    </row>
    <row r="75" spans="1:24" hidden="1" x14ac:dyDescent="0.35">
      <c r="B75" s="2022">
        <f ca="1">IF(D75=1,"P-central",IF(D75=0,0,"P-12"))</f>
        <v>0</v>
      </c>
      <c r="C75" s="2022"/>
      <c r="D75" s="2008">
        <f ca="1">IF(LAJES!$E$3=0,0,IF(AND(LAJES!CP163=0,LAJES!CQ162=1),LAJES!CQ162,0))</f>
        <v>0</v>
      </c>
      <c r="E75" s="2009"/>
      <c r="F75" s="2008">
        <f ca="1">D75*LAJES!$E$3</f>
        <v>0</v>
      </c>
      <c r="G75" s="2009"/>
      <c r="H75" s="2010">
        <f ca="1">IF(B75="P-central","centro",0)</f>
        <v>0</v>
      </c>
      <c r="I75" s="2011"/>
      <c r="J75" s="2012"/>
      <c r="K75" s="2013">
        <v>0</v>
      </c>
      <c r="L75" s="2014"/>
      <c r="M75" s="2015"/>
      <c r="N75" s="2019">
        <f ca="1">LAJES!DB162</f>
        <v>0</v>
      </c>
      <c r="O75" s="2020"/>
      <c r="P75" s="2021"/>
      <c r="Q75" s="2010">
        <f ca="1">IF(B75=0,0,LAJES!$BW$1)</f>
        <v>0</v>
      </c>
      <c r="R75" s="2012"/>
      <c r="S75" s="2016">
        <f ca="1">IF(LAJES!CV162+LAJES!CW162&gt;0,"+"&amp;LAJES!CV162+LAJES!CW162+LAJES!$BW$1,LAJES!CV162+LAJES!CW162+LAJES!$BW$1)</f>
        <v>0.05</v>
      </c>
      <c r="T75" s="2018"/>
      <c r="U75" s="2016">
        <f ca="1">LAJES!DD162</f>
        <v>0</v>
      </c>
      <c r="V75" s="2017"/>
      <c r="W75" s="2018"/>
      <c r="X75" s="535">
        <f ca="1">LAJES!DG162</f>
        <v>0</v>
      </c>
    </row>
    <row r="76" spans="1:24" hidden="1" x14ac:dyDescent="0.35">
      <c r="B76" s="2022">
        <f ca="1">IF(D76=1,"P-central",IF(D76=0,0,"P-13"))</f>
        <v>0</v>
      </c>
      <c r="C76" s="2022"/>
      <c r="D76" s="2008">
        <f ca="1">IF(LAJES!$E$3=0,0,IF(LAJES!CP163&gt;0,LAJES!CP163,0))</f>
        <v>0</v>
      </c>
      <c r="E76" s="2009"/>
      <c r="F76" s="2008">
        <f ca="1">D76*LAJES!$E$3</f>
        <v>0</v>
      </c>
      <c r="G76" s="2009"/>
      <c r="H76" s="2010">
        <f ca="1">IF(B76="P-central","centro",LAJES!CR175)</f>
        <v>0</v>
      </c>
      <c r="I76" s="2011"/>
      <c r="J76" s="2012"/>
      <c r="K76" s="2013">
        <f ca="1">IF(B76=0,0,LAJES!CS163)</f>
        <v>0</v>
      </c>
      <c r="L76" s="2014"/>
      <c r="M76" s="2015"/>
      <c r="N76" s="2019">
        <f ca="1">LAJES!DA163</f>
        <v>0</v>
      </c>
      <c r="O76" s="2020"/>
      <c r="P76" s="2021"/>
      <c r="Q76" s="2010">
        <f ca="1">IF(B76=0,0,LAJES!$BW$1)</f>
        <v>0</v>
      </c>
      <c r="R76" s="2012"/>
      <c r="S76" s="2016">
        <f ca="1">IF(LAJES!CT163+LAJES!CU163&gt;0,"+"&amp;LAJES!CT163+LAJES!CU163+LAJES!$BW$1,LAJES!CT163+LAJES!CU163+LAJES!$BW$1)</f>
        <v>0.05</v>
      </c>
      <c r="T76" s="2018"/>
      <c r="U76" s="2016">
        <f ca="1">LAJES!DC163</f>
        <v>0</v>
      </c>
      <c r="V76" s="2017"/>
      <c r="W76" s="2018"/>
      <c r="X76" s="535">
        <f ca="1">LAJES!DF163</f>
        <v>0</v>
      </c>
    </row>
    <row r="77" spans="1:24" hidden="1" x14ac:dyDescent="0.35">
      <c r="B77" s="2022">
        <f ca="1">IF(D77=1,"P-central",IF(D77=0,0,"P-13"))</f>
        <v>0</v>
      </c>
      <c r="C77" s="2022"/>
      <c r="D77" s="2008">
        <f ca="1">IF(LAJES!$E$3=0,0,IF(AND(LAJES!CP164=0,LAJES!CQ163=1),LAJES!CQ163,0))</f>
        <v>0</v>
      </c>
      <c r="E77" s="2009"/>
      <c r="F77" s="2008">
        <f ca="1">D77*LAJES!$E$3</f>
        <v>0</v>
      </c>
      <c r="G77" s="2009"/>
      <c r="H77" s="2010">
        <f ca="1">IF(B77="P-central","centro",0)</f>
        <v>0</v>
      </c>
      <c r="I77" s="2011"/>
      <c r="J77" s="2012"/>
      <c r="K77" s="2013">
        <v>0</v>
      </c>
      <c r="L77" s="2014"/>
      <c r="M77" s="2015"/>
      <c r="N77" s="2019">
        <f ca="1">LAJES!DB163</f>
        <v>0</v>
      </c>
      <c r="O77" s="2020"/>
      <c r="P77" s="2021"/>
      <c r="Q77" s="2010">
        <f ca="1">IF(B77=0,0,LAJES!$BW$1)</f>
        <v>0</v>
      </c>
      <c r="R77" s="2012"/>
      <c r="S77" s="2016">
        <f ca="1">IF(LAJES!CV163+LAJES!CW163&gt;0,"+"&amp;LAJES!CV163+LAJES!CW163+LAJES!$BW$1,LAJES!CV163+LAJES!CW163+LAJES!$BW$1)</f>
        <v>0.05</v>
      </c>
      <c r="T77" s="2018"/>
      <c r="U77" s="2016">
        <f ca="1">LAJES!DD163</f>
        <v>0</v>
      </c>
      <c r="V77" s="2017"/>
      <c r="W77" s="2018"/>
      <c r="X77" s="535">
        <f ca="1">LAJES!DG163</f>
        <v>0</v>
      </c>
    </row>
    <row r="78" spans="1:24" hidden="1" x14ac:dyDescent="0.35">
      <c r="B78" s="2022">
        <f ca="1">IF(D78=1,"P-central",IF(D78=0,0,"P-14"))</f>
        <v>0</v>
      </c>
      <c r="C78" s="2022"/>
      <c r="D78" s="2008">
        <f ca="1">IF(LAJES!$E$3=0,0,IF(LAJES!CP164&gt;0,LAJES!CP164,0))</f>
        <v>0</v>
      </c>
      <c r="E78" s="2009"/>
      <c r="F78" s="2008">
        <f ca="1">D78*LAJES!$E$3</f>
        <v>0</v>
      </c>
      <c r="G78" s="2009"/>
      <c r="H78" s="2010">
        <f ca="1">IF(B78="P-central","centro",LAJES!CR177)</f>
        <v>0</v>
      </c>
      <c r="I78" s="2011"/>
      <c r="J78" s="2012"/>
      <c r="K78" s="2013">
        <f ca="1">IF(B78=0,0,LAJES!CS164)</f>
        <v>0</v>
      </c>
      <c r="L78" s="2014"/>
      <c r="M78" s="2015"/>
      <c r="N78" s="2019">
        <f ca="1">LAJES!DA164</f>
        <v>0</v>
      </c>
      <c r="O78" s="2020"/>
      <c r="P78" s="2021"/>
      <c r="Q78" s="2010">
        <f ca="1">IF(B78=0,0,LAJES!$BW$1)</f>
        <v>0</v>
      </c>
      <c r="R78" s="2012"/>
      <c r="S78" s="2016">
        <f ca="1">IF(LAJES!CT164+LAJES!CU164&gt;0,"+"&amp;LAJES!CT164+LAJES!CU164+LAJES!$BW$1,LAJES!CT164+LAJES!CU164+LAJES!$BW$1)</f>
        <v>0.05</v>
      </c>
      <c r="T78" s="2018"/>
      <c r="U78" s="2016">
        <f ca="1">LAJES!DC164</f>
        <v>0</v>
      </c>
      <c r="V78" s="2017"/>
      <c r="W78" s="2018"/>
      <c r="X78" s="535">
        <f ca="1">LAJES!DF164</f>
        <v>0</v>
      </c>
    </row>
    <row r="79" spans="1:24" hidden="1" x14ac:dyDescent="0.35">
      <c r="B79" s="2022">
        <f ca="1">IF(D79=1,"P-central",IF(D79=0,0,"P-14"))</f>
        <v>0</v>
      </c>
      <c r="C79" s="2022"/>
      <c r="D79" s="2008">
        <f ca="1">IF(LAJES!$E$3=0,0,IF(AND(LAJES!CP165=0,LAJES!CQ164=1),LAJES!CQ164,0))</f>
        <v>0</v>
      </c>
      <c r="E79" s="2009"/>
      <c r="F79" s="2008">
        <f ca="1">D79*LAJES!$E$3</f>
        <v>0</v>
      </c>
      <c r="G79" s="2009"/>
      <c r="H79" s="2010">
        <f ca="1">IF(B79="P-central","centro",0)</f>
        <v>0</v>
      </c>
      <c r="I79" s="2011"/>
      <c r="J79" s="2012"/>
      <c r="K79" s="2013">
        <v>0</v>
      </c>
      <c r="L79" s="2014"/>
      <c r="M79" s="2015"/>
      <c r="N79" s="2019">
        <f ca="1">LAJES!DB164</f>
        <v>0</v>
      </c>
      <c r="O79" s="2020"/>
      <c r="P79" s="2021"/>
      <c r="Q79" s="2010">
        <f ca="1">IF(B79=0,0,LAJES!$BW$1)</f>
        <v>0</v>
      </c>
      <c r="R79" s="2012"/>
      <c r="S79" s="2016">
        <f ca="1">IF(LAJES!CV164+LAJES!CW164&gt;0,"+"&amp;LAJES!CV164+LAJES!CW164+LAJES!$BW$1,LAJES!CV164+LAJES!CW164+LAJES!$BW$1)</f>
        <v>0.05</v>
      </c>
      <c r="T79" s="2018"/>
      <c r="U79" s="2016">
        <f ca="1">LAJES!DD164</f>
        <v>0</v>
      </c>
      <c r="V79" s="2017"/>
      <c r="W79" s="2018"/>
      <c r="X79" s="535">
        <f ca="1">LAJES!DG164</f>
        <v>0</v>
      </c>
    </row>
    <row r="80" spans="1:24" hidden="1" x14ac:dyDescent="0.35">
      <c r="B80" s="2022">
        <f ca="1">IF(D80=1,"P-central",IF(D80=0,0,"P-15"))</f>
        <v>0</v>
      </c>
      <c r="C80" s="2022"/>
      <c r="D80" s="2008">
        <f ca="1">IF(LAJES!$E$3=0,0,IF(LAJES!CP165&gt;0,LAJES!CP165,0))</f>
        <v>0</v>
      </c>
      <c r="E80" s="2009"/>
      <c r="F80" s="2008">
        <f ca="1">D80*LAJES!$E$3</f>
        <v>0</v>
      </c>
      <c r="G80" s="2009"/>
      <c r="H80" s="2010">
        <f ca="1">IF(B80="P-central","centro",LAJES!CR179)</f>
        <v>0</v>
      </c>
      <c r="I80" s="2011"/>
      <c r="J80" s="2012"/>
      <c r="K80" s="2013">
        <f ca="1">IF(B80=0,0,LAJES!CS165)</f>
        <v>0</v>
      </c>
      <c r="L80" s="2014"/>
      <c r="M80" s="2015"/>
      <c r="N80" s="2019">
        <f ca="1">LAJES!DA165</f>
        <v>0</v>
      </c>
      <c r="O80" s="2020"/>
      <c r="P80" s="2021"/>
      <c r="Q80" s="2010">
        <f ca="1">IF(B80=0,0,LAJES!$BW$1)</f>
        <v>0</v>
      </c>
      <c r="R80" s="2012"/>
      <c r="S80" s="2016">
        <f ca="1">IF(LAJES!CT165+LAJES!CU165&gt;0,"+"&amp;LAJES!CT165+LAJES!CU165+LAJES!$BW$1,LAJES!CT165+LAJES!CU165+LAJES!$BW$1)</f>
        <v>0.05</v>
      </c>
      <c r="T80" s="2018"/>
      <c r="U80" s="2016">
        <f ca="1">LAJES!DC165</f>
        <v>0</v>
      </c>
      <c r="V80" s="2017"/>
      <c r="W80" s="2018"/>
      <c r="X80" s="535">
        <f ca="1">LAJES!DF165</f>
        <v>0</v>
      </c>
    </row>
    <row r="81" spans="1:24" hidden="1" x14ac:dyDescent="0.35">
      <c r="B81" s="2022">
        <f ca="1">IF(D81=1,"P-central",IF(D81=0,0,"P-15"))</f>
        <v>0</v>
      </c>
      <c r="C81" s="2022"/>
      <c r="D81" s="2008">
        <f ca="1">IF(LAJES!$E$3=0,0,IF(AND(LAJES!CP166=0,LAJES!CQ165=1),LAJES!CQ165,0))</f>
        <v>0</v>
      </c>
      <c r="E81" s="2009"/>
      <c r="F81" s="2008">
        <f ca="1">D81*LAJES!$E$3</f>
        <v>0</v>
      </c>
      <c r="G81" s="2009"/>
      <c r="H81" s="2010">
        <f ca="1">IF(B81="P-central","centro",0)</f>
        <v>0</v>
      </c>
      <c r="I81" s="2011"/>
      <c r="J81" s="2012"/>
      <c r="K81" s="2013">
        <v>0</v>
      </c>
      <c r="L81" s="2014"/>
      <c r="M81" s="2015"/>
      <c r="N81" s="2019">
        <f ca="1">LAJES!DB165</f>
        <v>0</v>
      </c>
      <c r="O81" s="2020"/>
      <c r="P81" s="2021"/>
      <c r="Q81" s="2010">
        <f ca="1">IF(B81=0,0,LAJES!$BW$1)</f>
        <v>0</v>
      </c>
      <c r="R81" s="2012"/>
      <c r="S81" s="2016">
        <f ca="1">IF(LAJES!CV165+LAJES!CW165&gt;0,"+"&amp;LAJES!CV165+LAJES!CW165+LAJES!$BW$1,LAJES!CV165+LAJES!CW165+LAJES!$BW$1)</f>
        <v>0.05</v>
      </c>
      <c r="T81" s="2018"/>
      <c r="U81" s="2016">
        <f ca="1">LAJES!DD165</f>
        <v>0</v>
      </c>
      <c r="V81" s="2017"/>
      <c r="W81" s="2018"/>
      <c r="X81" s="535">
        <f ca="1">LAJES!DG165</f>
        <v>0</v>
      </c>
    </row>
    <row r="82" spans="1:24" hidden="1" x14ac:dyDescent="0.35">
      <c r="B82" s="2022">
        <f ca="1">IF(D82=1,"P-central",IF(D82=0,0,"P-16"))</f>
        <v>0</v>
      </c>
      <c r="C82" s="2022"/>
      <c r="D82" s="2008">
        <f ca="1">IF(LAJES!$E$3=0,0,IF(LAJES!CP166&gt;0,LAJES!CP166,0))</f>
        <v>0</v>
      </c>
      <c r="E82" s="2009"/>
      <c r="F82" s="2008">
        <f ca="1">D82*LAJES!$E$3</f>
        <v>0</v>
      </c>
      <c r="G82" s="2009"/>
      <c r="H82" s="2010">
        <f ca="1">IF(B82="P-central","centro",LAJES!CR181)</f>
        <v>0</v>
      </c>
      <c r="I82" s="2011"/>
      <c r="J82" s="2012"/>
      <c r="K82" s="2013">
        <f ca="1">IF(B82=0,0,LAJES!CS166)</f>
        <v>0</v>
      </c>
      <c r="L82" s="2014"/>
      <c r="M82" s="2015"/>
      <c r="N82" s="2019">
        <f ca="1">LAJES!DA166</f>
        <v>0</v>
      </c>
      <c r="O82" s="2020"/>
      <c r="P82" s="2021"/>
      <c r="Q82" s="2010">
        <f ca="1">IF(B82=0,0,LAJES!$BW$1)</f>
        <v>0</v>
      </c>
      <c r="R82" s="2012"/>
      <c r="S82" s="2016">
        <f ca="1">IF(LAJES!CT166+LAJES!CU166&gt;0,"+"&amp;LAJES!CT166+LAJES!CU166+LAJES!$BW$1,LAJES!CT166+LAJES!CU166+LAJES!$BW$1)</f>
        <v>0.05</v>
      </c>
      <c r="T82" s="2018"/>
      <c r="U82" s="2016">
        <f ca="1">LAJES!DC166</f>
        <v>0</v>
      </c>
      <c r="V82" s="2017"/>
      <c r="W82" s="2018"/>
      <c r="X82" s="535">
        <f ca="1">LAJES!DF166</f>
        <v>0</v>
      </c>
    </row>
    <row r="83" spans="1:24" hidden="1" x14ac:dyDescent="0.35">
      <c r="B83" s="2022">
        <f ca="1">IF(D83=1,"P-central",IF(D83=0,0,"P-16"))</f>
        <v>0</v>
      </c>
      <c r="C83" s="2022"/>
      <c r="D83" s="2008">
        <f ca="1">IF(LAJES!$E$3=0,0,IF(AND(LAJES!CP167=0,LAJES!CQ166=1),LAJES!CQ166,0))</f>
        <v>0</v>
      </c>
      <c r="E83" s="2009"/>
      <c r="F83" s="2008">
        <f ca="1">D83*LAJES!$E$3</f>
        <v>0</v>
      </c>
      <c r="G83" s="2009"/>
      <c r="H83" s="2010">
        <f ca="1">IF(B83="P-central","centro",0)</f>
        <v>0</v>
      </c>
      <c r="I83" s="2011"/>
      <c r="J83" s="2012"/>
      <c r="K83" s="2013">
        <v>0</v>
      </c>
      <c r="L83" s="2014"/>
      <c r="M83" s="2015"/>
      <c r="N83" s="2019">
        <f ca="1">LAJES!DB166</f>
        <v>0</v>
      </c>
      <c r="O83" s="2020"/>
      <c r="P83" s="2021"/>
      <c r="Q83" s="2010">
        <f ca="1">IF(B83=0,0,LAJES!$BW$1)</f>
        <v>0</v>
      </c>
      <c r="R83" s="2012"/>
      <c r="S83" s="2016">
        <f ca="1">IF(LAJES!CV166+LAJES!CW166&gt;0,"+"&amp;LAJES!CV166+LAJES!CW166+LAJES!$BW$1,LAJES!CV166+LAJES!CW166+LAJES!$BW$1)</f>
        <v>0.05</v>
      </c>
      <c r="T83" s="2018"/>
      <c r="U83" s="2016">
        <f ca="1">LAJES!DD166</f>
        <v>0</v>
      </c>
      <c r="V83" s="2017"/>
      <c r="W83" s="2018"/>
      <c r="X83" s="535">
        <f ca="1">LAJES!DG166</f>
        <v>0</v>
      </c>
    </row>
    <row r="84" spans="1:24" x14ac:dyDescent="0.35">
      <c r="A84" s="581" t="str">
        <f>IF(B84=0,0,"xxx")</f>
        <v>xxx</v>
      </c>
      <c r="B84" s="195" t="s">
        <v>1685</v>
      </c>
    </row>
    <row r="85" spans="1:24" x14ac:dyDescent="0.35">
      <c r="A85" s="581" t="str">
        <f>IF(B85=0,0,"xxx")</f>
        <v>xxx</v>
      </c>
      <c r="B85" s="695" t="s">
        <v>1709</v>
      </c>
      <c r="C85" s="995" t="s">
        <v>1710</v>
      </c>
      <c r="D85" s="35"/>
      <c r="E85" s="35"/>
      <c r="F85" s="35"/>
      <c r="G85" s="35"/>
      <c r="H85" s="35"/>
      <c r="I85" s="35"/>
      <c r="J85" s="35"/>
      <c r="K85" s="35"/>
      <c r="L85" s="35"/>
      <c r="M85" s="35"/>
      <c r="N85" s="995" t="s">
        <v>1711</v>
      </c>
      <c r="O85" s="35"/>
      <c r="P85" s="35"/>
      <c r="Q85" s="35"/>
      <c r="R85" s="35"/>
      <c r="S85" s="35"/>
      <c r="T85" s="35"/>
      <c r="U85" s="35"/>
      <c r="V85" s="35"/>
      <c r="W85" s="282"/>
      <c r="X85" s="52"/>
    </row>
    <row r="86" spans="1:24" ht="72" customHeight="1" x14ac:dyDescent="0.35">
      <c r="A86" s="581" t="str">
        <f>IF(B86=0,0,"xxx")</f>
        <v>xxx</v>
      </c>
      <c r="B86" s="2032" t="s">
        <v>1712</v>
      </c>
      <c r="C86" s="2032"/>
      <c r="D86" s="2032" t="s">
        <v>1700</v>
      </c>
      <c r="E86" s="2037"/>
      <c r="F86" s="2032" t="s">
        <v>1701</v>
      </c>
      <c r="G86" s="2037"/>
      <c r="H86" s="2032" t="s">
        <v>1713</v>
      </c>
      <c r="I86" s="2037"/>
      <c r="J86" s="2023" t="s">
        <v>1714</v>
      </c>
      <c r="K86" s="2024"/>
      <c r="L86" s="2025"/>
      <c r="M86" s="2023" t="s">
        <v>1715</v>
      </c>
      <c r="N86" s="2024"/>
      <c r="O86" s="2025"/>
      <c r="P86" s="2023" t="s">
        <v>1716</v>
      </c>
      <c r="Q86" s="2024"/>
      <c r="R86" s="2025"/>
      <c r="S86" s="2023" t="s">
        <v>1717</v>
      </c>
      <c r="T86" s="2025"/>
      <c r="U86" s="2040" t="s">
        <v>1718</v>
      </c>
      <c r="V86" s="2041"/>
      <c r="W86" s="2042"/>
      <c r="X86" s="974" t="s">
        <v>1719</v>
      </c>
    </row>
    <row r="87" spans="1:24" x14ac:dyDescent="0.35">
      <c r="A87" s="581">
        <f ca="1">IF(B87=0,0,"xxx")</f>
        <v>0</v>
      </c>
      <c r="B87" s="2022">
        <f ca="1">IF(D87=0,0,"V-1")</f>
        <v>0</v>
      </c>
      <c r="C87" s="2022"/>
      <c r="D87" s="2008">
        <f ca="1">IF(LAJES!BU151=LAJES!$BW$18,0,IF(LAJES!$E$3=0,0,IF(H87=LAJES!$BW$18-LAJES!$BW$17,1,LAJES!BX151)))</f>
        <v>0</v>
      </c>
      <c r="E87" s="2009"/>
      <c r="F87" s="2008">
        <f ca="1">IF(LAJES!BU151=LAJES!$BW$18,0,D87*LAJES!$E$3)</f>
        <v>0</v>
      </c>
      <c r="G87" s="2009"/>
      <c r="H87" s="2010">
        <f ca="1">IF(LAJES!BU151=LAJES!$BW$18,0,LAJES!BU151)</f>
        <v>0</v>
      </c>
      <c r="I87" s="2012"/>
      <c r="J87" s="2016">
        <f ca="1">LAJES!CA151</f>
        <v>0</v>
      </c>
      <c r="K87" s="2017"/>
      <c r="L87" s="2018"/>
      <c r="M87" s="2016">
        <f ca="1">LAJES!CB151</f>
        <v>0</v>
      </c>
      <c r="N87" s="2017"/>
      <c r="O87" s="2018"/>
      <c r="P87" s="2010">
        <f ca="1">LAJES!CC151</f>
        <v>0</v>
      </c>
      <c r="Q87" s="2011"/>
      <c r="R87" s="2012"/>
      <c r="S87" s="2016">
        <f ca="1">LAJES!CD151</f>
        <v>0</v>
      </c>
      <c r="T87" s="2018"/>
      <c r="U87" s="2016">
        <f ca="1">LAJES!CF151</f>
        <v>0</v>
      </c>
      <c r="V87" s="2017"/>
      <c r="W87" s="2018"/>
      <c r="X87" s="536">
        <f ca="1">LAJES!CG151</f>
        <v>0</v>
      </c>
    </row>
    <row r="88" spans="1:24" hidden="1" x14ac:dyDescent="0.35">
      <c r="A88" s="581">
        <f t="shared" ref="A88:A101" ca="1" si="2">IF(B88=0,0,"xxx")</f>
        <v>0</v>
      </c>
      <c r="B88" s="2022">
        <f ca="1">IF(D88=0,0,"V-2")</f>
        <v>0</v>
      </c>
      <c r="C88" s="2022"/>
      <c r="D88" s="2008">
        <f ca="1">IF(LAJES!BU152=LAJES!$BW$18,0,IF(LAJES!$E$3=0,0,IF(H88=LAJES!$BW$18-LAJES!$BW$17,1,LAJES!BX152)))</f>
        <v>0</v>
      </c>
      <c r="E88" s="2009"/>
      <c r="F88" s="2008">
        <f ca="1">IF(LAJES!BU152=LAJES!$BW$18,0,D88*LAJES!$E$3)</f>
        <v>0</v>
      </c>
      <c r="G88" s="2009"/>
      <c r="H88" s="2010">
        <f ca="1">IF(LAJES!BU152=LAJES!$BW$18,0,LAJES!BU152)</f>
        <v>0</v>
      </c>
      <c r="I88" s="2012"/>
      <c r="J88" s="2016">
        <f ca="1">LAJES!CA152</f>
        <v>0</v>
      </c>
      <c r="K88" s="2017"/>
      <c r="L88" s="2018"/>
      <c r="M88" s="2016">
        <f ca="1">LAJES!CB152</f>
        <v>0</v>
      </c>
      <c r="N88" s="2017"/>
      <c r="O88" s="2018"/>
      <c r="P88" s="2010">
        <f ca="1">LAJES!CC152</f>
        <v>0</v>
      </c>
      <c r="Q88" s="2011"/>
      <c r="R88" s="2012"/>
      <c r="S88" s="2016">
        <f ca="1">LAJES!CD152</f>
        <v>0</v>
      </c>
      <c r="T88" s="2018"/>
      <c r="U88" s="2016">
        <f ca="1">LAJES!CF152</f>
        <v>0</v>
      </c>
      <c r="V88" s="2017"/>
      <c r="W88" s="2018"/>
      <c r="X88" s="536">
        <f ca="1">LAJES!CG152</f>
        <v>0</v>
      </c>
    </row>
    <row r="89" spans="1:24" hidden="1" x14ac:dyDescent="0.35">
      <c r="A89" s="581">
        <f t="shared" ca="1" si="2"/>
        <v>0</v>
      </c>
      <c r="B89" s="2022">
        <f ca="1">IF(D89=0,0,"V-3")</f>
        <v>0</v>
      </c>
      <c r="C89" s="2022"/>
      <c r="D89" s="2008">
        <f ca="1">IF(LAJES!BU153=LAJES!$BW$18,0,IF(LAJES!$E$3=0,0,IF(H89=LAJES!$BW$18-LAJES!$BW$17,1,LAJES!BX153)))</f>
        <v>0</v>
      </c>
      <c r="E89" s="2009"/>
      <c r="F89" s="2008">
        <f ca="1">IF(LAJES!BU153=LAJES!$BW$18,0,D89*LAJES!$E$3)</f>
        <v>0</v>
      </c>
      <c r="G89" s="2009"/>
      <c r="H89" s="2010">
        <f ca="1">IF(LAJES!BU153=LAJES!$BW$18,0,LAJES!BU153)</f>
        <v>0</v>
      </c>
      <c r="I89" s="2012"/>
      <c r="J89" s="2016">
        <f ca="1">LAJES!CA153</f>
        <v>0</v>
      </c>
      <c r="K89" s="2017"/>
      <c r="L89" s="2018"/>
      <c r="M89" s="2016">
        <f ca="1">LAJES!CB153</f>
        <v>0</v>
      </c>
      <c r="N89" s="2017"/>
      <c r="O89" s="2018"/>
      <c r="P89" s="2010">
        <f ca="1">LAJES!CC153</f>
        <v>0</v>
      </c>
      <c r="Q89" s="2011"/>
      <c r="R89" s="2012"/>
      <c r="S89" s="2016">
        <f ca="1">LAJES!CD153</f>
        <v>0</v>
      </c>
      <c r="T89" s="2018"/>
      <c r="U89" s="2016">
        <f ca="1">LAJES!CF153</f>
        <v>0</v>
      </c>
      <c r="V89" s="2017"/>
      <c r="W89" s="2018"/>
      <c r="X89" s="536">
        <f ca="1">LAJES!CG153</f>
        <v>0</v>
      </c>
    </row>
    <row r="90" spans="1:24" hidden="1" x14ac:dyDescent="0.35">
      <c r="A90" s="581">
        <f t="shared" ca="1" si="2"/>
        <v>0</v>
      </c>
      <c r="B90" s="2022">
        <f ca="1">IF(D90=0,0,"V-4")</f>
        <v>0</v>
      </c>
      <c r="C90" s="2022"/>
      <c r="D90" s="2008">
        <f ca="1">IF(LAJES!BU154=LAJES!$BW$18,0,IF(LAJES!$E$3=0,0,IF(H90=LAJES!$BW$18-LAJES!$BW$17,1,LAJES!BX154)))</f>
        <v>0</v>
      </c>
      <c r="E90" s="2009"/>
      <c r="F90" s="2008">
        <f ca="1">IF(LAJES!BU154=LAJES!$BW$18,0,D90*LAJES!$E$3)</f>
        <v>0</v>
      </c>
      <c r="G90" s="2009"/>
      <c r="H90" s="2010">
        <f ca="1">IF(LAJES!BU154=LAJES!$BW$18,0,LAJES!BU154)</f>
        <v>0</v>
      </c>
      <c r="I90" s="2012"/>
      <c r="J90" s="2016">
        <f ca="1">LAJES!CA154</f>
        <v>0</v>
      </c>
      <c r="K90" s="2017"/>
      <c r="L90" s="2018"/>
      <c r="M90" s="2016">
        <f ca="1">LAJES!CB154</f>
        <v>0</v>
      </c>
      <c r="N90" s="2017"/>
      <c r="O90" s="2018"/>
      <c r="P90" s="2010">
        <f ca="1">LAJES!CC154</f>
        <v>0</v>
      </c>
      <c r="Q90" s="2011"/>
      <c r="R90" s="2012"/>
      <c r="S90" s="2016">
        <f ca="1">LAJES!CD154</f>
        <v>0</v>
      </c>
      <c r="T90" s="2018"/>
      <c r="U90" s="2016">
        <f ca="1">LAJES!CF154</f>
        <v>0</v>
      </c>
      <c r="V90" s="2017"/>
      <c r="W90" s="2018"/>
      <c r="X90" s="536">
        <f ca="1">LAJES!CG154</f>
        <v>0</v>
      </c>
    </row>
    <row r="91" spans="1:24" hidden="1" x14ac:dyDescent="0.35">
      <c r="A91" s="581">
        <f t="shared" ca="1" si="2"/>
        <v>0</v>
      </c>
      <c r="B91" s="2022">
        <f ca="1">IF(D91=0,0,"V-5")</f>
        <v>0</v>
      </c>
      <c r="C91" s="2022"/>
      <c r="D91" s="2008">
        <f ca="1">IF(LAJES!$E$3=0,0,IF(H91=LAJES!$BW$18-LAJES!$BW$17,1,LAJES!BX155))</f>
        <v>0</v>
      </c>
      <c r="E91" s="2009"/>
      <c r="F91" s="2008">
        <f ca="1">D91*LAJES!$E$3</f>
        <v>0</v>
      </c>
      <c r="G91" s="2009"/>
      <c r="H91" s="2010">
        <f ca="1">LAJES!BU155</f>
        <v>0</v>
      </c>
      <c r="I91" s="2012"/>
      <c r="J91" s="2016">
        <f ca="1">LAJES!CA155</f>
        <v>0</v>
      </c>
      <c r="K91" s="2017"/>
      <c r="L91" s="2018"/>
      <c r="M91" s="2016">
        <f ca="1">LAJES!CB155</f>
        <v>0</v>
      </c>
      <c r="N91" s="2017"/>
      <c r="O91" s="2018"/>
      <c r="P91" s="2010">
        <f ca="1">LAJES!CC155</f>
        <v>0</v>
      </c>
      <c r="Q91" s="2011"/>
      <c r="R91" s="2012"/>
      <c r="S91" s="2016">
        <f ca="1">LAJES!CD155</f>
        <v>0</v>
      </c>
      <c r="T91" s="2018"/>
      <c r="U91" s="2016">
        <f ca="1">LAJES!CF155</f>
        <v>0</v>
      </c>
      <c r="V91" s="2017"/>
      <c r="W91" s="2018"/>
      <c r="X91" s="536">
        <f ca="1">LAJES!CG155</f>
        <v>0</v>
      </c>
    </row>
    <row r="92" spans="1:24" hidden="1" x14ac:dyDescent="0.35">
      <c r="A92" s="581">
        <f t="shared" ca="1" si="2"/>
        <v>0</v>
      </c>
      <c r="B92" s="2022">
        <f ca="1">IF(D92=0,0,"V-6")</f>
        <v>0</v>
      </c>
      <c r="C92" s="2022"/>
      <c r="D92" s="2008">
        <f ca="1">IF(LAJES!$E$3=0,0,IF(H92=LAJES!$BW$18-LAJES!$BW$17,1,LAJES!BX156))</f>
        <v>0</v>
      </c>
      <c r="E92" s="2009"/>
      <c r="F92" s="2008">
        <f ca="1">D92*LAJES!$E$3</f>
        <v>0</v>
      </c>
      <c r="G92" s="2009"/>
      <c r="H92" s="2010">
        <f ca="1">LAJES!BU156</f>
        <v>0</v>
      </c>
      <c r="I92" s="2012"/>
      <c r="J92" s="2016">
        <f ca="1">LAJES!CA156</f>
        <v>0</v>
      </c>
      <c r="K92" s="2017"/>
      <c r="L92" s="2018"/>
      <c r="M92" s="2016">
        <f ca="1">LAJES!CB156</f>
        <v>0</v>
      </c>
      <c r="N92" s="2017"/>
      <c r="O92" s="2018"/>
      <c r="P92" s="2010">
        <f ca="1">LAJES!CC156</f>
        <v>0</v>
      </c>
      <c r="Q92" s="2011"/>
      <c r="R92" s="2012"/>
      <c r="S92" s="2016">
        <f ca="1">LAJES!CD156</f>
        <v>0</v>
      </c>
      <c r="T92" s="2018"/>
      <c r="U92" s="2016">
        <f ca="1">LAJES!CF156</f>
        <v>0</v>
      </c>
      <c r="V92" s="2017"/>
      <c r="W92" s="2018"/>
      <c r="X92" s="536">
        <f ca="1">LAJES!CG156</f>
        <v>0</v>
      </c>
    </row>
    <row r="93" spans="1:24" hidden="1" x14ac:dyDescent="0.35">
      <c r="A93" s="581">
        <f t="shared" ca="1" si="2"/>
        <v>0</v>
      </c>
      <c r="B93" s="2022">
        <f ca="1">IF(D93=0,0,"V-7")</f>
        <v>0</v>
      </c>
      <c r="C93" s="2022"/>
      <c r="D93" s="2008">
        <f ca="1">IF(LAJES!$E$3=0,0,IF(H93=LAJES!$BW$18-LAJES!$BW$17,1,LAJES!BX157))</f>
        <v>0</v>
      </c>
      <c r="E93" s="2009"/>
      <c r="F93" s="2008">
        <f ca="1">D93*LAJES!$E$3</f>
        <v>0</v>
      </c>
      <c r="G93" s="2009"/>
      <c r="H93" s="2010">
        <f ca="1">LAJES!BU157</f>
        <v>0</v>
      </c>
      <c r="I93" s="2012"/>
      <c r="J93" s="2016">
        <f ca="1">LAJES!CA157</f>
        <v>0</v>
      </c>
      <c r="K93" s="2017"/>
      <c r="L93" s="2018"/>
      <c r="M93" s="2016">
        <f ca="1">LAJES!CB157</f>
        <v>0</v>
      </c>
      <c r="N93" s="2017"/>
      <c r="O93" s="2018"/>
      <c r="P93" s="2010">
        <f ca="1">LAJES!CC157</f>
        <v>0</v>
      </c>
      <c r="Q93" s="2011"/>
      <c r="R93" s="2012"/>
      <c r="S93" s="2016">
        <f ca="1">LAJES!CD157</f>
        <v>0</v>
      </c>
      <c r="T93" s="2018"/>
      <c r="U93" s="2016">
        <f ca="1">LAJES!CF157</f>
        <v>0</v>
      </c>
      <c r="V93" s="2017"/>
      <c r="W93" s="2018"/>
      <c r="X93" s="536">
        <f ca="1">LAJES!CG157</f>
        <v>0</v>
      </c>
    </row>
    <row r="94" spans="1:24" hidden="1" x14ac:dyDescent="0.35">
      <c r="A94" s="581">
        <f t="shared" ca="1" si="2"/>
        <v>0</v>
      </c>
      <c r="B94" s="2022">
        <f ca="1">IF(D94=0,0,"V-8")</f>
        <v>0</v>
      </c>
      <c r="C94" s="2022"/>
      <c r="D94" s="2008">
        <f ca="1">IF(LAJES!$E$3=0,0,IF(H94=LAJES!$BW$18-LAJES!$BW$17,1,LAJES!BX158))</f>
        <v>0</v>
      </c>
      <c r="E94" s="2009"/>
      <c r="F94" s="2008">
        <f ca="1">D94*LAJES!$E$3</f>
        <v>0</v>
      </c>
      <c r="G94" s="2009"/>
      <c r="H94" s="2010">
        <f ca="1">LAJES!BU158</f>
        <v>0</v>
      </c>
      <c r="I94" s="2012"/>
      <c r="J94" s="2016">
        <f ca="1">LAJES!CA158</f>
        <v>0</v>
      </c>
      <c r="K94" s="2017"/>
      <c r="L94" s="2018"/>
      <c r="M94" s="2016">
        <f ca="1">LAJES!CB158</f>
        <v>0</v>
      </c>
      <c r="N94" s="2017"/>
      <c r="O94" s="2018"/>
      <c r="P94" s="2010">
        <f ca="1">LAJES!CC158</f>
        <v>0</v>
      </c>
      <c r="Q94" s="2011"/>
      <c r="R94" s="2012"/>
      <c r="S94" s="2016">
        <f ca="1">LAJES!CD158</f>
        <v>0</v>
      </c>
      <c r="T94" s="2018"/>
      <c r="U94" s="2016">
        <f ca="1">LAJES!CF158</f>
        <v>0</v>
      </c>
      <c r="V94" s="2017"/>
      <c r="W94" s="2018"/>
      <c r="X94" s="536">
        <f ca="1">LAJES!CG158</f>
        <v>0</v>
      </c>
    </row>
    <row r="95" spans="1:24" hidden="1" x14ac:dyDescent="0.35">
      <c r="A95" s="581">
        <f t="shared" ca="1" si="2"/>
        <v>0</v>
      </c>
      <c r="B95" s="2022">
        <f ca="1">IF(D95=0,0,"V-9")</f>
        <v>0</v>
      </c>
      <c r="C95" s="2022"/>
      <c r="D95" s="2008">
        <f ca="1">IF(LAJES!$E$3=0,0,IF(H95=LAJES!$BW$18-LAJES!$BW$17,1,LAJES!BX159))</f>
        <v>0</v>
      </c>
      <c r="E95" s="2009"/>
      <c r="F95" s="2008">
        <f ca="1">D95*LAJES!$E$3</f>
        <v>0</v>
      </c>
      <c r="G95" s="2009"/>
      <c r="H95" s="2010">
        <f ca="1">LAJES!BU159</f>
        <v>0</v>
      </c>
      <c r="I95" s="2012"/>
      <c r="J95" s="2016">
        <f ca="1">LAJES!CA159</f>
        <v>0</v>
      </c>
      <c r="K95" s="2017"/>
      <c r="L95" s="2018"/>
      <c r="M95" s="2016">
        <f ca="1">LAJES!CB159</f>
        <v>0</v>
      </c>
      <c r="N95" s="2017"/>
      <c r="O95" s="2018"/>
      <c r="P95" s="2010">
        <f ca="1">LAJES!CC159</f>
        <v>0</v>
      </c>
      <c r="Q95" s="2011"/>
      <c r="R95" s="2012"/>
      <c r="S95" s="2016">
        <f ca="1">LAJES!CD159</f>
        <v>0</v>
      </c>
      <c r="T95" s="2018"/>
      <c r="U95" s="2016">
        <f ca="1">LAJES!CF159</f>
        <v>0</v>
      </c>
      <c r="V95" s="2017"/>
      <c r="W95" s="2018"/>
      <c r="X95" s="536">
        <f ca="1">LAJES!CG159</f>
        <v>0</v>
      </c>
    </row>
    <row r="96" spans="1:24" hidden="1" x14ac:dyDescent="0.35">
      <c r="A96" s="581">
        <f t="shared" ca="1" si="2"/>
        <v>0</v>
      </c>
      <c r="B96" s="2022">
        <f ca="1">IF(D96=0,0,"V-10")</f>
        <v>0</v>
      </c>
      <c r="C96" s="2022"/>
      <c r="D96" s="2008">
        <f ca="1">IF(LAJES!$E$3=0,0,IF(H96=LAJES!$BW$18-LAJES!$BW$17,1,LAJES!BX160))</f>
        <v>0</v>
      </c>
      <c r="E96" s="2009"/>
      <c r="F96" s="2008">
        <f ca="1">D96*LAJES!$E$3</f>
        <v>0</v>
      </c>
      <c r="G96" s="2009"/>
      <c r="H96" s="2010">
        <f ca="1">LAJES!BU160</f>
        <v>0</v>
      </c>
      <c r="I96" s="2012"/>
      <c r="J96" s="2016">
        <f ca="1">LAJES!CA160</f>
        <v>0</v>
      </c>
      <c r="K96" s="2017"/>
      <c r="L96" s="2018"/>
      <c r="M96" s="2016">
        <f ca="1">LAJES!CB160</f>
        <v>0</v>
      </c>
      <c r="N96" s="2017"/>
      <c r="O96" s="2018"/>
      <c r="P96" s="2010">
        <f ca="1">LAJES!CC160</f>
        <v>0</v>
      </c>
      <c r="Q96" s="2011"/>
      <c r="R96" s="2012"/>
      <c r="S96" s="2016">
        <f ca="1">LAJES!CD160</f>
        <v>0</v>
      </c>
      <c r="T96" s="2018"/>
      <c r="U96" s="2016">
        <f ca="1">LAJES!CF160</f>
        <v>0</v>
      </c>
      <c r="V96" s="2017"/>
      <c r="W96" s="2018"/>
      <c r="X96" s="536">
        <f ca="1">LAJES!CG160</f>
        <v>0</v>
      </c>
    </row>
    <row r="97" spans="1:27" hidden="1" x14ac:dyDescent="0.35">
      <c r="A97" s="581">
        <f t="shared" ca="1" si="2"/>
        <v>0</v>
      </c>
      <c r="B97" s="2022">
        <f ca="1">IF(D97=0,0,"V-11")</f>
        <v>0</v>
      </c>
      <c r="C97" s="2022"/>
      <c r="D97" s="2008">
        <f ca="1">IF(LAJES!$E$3=0,0,IF(H97=LAJES!$BW$18-LAJES!$BW$17,1,LAJES!BX161))</f>
        <v>0</v>
      </c>
      <c r="E97" s="2009"/>
      <c r="F97" s="2008">
        <f ca="1">D97*LAJES!$E$3</f>
        <v>0</v>
      </c>
      <c r="G97" s="2009"/>
      <c r="H97" s="2010">
        <f ca="1">LAJES!BU161</f>
        <v>0</v>
      </c>
      <c r="I97" s="2012"/>
      <c r="J97" s="2016">
        <f ca="1">LAJES!CA161</f>
        <v>0</v>
      </c>
      <c r="K97" s="2017"/>
      <c r="L97" s="2018"/>
      <c r="M97" s="2016">
        <f ca="1">LAJES!CB161</f>
        <v>0</v>
      </c>
      <c r="N97" s="2017"/>
      <c r="O97" s="2018"/>
      <c r="P97" s="2010">
        <f ca="1">LAJES!CC161</f>
        <v>0</v>
      </c>
      <c r="Q97" s="2011"/>
      <c r="R97" s="2012"/>
      <c r="S97" s="2016">
        <f ca="1">LAJES!CD161</f>
        <v>0</v>
      </c>
      <c r="T97" s="2018"/>
      <c r="U97" s="2016">
        <f ca="1">LAJES!CF161</f>
        <v>0</v>
      </c>
      <c r="V97" s="2017"/>
      <c r="W97" s="2018"/>
      <c r="X97" s="536">
        <f ca="1">LAJES!CG161</f>
        <v>0</v>
      </c>
    </row>
    <row r="98" spans="1:27" hidden="1" x14ac:dyDescent="0.35">
      <c r="A98" s="581">
        <f t="shared" ca="1" si="2"/>
        <v>0</v>
      </c>
      <c r="B98" s="2022">
        <f ca="1">IF(D98=0,0,"V-12")</f>
        <v>0</v>
      </c>
      <c r="C98" s="2022"/>
      <c r="D98" s="2008">
        <f ca="1">IF(LAJES!$E$3=0,0,IF(H98=LAJES!$BW$18-LAJES!$BW$17,1,LAJES!BX162))</f>
        <v>0</v>
      </c>
      <c r="E98" s="2009"/>
      <c r="F98" s="2008">
        <f ca="1">D98*LAJES!$E$3</f>
        <v>0</v>
      </c>
      <c r="G98" s="2009"/>
      <c r="H98" s="2010">
        <f ca="1">LAJES!BU162</f>
        <v>0</v>
      </c>
      <c r="I98" s="2012"/>
      <c r="J98" s="2016">
        <f ca="1">LAJES!CA162</f>
        <v>0</v>
      </c>
      <c r="K98" s="2017"/>
      <c r="L98" s="2018"/>
      <c r="M98" s="2016">
        <f ca="1">LAJES!CB162</f>
        <v>0</v>
      </c>
      <c r="N98" s="2017"/>
      <c r="O98" s="2018"/>
      <c r="P98" s="2010">
        <f ca="1">LAJES!CC162</f>
        <v>0</v>
      </c>
      <c r="Q98" s="2011"/>
      <c r="R98" s="2012"/>
      <c r="S98" s="2016">
        <f ca="1">LAJES!CD162</f>
        <v>0</v>
      </c>
      <c r="T98" s="2018"/>
      <c r="U98" s="2016">
        <f ca="1">LAJES!CF162</f>
        <v>0</v>
      </c>
      <c r="V98" s="2017"/>
      <c r="W98" s="2018"/>
      <c r="X98" s="536">
        <f ca="1">LAJES!CG162</f>
        <v>0</v>
      </c>
    </row>
    <row r="99" spans="1:27" hidden="1" x14ac:dyDescent="0.35">
      <c r="A99" s="581">
        <f t="shared" ca="1" si="2"/>
        <v>0</v>
      </c>
      <c r="B99" s="2022">
        <f ca="1">IF(D99=0,0,"V-13")</f>
        <v>0</v>
      </c>
      <c r="C99" s="2022"/>
      <c r="D99" s="2008">
        <f ca="1">IF(LAJES!$E$3=0,0,IF(H99=LAJES!$BW$18-LAJES!$BW$17,1,LAJES!BX163))</f>
        <v>0</v>
      </c>
      <c r="E99" s="2009"/>
      <c r="F99" s="2008">
        <f ca="1">D99*LAJES!$E$3</f>
        <v>0</v>
      </c>
      <c r="G99" s="2009"/>
      <c r="H99" s="2010">
        <f ca="1">LAJES!BU163</f>
        <v>0</v>
      </c>
      <c r="I99" s="2012"/>
      <c r="J99" s="2016">
        <f ca="1">LAJES!CA163</f>
        <v>0</v>
      </c>
      <c r="K99" s="2017"/>
      <c r="L99" s="2018"/>
      <c r="M99" s="2016">
        <f ca="1">LAJES!CB163</f>
        <v>0</v>
      </c>
      <c r="N99" s="2017"/>
      <c r="O99" s="2018"/>
      <c r="P99" s="2010">
        <f ca="1">LAJES!CC163</f>
        <v>0</v>
      </c>
      <c r="Q99" s="2011"/>
      <c r="R99" s="2012"/>
      <c r="S99" s="2016">
        <f ca="1">LAJES!CD163</f>
        <v>0</v>
      </c>
      <c r="T99" s="2018"/>
      <c r="U99" s="2016">
        <f ca="1">LAJES!CF163</f>
        <v>0</v>
      </c>
      <c r="V99" s="2017"/>
      <c r="W99" s="2018"/>
      <c r="X99" s="536">
        <f ca="1">LAJES!CG163</f>
        <v>0</v>
      </c>
    </row>
    <row r="100" spans="1:27" hidden="1" x14ac:dyDescent="0.35">
      <c r="A100" s="581">
        <f t="shared" ca="1" si="2"/>
        <v>0</v>
      </c>
      <c r="B100" s="2022">
        <f ca="1">IF(D100=0,0,"V-14")</f>
        <v>0</v>
      </c>
      <c r="C100" s="2022"/>
      <c r="D100" s="2008">
        <f ca="1">IF(LAJES!$E$3=0,0,IF(H100=LAJES!$BW$18-LAJES!$BW$17,1,LAJES!BX164))</f>
        <v>0</v>
      </c>
      <c r="E100" s="2009"/>
      <c r="F100" s="2008">
        <f ca="1">D100*LAJES!$E$3</f>
        <v>0</v>
      </c>
      <c r="G100" s="2009"/>
      <c r="H100" s="2010">
        <f ca="1">LAJES!BU164</f>
        <v>0</v>
      </c>
      <c r="I100" s="2012"/>
      <c r="J100" s="2016">
        <f ca="1">LAJES!CA164</f>
        <v>0</v>
      </c>
      <c r="K100" s="2017"/>
      <c r="L100" s="2018"/>
      <c r="M100" s="2016">
        <f ca="1">LAJES!CB164</f>
        <v>0</v>
      </c>
      <c r="N100" s="2017"/>
      <c r="O100" s="2018"/>
      <c r="P100" s="2010">
        <f ca="1">LAJES!CC164</f>
        <v>0</v>
      </c>
      <c r="Q100" s="2011"/>
      <c r="R100" s="2012"/>
      <c r="S100" s="2016">
        <f ca="1">LAJES!CD164</f>
        <v>0</v>
      </c>
      <c r="T100" s="2018"/>
      <c r="U100" s="2016">
        <f ca="1">LAJES!CF164</f>
        <v>0</v>
      </c>
      <c r="V100" s="2017"/>
      <c r="W100" s="2018"/>
      <c r="X100" s="536">
        <f ca="1">LAJES!CG164</f>
        <v>0</v>
      </c>
    </row>
    <row r="101" spans="1:27" hidden="1" x14ac:dyDescent="0.35">
      <c r="A101" s="581">
        <f t="shared" ca="1" si="2"/>
        <v>0</v>
      </c>
      <c r="B101" s="2022">
        <f ca="1">IF(D101=0,0,"V-15")</f>
        <v>0</v>
      </c>
      <c r="C101" s="2022"/>
      <c r="D101" s="2008">
        <f ca="1">IF(LAJES!$E$3=0,0,IF(H101=LAJES!$BW$18-LAJES!$BW$17,1,LAJES!BX165))</f>
        <v>0</v>
      </c>
      <c r="E101" s="2009"/>
      <c r="F101" s="2008">
        <f ca="1">D101*LAJES!$E$3</f>
        <v>0</v>
      </c>
      <c r="G101" s="2009"/>
      <c r="H101" s="2010">
        <f ca="1">LAJES!BU165</f>
        <v>0</v>
      </c>
      <c r="I101" s="2012"/>
      <c r="J101" s="2016">
        <f ca="1">LAJES!CA165</f>
        <v>0</v>
      </c>
      <c r="K101" s="2017"/>
      <c r="L101" s="2018"/>
      <c r="M101" s="2016">
        <f ca="1">LAJES!CB165</f>
        <v>0</v>
      </c>
      <c r="N101" s="2017"/>
      <c r="O101" s="2018"/>
      <c r="P101" s="2010">
        <f ca="1">LAJES!CC165</f>
        <v>0</v>
      </c>
      <c r="Q101" s="2011"/>
      <c r="R101" s="2012"/>
      <c r="S101" s="2016">
        <f ca="1">LAJES!CD165</f>
        <v>0</v>
      </c>
      <c r="T101" s="2018"/>
      <c r="U101" s="2016">
        <f ca="1">LAJES!CF165</f>
        <v>0</v>
      </c>
      <c r="V101" s="2017"/>
      <c r="W101" s="2018"/>
      <c r="X101" s="536">
        <f ca="1">LAJES!CG165</f>
        <v>0</v>
      </c>
    </row>
    <row r="102" spans="1:27" x14ac:dyDescent="0.35">
      <c r="A102" s="581" t="str">
        <f>IF(B102=0,0,"xxx")</f>
        <v>xxx</v>
      </c>
      <c r="B102" s="195" t="s">
        <v>1720</v>
      </c>
    </row>
    <row r="103" spans="1:27" x14ac:dyDescent="0.35">
      <c r="A103" s="581" t="str">
        <f>IF(B103=0,0,"xxx")</f>
        <v>xxx</v>
      </c>
      <c r="B103" s="695" t="s">
        <v>1721</v>
      </c>
      <c r="C103" s="995" t="s">
        <v>1722</v>
      </c>
      <c r="D103" s="35"/>
      <c r="E103" s="35"/>
      <c r="F103" s="35"/>
      <c r="G103" s="35"/>
      <c r="H103" s="35"/>
      <c r="I103" s="35"/>
      <c r="J103" s="35"/>
      <c r="K103" s="35"/>
      <c r="L103" s="35"/>
      <c r="M103" s="35"/>
      <c r="N103" s="995" t="s">
        <v>1711</v>
      </c>
      <c r="O103" s="35"/>
      <c r="P103" s="35"/>
      <c r="Q103" s="35"/>
      <c r="R103" s="35"/>
      <c r="S103" s="35"/>
      <c r="T103" s="35"/>
      <c r="U103" s="35"/>
      <c r="V103" s="35"/>
      <c r="W103" s="282"/>
      <c r="X103" s="52"/>
    </row>
    <row r="104" spans="1:27" x14ac:dyDescent="0.35">
      <c r="A104" s="581" t="str">
        <f>IF(B104=0,0,"xxx")</f>
        <v>xxx</v>
      </c>
      <c r="B104" s="593" t="s">
        <v>1685</v>
      </c>
      <c r="C104" s="35"/>
      <c r="D104" s="35" t="s">
        <v>1723</v>
      </c>
      <c r="E104" s="35"/>
      <c r="F104" s="35"/>
      <c r="G104" s="35"/>
      <c r="H104" s="35"/>
      <c r="I104" s="35"/>
      <c r="J104" s="35">
        <f>LAJES!BW16*1000*2</f>
        <v>5</v>
      </c>
      <c r="K104" s="35" t="s">
        <v>1724</v>
      </c>
      <c r="L104" s="35"/>
      <c r="M104" s="35"/>
      <c r="N104" s="35" t="s">
        <v>1725</v>
      </c>
      <c r="O104" s="35"/>
      <c r="P104" s="35"/>
      <c r="Q104" s="35"/>
      <c r="R104" s="35"/>
      <c r="S104" s="35"/>
      <c r="T104" s="35">
        <f>LAJES!BW17*1000*2</f>
        <v>10</v>
      </c>
      <c r="U104" s="35" t="s">
        <v>1724</v>
      </c>
      <c r="V104" s="35"/>
      <c r="W104" s="537"/>
      <c r="X104" s="52"/>
    </row>
    <row r="105" spans="1:27" ht="67.5" customHeight="1" x14ac:dyDescent="0.35">
      <c r="A105" s="581" t="str">
        <f>IF(B105=0,0,"xxx")</f>
        <v>xxx</v>
      </c>
      <c r="B105" s="2032" t="s">
        <v>1726</v>
      </c>
      <c r="C105" s="2032"/>
      <c r="D105" s="2032" t="s">
        <v>1700</v>
      </c>
      <c r="E105" s="2037"/>
      <c r="F105" s="2032" t="s">
        <v>1701</v>
      </c>
      <c r="G105" s="2037"/>
      <c r="H105" s="2032" t="s">
        <v>1727</v>
      </c>
      <c r="I105" s="2037"/>
      <c r="J105" s="2032" t="s">
        <v>1728</v>
      </c>
      <c r="K105" s="2032"/>
      <c r="L105" s="2032"/>
      <c r="M105" s="2032" t="s">
        <v>1729</v>
      </c>
      <c r="N105" s="2037"/>
      <c r="O105" s="2032" t="s">
        <v>1730</v>
      </c>
      <c r="P105" s="2037"/>
      <c r="Q105" s="2032" t="s">
        <v>1731</v>
      </c>
      <c r="R105" s="2037"/>
      <c r="S105" s="532" t="s">
        <v>1732</v>
      </c>
      <c r="T105" s="2032" t="s">
        <v>1733</v>
      </c>
      <c r="U105" s="2037"/>
      <c r="V105" s="2038" t="s">
        <v>1734</v>
      </c>
      <c r="W105" s="2039"/>
      <c r="X105" s="1204" t="s">
        <v>1735</v>
      </c>
    </row>
    <row r="106" spans="1:27" s="131" customFormat="1" x14ac:dyDescent="0.35">
      <c r="A106" s="581">
        <f>IF(B106=0,0,"xxx")</f>
        <v>0</v>
      </c>
      <c r="B106" s="2022">
        <f>IF(D106=2,"L-bolacha",IF(D106=0,0,"L-1"))</f>
        <v>0</v>
      </c>
      <c r="C106" s="2022"/>
      <c r="D106" s="2050">
        <f>IF(LAJES!CF71=2,2,IF(LAJES!$E$3=0,0,LAJES!BT71/LAJES!$E$3))</f>
        <v>0</v>
      </c>
      <c r="E106" s="2050"/>
      <c r="F106" s="2008">
        <f>D106*LAJES!$E$3</f>
        <v>0</v>
      </c>
      <c r="G106" s="2009"/>
      <c r="H106" s="2022">
        <f ca="1">IF(LAJES!$E$3=0,0,LAJES!BV71)</f>
        <v>-5.0000000000000001E-3</v>
      </c>
      <c r="I106" s="2022"/>
      <c r="J106" s="2035">
        <f>IF(ENTRADAS!D912=0,0,IF(LAJES!$E$3=0,0,LAJES!BU24))</f>
        <v>0</v>
      </c>
      <c r="K106" s="2035"/>
      <c r="L106" s="2035"/>
      <c r="M106" s="2036" t="s">
        <v>896</v>
      </c>
      <c r="N106" s="2036"/>
      <c r="O106" s="2010">
        <f>IF(ENTRADAS!D912=0,0,IF(LAJES!$E$3=0,0,IF(LAJES!$BW$8-LAJES!$BW$7&lt;LAJES!$BW$14,LAJES!$BW$7,LAJES!BU45)))</f>
        <v>0</v>
      </c>
      <c r="P106" s="2012"/>
      <c r="Q106" s="2016">
        <f>IF(ENTRADAS!D912=0,0,IF(LAJES!$E$3=0,0,LAJES!BW71))</f>
        <v>0</v>
      </c>
      <c r="R106" s="2018"/>
      <c r="S106" s="535">
        <f>IF(B106=0,0,LAJES!BU71)</f>
        <v>0</v>
      </c>
      <c r="T106" s="2035">
        <f>LAJES!CB71</f>
        <v>0</v>
      </c>
      <c r="U106" s="2035"/>
      <c r="V106" s="2016">
        <f>LAJES!CD71</f>
        <v>0</v>
      </c>
      <c r="W106" s="2018"/>
      <c r="X106" s="536">
        <f>IF(LAJES!$E$3=0,0,LAJES!CB24)</f>
        <v>0</v>
      </c>
      <c r="AA106" s="534">
        <v>0</v>
      </c>
    </row>
    <row r="107" spans="1:27" s="131" customFormat="1" x14ac:dyDescent="0.35">
      <c r="A107" s="581">
        <f t="shared" ref="A107:A155" ca="1" si="3">IF(B107=0,0,"xxx")</f>
        <v>0</v>
      </c>
      <c r="B107" s="2022">
        <f ca="1">IF(D107=2,"L-bolacha",IF(D107=0,0,"L-2"))</f>
        <v>0</v>
      </c>
      <c r="C107" s="2022"/>
      <c r="D107" s="2050">
        <f ca="1">IF(LAJES!CF72=2,2,IF(LAJES!$E$3=0,0,LAJES!BT72/LAJES!$E$3))</f>
        <v>0</v>
      </c>
      <c r="E107" s="2050"/>
      <c r="F107" s="2008">
        <f ca="1">D107*LAJES!$E$3</f>
        <v>0</v>
      </c>
      <c r="G107" s="2009"/>
      <c r="H107" s="2036" t="s">
        <v>896</v>
      </c>
      <c r="I107" s="2022"/>
      <c r="J107" s="2035">
        <f ca="1">IF(LAJES!$E$3=0,0,LAJES!BU25)</f>
        <v>0</v>
      </c>
      <c r="K107" s="2035"/>
      <c r="L107" s="2035"/>
      <c r="M107" s="2035">
        <f ca="1">IF(LAJES!BT25=1,IF(LAJES!$E$3=0,0,LAJES!BV25/2),IF(LAJES!$E$3=0,0,LAJES!BV25))</f>
        <v>0</v>
      </c>
      <c r="N107" s="2035"/>
      <c r="O107" s="2010">
        <f ca="1">IF(LAJES!BT25=1,0,IF(LAJES!$E$3=0,0,IF(D107=0,0,IF(LAJES!BU46=0,LAJES!$BW$7,LAJES!BU46))))</f>
        <v>0</v>
      </c>
      <c r="P107" s="2012"/>
      <c r="Q107" s="2016">
        <f ca="1">IF(LAJES!BT25=1,0,IF(LAJES!$E$3=0,0,LAJES!BW72))</f>
        <v>0</v>
      </c>
      <c r="R107" s="2018"/>
      <c r="S107" s="535">
        <f ca="1">IF(LAJES!BT25=1,0,IF(B107=0,0,LAJES!BU72))</f>
        <v>0</v>
      </c>
      <c r="T107" s="2035">
        <f ca="1">LAJES!CB72</f>
        <v>0</v>
      </c>
      <c r="U107" s="2035"/>
      <c r="V107" s="2016">
        <f ca="1">LAJES!CD72</f>
        <v>0</v>
      </c>
      <c r="W107" s="2018"/>
      <c r="X107" s="536">
        <f ca="1">IF(LAJES!$E$3=0,0,LAJES!CB25)</f>
        <v>0</v>
      </c>
    </row>
    <row r="108" spans="1:27" s="131" customFormat="1" x14ac:dyDescent="0.35">
      <c r="A108" s="581">
        <f t="shared" ca="1" si="3"/>
        <v>0</v>
      </c>
      <c r="B108" s="2022">
        <f ca="1">IF(D108=2,"L-bolacha",IF(D108=0,0,"L-3"))</f>
        <v>0</v>
      </c>
      <c r="C108" s="2022"/>
      <c r="D108" s="2050">
        <f ca="1">IF(LAJES!CF73=2,2,IF(LAJES!$E$3=0,0,LAJES!BT73/LAJES!$E$3))</f>
        <v>0</v>
      </c>
      <c r="E108" s="2050"/>
      <c r="F108" s="2008">
        <f ca="1">D108*LAJES!$E$3</f>
        <v>0</v>
      </c>
      <c r="G108" s="2009"/>
      <c r="H108" s="2036" t="s">
        <v>896</v>
      </c>
      <c r="I108" s="2022"/>
      <c r="J108" s="2035">
        <f ca="1">IF(LAJES!$E$3=0,0,LAJES!BU26)</f>
        <v>0</v>
      </c>
      <c r="K108" s="2035"/>
      <c r="L108" s="2035"/>
      <c r="M108" s="2016">
        <f ca="1">IF(LAJES!BT26=1,IF(LAJES!$E$3=0,0,LAJES!BV26/2),IF(LAJES!$E$3=0,0,LAJES!BV26))</f>
        <v>0</v>
      </c>
      <c r="N108" s="2018"/>
      <c r="O108" s="2010">
        <f ca="1">IF(LAJES!BT26=1,0,IF(LAJES!$E$3=0,0,IF(D108=0,0,IF(LAJES!BU47=0,LAJES!$BW$7,LAJES!BU47))))</f>
        <v>0</v>
      </c>
      <c r="P108" s="2012"/>
      <c r="Q108" s="2016">
        <f ca="1">IF(LAJES!BT26=1,0,IF(LAJES!$E$3=0,0,LAJES!BW73))</f>
        <v>0</v>
      </c>
      <c r="R108" s="2018"/>
      <c r="S108" s="535">
        <f ca="1">IF(LAJES!BT26=1,0,IF(B108=0,0,LAJES!BU73))</f>
        <v>0</v>
      </c>
      <c r="T108" s="2035">
        <f ca="1">LAJES!CB73</f>
        <v>0</v>
      </c>
      <c r="U108" s="2035"/>
      <c r="V108" s="2016">
        <f ca="1">LAJES!CD73</f>
        <v>0</v>
      </c>
      <c r="W108" s="2018"/>
      <c r="X108" s="536">
        <f ca="1">IF(LAJES!$E$3=0,0,LAJES!CB26)</f>
        <v>0</v>
      </c>
    </row>
    <row r="109" spans="1:27" s="131" customFormat="1" hidden="1" x14ac:dyDescent="0.35">
      <c r="A109" s="581">
        <f t="shared" ca="1" si="3"/>
        <v>0</v>
      </c>
      <c r="B109" s="2022">
        <f ca="1">IF(D109=2,"L-bolacha",IF(D109=0,0,"L-4"))</f>
        <v>0</v>
      </c>
      <c r="C109" s="2022"/>
      <c r="D109" s="2050">
        <f ca="1">IF(LAJES!CF74=2,2,IF(LAJES!$E$3=0,0,LAJES!BT74/LAJES!$E$3))</f>
        <v>0</v>
      </c>
      <c r="E109" s="2050"/>
      <c r="F109" s="2008">
        <f ca="1">D109*LAJES!$E$3</f>
        <v>0</v>
      </c>
      <c r="G109" s="2009"/>
      <c r="H109" s="2036" t="s">
        <v>896</v>
      </c>
      <c r="I109" s="2022"/>
      <c r="J109" s="2035">
        <f ca="1">IF(LAJES!$E$3=0,0,LAJES!BU27)</f>
        <v>0</v>
      </c>
      <c r="K109" s="2035"/>
      <c r="L109" s="2035"/>
      <c r="M109" s="2016">
        <f ca="1">IF(LAJES!BT27=1,IF(LAJES!$E$3=0,0,LAJES!BV27/2),IF(LAJES!$E$3=0,0,LAJES!BV27))</f>
        <v>0</v>
      </c>
      <c r="N109" s="2018"/>
      <c r="O109" s="2010">
        <f ca="1">IF(LAJES!BT27=1,0,IF(LAJES!$E$3=0,0,IF(D109=0,0,IF(LAJES!BU48=0,LAJES!$BW$7,LAJES!BU48))))</f>
        <v>0</v>
      </c>
      <c r="P109" s="2012"/>
      <c r="Q109" s="2016">
        <f ca="1">IF(LAJES!BT27=1,0,IF(LAJES!$E$3=0,0,LAJES!BW74))</f>
        <v>0</v>
      </c>
      <c r="R109" s="2018"/>
      <c r="S109" s="535">
        <f ca="1">IF(LAJES!BT27=1,0,IF(B109=0,0,LAJES!BU74))</f>
        <v>0</v>
      </c>
      <c r="T109" s="2035">
        <f ca="1">LAJES!CB74</f>
        <v>0</v>
      </c>
      <c r="U109" s="2035"/>
      <c r="V109" s="2016">
        <f ca="1">LAJES!CD74</f>
        <v>0</v>
      </c>
      <c r="W109" s="2018"/>
      <c r="X109" s="536">
        <f ca="1">IF(LAJES!$E$3=0,0,LAJES!CB27)</f>
        <v>0</v>
      </c>
    </row>
    <row r="110" spans="1:27" s="131" customFormat="1" hidden="1" x14ac:dyDescent="0.35">
      <c r="A110" s="581">
        <f t="shared" ca="1" si="3"/>
        <v>0</v>
      </c>
      <c r="B110" s="2022">
        <f ca="1">IF(D110=2,"L-bolacha",IF(D110=0,0,"L-5"))</f>
        <v>0</v>
      </c>
      <c r="C110" s="2022"/>
      <c r="D110" s="2050">
        <f ca="1">IF(LAJES!CF75=2,2,IF(LAJES!$E$3=0,0,LAJES!BT75/LAJES!$E$3))</f>
        <v>0</v>
      </c>
      <c r="E110" s="2050"/>
      <c r="F110" s="2008">
        <f ca="1">D110*LAJES!$E$3</f>
        <v>0</v>
      </c>
      <c r="G110" s="2009"/>
      <c r="H110" s="2036" t="s">
        <v>896</v>
      </c>
      <c r="I110" s="2022"/>
      <c r="J110" s="2035">
        <f ca="1">IF(LAJES!$E$3=0,0,LAJES!BU28)</f>
        <v>0</v>
      </c>
      <c r="K110" s="2035"/>
      <c r="L110" s="2035"/>
      <c r="M110" s="2016">
        <f ca="1">IF(LAJES!BT28=1,IF(LAJES!$E$3=0,0,LAJES!BV28/2),IF(LAJES!$E$3=0,0,LAJES!BV28))</f>
        <v>0</v>
      </c>
      <c r="N110" s="2018"/>
      <c r="O110" s="2010">
        <f ca="1">IF(LAJES!BT28=1,0,IF(LAJES!$E$3=0,0,IF(D110=0,0,IF(LAJES!BU49=0,LAJES!$BW$7,LAJES!BU49))))</f>
        <v>0</v>
      </c>
      <c r="P110" s="2012"/>
      <c r="Q110" s="2016">
        <f ca="1">IF(LAJES!BT28=1,0,IF(LAJES!$E$3=0,0,LAJES!BW75))</f>
        <v>0</v>
      </c>
      <c r="R110" s="2018"/>
      <c r="S110" s="535">
        <f ca="1">IF(LAJES!BT28=1,0,IF(B110=0,0,LAJES!BU75))</f>
        <v>0</v>
      </c>
      <c r="T110" s="2035">
        <f ca="1">LAJES!CB75</f>
        <v>0</v>
      </c>
      <c r="U110" s="2035"/>
      <c r="V110" s="2016">
        <f ca="1">LAJES!CD75</f>
        <v>0</v>
      </c>
      <c r="W110" s="2018"/>
      <c r="X110" s="536">
        <f ca="1">IF(LAJES!$E$3=0,0,LAJES!CB28)</f>
        <v>0</v>
      </c>
    </row>
    <row r="111" spans="1:27" s="131" customFormat="1" hidden="1" x14ac:dyDescent="0.35">
      <c r="A111" s="581">
        <f t="shared" ca="1" si="3"/>
        <v>0</v>
      </c>
      <c r="B111" s="2022">
        <f ca="1">IF(D111=2,"L-bolacha",IF(D111=0,0,"L-6"))</f>
        <v>0</v>
      </c>
      <c r="C111" s="2022"/>
      <c r="D111" s="2050">
        <f ca="1">IF(LAJES!$E$3=0,0,LAJES!BT76/LAJES!$E$3)</f>
        <v>0</v>
      </c>
      <c r="E111" s="2050"/>
      <c r="F111" s="2008">
        <f ca="1">D111*LAJES!$E$3</f>
        <v>0</v>
      </c>
      <c r="G111" s="2009"/>
      <c r="H111" s="2036" t="s">
        <v>896</v>
      </c>
      <c r="I111" s="2022"/>
      <c r="J111" s="2035">
        <f ca="1">IF(LAJES!$E$3=0,0,LAJES!BU29)</f>
        <v>0</v>
      </c>
      <c r="K111" s="2035"/>
      <c r="L111" s="2035"/>
      <c r="M111" s="2016">
        <f ca="1">IF(LAJES!BT29=1,IF(LAJES!$E$3=0,0,LAJES!BV29/2),IF(LAJES!$E$3=0,0,LAJES!BV29))</f>
        <v>0</v>
      </c>
      <c r="N111" s="2018"/>
      <c r="O111" s="2010">
        <f ca="1">IF(LAJES!BT29=1,0,IF(LAJES!$E$3=0,0,IF(D111=0,0,IF(LAJES!BU50=0,LAJES!$BW$7,LAJES!BU50))))</f>
        <v>0</v>
      </c>
      <c r="P111" s="2012"/>
      <c r="Q111" s="2016">
        <f ca="1">IF(LAJES!BT29=1,0,IF(LAJES!$E$3=0,0,LAJES!BW76))</f>
        <v>0</v>
      </c>
      <c r="R111" s="2018"/>
      <c r="S111" s="535">
        <f ca="1">IF(LAJES!BT29=1,0,IF(B111=0,0,LAJES!BU76))</f>
        <v>0</v>
      </c>
      <c r="T111" s="2035">
        <f ca="1">LAJES!CB76</f>
        <v>0</v>
      </c>
      <c r="U111" s="2035"/>
      <c r="V111" s="2016">
        <f ca="1">LAJES!CD76</f>
        <v>0</v>
      </c>
      <c r="W111" s="2018"/>
      <c r="X111" s="536">
        <f ca="1">IF(LAJES!$E$3=0,0,LAJES!CB29)</f>
        <v>0</v>
      </c>
    </row>
    <row r="112" spans="1:27" s="131" customFormat="1" hidden="1" x14ac:dyDescent="0.35">
      <c r="A112" s="581">
        <f t="shared" ca="1" si="3"/>
        <v>0</v>
      </c>
      <c r="B112" s="2022">
        <f ca="1">IF(D112=2,"L-bolacha",IF(D112=0,0,"L-7"))</f>
        <v>0</v>
      </c>
      <c r="C112" s="2022"/>
      <c r="D112" s="2050">
        <f ca="1">IF(LAJES!$E$3=0,0,LAJES!BT77/LAJES!$E$3)</f>
        <v>0</v>
      </c>
      <c r="E112" s="2050"/>
      <c r="F112" s="2008">
        <f ca="1">D112*LAJES!$E$3</f>
        <v>0</v>
      </c>
      <c r="G112" s="2009"/>
      <c r="H112" s="2036" t="s">
        <v>896</v>
      </c>
      <c r="I112" s="2022"/>
      <c r="J112" s="2035">
        <f ca="1">IF(LAJES!$E$3=0,0,LAJES!BU30)</f>
        <v>0</v>
      </c>
      <c r="K112" s="2035"/>
      <c r="L112" s="2035"/>
      <c r="M112" s="2016">
        <f ca="1">IF(LAJES!BT30=1,IF(LAJES!$E$3=0,0,LAJES!BV30/2),IF(LAJES!$E$3=0,0,LAJES!BV30))</f>
        <v>0</v>
      </c>
      <c r="N112" s="2018"/>
      <c r="O112" s="2010">
        <f ca="1">IF(LAJES!BT30=1,0,IF(LAJES!$E$3=0,0,IF(D112=0,0,IF(LAJES!BU51=0,LAJES!$BW$7,LAJES!BU51))))</f>
        <v>0</v>
      </c>
      <c r="P112" s="2012"/>
      <c r="Q112" s="2016">
        <f ca="1">IF(LAJES!BT30=1,0,IF(LAJES!$E$3=0,0,LAJES!BW77))</f>
        <v>0</v>
      </c>
      <c r="R112" s="2018"/>
      <c r="S112" s="535">
        <f ca="1">IF(LAJES!BT30=1,0,IF(B112=0,0,LAJES!BU77))</f>
        <v>0</v>
      </c>
      <c r="T112" s="2035">
        <f ca="1">LAJES!CB77</f>
        <v>0</v>
      </c>
      <c r="U112" s="2035"/>
      <c r="V112" s="2016">
        <f ca="1">LAJES!CD77</f>
        <v>0</v>
      </c>
      <c r="W112" s="2018"/>
      <c r="X112" s="536">
        <f ca="1">IF(LAJES!$E$3=0,0,LAJES!CB30)</f>
        <v>0</v>
      </c>
    </row>
    <row r="113" spans="1:24" s="131" customFormat="1" hidden="1" x14ac:dyDescent="0.35">
      <c r="A113" s="581">
        <f t="shared" ca="1" si="3"/>
        <v>0</v>
      </c>
      <c r="B113" s="2022">
        <f ca="1">IF(D113=2,"L-bolacha",IF(D113=0,0,"L-8"))</f>
        <v>0</v>
      </c>
      <c r="C113" s="2022"/>
      <c r="D113" s="2050">
        <f ca="1">IF(LAJES!$E$3=0,0,LAJES!BT78/LAJES!$E$3)</f>
        <v>0</v>
      </c>
      <c r="E113" s="2050"/>
      <c r="F113" s="2008">
        <f ca="1">D113*LAJES!$E$3</f>
        <v>0</v>
      </c>
      <c r="G113" s="2009"/>
      <c r="H113" s="2036" t="s">
        <v>896</v>
      </c>
      <c r="I113" s="2022"/>
      <c r="J113" s="2035">
        <f ca="1">IF(LAJES!$E$3=0,0,LAJES!BU31)</f>
        <v>0</v>
      </c>
      <c r="K113" s="2035"/>
      <c r="L113" s="2035"/>
      <c r="M113" s="2016">
        <f ca="1">IF(LAJES!BT31=1,IF(LAJES!$E$3=0,0,LAJES!BV31/2),IF(LAJES!$E$3=0,0,LAJES!BV31))</f>
        <v>0</v>
      </c>
      <c r="N113" s="2018"/>
      <c r="O113" s="2010">
        <f ca="1">IF(LAJES!BT31=1,0,IF(LAJES!$E$3=0,0,IF(D113=0,0,IF(LAJES!BU52=0,LAJES!$BW$7,LAJES!BU52))))</f>
        <v>0</v>
      </c>
      <c r="P113" s="2012"/>
      <c r="Q113" s="2016">
        <f ca="1">IF(LAJES!BT31=1,0,IF(LAJES!$E$3=0,0,LAJES!BW78))</f>
        <v>0</v>
      </c>
      <c r="R113" s="2018"/>
      <c r="S113" s="535">
        <f ca="1">IF(LAJES!BT31=1,0,IF(B113=0,0,LAJES!BU78))</f>
        <v>0</v>
      </c>
      <c r="T113" s="2035">
        <f ca="1">LAJES!CB78</f>
        <v>0</v>
      </c>
      <c r="U113" s="2035"/>
      <c r="V113" s="2016">
        <f ca="1">LAJES!CD78</f>
        <v>0</v>
      </c>
      <c r="W113" s="2018"/>
      <c r="X113" s="536">
        <f ca="1">IF(LAJES!$E$3=0,0,LAJES!CB31)</f>
        <v>0</v>
      </c>
    </row>
    <row r="114" spans="1:24" s="131" customFormat="1" hidden="1" x14ac:dyDescent="0.35">
      <c r="A114" s="581">
        <f t="shared" ca="1" si="3"/>
        <v>0</v>
      </c>
      <c r="B114" s="2022">
        <f ca="1">IF(D114=2,"L-bolacha",IF(D114=0,0,"L-9"))</f>
        <v>0</v>
      </c>
      <c r="C114" s="2022"/>
      <c r="D114" s="2050">
        <f ca="1">IF(LAJES!$E$3=0,0,LAJES!BT79/LAJES!$E$3)</f>
        <v>0</v>
      </c>
      <c r="E114" s="2050"/>
      <c r="F114" s="2008">
        <f ca="1">D114*LAJES!$E$3</f>
        <v>0</v>
      </c>
      <c r="G114" s="2009"/>
      <c r="H114" s="2036" t="s">
        <v>896</v>
      </c>
      <c r="I114" s="2022"/>
      <c r="J114" s="2035">
        <f ca="1">IF(LAJES!$E$3=0,0,LAJES!BU32)</f>
        <v>0</v>
      </c>
      <c r="K114" s="2035"/>
      <c r="L114" s="2035"/>
      <c r="M114" s="2016">
        <f ca="1">IF(LAJES!BT32=1,IF(LAJES!$E$3=0,0,LAJES!BV32/2),IF(LAJES!$E$3=0,0,LAJES!BV32))</f>
        <v>0</v>
      </c>
      <c r="N114" s="2018"/>
      <c r="O114" s="2010">
        <f ca="1">IF(LAJES!BT32=1,0,IF(LAJES!$E$3=0,0,IF(D114=0,0,IF(LAJES!BU53=0,LAJES!$BW$7,LAJES!BU53))))</f>
        <v>0</v>
      </c>
      <c r="P114" s="2012"/>
      <c r="Q114" s="2016">
        <f ca="1">IF(LAJES!BT32=1,0,IF(LAJES!$E$3=0,0,LAJES!BW79))</f>
        <v>0</v>
      </c>
      <c r="R114" s="2018"/>
      <c r="S114" s="535">
        <f ca="1">IF(LAJES!BT32=1,0,IF(B114=0,0,LAJES!BU79))</f>
        <v>0</v>
      </c>
      <c r="T114" s="2035">
        <f ca="1">LAJES!CB79</f>
        <v>0</v>
      </c>
      <c r="U114" s="2035"/>
      <c r="V114" s="2016">
        <f ca="1">LAJES!CD79</f>
        <v>0</v>
      </c>
      <c r="W114" s="2018"/>
      <c r="X114" s="536">
        <f ca="1">IF(LAJES!$E$3=0,0,LAJES!CB32)</f>
        <v>0</v>
      </c>
    </row>
    <row r="115" spans="1:24" s="131" customFormat="1" hidden="1" x14ac:dyDescent="0.35">
      <c r="A115" s="581">
        <f t="shared" ca="1" si="3"/>
        <v>0</v>
      </c>
      <c r="B115" s="2022">
        <f ca="1">IF(D115=2,"L-bolacha",IF(D115=0,0,"L-10"))</f>
        <v>0</v>
      </c>
      <c r="C115" s="2022"/>
      <c r="D115" s="2050">
        <f ca="1">IF(LAJES!$E$3=0,0,LAJES!BT80/LAJES!$E$3)</f>
        <v>0</v>
      </c>
      <c r="E115" s="2050"/>
      <c r="F115" s="2008">
        <f ca="1">D115*LAJES!$E$3</f>
        <v>0</v>
      </c>
      <c r="G115" s="2009"/>
      <c r="H115" s="2036" t="s">
        <v>896</v>
      </c>
      <c r="I115" s="2022"/>
      <c r="J115" s="2035">
        <f ca="1">IF(LAJES!$E$3=0,0,LAJES!BU33)</f>
        <v>0</v>
      </c>
      <c r="K115" s="2035"/>
      <c r="L115" s="2035"/>
      <c r="M115" s="2016">
        <f ca="1">IF(LAJES!BT33=1,IF(LAJES!$E$3=0,0,LAJES!BV33/2),IF(LAJES!$E$3=0,0,LAJES!BV33))</f>
        <v>0</v>
      </c>
      <c r="N115" s="2018"/>
      <c r="O115" s="2010">
        <f ca="1">IF(LAJES!BT33=1,0,IF(LAJES!$E$3=0,0,IF(D115=0,0,IF(LAJES!BU54=0,LAJES!$BW$7,LAJES!BU54))))</f>
        <v>0</v>
      </c>
      <c r="P115" s="2012"/>
      <c r="Q115" s="2016">
        <f ca="1">IF(LAJES!BT33=1,0,IF(LAJES!$E$3=0,0,LAJES!BW80))</f>
        <v>0</v>
      </c>
      <c r="R115" s="2018"/>
      <c r="S115" s="535">
        <f ca="1">IF(LAJES!BT33=1,0,IF(B115=0,0,LAJES!BU80))</f>
        <v>0</v>
      </c>
      <c r="T115" s="2035">
        <f ca="1">LAJES!CB80</f>
        <v>0</v>
      </c>
      <c r="U115" s="2035"/>
      <c r="V115" s="2016">
        <f ca="1">LAJES!CD80</f>
        <v>0</v>
      </c>
      <c r="W115" s="2018"/>
      <c r="X115" s="536">
        <f ca="1">IF(LAJES!$E$3=0,0,LAJES!CB33)</f>
        <v>0</v>
      </c>
    </row>
    <row r="116" spans="1:24" s="131" customFormat="1" hidden="1" x14ac:dyDescent="0.35">
      <c r="A116" s="581">
        <f t="shared" ca="1" si="3"/>
        <v>0</v>
      </c>
      <c r="B116" s="2022">
        <f ca="1">IF(D116=2,"L-bolacha",IF(D116=0,0,"L-11"))</f>
        <v>0</v>
      </c>
      <c r="C116" s="2022"/>
      <c r="D116" s="2050">
        <f ca="1">IF(LAJES!$E$3=0,0,LAJES!BT81/LAJES!$E$3)</f>
        <v>0</v>
      </c>
      <c r="E116" s="2050"/>
      <c r="F116" s="2008">
        <f ca="1">D116*LAJES!$E$3</f>
        <v>0</v>
      </c>
      <c r="G116" s="2009"/>
      <c r="H116" s="2036" t="s">
        <v>896</v>
      </c>
      <c r="I116" s="2022"/>
      <c r="J116" s="2035">
        <f ca="1">IF(LAJES!$E$3=0,0,LAJES!BU34)</f>
        <v>0</v>
      </c>
      <c r="K116" s="2035"/>
      <c r="L116" s="2035"/>
      <c r="M116" s="2016">
        <f ca="1">IF(LAJES!BT34=1,IF(LAJES!$E$3=0,0,LAJES!BV34/2),IF(LAJES!$E$3=0,0,LAJES!BV34))</f>
        <v>0</v>
      </c>
      <c r="N116" s="2018"/>
      <c r="O116" s="2010">
        <f ca="1">IF(LAJES!BT34=1,0,IF(LAJES!$E$3=0,0,IF(D116=0,0,IF(LAJES!BU55=0,LAJES!$BW$7,LAJES!BU55))))</f>
        <v>0</v>
      </c>
      <c r="P116" s="2012"/>
      <c r="Q116" s="2016">
        <f ca="1">IF(LAJES!BT34=1,0,IF(LAJES!$E$3=0,0,LAJES!BW81))</f>
        <v>0</v>
      </c>
      <c r="R116" s="2018"/>
      <c r="S116" s="535">
        <f ca="1">IF(LAJES!BT34=1,0,IF(B116=0,0,LAJES!BU81))</f>
        <v>0</v>
      </c>
      <c r="T116" s="2035">
        <f ca="1">LAJES!CB81</f>
        <v>0</v>
      </c>
      <c r="U116" s="2035"/>
      <c r="V116" s="2016">
        <f ca="1">LAJES!CD81</f>
        <v>0</v>
      </c>
      <c r="W116" s="2018"/>
      <c r="X116" s="536">
        <f ca="1">IF(LAJES!$E$3=0,0,LAJES!CB34)</f>
        <v>0</v>
      </c>
    </row>
    <row r="117" spans="1:24" s="131" customFormat="1" hidden="1" x14ac:dyDescent="0.35">
      <c r="A117" s="581">
        <f t="shared" ca="1" si="3"/>
        <v>0</v>
      </c>
      <c r="B117" s="2022">
        <f ca="1">IF(D117=2,"L-bolacha",IF(D117=0,0,"L-12"))</f>
        <v>0</v>
      </c>
      <c r="C117" s="2022"/>
      <c r="D117" s="2050">
        <f ca="1">IF(LAJES!$E$3=0,0,LAJES!BT82/LAJES!$E$3)</f>
        <v>0</v>
      </c>
      <c r="E117" s="2050"/>
      <c r="F117" s="2008">
        <f ca="1">D117*LAJES!$E$3</f>
        <v>0</v>
      </c>
      <c r="G117" s="2009"/>
      <c r="H117" s="2036" t="s">
        <v>896</v>
      </c>
      <c r="I117" s="2022"/>
      <c r="J117" s="2035">
        <f ca="1">IF(LAJES!$E$3=0,0,LAJES!BU35)</f>
        <v>0</v>
      </c>
      <c r="K117" s="2035"/>
      <c r="L117" s="2035"/>
      <c r="M117" s="2016">
        <f ca="1">IF(LAJES!BT35=1,IF(LAJES!$E$3=0,0,LAJES!BV35/2),IF(LAJES!$E$3=0,0,LAJES!BV35))</f>
        <v>0</v>
      </c>
      <c r="N117" s="2018"/>
      <c r="O117" s="2010">
        <f ca="1">IF(LAJES!BT35=1,0,IF(LAJES!$E$3=0,0,IF(D117=0,0,IF(LAJES!BU56=0,LAJES!$BW$7,LAJES!BU56))))</f>
        <v>0</v>
      </c>
      <c r="P117" s="2012"/>
      <c r="Q117" s="2016">
        <f ca="1">IF(LAJES!BT35=1,0,IF(LAJES!$E$3=0,0,LAJES!BW82))</f>
        <v>0</v>
      </c>
      <c r="R117" s="2018"/>
      <c r="S117" s="535">
        <f ca="1">IF(LAJES!BT35=1,0,IF(B117=0,0,LAJES!BU82))</f>
        <v>0</v>
      </c>
      <c r="T117" s="2035">
        <f ca="1">LAJES!CB82</f>
        <v>0</v>
      </c>
      <c r="U117" s="2035"/>
      <c r="V117" s="2016">
        <f ca="1">LAJES!CD82</f>
        <v>0</v>
      </c>
      <c r="W117" s="2018"/>
      <c r="X117" s="536">
        <f ca="1">IF(LAJES!$E$3=0,0,LAJES!CB35)</f>
        <v>0</v>
      </c>
    </row>
    <row r="118" spans="1:24" s="131" customFormat="1" hidden="1" x14ac:dyDescent="0.35">
      <c r="A118" s="581">
        <f t="shared" ca="1" si="3"/>
        <v>0</v>
      </c>
      <c r="B118" s="2022">
        <f ca="1">IF(D118=2,"L-bolacha",IF(D118=0,0,"L-13"))</f>
        <v>0</v>
      </c>
      <c r="C118" s="2022"/>
      <c r="D118" s="2050">
        <f ca="1">IF(LAJES!$E$3=0,0,LAJES!BT83/LAJES!$E$3)</f>
        <v>0</v>
      </c>
      <c r="E118" s="2050"/>
      <c r="F118" s="2008">
        <f ca="1">D118*LAJES!$E$3</f>
        <v>0</v>
      </c>
      <c r="G118" s="2009"/>
      <c r="H118" s="2036" t="s">
        <v>896</v>
      </c>
      <c r="I118" s="2022"/>
      <c r="J118" s="2035">
        <f ca="1">IF(LAJES!$E$3=0,0,LAJES!BU36)</f>
        <v>0</v>
      </c>
      <c r="K118" s="2035"/>
      <c r="L118" s="2035"/>
      <c r="M118" s="2016">
        <f ca="1">IF(LAJES!BT36=1,IF(LAJES!$E$3=0,0,LAJES!BV36/2),IF(LAJES!$E$3=0,0,LAJES!BV36))</f>
        <v>0</v>
      </c>
      <c r="N118" s="2018"/>
      <c r="O118" s="2010">
        <f ca="1">IF(LAJES!BT36=1,0,IF(LAJES!$E$3=0,0,IF(D118=0,0,IF(LAJES!BU57=0,LAJES!$BW$7,LAJES!BU57))))</f>
        <v>0</v>
      </c>
      <c r="P118" s="2012"/>
      <c r="Q118" s="2016">
        <f ca="1">IF(LAJES!BT36=1,0,IF(LAJES!$E$3=0,0,LAJES!BW83))</f>
        <v>0</v>
      </c>
      <c r="R118" s="2018"/>
      <c r="S118" s="535">
        <f ca="1">IF(LAJES!BT36=1,0,IF(B118=0,0,LAJES!BU83))</f>
        <v>0</v>
      </c>
      <c r="T118" s="2035">
        <f ca="1">LAJES!CB83</f>
        <v>0</v>
      </c>
      <c r="U118" s="2035"/>
      <c r="V118" s="2016">
        <f ca="1">LAJES!CD83</f>
        <v>0</v>
      </c>
      <c r="W118" s="2018"/>
      <c r="X118" s="536">
        <f ca="1">IF(LAJES!$E$3=0,0,LAJES!CB36)</f>
        <v>0</v>
      </c>
    </row>
    <row r="119" spans="1:24" s="131" customFormat="1" hidden="1" x14ac:dyDescent="0.35">
      <c r="A119" s="581">
        <f t="shared" ca="1" si="3"/>
        <v>0</v>
      </c>
      <c r="B119" s="2022">
        <f ca="1">IF(D119=2,"L-bolacha",IF(D119=0,0,"L-14"))</f>
        <v>0</v>
      </c>
      <c r="C119" s="2022"/>
      <c r="D119" s="2050">
        <f ca="1">IF(LAJES!$E$3=0,0,LAJES!BT84/LAJES!$E$3)</f>
        <v>0</v>
      </c>
      <c r="E119" s="2050"/>
      <c r="F119" s="2008">
        <f ca="1">D119*LAJES!$E$3</f>
        <v>0</v>
      </c>
      <c r="G119" s="2009"/>
      <c r="H119" s="2036" t="s">
        <v>896</v>
      </c>
      <c r="I119" s="2022"/>
      <c r="J119" s="2035">
        <f ca="1">IF(LAJES!$E$3=0,0,LAJES!BU37)</f>
        <v>0</v>
      </c>
      <c r="K119" s="2035"/>
      <c r="L119" s="2035"/>
      <c r="M119" s="2016">
        <f ca="1">IF(LAJES!BT37=1,IF(LAJES!$E$3=0,0,LAJES!BV37/2),IF(LAJES!$E$3=0,0,LAJES!BV37))</f>
        <v>0</v>
      </c>
      <c r="N119" s="2018"/>
      <c r="O119" s="2010">
        <f ca="1">IF(LAJES!BT37=1,0,IF(LAJES!$E$3=0,0,IF(D119=0,0,IF(LAJES!BU58=0,LAJES!$BW$7,LAJES!BU58))))</f>
        <v>0</v>
      </c>
      <c r="P119" s="2012"/>
      <c r="Q119" s="2016">
        <f ca="1">IF(LAJES!BT37=1,0,IF(LAJES!$E$3=0,0,LAJES!BW84))</f>
        <v>0</v>
      </c>
      <c r="R119" s="2018"/>
      <c r="S119" s="535">
        <f ca="1">IF(LAJES!BT37=1,0,IF(B119=0,0,LAJES!BU84))</f>
        <v>0</v>
      </c>
      <c r="T119" s="2035">
        <f ca="1">LAJES!CB84</f>
        <v>0</v>
      </c>
      <c r="U119" s="2035"/>
      <c r="V119" s="2016">
        <f ca="1">LAJES!CD84</f>
        <v>0</v>
      </c>
      <c r="W119" s="2018"/>
      <c r="X119" s="536">
        <f ca="1">IF(LAJES!$E$3=0,0,LAJES!CB37)</f>
        <v>0</v>
      </c>
    </row>
    <row r="120" spans="1:24" s="131" customFormat="1" hidden="1" x14ac:dyDescent="0.35">
      <c r="A120" s="581">
        <f t="shared" ca="1" si="3"/>
        <v>0</v>
      </c>
      <c r="B120" s="2022">
        <f ca="1">IF(D120=2,"L-bolacha",IF(D120=0,0,"L-15"))</f>
        <v>0</v>
      </c>
      <c r="C120" s="2022"/>
      <c r="D120" s="2050">
        <f ca="1">IF(LAJES!$E$3=0,0,LAJES!BT85/LAJES!$E$3)</f>
        <v>0</v>
      </c>
      <c r="E120" s="2050"/>
      <c r="F120" s="2008">
        <f ca="1">D120*LAJES!$E$3</f>
        <v>0</v>
      </c>
      <c r="G120" s="2009"/>
      <c r="H120" s="2036" t="s">
        <v>896</v>
      </c>
      <c r="I120" s="2022"/>
      <c r="J120" s="2035">
        <f ca="1">IF(LAJES!$E$3=0,0,LAJES!BU38)</f>
        <v>0</v>
      </c>
      <c r="K120" s="2035"/>
      <c r="L120" s="2035"/>
      <c r="M120" s="2016">
        <f ca="1">IF(LAJES!BT38=1,IF(LAJES!$E$3=0,0,LAJES!BV38/2),IF(LAJES!$E$3=0,0,LAJES!BV38))</f>
        <v>0</v>
      </c>
      <c r="N120" s="2018"/>
      <c r="O120" s="2010">
        <f ca="1">IF(LAJES!BT38=1,0,IF(LAJES!$E$3=0,0,IF(D120=0,0,IF(LAJES!BU59=0,LAJES!$BW$7,LAJES!BU59))))</f>
        <v>0</v>
      </c>
      <c r="P120" s="2012"/>
      <c r="Q120" s="2016">
        <f ca="1">IF(LAJES!BT38=1,0,IF(LAJES!$E$3=0,0,LAJES!BW85))</f>
        <v>0</v>
      </c>
      <c r="R120" s="2018"/>
      <c r="S120" s="535">
        <f ca="1">IF(LAJES!BT38=1,0,IF(B120=0,0,LAJES!BU85))</f>
        <v>0</v>
      </c>
      <c r="T120" s="2035">
        <f ca="1">LAJES!CB85</f>
        <v>0</v>
      </c>
      <c r="U120" s="2035"/>
      <c r="V120" s="2016">
        <f ca="1">LAJES!CD85</f>
        <v>0</v>
      </c>
      <c r="W120" s="2018"/>
      <c r="X120" s="536">
        <f ca="1">IF(LAJES!$E$3=0,0,LAJES!CB38)</f>
        <v>0</v>
      </c>
    </row>
    <row r="121" spans="1:24" s="131" customFormat="1" hidden="1" x14ac:dyDescent="0.35">
      <c r="A121" s="581">
        <f t="shared" ca="1" si="3"/>
        <v>0</v>
      </c>
      <c r="B121" s="2022">
        <f t="shared" ref="B121" ca="1" si="4">IF(D121=2,"L-bolacha",IF(D121=0,0,"L-1"))</f>
        <v>0</v>
      </c>
      <c r="C121" s="2022"/>
      <c r="D121" s="2050">
        <f ca="1">IF(LAJES!$E$3=0,0,LAJES!BT86/LAJES!$E$3)</f>
        <v>0</v>
      </c>
      <c r="E121" s="2050"/>
      <c r="F121" s="2008">
        <f ca="1">D121*LAJES!$E$3</f>
        <v>0</v>
      </c>
      <c r="G121" s="2009"/>
      <c r="H121" s="2036" t="s">
        <v>896</v>
      </c>
      <c r="I121" s="2022"/>
      <c r="J121" s="2035">
        <f ca="1">IF(LAJES!$E$3=0,0,LAJES!BU39)</f>
        <v>0</v>
      </c>
      <c r="K121" s="2035"/>
      <c r="L121" s="2035"/>
      <c r="M121" s="2016">
        <f ca="1">IF(LAJES!BT39=1,IF(LAJES!$E$3=0,0,LAJES!BV39/2),IF(LAJES!$E$3=0,0,LAJES!BV39))</f>
        <v>0</v>
      </c>
      <c r="N121" s="2018"/>
      <c r="O121" s="2010">
        <f ca="1">IF(LAJES!BT39=1,0,IF(LAJES!$E$3=0,0,IF(D121=0,0,IF(LAJES!BU60=0,LAJES!$BW$7,LAJES!BU60))))</f>
        <v>0</v>
      </c>
      <c r="P121" s="2012"/>
      <c r="Q121" s="2016">
        <f ca="1">IF(LAJES!BT39=1,0,IF(LAJES!$E$3=0,0,LAJES!BW86))</f>
        <v>0</v>
      </c>
      <c r="R121" s="2018"/>
      <c r="S121" s="535">
        <f ca="1">IF(LAJES!BT39=1,0,IF(B121=0,0,LAJES!BU86))</f>
        <v>0</v>
      </c>
      <c r="T121" s="2035">
        <f ca="1">LAJES!CB86</f>
        <v>0</v>
      </c>
      <c r="U121" s="2035"/>
      <c r="V121" s="2016">
        <f ca="1">LAJES!CD86</f>
        <v>0</v>
      </c>
      <c r="W121" s="2018"/>
      <c r="X121" s="536">
        <f ca="1">IF(LAJES!$E$3=0,0,LAJES!CB39)</f>
        <v>0</v>
      </c>
    </row>
    <row r="122" spans="1:24" x14ac:dyDescent="0.35">
      <c r="A122" s="581" t="str">
        <f t="shared" si="3"/>
        <v>xxx</v>
      </c>
      <c r="B122" s="581" t="s">
        <v>1720</v>
      </c>
      <c r="C122" s="25"/>
      <c r="D122" s="25"/>
      <c r="E122" s="25"/>
      <c r="F122" s="25"/>
      <c r="G122" s="25"/>
      <c r="H122" s="25"/>
      <c r="I122" s="25"/>
      <c r="J122" s="25"/>
      <c r="K122" s="25"/>
      <c r="L122" s="25"/>
      <c r="M122" s="25"/>
      <c r="N122" s="25"/>
      <c r="O122" s="25"/>
      <c r="P122" s="25"/>
      <c r="Q122" s="25"/>
      <c r="R122" s="25"/>
      <c r="S122" s="25"/>
      <c r="T122" s="25"/>
      <c r="U122" s="25"/>
      <c r="V122" s="25"/>
      <c r="W122" s="330"/>
      <c r="X122" s="25"/>
    </row>
    <row r="123" spans="1:24" ht="13.5" x14ac:dyDescent="0.35">
      <c r="A123" s="581" t="str">
        <f t="shared" si="3"/>
        <v>xxx</v>
      </c>
      <c r="B123" s="305">
        <v>7</v>
      </c>
      <c r="C123" s="306" t="s">
        <v>1736</v>
      </c>
      <c r="D123" s="307"/>
      <c r="E123" s="307"/>
      <c r="F123" s="307"/>
      <c r="G123" s="307"/>
      <c r="H123" s="307"/>
      <c r="I123" s="307"/>
      <c r="J123" s="307"/>
      <c r="K123" s="307"/>
      <c r="L123" s="307"/>
      <c r="M123" s="307"/>
      <c r="N123" s="307"/>
      <c r="O123" s="307"/>
      <c r="P123" s="307"/>
      <c r="Q123" s="307"/>
      <c r="R123" s="307"/>
      <c r="S123" s="307"/>
      <c r="T123" s="307"/>
      <c r="U123" s="307"/>
      <c r="V123" s="307"/>
      <c r="W123" s="307"/>
      <c r="X123" s="307"/>
    </row>
    <row r="124" spans="1:24" x14ac:dyDescent="0.35">
      <c r="A124" s="581" t="str">
        <f t="shared" si="3"/>
        <v>xxx</v>
      </c>
      <c r="B124" s="195" t="s">
        <v>1720</v>
      </c>
    </row>
    <row r="125" spans="1:24" x14ac:dyDescent="0.35">
      <c r="A125" s="581" t="str">
        <f t="shared" si="3"/>
        <v>xxx</v>
      </c>
      <c r="B125" s="592" t="s">
        <v>1720</v>
      </c>
      <c r="C125" s="2044" t="s">
        <v>1737</v>
      </c>
      <c r="D125" s="2045"/>
      <c r="E125" s="2045"/>
      <c r="F125" s="2045"/>
      <c r="G125" s="2045"/>
      <c r="H125" s="2045"/>
      <c r="I125" s="2045"/>
      <c r="J125" s="2045"/>
      <c r="K125" s="2045"/>
      <c r="L125" s="2045"/>
      <c r="M125" s="2045"/>
      <c r="N125" s="2045"/>
      <c r="O125" s="2045"/>
      <c r="P125" s="2045"/>
      <c r="Q125" s="2045"/>
      <c r="R125" s="2045"/>
      <c r="S125" s="2045"/>
      <c r="T125" s="2045"/>
      <c r="U125" s="2045"/>
      <c r="V125" s="2045"/>
      <c r="W125" s="2045"/>
      <c r="X125" s="2045"/>
    </row>
    <row r="126" spans="1:24" x14ac:dyDescent="0.35">
      <c r="A126" s="581" t="str">
        <f t="shared" ca="1" si="3"/>
        <v>xxx</v>
      </c>
      <c r="B126" s="592" t="str">
        <f ca="1">IF(C126=0,0,"SSS")</f>
        <v>SSS</v>
      </c>
      <c r="C126" s="14" t="str">
        <f ca="1">INSUMOS!D73</f>
        <v xml:space="preserve">FRETE para 1000 km com CARRETA LS  capac.= 31 ton </v>
      </c>
      <c r="D126" s="14"/>
      <c r="E126" s="14"/>
      <c r="F126" s="14"/>
      <c r="G126" s="14"/>
      <c r="H126" s="14"/>
      <c r="I126" s="14"/>
      <c r="J126" s="14"/>
      <c r="K126" s="14"/>
      <c r="L126" s="14"/>
      <c r="M126" s="14"/>
      <c r="N126" s="14"/>
      <c r="O126" s="14"/>
      <c r="P126" s="14"/>
      <c r="Q126" s="14"/>
      <c r="R126" s="552" t="str">
        <f ca="1">IF(ENTRADAS!I15=0,0,IF(C126=0,0,"e comprimento="))</f>
        <v>e comprimento=</v>
      </c>
      <c r="S126" s="14"/>
      <c r="T126" s="550">
        <f ca="1">IF(ENTRADAS!I15=0,0,IF(C126=0,0,VLOOKUP(CÁLCULOS!$BJ$8,CÁLCULOS!C176:O218,12,0)))</f>
        <v>12.4</v>
      </c>
      <c r="U126" s="14" t="str">
        <f ca="1">IF(T126=0,0,"m")</f>
        <v>m</v>
      </c>
      <c r="V126" s="15"/>
      <c r="W126" s="2047">
        <f ca="1">INSUMOS!K73</f>
        <v>84</v>
      </c>
      <c r="X126" s="2049" t="str">
        <f ca="1">IF(W126=0,0,"fretes")</f>
        <v>fretes</v>
      </c>
    </row>
    <row r="127" spans="1:24" x14ac:dyDescent="0.35">
      <c r="A127" s="581" t="str">
        <f t="shared" ca="1" si="3"/>
        <v>xxx</v>
      </c>
      <c r="B127" s="201" t="str">
        <f ca="1">IF(C127=0,0,"SSS")</f>
        <v>SSS</v>
      </c>
      <c r="C127" s="3" t="str">
        <f ca="1">INSUMOS!D74</f>
        <v>CARGA c/ 3  painéis ( larg.= 2,40m // espess.= 0,25 m // comp.= 7,3 m )</v>
      </c>
      <c r="D127" s="3"/>
      <c r="E127" s="3"/>
      <c r="F127" s="3"/>
      <c r="G127" s="3"/>
      <c r="H127" s="3"/>
      <c r="I127" s="3"/>
      <c r="J127" s="3"/>
      <c r="K127" s="3"/>
      <c r="L127" s="3"/>
      <c r="M127" s="3"/>
      <c r="N127" s="3"/>
      <c r="O127" s="3"/>
      <c r="P127" s="3"/>
      <c r="Q127" s="3"/>
      <c r="R127" s="3"/>
      <c r="S127" s="3"/>
      <c r="T127" s="3"/>
      <c r="U127" s="3"/>
      <c r="V127" s="17"/>
      <c r="W127" s="2048"/>
      <c r="X127" s="1705"/>
    </row>
    <row r="128" spans="1:24" ht="26.25" customHeight="1" x14ac:dyDescent="0.35">
      <c r="A128" s="581" t="str">
        <f t="shared" si="3"/>
        <v>xxx</v>
      </c>
      <c r="B128" s="591" t="s">
        <v>1685</v>
      </c>
      <c r="C128" s="2046">
        <f>INSUMOS!D75</f>
        <v>0</v>
      </c>
      <c r="D128" s="2046"/>
      <c r="E128" s="2046"/>
      <c r="F128" s="2046"/>
      <c r="G128" s="2046"/>
      <c r="H128" s="2046"/>
      <c r="I128" s="2046"/>
      <c r="J128" s="2046"/>
      <c r="K128" s="2046"/>
      <c r="L128" s="2046"/>
      <c r="M128" s="2046"/>
      <c r="N128" s="2046"/>
      <c r="O128" s="2046"/>
      <c r="P128" s="2046"/>
      <c r="Q128" s="2046"/>
      <c r="R128" s="2046"/>
      <c r="S128" s="2046"/>
      <c r="T128" s="2046"/>
      <c r="U128" s="2046"/>
      <c r="V128" s="1739"/>
      <c r="W128" s="551">
        <f>INSUMOS!N75</f>
        <v>0</v>
      </c>
      <c r="X128" s="546">
        <f>IF(W128=0,0,"fretes")</f>
        <v>0</v>
      </c>
    </row>
    <row r="129" spans="1:24" x14ac:dyDescent="0.35">
      <c r="A129" s="581" t="str">
        <f t="shared" si="3"/>
        <v>xxx</v>
      </c>
      <c r="B129" s="195" t="s">
        <v>1720</v>
      </c>
    </row>
    <row r="130" spans="1:24" x14ac:dyDescent="0.35">
      <c r="A130" s="581" t="str">
        <f>IF(B130=0,0,"xxx")</f>
        <v>xxx</v>
      </c>
      <c r="B130" s="591" t="s">
        <v>1685</v>
      </c>
      <c r="C130" s="2044" t="str">
        <f>"PARA PILARES---"&amp;IF(ENTRADAS!E1075="X","VOCÊ DEFINIU POR UTILIZAR AS SOBRAS DE ESPAÇOS DAS CARRETAS DAS PAREDES","VOCÊ DEFINIU POR UTILIZAR CARRETAS INDEPENDENTES PARA PILARES E LAJES")</f>
        <v>PARA PILARES---VOCÊ DEFINIU POR UTILIZAR CARRETAS INDEPENDENTES PARA PILARES E LAJES</v>
      </c>
      <c r="D130" s="2045"/>
      <c r="E130" s="2045"/>
      <c r="F130" s="2045"/>
      <c r="G130" s="2045"/>
      <c r="H130" s="2045"/>
      <c r="I130" s="2045"/>
      <c r="J130" s="2045"/>
      <c r="K130" s="2045"/>
      <c r="L130" s="2045"/>
      <c r="M130" s="2045"/>
      <c r="N130" s="2045"/>
      <c r="O130" s="2045"/>
      <c r="P130" s="2045"/>
      <c r="Q130" s="2045"/>
      <c r="R130" s="2045"/>
      <c r="S130" s="2045"/>
      <c r="T130" s="2045"/>
      <c r="U130" s="2045"/>
      <c r="V130" s="2045"/>
      <c r="W130" s="2045"/>
      <c r="X130" s="2045"/>
    </row>
    <row r="131" spans="1:24" x14ac:dyDescent="0.35">
      <c r="A131" s="581" t="str">
        <f>IF(B131=0,0,"xxx")</f>
        <v>xxx</v>
      </c>
      <c r="B131" s="591" t="s">
        <v>1685</v>
      </c>
      <c r="C131" s="1770" t="str">
        <f>IF(ENTRADAS!D912="X",LAJES!A156,"não há cobertura no tanque")</f>
        <v>não há cobertura no tanque</v>
      </c>
      <c r="D131" s="1770"/>
      <c r="E131" s="1770"/>
      <c r="F131" s="1770"/>
      <c r="G131" s="1770"/>
      <c r="H131" s="1770"/>
      <c r="I131" s="1770"/>
      <c r="J131" s="1770"/>
      <c r="K131" s="1770"/>
      <c r="L131" s="1770"/>
      <c r="M131" s="1770"/>
      <c r="N131" s="1770"/>
      <c r="O131" s="1770"/>
      <c r="P131" s="1770"/>
      <c r="Q131" s="1770"/>
      <c r="R131" s="1770"/>
      <c r="S131" s="1770"/>
      <c r="T131" s="1770"/>
      <c r="U131" s="1770"/>
      <c r="V131" s="1770"/>
      <c r="W131" s="1770"/>
      <c r="X131" s="1771"/>
    </row>
    <row r="132" spans="1:24" ht="12.75" customHeight="1" x14ac:dyDescent="0.35">
      <c r="A132" s="594">
        <f ca="1">IF(B132=0,0,"xxx")</f>
        <v>0</v>
      </c>
      <c r="B132" s="592">
        <f ca="1">IF(C132=0,0,"SSS")</f>
        <v>0</v>
      </c>
      <c r="C132" s="1703">
        <f ca="1">IF(ENTRADAS!$E$1075="x",LAJES!CY132,LAJES!DG132)</f>
        <v>0</v>
      </c>
      <c r="D132" s="2051"/>
      <c r="E132" s="2051"/>
      <c r="F132" s="2051"/>
      <c r="G132" s="2051"/>
      <c r="H132" s="2051"/>
      <c r="I132" s="2051"/>
      <c r="J132" s="2051"/>
      <c r="K132" s="2051"/>
      <c r="L132" s="2051"/>
      <c r="M132" s="2051"/>
      <c r="N132" s="2051"/>
      <c r="O132" s="2051"/>
      <c r="P132" s="2051"/>
      <c r="Q132" s="2051"/>
      <c r="R132" s="2051"/>
      <c r="S132" s="2051"/>
      <c r="T132" s="2051"/>
      <c r="U132" s="2051"/>
      <c r="V132" s="2051"/>
      <c r="W132" s="2051"/>
      <c r="X132" s="2051"/>
    </row>
    <row r="133" spans="1:24" ht="27" customHeight="1" x14ac:dyDescent="0.35">
      <c r="A133" s="594">
        <f ca="1">IF(B133=0,0,"xxx")</f>
        <v>0</v>
      </c>
      <c r="B133" s="201">
        <f ca="1">IF(C132=0,0,"SSS")</f>
        <v>0</v>
      </c>
      <c r="C133" s="1703"/>
      <c r="D133" s="2051"/>
      <c r="E133" s="2051"/>
      <c r="F133" s="2051"/>
      <c r="G133" s="2051"/>
      <c r="H133" s="2051"/>
      <c r="I133" s="2051"/>
      <c r="J133" s="2051"/>
      <c r="K133" s="2051"/>
      <c r="L133" s="2051"/>
      <c r="M133" s="2051"/>
      <c r="N133" s="2051"/>
      <c r="O133" s="2051"/>
      <c r="P133" s="2051"/>
      <c r="Q133" s="2051"/>
      <c r="R133" s="2051"/>
      <c r="S133" s="2051"/>
      <c r="T133" s="2051"/>
      <c r="U133" s="2051"/>
      <c r="V133" s="2051"/>
      <c r="W133" s="2051"/>
      <c r="X133" s="2051"/>
    </row>
    <row r="134" spans="1:24" x14ac:dyDescent="0.35">
      <c r="A134" s="581" t="str">
        <f>IF(B134=0,0,"xxx")</f>
        <v>xxx</v>
      </c>
      <c r="B134" s="195" t="s">
        <v>1720</v>
      </c>
    </row>
    <row r="135" spans="1:24" x14ac:dyDescent="0.35">
      <c r="A135" s="581" t="str">
        <f t="shared" si="3"/>
        <v>xxx</v>
      </c>
      <c r="B135" s="592" t="s">
        <v>1720</v>
      </c>
      <c r="C135" s="2043" t="s">
        <v>1738</v>
      </c>
      <c r="D135" s="2043"/>
      <c r="E135" s="2043"/>
      <c r="F135" s="2043"/>
      <c r="G135" s="2043"/>
      <c r="H135" s="2043"/>
      <c r="I135" s="2043"/>
      <c r="J135" s="2043"/>
      <c r="K135" s="2043"/>
      <c r="L135" s="2043"/>
      <c r="M135" s="2043"/>
      <c r="N135" s="2043"/>
      <c r="O135" s="2043"/>
      <c r="P135" s="2043"/>
      <c r="Q135" s="2043"/>
      <c r="R135" s="2043"/>
      <c r="S135" s="2043"/>
      <c r="T135" s="2043"/>
      <c r="U135" s="2043"/>
      <c r="V135" s="2043"/>
      <c r="W135" s="2043"/>
      <c r="X135" s="2044"/>
    </row>
    <row r="136" spans="1:24" x14ac:dyDescent="0.35">
      <c r="A136" s="581" t="str">
        <f t="shared" si="3"/>
        <v>xxx</v>
      </c>
      <c r="B136" s="591" t="s">
        <v>1685</v>
      </c>
      <c r="C136" s="980" t="str">
        <f>IF(ENTRADAS!D912="X",IF(LAJES!D29=0,"não há vigas na cobertura",LAJES!A158),"não há cobertura no tanque")</f>
        <v>não há cobertura no tanque</v>
      </c>
      <c r="D136" s="980"/>
      <c r="E136" s="980"/>
      <c r="F136" s="980"/>
      <c r="G136" s="980"/>
      <c r="H136" s="980"/>
      <c r="I136" s="980"/>
      <c r="J136" s="980"/>
      <c r="K136" s="980"/>
      <c r="L136" s="980"/>
      <c r="M136" s="980"/>
      <c r="N136" s="980"/>
      <c r="O136" s="980"/>
      <c r="P136" s="980"/>
      <c r="Q136" s="980"/>
      <c r="R136" s="980"/>
      <c r="S136" s="980"/>
      <c r="T136" s="980"/>
      <c r="U136" s="980"/>
      <c r="V136" s="980"/>
      <c r="W136" s="980"/>
      <c r="X136" s="981"/>
    </row>
    <row r="137" spans="1:24" ht="12.75" customHeight="1" x14ac:dyDescent="0.35">
      <c r="A137" s="581">
        <f t="shared" ca="1" si="3"/>
        <v>0</v>
      </c>
      <c r="B137" s="592">
        <f ca="1">IF(C137=0,0,"SSS")</f>
        <v>0</v>
      </c>
      <c r="C137" s="1703">
        <f ca="1">IF(LAJES!D29=0,0,LAJES!I158&amp;" carretas somente com vigas, levando "&amp;VLOOKUP(LAJES!A163,LAJES!C217:E259,3,0)&amp;" vigas por carreta")</f>
        <v>0</v>
      </c>
      <c r="D137" s="2051"/>
      <c r="E137" s="2051"/>
      <c r="F137" s="2051"/>
      <c r="G137" s="2051"/>
      <c r="H137" s="2051"/>
      <c r="I137" s="2051"/>
      <c r="J137" s="2051"/>
      <c r="K137" s="2051"/>
      <c r="L137" s="2051"/>
      <c r="M137" s="2051"/>
      <c r="N137" s="2051"/>
      <c r="O137" s="2051"/>
      <c r="P137" s="2051"/>
      <c r="Q137" s="2051"/>
      <c r="R137" s="2051"/>
      <c r="S137" s="2051"/>
      <c r="T137" s="2051"/>
      <c r="U137" s="2051"/>
      <c r="V137" s="2051"/>
      <c r="W137" s="2051"/>
      <c r="X137" s="2051"/>
    </row>
    <row r="138" spans="1:24" ht="14.25" customHeight="1" x14ac:dyDescent="0.35">
      <c r="A138" s="581">
        <f t="shared" ca="1" si="3"/>
        <v>0</v>
      </c>
      <c r="B138" s="201">
        <f ca="1">IF(C137=0,0,"SSS")</f>
        <v>0</v>
      </c>
      <c r="C138" s="1703"/>
      <c r="D138" s="2051"/>
      <c r="E138" s="2051"/>
      <c r="F138" s="2051"/>
      <c r="G138" s="2051"/>
      <c r="H138" s="2051"/>
      <c r="I138" s="2051"/>
      <c r="J138" s="2051"/>
      <c r="K138" s="2051"/>
      <c r="L138" s="2051"/>
      <c r="M138" s="2051"/>
      <c r="N138" s="2051"/>
      <c r="O138" s="2051"/>
      <c r="P138" s="2051"/>
      <c r="Q138" s="2051"/>
      <c r="R138" s="2051"/>
      <c r="S138" s="2051"/>
      <c r="T138" s="2051"/>
      <c r="U138" s="2051"/>
      <c r="V138" s="2051"/>
      <c r="W138" s="2051"/>
      <c r="X138" s="2051"/>
    </row>
    <row r="139" spans="1:24" x14ac:dyDescent="0.35">
      <c r="A139" s="581" t="str">
        <f t="shared" si="3"/>
        <v>xxx</v>
      </c>
      <c r="B139" s="195" t="s">
        <v>1720</v>
      </c>
    </row>
    <row r="140" spans="1:24" x14ac:dyDescent="0.35">
      <c r="A140" s="581" t="str">
        <f t="shared" si="3"/>
        <v>xxx</v>
      </c>
      <c r="B140" s="591" t="str">
        <f>IF(C140=0,0,"SSS")</f>
        <v>SSS</v>
      </c>
      <c r="C140" s="2044" t="str">
        <f>"PARA LAJES---"&amp;IF(ENTRADAS!E1075="X","VOCÊ DEFINIU POR UTILIZAR AS SOBRAS DE ESPAÇOS DAS CARRETAS DAS PAREDES","VOCÊ DEFINIU POR UTILIZAR CARRETAS INDEPENDENTES PARA AS LAJES")</f>
        <v>PARA LAJES---VOCÊ DEFINIU POR UTILIZAR CARRETAS INDEPENDENTES PARA AS LAJES</v>
      </c>
      <c r="D140" s="2045"/>
      <c r="E140" s="2045"/>
      <c r="F140" s="2045"/>
      <c r="G140" s="2045"/>
      <c r="H140" s="2045"/>
      <c r="I140" s="2045"/>
      <c r="J140" s="2045"/>
      <c r="K140" s="2045"/>
      <c r="L140" s="2045"/>
      <c r="M140" s="2045"/>
      <c r="N140" s="2045"/>
      <c r="O140" s="2045"/>
      <c r="P140" s="2045"/>
      <c r="Q140" s="2045"/>
      <c r="R140" s="2045"/>
      <c r="S140" s="2045"/>
      <c r="T140" s="2045"/>
      <c r="U140" s="2045"/>
      <c r="V140" s="2045"/>
      <c r="W140" s="2045"/>
      <c r="X140" s="2045"/>
    </row>
    <row r="141" spans="1:24" x14ac:dyDescent="0.35">
      <c r="A141" s="581" t="str">
        <f t="shared" si="3"/>
        <v>xxx</v>
      </c>
      <c r="B141" s="591" t="str">
        <f>IF(C141=0,0,"SSS")</f>
        <v>SSS</v>
      </c>
      <c r="C141" s="980" t="str">
        <f>IF(ENTRADAS!D912="X",LAJES!A156,"não há cobertura no tanque")</f>
        <v>não há cobertura no tanque</v>
      </c>
      <c r="D141" s="980"/>
      <c r="E141" s="980"/>
      <c r="F141" s="980"/>
      <c r="G141" s="980"/>
      <c r="H141" s="980"/>
      <c r="I141" s="980"/>
      <c r="J141" s="980"/>
      <c r="K141" s="980"/>
      <c r="L141" s="980"/>
      <c r="M141" s="980"/>
      <c r="N141" s="980"/>
      <c r="O141" s="980"/>
      <c r="P141" s="980"/>
      <c r="Q141" s="980"/>
      <c r="R141" s="980"/>
      <c r="S141" s="980"/>
      <c r="T141" s="980"/>
      <c r="U141" s="980"/>
      <c r="V141" s="980"/>
      <c r="W141" s="980"/>
      <c r="X141" s="981"/>
    </row>
    <row r="142" spans="1:24" ht="47.1" customHeight="1" x14ac:dyDescent="0.35">
      <c r="A142" s="581">
        <f t="shared" si="3"/>
        <v>0</v>
      </c>
      <c r="B142" s="591">
        <f>IF(C142="0 --- 0",0,IF(C142=0,0,IF(C142="00",0,"SSS")))</f>
        <v>0</v>
      </c>
      <c r="C142" s="2041">
        <f>IF(ENTRADAS!$D$912="X",IF(LAJES!CK131&lt;&gt;0,LAJES!CK131,LAJES!CR131),0)</f>
        <v>0</v>
      </c>
      <c r="D142" s="2041"/>
      <c r="E142" s="2041"/>
      <c r="F142" s="2041"/>
      <c r="G142" s="2041"/>
      <c r="H142" s="2041"/>
      <c r="I142" s="2041"/>
      <c r="J142" s="2041"/>
      <c r="K142" s="2041"/>
      <c r="L142" s="2041"/>
      <c r="M142" s="2041"/>
      <c r="N142" s="2041"/>
      <c r="O142" s="2041"/>
      <c r="P142" s="2041"/>
      <c r="Q142" s="2041"/>
      <c r="R142" s="2041"/>
      <c r="S142" s="2041"/>
      <c r="T142" s="2041"/>
      <c r="U142" s="2041"/>
      <c r="V142" s="2041"/>
      <c r="W142" s="2041"/>
      <c r="X142" s="2042"/>
    </row>
    <row r="143" spans="1:24" ht="47.1" customHeight="1" x14ac:dyDescent="0.35">
      <c r="A143" s="581">
        <f>IF(B143=0,0,"xxx")</f>
        <v>0</v>
      </c>
      <c r="B143" s="591">
        <f t="shared" ref="B143:B156" si="5">IF(C143="0 --- 0",0,IF(C143=0,0,IF(C143="00",0,"SSS")))</f>
        <v>0</v>
      </c>
      <c r="C143" s="2041">
        <f>IF(ENTRADAS!$D$912="X",IF(LAJES!CK132&lt;&gt;0,LAJES!CK132,LAJES!CR132),0)</f>
        <v>0</v>
      </c>
      <c r="D143" s="2041"/>
      <c r="E143" s="2041"/>
      <c r="F143" s="2041"/>
      <c r="G143" s="2041"/>
      <c r="H143" s="2041"/>
      <c r="I143" s="2041"/>
      <c r="J143" s="2041"/>
      <c r="K143" s="2041"/>
      <c r="L143" s="2041"/>
      <c r="M143" s="2041"/>
      <c r="N143" s="2041"/>
      <c r="O143" s="2041"/>
      <c r="P143" s="2041"/>
      <c r="Q143" s="2041"/>
      <c r="R143" s="2041"/>
      <c r="S143" s="2041"/>
      <c r="T143" s="2041"/>
      <c r="U143" s="2041"/>
      <c r="V143" s="2041"/>
      <c r="W143" s="2041"/>
      <c r="X143" s="2042"/>
    </row>
    <row r="144" spans="1:24" ht="47.1" hidden="1" customHeight="1" x14ac:dyDescent="0.35">
      <c r="A144" s="581">
        <f t="shared" si="3"/>
        <v>0</v>
      </c>
      <c r="B144" s="591">
        <f t="shared" si="5"/>
        <v>0</v>
      </c>
      <c r="C144" s="2041">
        <f>IF(ENTRADAS!$D$912="X",IF(LAJES!CK133&lt;&gt;0,LAJES!CK133,LAJES!CR133),0)</f>
        <v>0</v>
      </c>
      <c r="D144" s="2041"/>
      <c r="E144" s="2041"/>
      <c r="F144" s="2041"/>
      <c r="G144" s="2041"/>
      <c r="H144" s="2041"/>
      <c r="I144" s="2041"/>
      <c r="J144" s="2041"/>
      <c r="K144" s="2041"/>
      <c r="L144" s="2041"/>
      <c r="M144" s="2041"/>
      <c r="N144" s="2041"/>
      <c r="O144" s="2041"/>
      <c r="P144" s="2041"/>
      <c r="Q144" s="2041"/>
      <c r="R144" s="2041"/>
      <c r="S144" s="2041"/>
      <c r="T144" s="2041"/>
      <c r="U144" s="2041"/>
      <c r="V144" s="2041"/>
      <c r="W144" s="2041"/>
      <c r="X144" s="2042"/>
    </row>
    <row r="145" spans="1:24" ht="47.1" hidden="1" customHeight="1" x14ac:dyDescent="0.35">
      <c r="A145" s="581">
        <f t="shared" si="3"/>
        <v>0</v>
      </c>
      <c r="B145" s="591">
        <f t="shared" si="5"/>
        <v>0</v>
      </c>
      <c r="C145" s="2041">
        <f>IF(ENTRADAS!$D$912="X",IF(LAJES!CK134&lt;&gt;0,LAJES!CK134,LAJES!CR134),0)</f>
        <v>0</v>
      </c>
      <c r="D145" s="2041"/>
      <c r="E145" s="2041"/>
      <c r="F145" s="2041"/>
      <c r="G145" s="2041"/>
      <c r="H145" s="2041"/>
      <c r="I145" s="2041"/>
      <c r="J145" s="2041"/>
      <c r="K145" s="2041"/>
      <c r="L145" s="2041"/>
      <c r="M145" s="2041"/>
      <c r="N145" s="2041"/>
      <c r="O145" s="2041"/>
      <c r="P145" s="2041"/>
      <c r="Q145" s="2041"/>
      <c r="R145" s="2041"/>
      <c r="S145" s="2041"/>
      <c r="T145" s="2041"/>
      <c r="U145" s="2041"/>
      <c r="V145" s="2041"/>
      <c r="W145" s="2041"/>
      <c r="X145" s="2042"/>
    </row>
    <row r="146" spans="1:24" ht="47.1" hidden="1" customHeight="1" x14ac:dyDescent="0.35">
      <c r="A146" s="581">
        <f>IF(B146=0,0,"xxx")</f>
        <v>0</v>
      </c>
      <c r="B146" s="591">
        <f t="shared" si="5"/>
        <v>0</v>
      </c>
      <c r="C146" s="2041">
        <f>IF(ENTRADAS!$D$912="X",IF(LAJES!CK135&lt;&gt;0,LAJES!CK135,LAJES!CR135),0)</f>
        <v>0</v>
      </c>
      <c r="D146" s="2041"/>
      <c r="E146" s="2041"/>
      <c r="F146" s="2041"/>
      <c r="G146" s="2041"/>
      <c r="H146" s="2041"/>
      <c r="I146" s="2041"/>
      <c r="J146" s="2041"/>
      <c r="K146" s="2041"/>
      <c r="L146" s="2041"/>
      <c r="M146" s="2041"/>
      <c r="N146" s="2041"/>
      <c r="O146" s="2041"/>
      <c r="P146" s="2041"/>
      <c r="Q146" s="2041"/>
      <c r="R146" s="2041"/>
      <c r="S146" s="2041"/>
      <c r="T146" s="2041"/>
      <c r="U146" s="2041"/>
      <c r="V146" s="2041"/>
      <c r="W146" s="2041"/>
      <c r="X146" s="2042"/>
    </row>
    <row r="147" spans="1:24" ht="47.1" hidden="1" customHeight="1" x14ac:dyDescent="0.35">
      <c r="A147" s="581">
        <f t="shared" si="3"/>
        <v>0</v>
      </c>
      <c r="B147" s="591">
        <f t="shared" si="5"/>
        <v>0</v>
      </c>
      <c r="C147" s="2041">
        <f>IF(ENTRADAS!$D$912="X",IF(LAJES!CK136&lt;&gt;0,LAJES!CK136,LAJES!CR136),0)</f>
        <v>0</v>
      </c>
      <c r="D147" s="2041"/>
      <c r="E147" s="2041"/>
      <c r="F147" s="2041"/>
      <c r="G147" s="2041"/>
      <c r="H147" s="2041"/>
      <c r="I147" s="2041"/>
      <c r="J147" s="2041"/>
      <c r="K147" s="2041"/>
      <c r="L147" s="2041"/>
      <c r="M147" s="2041"/>
      <c r="N147" s="2041"/>
      <c r="O147" s="2041"/>
      <c r="P147" s="2041"/>
      <c r="Q147" s="2041"/>
      <c r="R147" s="2041"/>
      <c r="S147" s="2041"/>
      <c r="T147" s="2041"/>
      <c r="U147" s="2041"/>
      <c r="V147" s="2041"/>
      <c r="W147" s="2041"/>
      <c r="X147" s="2042"/>
    </row>
    <row r="148" spans="1:24" ht="47.1" hidden="1" customHeight="1" x14ac:dyDescent="0.35">
      <c r="A148" s="581">
        <f t="shared" si="3"/>
        <v>0</v>
      </c>
      <c r="B148" s="591">
        <f t="shared" si="5"/>
        <v>0</v>
      </c>
      <c r="C148" s="2041">
        <f>IF(ENTRADAS!$D$912="X",IF(LAJES!CK137&lt;&gt;0,LAJES!CK137,LAJES!CR137),0)</f>
        <v>0</v>
      </c>
      <c r="D148" s="2041"/>
      <c r="E148" s="2041"/>
      <c r="F148" s="2041"/>
      <c r="G148" s="2041"/>
      <c r="H148" s="2041"/>
      <c r="I148" s="2041"/>
      <c r="J148" s="2041"/>
      <c r="K148" s="2041"/>
      <c r="L148" s="2041"/>
      <c r="M148" s="2041"/>
      <c r="N148" s="2041"/>
      <c r="O148" s="2041"/>
      <c r="P148" s="2041"/>
      <c r="Q148" s="2041"/>
      <c r="R148" s="2041"/>
      <c r="S148" s="2041"/>
      <c r="T148" s="2041"/>
      <c r="U148" s="2041"/>
      <c r="V148" s="2041"/>
      <c r="W148" s="2041"/>
      <c r="X148" s="2042"/>
    </row>
    <row r="149" spans="1:24" ht="47.1" hidden="1" customHeight="1" x14ac:dyDescent="0.35">
      <c r="A149" s="581">
        <f t="shared" si="3"/>
        <v>0</v>
      </c>
      <c r="B149" s="591">
        <f t="shared" si="5"/>
        <v>0</v>
      </c>
      <c r="C149" s="2041">
        <f>IF(ENTRADAS!$D$912="X",IF(LAJES!CK138&lt;&gt;0,LAJES!CK138,LAJES!CR138),0)</f>
        <v>0</v>
      </c>
      <c r="D149" s="2041"/>
      <c r="E149" s="2041"/>
      <c r="F149" s="2041"/>
      <c r="G149" s="2041"/>
      <c r="H149" s="2041"/>
      <c r="I149" s="2041"/>
      <c r="J149" s="2041"/>
      <c r="K149" s="2041"/>
      <c r="L149" s="2041"/>
      <c r="M149" s="2041"/>
      <c r="N149" s="2041"/>
      <c r="O149" s="2041"/>
      <c r="P149" s="2041"/>
      <c r="Q149" s="2041"/>
      <c r="R149" s="2041"/>
      <c r="S149" s="2041"/>
      <c r="T149" s="2041"/>
      <c r="U149" s="2041"/>
      <c r="V149" s="2041"/>
      <c r="W149" s="2041"/>
      <c r="X149" s="2042"/>
    </row>
    <row r="150" spans="1:24" ht="47.1" hidden="1" customHeight="1" x14ac:dyDescent="0.35">
      <c r="A150" s="581">
        <f t="shared" si="3"/>
        <v>0</v>
      </c>
      <c r="B150" s="591">
        <f t="shared" si="5"/>
        <v>0</v>
      </c>
      <c r="C150" s="2041">
        <f>IF(ENTRADAS!$D$912="X",IF(LAJES!CK139&lt;&gt;0,LAJES!CK139,LAJES!CR139),0)</f>
        <v>0</v>
      </c>
      <c r="D150" s="2041"/>
      <c r="E150" s="2041"/>
      <c r="F150" s="2041"/>
      <c r="G150" s="2041"/>
      <c r="H150" s="2041"/>
      <c r="I150" s="2041"/>
      <c r="J150" s="2041"/>
      <c r="K150" s="2041"/>
      <c r="L150" s="2041"/>
      <c r="M150" s="2041"/>
      <c r="N150" s="2041"/>
      <c r="O150" s="2041"/>
      <c r="P150" s="2041"/>
      <c r="Q150" s="2041"/>
      <c r="R150" s="2041"/>
      <c r="S150" s="2041"/>
      <c r="T150" s="2041"/>
      <c r="U150" s="2041"/>
      <c r="V150" s="2041"/>
      <c r="W150" s="2041"/>
      <c r="X150" s="2042"/>
    </row>
    <row r="151" spans="1:24" ht="47.1" hidden="1" customHeight="1" x14ac:dyDescent="0.35">
      <c r="A151" s="581">
        <f t="shared" si="3"/>
        <v>0</v>
      </c>
      <c r="B151" s="591">
        <f t="shared" si="5"/>
        <v>0</v>
      </c>
      <c r="C151" s="2041">
        <f>IF(ENTRADAS!$D$912="X",IF(LAJES!CK140&lt;&gt;0,LAJES!CK140,LAJES!CR140),0)</f>
        <v>0</v>
      </c>
      <c r="D151" s="2041"/>
      <c r="E151" s="2041"/>
      <c r="F151" s="2041"/>
      <c r="G151" s="2041"/>
      <c r="H151" s="2041"/>
      <c r="I151" s="2041"/>
      <c r="J151" s="2041"/>
      <c r="K151" s="2041"/>
      <c r="L151" s="2041"/>
      <c r="M151" s="2041"/>
      <c r="N151" s="2041"/>
      <c r="O151" s="2041"/>
      <c r="P151" s="2041"/>
      <c r="Q151" s="2041"/>
      <c r="R151" s="2041"/>
      <c r="S151" s="2041"/>
      <c r="T151" s="2041"/>
      <c r="U151" s="2041"/>
      <c r="V151" s="2041"/>
      <c r="W151" s="2041"/>
      <c r="X151" s="2042"/>
    </row>
    <row r="152" spans="1:24" ht="47.1" hidden="1" customHeight="1" x14ac:dyDescent="0.35">
      <c r="A152" s="581">
        <f t="shared" si="3"/>
        <v>0</v>
      </c>
      <c r="B152" s="591">
        <f t="shared" si="5"/>
        <v>0</v>
      </c>
      <c r="C152" s="2041">
        <f>IF(ENTRADAS!$D$912="X",IF(LAJES!CK141&lt;&gt;0,LAJES!CK141,LAJES!CR141),0)</f>
        <v>0</v>
      </c>
      <c r="D152" s="2041"/>
      <c r="E152" s="2041"/>
      <c r="F152" s="2041"/>
      <c r="G152" s="2041"/>
      <c r="H152" s="2041"/>
      <c r="I152" s="2041"/>
      <c r="J152" s="2041"/>
      <c r="K152" s="2041"/>
      <c r="L152" s="2041"/>
      <c r="M152" s="2041"/>
      <c r="N152" s="2041"/>
      <c r="O152" s="2041"/>
      <c r="P152" s="2041"/>
      <c r="Q152" s="2041"/>
      <c r="R152" s="2041"/>
      <c r="S152" s="2041"/>
      <c r="T152" s="2041"/>
      <c r="U152" s="2041"/>
      <c r="V152" s="2041"/>
      <c r="W152" s="2041"/>
      <c r="X152" s="2042"/>
    </row>
    <row r="153" spans="1:24" ht="47.1" hidden="1" customHeight="1" x14ac:dyDescent="0.35">
      <c r="A153" s="581">
        <f t="shared" si="3"/>
        <v>0</v>
      </c>
      <c r="B153" s="591">
        <f t="shared" si="5"/>
        <v>0</v>
      </c>
      <c r="C153" s="2041">
        <f>IF(ENTRADAS!$D$912="X",IF(LAJES!CK142&lt;&gt;0,LAJES!CK142,LAJES!CR142),0)</f>
        <v>0</v>
      </c>
      <c r="D153" s="2041"/>
      <c r="E153" s="2041"/>
      <c r="F153" s="2041"/>
      <c r="G153" s="2041"/>
      <c r="H153" s="2041"/>
      <c r="I153" s="2041"/>
      <c r="J153" s="2041"/>
      <c r="K153" s="2041"/>
      <c r="L153" s="2041"/>
      <c r="M153" s="2041"/>
      <c r="N153" s="2041"/>
      <c r="O153" s="2041"/>
      <c r="P153" s="2041"/>
      <c r="Q153" s="2041"/>
      <c r="R153" s="2041"/>
      <c r="S153" s="2041"/>
      <c r="T153" s="2041"/>
      <c r="U153" s="2041"/>
      <c r="V153" s="2041"/>
      <c r="W153" s="2041"/>
      <c r="X153" s="2042"/>
    </row>
    <row r="154" spans="1:24" ht="47.1" hidden="1" customHeight="1" x14ac:dyDescent="0.35">
      <c r="A154" s="581">
        <f t="shared" si="3"/>
        <v>0</v>
      </c>
      <c r="B154" s="591">
        <f t="shared" si="5"/>
        <v>0</v>
      </c>
      <c r="C154" s="2041">
        <f>IF(ENTRADAS!$D$912="X",IF(LAJES!CK143&lt;&gt;0,LAJES!CK143,LAJES!CR143),0)</f>
        <v>0</v>
      </c>
      <c r="D154" s="2041"/>
      <c r="E154" s="2041"/>
      <c r="F154" s="2041"/>
      <c r="G154" s="2041"/>
      <c r="H154" s="2041"/>
      <c r="I154" s="2041"/>
      <c r="J154" s="2041"/>
      <c r="K154" s="2041"/>
      <c r="L154" s="2041"/>
      <c r="M154" s="2041"/>
      <c r="N154" s="2041"/>
      <c r="O154" s="2041"/>
      <c r="P154" s="2041"/>
      <c r="Q154" s="2041"/>
      <c r="R154" s="2041"/>
      <c r="S154" s="2041"/>
      <c r="T154" s="2041"/>
      <c r="U154" s="2041"/>
      <c r="V154" s="2041"/>
      <c r="W154" s="2041"/>
      <c r="X154" s="2042"/>
    </row>
    <row r="155" spans="1:24" ht="47.1" hidden="1" customHeight="1" x14ac:dyDescent="0.35">
      <c r="A155" s="581">
        <f t="shared" si="3"/>
        <v>0</v>
      </c>
      <c r="B155" s="591">
        <f t="shared" si="5"/>
        <v>0</v>
      </c>
      <c r="C155" s="2041">
        <f>IF(ENTRADAS!$D$912="X",IF(LAJES!CK144&lt;&gt;0,LAJES!CK144,LAJES!CR144),0)</f>
        <v>0</v>
      </c>
      <c r="D155" s="2041"/>
      <c r="E155" s="2041"/>
      <c r="F155" s="2041"/>
      <c r="G155" s="2041"/>
      <c r="H155" s="2041"/>
      <c r="I155" s="2041"/>
      <c r="J155" s="2041"/>
      <c r="K155" s="2041"/>
      <c r="L155" s="2041"/>
      <c r="M155" s="2041"/>
      <c r="N155" s="2041"/>
      <c r="O155" s="2041"/>
      <c r="P155" s="2041"/>
      <c r="Q155" s="2041"/>
      <c r="R155" s="2041"/>
      <c r="S155" s="2041"/>
      <c r="T155" s="2041"/>
      <c r="U155" s="2041"/>
      <c r="V155" s="2041"/>
      <c r="W155" s="2041"/>
      <c r="X155" s="2042"/>
    </row>
    <row r="156" spans="1:24" ht="47.1" hidden="1" customHeight="1" x14ac:dyDescent="0.35">
      <c r="A156" s="581">
        <f>IF(B156=0,0,"xxx")</f>
        <v>0</v>
      </c>
      <c r="B156" s="591">
        <f t="shared" si="5"/>
        <v>0</v>
      </c>
      <c r="C156" s="2041">
        <f>IF(ENTRADAS!$D$912="X",IF(LAJES!CK145&lt;&gt;0,LAJES!CK145,LAJES!CR145),0)</f>
        <v>0</v>
      </c>
      <c r="D156" s="2041"/>
      <c r="E156" s="2041"/>
      <c r="F156" s="2041"/>
      <c r="G156" s="2041"/>
      <c r="H156" s="2041"/>
      <c r="I156" s="2041"/>
      <c r="J156" s="2041"/>
      <c r="K156" s="2041"/>
      <c r="L156" s="2041"/>
      <c r="M156" s="2041"/>
      <c r="N156" s="2041"/>
      <c r="O156" s="2041"/>
      <c r="P156" s="2041"/>
      <c r="Q156" s="2041"/>
      <c r="R156" s="2041"/>
      <c r="S156" s="2041"/>
      <c r="T156" s="2041"/>
      <c r="U156" s="2041"/>
      <c r="V156" s="2041"/>
      <c r="W156" s="2041"/>
      <c r="X156" s="2042"/>
    </row>
    <row r="158" spans="1:24" ht="13.5" x14ac:dyDescent="0.35">
      <c r="B158" s="305">
        <v>7</v>
      </c>
      <c r="C158" s="306" t="s">
        <v>1739</v>
      </c>
      <c r="D158" s="307"/>
      <c r="E158" s="307"/>
      <c r="F158" s="307"/>
      <c r="G158" s="307"/>
      <c r="H158" s="307"/>
      <c r="I158" s="307"/>
      <c r="J158" s="307"/>
      <c r="K158" s="307"/>
      <c r="L158" s="307"/>
      <c r="M158" s="307"/>
      <c r="N158" s="307"/>
      <c r="O158" s="307"/>
      <c r="P158" s="307"/>
      <c r="Q158" s="307"/>
      <c r="R158" s="307"/>
      <c r="S158" s="307"/>
      <c r="T158" s="307"/>
      <c r="U158" s="307"/>
      <c r="V158" s="307"/>
      <c r="W158" s="307"/>
      <c r="X158" s="307"/>
    </row>
    <row r="159" spans="1:24" ht="13.9" x14ac:dyDescent="0.35">
      <c r="B159" s="300" t="s">
        <v>1740</v>
      </c>
      <c r="C159" s="301" t="s">
        <v>1741</v>
      </c>
      <c r="D159" s="10"/>
      <c r="E159" s="10"/>
      <c r="F159" s="10"/>
      <c r="G159" s="10"/>
      <c r="H159" s="10"/>
      <c r="I159" s="10" t="str">
        <f>IF(ENTRADAS!F22&lt;2,"PARA "&amp;ENTRADAS!F22&amp;" TANQUE","PARA "&amp;ENTRADAS!F22&amp;" TANQUES")</f>
        <v>PARA 4 TANQUES</v>
      </c>
      <c r="J159" s="10"/>
      <c r="K159" s="10"/>
      <c r="L159" s="10"/>
      <c r="M159" s="10"/>
      <c r="N159" s="10"/>
      <c r="O159" s="10"/>
      <c r="P159" s="10"/>
      <c r="Q159" s="10"/>
      <c r="R159" s="10"/>
      <c r="S159" s="10"/>
      <c r="T159" s="10"/>
      <c r="U159" s="10"/>
      <c r="V159" s="10"/>
      <c r="W159" s="10"/>
      <c r="X159" s="6"/>
    </row>
    <row r="160" spans="1:24" x14ac:dyDescent="0.35">
      <c r="B160" s="970" t="s">
        <v>1742</v>
      </c>
      <c r="C160" s="1164" t="s">
        <v>1743</v>
      </c>
      <c r="D160" s="46"/>
      <c r="E160" s="46"/>
      <c r="F160" s="46"/>
      <c r="G160" s="46"/>
      <c r="H160" s="46"/>
      <c r="I160" s="46"/>
      <c r="J160" s="46"/>
      <c r="K160" s="46"/>
      <c r="L160" s="46"/>
      <c r="M160" s="46"/>
      <c r="N160" s="46"/>
      <c r="O160" s="46"/>
      <c r="P160" s="46"/>
      <c r="Q160" s="46"/>
      <c r="R160" s="46"/>
      <c r="S160" s="46"/>
      <c r="T160" s="46"/>
      <c r="U160" s="46"/>
      <c r="V160" s="46"/>
      <c r="W160" s="465">
        <f ca="1">CÁLCULOS!M679</f>
        <v>101</v>
      </c>
      <c r="X160" s="466" t="s">
        <v>101</v>
      </c>
    </row>
    <row r="161" spans="2:24" ht="7.5" customHeight="1" x14ac:dyDescent="0.35">
      <c r="B161" s="1005"/>
      <c r="C161" s="1010"/>
      <c r="D161" s="25"/>
      <c r="E161" s="25"/>
      <c r="F161" s="25"/>
      <c r="G161" s="25"/>
      <c r="H161" s="25"/>
      <c r="I161" s="25"/>
      <c r="J161" s="25"/>
      <c r="K161" s="25"/>
      <c r="L161" s="25"/>
      <c r="M161" s="25"/>
      <c r="N161" s="25"/>
      <c r="O161" s="25"/>
      <c r="P161" s="25"/>
      <c r="Q161" s="25"/>
      <c r="R161" s="25"/>
      <c r="S161" s="25"/>
      <c r="T161" s="25"/>
      <c r="U161" s="25"/>
      <c r="V161" s="25"/>
      <c r="W161" s="330"/>
      <c r="X161" s="1205"/>
    </row>
    <row r="162" spans="2:24" x14ac:dyDescent="0.35">
      <c r="B162" s="20"/>
      <c r="C162" s="322" t="s">
        <v>1744</v>
      </c>
      <c r="D162" s="322"/>
      <c r="E162" s="321"/>
      <c r="F162" s="321"/>
      <c r="G162" s="321"/>
      <c r="H162" s="321"/>
      <c r="I162" s="321"/>
      <c r="J162" s="321"/>
      <c r="K162" s="321"/>
      <c r="L162" s="321"/>
      <c r="M162" s="321"/>
      <c r="N162" s="321"/>
      <c r="O162" s="321"/>
      <c r="P162" s="321"/>
      <c r="Q162" s="321"/>
      <c r="R162" s="321"/>
      <c r="S162" s="323">
        <f ca="1">CÁLCULOS!N677</f>
        <v>86</v>
      </c>
      <c r="T162" s="335" t="s">
        <v>101</v>
      </c>
      <c r="U162" s="1206"/>
      <c r="X162" s="16"/>
    </row>
    <row r="163" spans="2:24" ht="2.25" customHeight="1" x14ac:dyDescent="0.35">
      <c r="B163" s="20"/>
      <c r="C163" s="322"/>
      <c r="D163" s="322"/>
      <c r="E163" s="321"/>
      <c r="F163" s="321"/>
      <c r="G163" s="321"/>
      <c r="H163" s="321"/>
      <c r="I163" s="321"/>
      <c r="J163" s="321"/>
      <c r="K163" s="321"/>
      <c r="L163" s="321"/>
      <c r="M163" s="321"/>
      <c r="N163" s="321"/>
      <c r="O163" s="321"/>
      <c r="P163" s="321"/>
      <c r="Q163" s="321"/>
      <c r="R163" s="321"/>
      <c r="S163" s="323"/>
      <c r="T163" s="321"/>
      <c r="U163" s="321"/>
      <c r="X163" s="16"/>
    </row>
    <row r="164" spans="2:24" x14ac:dyDescent="0.35">
      <c r="B164" s="20"/>
      <c r="C164" s="326" t="s">
        <v>1745</v>
      </c>
      <c r="D164" s="326"/>
      <c r="E164" s="325"/>
      <c r="F164" s="325"/>
      <c r="G164" s="325"/>
      <c r="H164" s="325"/>
      <c r="I164" s="325"/>
      <c r="J164" s="325"/>
      <c r="K164" s="325"/>
      <c r="L164" s="325"/>
      <c r="M164" s="325"/>
      <c r="N164" s="325"/>
      <c r="O164" s="325"/>
      <c r="P164" s="325"/>
      <c r="Q164" s="325"/>
      <c r="R164" s="325"/>
      <c r="S164" s="327">
        <f ca="1">W160-S162</f>
        <v>15</v>
      </c>
      <c r="T164" s="328" t="s">
        <v>101</v>
      </c>
      <c r="U164" s="325"/>
      <c r="X164" s="16"/>
    </row>
    <row r="165" spans="2:24" ht="9.75" customHeight="1" x14ac:dyDescent="0.35">
      <c r="B165" s="20"/>
      <c r="C165" s="315"/>
      <c r="D165" s="324"/>
      <c r="E165" s="315"/>
      <c r="F165" s="315"/>
      <c r="G165" s="315"/>
      <c r="H165" s="315"/>
      <c r="I165" s="329" t="s">
        <v>1746</v>
      </c>
      <c r="J165" s="315"/>
      <c r="K165" s="315"/>
      <c r="L165" s="315"/>
      <c r="M165" s="315"/>
      <c r="N165" s="315"/>
      <c r="O165" s="315"/>
      <c r="P165" s="315"/>
      <c r="Q165" s="315"/>
      <c r="R165" s="315"/>
      <c r="S165" s="317"/>
      <c r="T165" s="316"/>
      <c r="U165" s="315"/>
      <c r="X165" s="16"/>
    </row>
    <row r="166" spans="2:24" ht="4.5" customHeight="1" x14ac:dyDescent="0.35">
      <c r="B166" s="18"/>
      <c r="C166" s="3"/>
      <c r="D166" s="3"/>
      <c r="E166" s="3"/>
      <c r="F166" s="3"/>
      <c r="G166" s="3"/>
      <c r="H166" s="3"/>
      <c r="I166" s="3"/>
      <c r="J166" s="3"/>
      <c r="K166" s="3"/>
      <c r="L166" s="3"/>
      <c r="M166" s="3"/>
      <c r="N166" s="3"/>
      <c r="O166" s="3"/>
      <c r="P166" s="3"/>
      <c r="Q166" s="3"/>
      <c r="R166" s="3"/>
      <c r="S166" s="3"/>
      <c r="T166" s="3"/>
      <c r="U166" s="3"/>
      <c r="V166" s="3"/>
      <c r="W166" s="3"/>
      <c r="X166" s="17"/>
    </row>
    <row r="167" spans="2:24" x14ac:dyDescent="0.35">
      <c r="B167" s="970" t="s">
        <v>1747</v>
      </c>
      <c r="C167" s="1164" t="s">
        <v>1748</v>
      </c>
      <c r="D167" s="46"/>
      <c r="E167" s="46"/>
      <c r="F167" s="46"/>
      <c r="G167" s="46"/>
      <c r="H167" s="46"/>
      <c r="I167" s="46"/>
      <c r="J167" s="46"/>
      <c r="K167" s="46"/>
      <c r="L167" s="46"/>
      <c r="M167" s="46"/>
      <c r="N167" s="46"/>
      <c r="O167" s="46"/>
      <c r="P167" s="46"/>
      <c r="Q167" s="46"/>
      <c r="R167" s="46"/>
      <c r="S167" s="46"/>
      <c r="T167" s="46"/>
      <c r="U167" s="46"/>
      <c r="V167" s="46"/>
      <c r="W167" s="465">
        <f ca="1">LAJES!H486</f>
        <v>0</v>
      </c>
      <c r="X167" s="466" t="s">
        <v>101</v>
      </c>
    </row>
    <row r="168" spans="2:24" hidden="1" x14ac:dyDescent="0.35">
      <c r="B168" s="1005"/>
      <c r="C168" s="1010" t="s">
        <v>1749</v>
      </c>
      <c r="D168" s="25"/>
      <c r="E168" s="25"/>
      <c r="F168" s="25"/>
      <c r="G168" s="25"/>
      <c r="H168" s="25"/>
      <c r="I168" s="25"/>
      <c r="J168" s="25"/>
      <c r="K168" s="25"/>
      <c r="L168" s="25"/>
      <c r="M168" s="25"/>
      <c r="N168" s="25"/>
      <c r="O168" s="25"/>
      <c r="P168" s="25"/>
      <c r="Q168" s="25"/>
      <c r="R168" s="25"/>
      <c r="S168" s="25"/>
      <c r="T168" s="25"/>
      <c r="U168" s="25"/>
      <c r="V168" s="25"/>
      <c r="W168" s="330">
        <f>LAJES!H495</f>
        <v>0</v>
      </c>
      <c r="X168" s="1205" t="s">
        <v>101</v>
      </c>
    </row>
    <row r="169" spans="2:24" hidden="1" x14ac:dyDescent="0.35">
      <c r="B169" s="1005"/>
      <c r="C169" s="1010" t="s">
        <v>1750</v>
      </c>
      <c r="D169" s="25"/>
      <c r="E169" s="25"/>
      <c r="F169" s="25"/>
      <c r="G169" s="25"/>
      <c r="H169" s="25"/>
      <c r="I169" s="25"/>
      <c r="J169" s="25"/>
      <c r="K169" s="25"/>
      <c r="L169" s="25"/>
      <c r="M169" s="25"/>
      <c r="N169" s="25"/>
      <c r="O169" s="25"/>
      <c r="P169" s="25"/>
      <c r="Q169" s="25"/>
      <c r="R169" s="25"/>
      <c r="S169" s="25"/>
      <c r="T169" s="25"/>
      <c r="U169" s="25"/>
      <c r="V169" s="25"/>
      <c r="W169" s="330">
        <f>LAJES!H493</f>
        <v>0</v>
      </c>
      <c r="X169" s="1205" t="s">
        <v>101</v>
      </c>
    </row>
    <row r="170" spans="2:24" ht="6.75" customHeight="1" x14ac:dyDescent="0.35">
      <c r="B170" s="1005"/>
      <c r="C170" s="1010"/>
      <c r="D170" s="25"/>
      <c r="E170" s="25"/>
      <c r="F170" s="25"/>
      <c r="G170" s="25"/>
      <c r="H170" s="25"/>
      <c r="I170" s="25"/>
      <c r="J170" s="25"/>
      <c r="K170" s="25"/>
      <c r="L170" s="25"/>
      <c r="M170" s="25"/>
      <c r="N170" s="25"/>
      <c r="O170" s="25"/>
      <c r="P170" s="25"/>
      <c r="Q170" s="25"/>
      <c r="R170" s="25"/>
      <c r="S170" s="25"/>
      <c r="T170" s="25"/>
      <c r="U170" s="25"/>
      <c r="V170" s="25"/>
      <c r="W170" s="330"/>
      <c r="X170" s="1205"/>
    </row>
    <row r="171" spans="2:24" ht="14.25" customHeight="1" x14ac:dyDescent="0.35">
      <c r="B171" s="20"/>
      <c r="C171" s="322"/>
      <c r="D171" s="322" t="s">
        <v>1744</v>
      </c>
      <c r="E171" s="321"/>
      <c r="F171" s="321"/>
      <c r="G171" s="321"/>
      <c r="H171" s="321"/>
      <c r="I171" s="321"/>
      <c r="J171" s="321"/>
      <c r="K171" s="321"/>
      <c r="L171" s="321"/>
      <c r="M171" s="321"/>
      <c r="N171" s="321"/>
      <c r="O171" s="321"/>
      <c r="P171" s="321"/>
      <c r="Q171" s="321"/>
      <c r="R171" s="321"/>
      <c r="S171" s="323">
        <f ca="1">W167-S173</f>
        <v>0</v>
      </c>
      <c r="T171" s="335" t="s">
        <v>101</v>
      </c>
      <c r="U171" s="1206"/>
      <c r="X171" s="16"/>
    </row>
    <row r="172" spans="2:24" ht="2.25" customHeight="1" x14ac:dyDescent="0.35">
      <c r="B172" s="20"/>
      <c r="C172" s="322"/>
      <c r="D172" s="322"/>
      <c r="E172" s="321"/>
      <c r="F172" s="321"/>
      <c r="G172" s="321"/>
      <c r="H172" s="321"/>
      <c r="I172" s="321"/>
      <c r="J172" s="321"/>
      <c r="K172" s="321"/>
      <c r="L172" s="321"/>
      <c r="M172" s="321"/>
      <c r="N172" s="321"/>
      <c r="O172" s="321"/>
      <c r="P172" s="321"/>
      <c r="Q172" s="321"/>
      <c r="R172" s="321"/>
      <c r="S172" s="323"/>
      <c r="T172" s="321"/>
      <c r="U172" s="321"/>
      <c r="X172" s="16"/>
    </row>
    <row r="173" spans="2:24" x14ac:dyDescent="0.35">
      <c r="B173" s="20"/>
      <c r="C173" s="326"/>
      <c r="D173" s="326" t="s">
        <v>1745</v>
      </c>
      <c r="E173" s="325"/>
      <c r="F173" s="325"/>
      <c r="G173" s="325"/>
      <c r="H173" s="325"/>
      <c r="I173" s="325"/>
      <c r="J173" s="325"/>
      <c r="K173" s="325"/>
      <c r="L173" s="325"/>
      <c r="M173" s="325"/>
      <c r="N173" s="325"/>
      <c r="O173" s="325"/>
      <c r="P173" s="325"/>
      <c r="Q173" s="325"/>
      <c r="R173" s="325"/>
      <c r="S173" s="327">
        <f ca="1">LAJES!H486-LAJES!H483</f>
        <v>0</v>
      </c>
      <c r="T173" s="328" t="s">
        <v>101</v>
      </c>
      <c r="U173" s="325"/>
      <c r="X173" s="16"/>
    </row>
    <row r="174" spans="2:24" ht="10.5" customHeight="1" x14ac:dyDescent="0.35">
      <c r="B174" s="20"/>
      <c r="C174" s="315"/>
      <c r="D174" s="324"/>
      <c r="E174" s="315"/>
      <c r="F174" s="315"/>
      <c r="G174" s="315"/>
      <c r="H174" s="315"/>
      <c r="I174" s="329" t="s">
        <v>1751</v>
      </c>
      <c r="J174" s="315"/>
      <c r="K174" s="315"/>
      <c r="L174" s="315"/>
      <c r="M174" s="315"/>
      <c r="N174" s="315"/>
      <c r="O174" s="315"/>
      <c r="P174" s="315"/>
      <c r="Q174" s="315"/>
      <c r="R174" s="315"/>
      <c r="S174" s="317"/>
      <c r="T174" s="316"/>
      <c r="U174" s="315"/>
      <c r="X174" s="16"/>
    </row>
    <row r="175" spans="2:24" ht="3.75" customHeight="1" x14ac:dyDescent="0.35">
      <c r="B175" s="18"/>
      <c r="C175" s="3"/>
      <c r="D175" s="3"/>
      <c r="E175" s="3"/>
      <c r="F175" s="3"/>
      <c r="G175" s="3"/>
      <c r="H175" s="3"/>
      <c r="I175" s="3"/>
      <c r="J175" s="3"/>
      <c r="K175" s="3"/>
      <c r="L175" s="3"/>
      <c r="M175" s="3"/>
      <c r="N175" s="3"/>
      <c r="O175" s="3"/>
      <c r="P175" s="3"/>
      <c r="Q175" s="3"/>
      <c r="R175" s="3"/>
      <c r="S175" s="3"/>
      <c r="T175" s="3"/>
      <c r="U175" s="3"/>
      <c r="V175" s="3"/>
      <c r="W175" s="3"/>
      <c r="X175" s="17"/>
    </row>
    <row r="176" spans="2:24" ht="3.75" customHeight="1" x14ac:dyDescent="0.35"/>
    <row r="177" spans="2:24" x14ac:dyDescent="0.35">
      <c r="B177" s="302" t="s">
        <v>1752</v>
      </c>
      <c r="C177" s="303" t="s">
        <v>1753</v>
      </c>
      <c r="D177" s="303"/>
      <c r="E177" s="303"/>
      <c r="F177" s="303"/>
      <c r="G177" s="303"/>
      <c r="H177" s="303"/>
      <c r="I177" s="303"/>
      <c r="J177" s="303"/>
      <c r="K177" s="303"/>
      <c r="L177" s="303"/>
      <c r="M177" s="303"/>
      <c r="N177" s="303"/>
      <c r="O177" s="303"/>
      <c r="P177" s="303"/>
      <c r="Q177" s="303"/>
      <c r="R177" s="303"/>
      <c r="S177" s="303"/>
      <c r="T177" s="303"/>
      <c r="U177" s="303"/>
      <c r="V177" s="303"/>
      <c r="W177" s="487">
        <f ca="1">IF(ENTRADAS!F22=1,LARGE('cronograma unit.'!E24:E28,1)-'cronograma unit.'!$E$23,IF(ENTRADAS!F22=2,LARGE('cronograma unit.'!E108:E112,1)-'cronograma unit.'!$E$23,IF(ENTRADAS!F22=3,LARGE('cronograma unit.'!E192:E196,1)-'cronograma unit.'!$E$23,IF(ENTRADAS!F22=4,LARGE('cronograma unit.'!E276:E280,1)-'cronograma unit.'!$E$23,IF(AND(ENTRADAS!F22&gt;4,ENTRADAS!F22&lt;=10),(LARGE('cronograma unit.'!E276:E280,1)-'cronograma unit.'!$E$23)/4*ENTRADAS!F22,0)))))</f>
        <v>100</v>
      </c>
      <c r="X177" s="304" t="s">
        <v>101</v>
      </c>
    </row>
    <row r="178" spans="2:24" ht="11.25" customHeight="1" x14ac:dyDescent="0.4">
      <c r="S178" s="12">
        <f>IF(ENTRADAS!$F$22=5,"Cronograma apenas para 4 tanques ",0)</f>
        <v>0</v>
      </c>
    </row>
    <row r="179" spans="2:24" ht="13.9" x14ac:dyDescent="0.35">
      <c r="B179" s="300" t="s">
        <v>1754</v>
      </c>
      <c r="C179" s="301" t="s">
        <v>1535</v>
      </c>
      <c r="D179" s="10"/>
      <c r="E179" s="10"/>
      <c r="F179" s="10"/>
      <c r="G179" s="10"/>
      <c r="H179" s="10"/>
      <c r="I179" s="10" t="str">
        <f>IF(ENTRADAS!F22&lt;2,"PARA "&amp;ENTRADAS!F22&amp;" TANQUE","PARA "&amp;ENTRADAS!F22&amp;" TANQUES")</f>
        <v>PARA 4 TANQUES</v>
      </c>
      <c r="J179" s="10"/>
      <c r="K179" s="10"/>
      <c r="L179" s="10"/>
      <c r="M179" s="10"/>
      <c r="N179" s="10"/>
      <c r="O179" s="10"/>
      <c r="P179" s="10"/>
      <c r="Q179" s="10"/>
      <c r="R179" s="10"/>
      <c r="S179" s="10"/>
      <c r="T179" s="10"/>
      <c r="U179" s="10"/>
      <c r="V179" s="10"/>
      <c r="W179" s="10"/>
      <c r="X179" s="6"/>
    </row>
    <row r="180" spans="2:24" x14ac:dyDescent="0.35">
      <c r="B180" s="970" t="s">
        <v>1755</v>
      </c>
      <c r="C180" s="1164" t="s">
        <v>1756</v>
      </c>
      <c r="D180" s="46"/>
      <c r="E180" s="46"/>
      <c r="F180" s="46"/>
      <c r="G180" s="46"/>
      <c r="H180" s="46"/>
      <c r="I180" s="46"/>
      <c r="J180" s="46"/>
      <c r="K180" s="46"/>
      <c r="L180" s="46"/>
      <c r="M180" s="46"/>
      <c r="N180" s="46"/>
      <c r="O180" s="46"/>
      <c r="P180" s="46"/>
      <c r="Q180" s="46"/>
      <c r="R180" s="46"/>
      <c r="S180" s="46"/>
      <c r="T180" s="46"/>
      <c r="U180" s="46"/>
      <c r="V180" s="46"/>
      <c r="W180" s="465">
        <f ca="1">CÁLCULOS!L536</f>
        <v>114</v>
      </c>
      <c r="X180" s="466" t="s">
        <v>101</v>
      </c>
    </row>
    <row r="181" spans="2:24" x14ac:dyDescent="0.35">
      <c r="B181" s="20"/>
      <c r="C181" s="333"/>
      <c r="D181" s="334" t="str">
        <f>CÁLCULOS!C290</f>
        <v xml:space="preserve">LOCAÇÕES TOPOGRÁFICAS INICIAIS  </v>
      </c>
      <c r="E181" s="333"/>
      <c r="F181" s="333"/>
      <c r="G181" s="333"/>
      <c r="H181" s="333"/>
      <c r="I181" s="333"/>
      <c r="J181" s="333"/>
      <c r="K181" s="333"/>
      <c r="L181" s="333"/>
      <c r="M181" s="333"/>
      <c r="N181" s="333"/>
      <c r="O181" s="333"/>
      <c r="P181" s="333"/>
      <c r="Q181" s="333"/>
      <c r="R181" s="333"/>
      <c r="S181" s="331">
        <f ca="1">CÁLCULOS!J290</f>
        <v>7</v>
      </c>
      <c r="T181" s="332" t="s">
        <v>101</v>
      </c>
      <c r="U181" s="1207"/>
      <c r="W181" s="4"/>
      <c r="X181" s="16"/>
    </row>
    <row r="182" spans="2:24" x14ac:dyDescent="0.35">
      <c r="B182" s="20"/>
      <c r="C182" s="318"/>
      <c r="D182" s="319" t="str">
        <f>CÁLCULOS!C291</f>
        <v>ASSENTAMENTO DE CHAPAS DE NIVELAMENTO</v>
      </c>
      <c r="E182" s="318"/>
      <c r="F182" s="318"/>
      <c r="G182" s="318"/>
      <c r="H182" s="318"/>
      <c r="I182" s="318"/>
      <c r="J182" s="318"/>
      <c r="K182" s="318"/>
      <c r="L182" s="318"/>
      <c r="M182" s="318"/>
      <c r="N182" s="318"/>
      <c r="O182" s="318"/>
      <c r="P182" s="318"/>
      <c r="Q182" s="318"/>
      <c r="R182" s="318"/>
      <c r="S182" s="320">
        <f ca="1">CÁLCULOS!J291</f>
        <v>7</v>
      </c>
      <c r="T182" s="319" t="s">
        <v>101</v>
      </c>
      <c r="U182" s="318"/>
      <c r="X182" s="16"/>
    </row>
    <row r="183" spans="2:24" x14ac:dyDescent="0.35">
      <c r="B183" s="20"/>
      <c r="C183" s="321"/>
      <c r="D183" s="322" t="str">
        <f>CÁLCULOS!C292</f>
        <v>DESCARREGAMENTOS DE PAINÉIS TRANSPORTADOS</v>
      </c>
      <c r="E183" s="321"/>
      <c r="F183" s="321"/>
      <c r="G183" s="321"/>
      <c r="H183" s="321"/>
      <c r="I183" s="321"/>
      <c r="J183" s="321"/>
      <c r="K183" s="321"/>
      <c r="L183" s="321"/>
      <c r="M183" s="321"/>
      <c r="N183" s="321"/>
      <c r="O183" s="321"/>
      <c r="P183" s="321"/>
      <c r="Q183" s="321"/>
      <c r="R183" s="321"/>
      <c r="S183" s="323">
        <f ca="1">CÁLCULOS!J292</f>
        <v>10</v>
      </c>
      <c r="T183" s="319" t="s">
        <v>101</v>
      </c>
      <c r="U183" s="321"/>
      <c r="X183" s="16"/>
    </row>
    <row r="184" spans="2:24" x14ac:dyDescent="0.35">
      <c r="B184" s="20"/>
      <c r="C184" s="321"/>
      <c r="D184" s="322" t="str">
        <f>CÁLCULOS!C293</f>
        <v>RELOCAMENTO DE PAINÉIS NO LOCAL DE MONTAGEM</v>
      </c>
      <c r="E184" s="321"/>
      <c r="F184" s="321"/>
      <c r="G184" s="321"/>
      <c r="H184" s="321"/>
      <c r="I184" s="321"/>
      <c r="J184" s="321"/>
      <c r="K184" s="321"/>
      <c r="L184" s="321"/>
      <c r="M184" s="321"/>
      <c r="N184" s="321"/>
      <c r="O184" s="321"/>
      <c r="P184" s="321"/>
      <c r="Q184" s="321"/>
      <c r="R184" s="321"/>
      <c r="S184" s="323">
        <f>CÁLCULOS!J293</f>
        <v>0</v>
      </c>
      <c r="T184" s="319" t="s">
        <v>101</v>
      </c>
      <c r="U184" s="321"/>
      <c r="X184" s="16"/>
    </row>
    <row r="185" spans="2:24" x14ac:dyDescent="0.35">
      <c r="B185" s="20"/>
      <c r="C185" s="321"/>
      <c r="D185" s="322" t="str">
        <f>CÁLCULOS!C294</f>
        <v>MONTAGEM dos PAINÉIS</v>
      </c>
      <c r="E185" s="321"/>
      <c r="F185" s="321"/>
      <c r="G185" s="321"/>
      <c r="H185" s="321"/>
      <c r="I185" s="321"/>
      <c r="J185" s="321"/>
      <c r="K185" s="321"/>
      <c r="L185" s="321"/>
      <c r="M185" s="321"/>
      <c r="N185" s="321"/>
      <c r="O185" s="321"/>
      <c r="P185" s="321"/>
      <c r="Q185" s="321"/>
      <c r="R185" s="321"/>
      <c r="S185" s="323">
        <f ca="1">CÁLCULOS!J294</f>
        <v>36</v>
      </c>
      <c r="T185" s="319" t="s">
        <v>101</v>
      </c>
      <c r="U185" s="321"/>
      <c r="X185" s="16"/>
    </row>
    <row r="186" spans="2:24" x14ac:dyDescent="0.35">
      <c r="B186" s="20"/>
      <c r="C186" s="321"/>
      <c r="D186" s="322"/>
      <c r="E186" s="321"/>
      <c r="F186" s="321"/>
      <c r="G186" s="321"/>
      <c r="H186" s="321"/>
      <c r="I186" s="321"/>
      <c r="J186" s="321"/>
      <c r="K186" s="321"/>
      <c r="L186" s="321"/>
      <c r="M186" s="321"/>
      <c r="N186" s="321"/>
      <c r="O186" s="321"/>
      <c r="P186" s="321"/>
      <c r="Q186" s="321"/>
      <c r="R186" s="321"/>
      <c r="S186" s="323"/>
      <c r="T186" s="321"/>
      <c r="U186" s="321"/>
      <c r="X186" s="16"/>
    </row>
    <row r="187" spans="2:24" x14ac:dyDescent="0.35">
      <c r="B187" s="20"/>
      <c r="C187" s="321"/>
      <c r="D187" s="322" t="str">
        <f>CÁLCULOS!C362</f>
        <v>CABEAMENTO E  1º TENSIONAMENTO</v>
      </c>
      <c r="E187" s="321"/>
      <c r="F187" s="321"/>
      <c r="G187" s="321"/>
      <c r="H187" s="321"/>
      <c r="I187" s="321"/>
      <c r="J187" s="321"/>
      <c r="K187" s="321"/>
      <c r="L187" s="321"/>
      <c r="M187" s="321"/>
      <c r="N187" s="321"/>
      <c r="O187" s="321"/>
      <c r="P187" s="321"/>
      <c r="Q187" s="321"/>
      <c r="R187" s="321"/>
      <c r="S187" s="323">
        <f ca="1">CÁLCULOS!J362</f>
        <v>3</v>
      </c>
      <c r="T187" s="319" t="s">
        <v>101</v>
      </c>
      <c r="U187" s="321"/>
      <c r="X187" s="16"/>
    </row>
    <row r="188" spans="2:24" ht="12" customHeight="1" x14ac:dyDescent="0.35">
      <c r="B188" s="20"/>
      <c r="C188" s="321"/>
      <c r="D188" s="322" t="str">
        <f>CÁLCULOS!C363</f>
        <v xml:space="preserve">2º TENSIONAMENTO </v>
      </c>
      <c r="E188" s="321"/>
      <c r="F188" s="321"/>
      <c r="G188" s="321"/>
      <c r="H188" s="321"/>
      <c r="I188" s="321"/>
      <c r="J188" s="321"/>
      <c r="K188" s="321"/>
      <c r="L188" s="321"/>
      <c r="M188" s="321"/>
      <c r="N188" s="321"/>
      <c r="O188" s="321"/>
      <c r="P188" s="321"/>
      <c r="Q188" s="321"/>
      <c r="R188" s="321"/>
      <c r="S188" s="323">
        <f ca="1">CÁLCULOS!J363</f>
        <v>3</v>
      </c>
      <c r="T188" s="319" t="s">
        <v>101</v>
      </c>
      <c r="U188" s="321"/>
      <c r="X188" s="16"/>
    </row>
    <row r="189" spans="2:24" ht="12" customHeight="1" x14ac:dyDescent="0.35">
      <c r="B189" s="20"/>
      <c r="C189" s="321"/>
      <c r="D189" s="322" t="str">
        <f>CÁLCULOS!C364</f>
        <v>RETIRADA DE ESCORAS</v>
      </c>
      <c r="E189" s="321"/>
      <c r="F189" s="321"/>
      <c r="G189" s="321"/>
      <c r="H189" s="321"/>
      <c r="I189" s="321"/>
      <c r="J189" s="321"/>
      <c r="K189" s="321"/>
      <c r="L189" s="321"/>
      <c r="M189" s="321"/>
      <c r="N189" s="321"/>
      <c r="O189" s="321"/>
      <c r="P189" s="321"/>
      <c r="Q189" s="321"/>
      <c r="R189" s="321"/>
      <c r="S189" s="323">
        <f ca="1">CÁLCULOS!J364</f>
        <v>4</v>
      </c>
      <c r="T189" s="319" t="s">
        <v>101</v>
      </c>
      <c r="U189" s="321"/>
      <c r="X189" s="16"/>
    </row>
    <row r="190" spans="2:24" ht="12" customHeight="1" x14ac:dyDescent="0.35">
      <c r="B190" s="20"/>
      <c r="C190" s="321"/>
      <c r="D190" s="322"/>
      <c r="E190" s="321"/>
      <c r="F190" s="321"/>
      <c r="G190" s="321"/>
      <c r="H190" s="321"/>
      <c r="I190" s="321"/>
      <c r="J190" s="321"/>
      <c r="K190" s="321"/>
      <c r="L190" s="321"/>
      <c r="M190" s="321"/>
      <c r="N190" s="321"/>
      <c r="O190" s="321"/>
      <c r="P190" s="321"/>
      <c r="Q190" s="321"/>
      <c r="R190" s="321"/>
      <c r="S190" s="323"/>
      <c r="T190" s="321"/>
      <c r="U190" s="321"/>
      <c r="X190" s="16"/>
    </row>
    <row r="191" spans="2:24" ht="12" customHeight="1" x14ac:dyDescent="0.35">
      <c r="B191" s="20"/>
      <c r="D191" s="19" t="str">
        <f>CÁLCULOS!C382</f>
        <v>SOLIDARIZAÇÃO ( forma + concreto ) =</v>
      </c>
      <c r="S191" s="314">
        <f ca="1">CÁLCULOS!J382</f>
        <v>4</v>
      </c>
      <c r="T191" s="319" t="s">
        <v>101</v>
      </c>
      <c r="X191" s="16"/>
    </row>
    <row r="192" spans="2:24" ht="2.25" customHeight="1" x14ac:dyDescent="0.35">
      <c r="B192" s="20"/>
      <c r="C192" s="321"/>
      <c r="D192" s="322"/>
      <c r="E192" s="321"/>
      <c r="F192" s="321"/>
      <c r="G192" s="321"/>
      <c r="H192" s="321"/>
      <c r="I192" s="321"/>
      <c r="J192" s="321"/>
      <c r="K192" s="321"/>
      <c r="L192" s="321"/>
      <c r="M192" s="321"/>
      <c r="N192" s="321"/>
      <c r="O192" s="321"/>
      <c r="P192" s="321"/>
      <c r="Q192" s="321"/>
      <c r="R192" s="321"/>
      <c r="S192" s="323"/>
      <c r="T192" s="321"/>
      <c r="U192" s="321"/>
      <c r="X192" s="16"/>
    </row>
    <row r="193" spans="2:27" x14ac:dyDescent="0.35">
      <c r="B193" s="20"/>
      <c r="C193" s="321"/>
      <c r="D193" s="322" t="str">
        <f>CÁLCULOS!C412</f>
        <v>INJEÇÃO</v>
      </c>
      <c r="E193" s="321"/>
      <c r="F193" s="321"/>
      <c r="G193" s="321"/>
      <c r="H193" s="321"/>
      <c r="I193" s="321"/>
      <c r="J193" s="321"/>
      <c r="K193" s="321"/>
      <c r="L193" s="321"/>
      <c r="M193" s="321"/>
      <c r="N193" s="321"/>
      <c r="O193" s="321"/>
      <c r="P193" s="321"/>
      <c r="Q193" s="321"/>
      <c r="R193" s="321"/>
      <c r="S193" s="323">
        <f>CÁLCULOS!J412</f>
        <v>8</v>
      </c>
      <c r="T193" s="319" t="s">
        <v>101</v>
      </c>
      <c r="U193" s="321"/>
      <c r="X193" s="16"/>
    </row>
    <row r="194" spans="2:27" x14ac:dyDescent="0.35">
      <c r="B194" s="20"/>
      <c r="C194" s="321"/>
      <c r="D194" s="322" t="str">
        <f>IF(ENTRADAS!G66="X","CURA ( solidarização )","CURA ( injeção )")</f>
        <v>CURA ( injeção )</v>
      </c>
      <c r="E194" s="321"/>
      <c r="F194" s="321"/>
      <c r="G194" s="321"/>
      <c r="H194" s="321"/>
      <c r="I194" s="321"/>
      <c r="J194" s="321"/>
      <c r="K194" s="321"/>
      <c r="L194" s="321"/>
      <c r="M194" s="321"/>
      <c r="N194" s="321"/>
      <c r="O194" s="321"/>
      <c r="P194" s="321"/>
      <c r="Q194" s="321"/>
      <c r="R194" s="321"/>
      <c r="S194" s="323">
        <f>CÁLCULOS!J415</f>
        <v>9</v>
      </c>
      <c r="T194" s="319" t="s">
        <v>101</v>
      </c>
      <c r="U194" s="321"/>
      <c r="X194" s="16"/>
    </row>
    <row r="195" spans="2:27" x14ac:dyDescent="0.35">
      <c r="B195" s="20"/>
      <c r="C195" s="321"/>
      <c r="D195" s="322" t="str">
        <f>CÁLCULOS!C413</f>
        <v>ACABAMENTOS ANTES DO 2º TENSIONAMENTO</v>
      </c>
      <c r="E195" s="321"/>
      <c r="F195" s="321"/>
      <c r="G195" s="321"/>
      <c r="H195" s="321"/>
      <c r="I195" s="321"/>
      <c r="J195" s="321"/>
      <c r="K195" s="321"/>
      <c r="L195" s="321"/>
      <c r="M195" s="321"/>
      <c r="N195" s="321"/>
      <c r="O195" s="321"/>
      <c r="P195" s="321"/>
      <c r="Q195" s="321"/>
      <c r="R195" s="321"/>
      <c r="S195" s="323">
        <f ca="1">CÁLCULOS!J413</f>
        <v>7</v>
      </c>
      <c r="T195" s="319" t="s">
        <v>101</v>
      </c>
      <c r="U195" s="321"/>
      <c r="X195" s="16"/>
    </row>
    <row r="196" spans="2:27" x14ac:dyDescent="0.35">
      <c r="B196" s="20"/>
      <c r="C196" s="321"/>
      <c r="D196" s="322" t="str">
        <f>CÁLCULOS!C414</f>
        <v>ACABAMENTOS APÓS 2º TENSIONAMENTO</v>
      </c>
      <c r="E196" s="321"/>
      <c r="F196" s="321"/>
      <c r="G196" s="321"/>
      <c r="H196" s="321"/>
      <c r="I196" s="321"/>
      <c r="J196" s="321"/>
      <c r="K196" s="321"/>
      <c r="L196" s="321"/>
      <c r="M196" s="321"/>
      <c r="N196" s="321"/>
      <c r="O196" s="321"/>
      <c r="P196" s="321"/>
      <c r="Q196" s="321"/>
      <c r="R196" s="321"/>
      <c r="S196" s="323">
        <f>CÁLCULOS!J414</f>
        <v>3</v>
      </c>
      <c r="T196" s="319" t="s">
        <v>101</v>
      </c>
      <c r="U196" s="321"/>
      <c r="X196" s="16"/>
    </row>
    <row r="197" spans="2:27" x14ac:dyDescent="0.35">
      <c r="B197" s="20"/>
      <c r="C197" s="325"/>
      <c r="D197" s="326" t="s">
        <v>1745</v>
      </c>
      <c r="E197" s="325"/>
      <c r="F197" s="325"/>
      <c r="G197" s="325"/>
      <c r="H197" s="325"/>
      <c r="I197" s="325"/>
      <c r="J197" s="325"/>
      <c r="K197" s="325"/>
      <c r="L197" s="325"/>
      <c r="M197" s="325"/>
      <c r="N197" s="325"/>
      <c r="O197" s="325"/>
      <c r="P197" s="325"/>
      <c r="Q197" s="325"/>
      <c r="R197" s="325"/>
      <c r="S197" s="327">
        <f ca="1">W180-SUM(S181:S196)</f>
        <v>13</v>
      </c>
      <c r="T197" s="328" t="s">
        <v>101</v>
      </c>
      <c r="U197" s="325"/>
      <c r="X197" s="16"/>
    </row>
    <row r="198" spans="2:27" ht="10.5" customHeight="1" x14ac:dyDescent="0.35">
      <c r="B198" s="20"/>
      <c r="C198" s="315"/>
      <c r="D198" s="324"/>
      <c r="E198" s="315"/>
      <c r="F198" s="315"/>
      <c r="G198" s="315"/>
      <c r="H198" s="315"/>
      <c r="I198" s="329" t="s">
        <v>1751</v>
      </c>
      <c r="J198" s="315"/>
      <c r="K198" s="315"/>
      <c r="L198" s="315"/>
      <c r="M198" s="315"/>
      <c r="N198" s="315"/>
      <c r="O198" s="315"/>
      <c r="P198" s="315"/>
      <c r="Q198" s="315"/>
      <c r="R198" s="315"/>
      <c r="S198" s="317"/>
      <c r="T198" s="316"/>
      <c r="U198" s="315"/>
      <c r="X198" s="16"/>
    </row>
    <row r="199" spans="2:27" ht="4.5" customHeight="1" x14ac:dyDescent="0.35">
      <c r="B199" s="18"/>
      <c r="C199" s="3"/>
      <c r="D199" s="3"/>
      <c r="E199" s="3"/>
      <c r="F199" s="3"/>
      <c r="G199" s="3"/>
      <c r="H199" s="3"/>
      <c r="I199" s="3"/>
      <c r="J199" s="3"/>
      <c r="K199" s="3"/>
      <c r="L199" s="3"/>
      <c r="M199" s="3"/>
      <c r="N199" s="3"/>
      <c r="O199" s="3"/>
      <c r="P199" s="3"/>
      <c r="Q199" s="3"/>
      <c r="R199" s="3"/>
      <c r="S199" s="3"/>
      <c r="T199" s="3"/>
      <c r="U199" s="3"/>
      <c r="V199" s="3"/>
      <c r="W199" s="3"/>
      <c r="X199" s="17"/>
    </row>
    <row r="200" spans="2:27" x14ac:dyDescent="0.35">
      <c r="B200" s="970" t="s">
        <v>1757</v>
      </c>
      <c r="C200" s="1164" t="s">
        <v>1758</v>
      </c>
      <c r="D200" s="46"/>
      <c r="E200" s="46"/>
      <c r="F200" s="46"/>
      <c r="G200" s="46"/>
      <c r="H200" s="46"/>
      <c r="I200" s="46"/>
      <c r="J200" s="46"/>
      <c r="K200" s="46"/>
      <c r="L200" s="46"/>
      <c r="M200" s="46"/>
      <c r="N200" s="46"/>
      <c r="O200" s="46"/>
      <c r="P200" s="46"/>
      <c r="Q200" s="46"/>
      <c r="R200" s="46"/>
      <c r="S200" s="46"/>
      <c r="T200" s="46"/>
      <c r="U200" s="46"/>
      <c r="V200" s="46"/>
      <c r="W200" s="465">
        <f ca="1">IF(ENTRADAS!G1068="X",ROUNDUP(LAJES!H116,0),LAJES!H116)</f>
        <v>0</v>
      </c>
      <c r="X200" s="466" t="s">
        <v>101</v>
      </c>
    </row>
    <row r="201" spans="2:27" x14ac:dyDescent="0.35">
      <c r="B201" s="1005"/>
      <c r="C201" s="315"/>
      <c r="D201" s="316" t="s">
        <v>451</v>
      </c>
      <c r="E201" s="315"/>
      <c r="F201" s="315"/>
      <c r="G201" s="315"/>
      <c r="H201" s="315"/>
      <c r="I201" s="315"/>
      <c r="J201" s="315"/>
      <c r="K201" s="315"/>
      <c r="L201" s="315"/>
      <c r="M201" s="315"/>
      <c r="N201" s="315"/>
      <c r="O201" s="315"/>
      <c r="P201" s="315"/>
      <c r="Q201" s="315"/>
      <c r="R201" s="315"/>
      <c r="S201" s="317">
        <f>LAJES!H111</f>
        <v>0</v>
      </c>
      <c r="T201" s="316" t="s">
        <v>101</v>
      </c>
      <c r="U201" s="315"/>
      <c r="V201" s="25"/>
      <c r="W201" s="330"/>
      <c r="X201" s="1205"/>
    </row>
    <row r="202" spans="2:27" x14ac:dyDescent="0.35">
      <c r="B202" s="20"/>
      <c r="C202" s="333"/>
      <c r="D202" s="334" t="s">
        <v>1759</v>
      </c>
      <c r="E202" s="333"/>
      <c r="F202" s="333"/>
      <c r="G202" s="333"/>
      <c r="H202" s="333"/>
      <c r="I202" s="333"/>
      <c r="J202" s="333"/>
      <c r="K202" s="333"/>
      <c r="L202" s="333"/>
      <c r="M202" s="333"/>
      <c r="N202" s="333"/>
      <c r="O202" s="333"/>
      <c r="P202" s="333"/>
      <c r="Q202" s="333"/>
      <c r="R202" s="333"/>
      <c r="S202" s="331">
        <f ca="1">LAJES!H85</f>
        <v>0</v>
      </c>
      <c r="T202" s="332" t="s">
        <v>101</v>
      </c>
      <c r="U202" s="1207"/>
      <c r="X202" s="16"/>
    </row>
    <row r="203" spans="2:27" x14ac:dyDescent="0.35">
      <c r="B203" s="20"/>
      <c r="C203" s="321"/>
      <c r="D203" s="322" t="s">
        <v>1760</v>
      </c>
      <c r="E203" s="321"/>
      <c r="F203" s="321"/>
      <c r="G203" s="321"/>
      <c r="H203" s="321"/>
      <c r="I203" s="321"/>
      <c r="J203" s="321"/>
      <c r="K203" s="321"/>
      <c r="L203" s="321"/>
      <c r="M203" s="321"/>
      <c r="N203" s="321"/>
      <c r="O203" s="321"/>
      <c r="P203" s="321"/>
      <c r="Q203" s="321"/>
      <c r="R203" s="321"/>
      <c r="S203" s="323">
        <f ca="1">LAJES!H90</f>
        <v>0</v>
      </c>
      <c r="T203" s="322" t="s">
        <v>101</v>
      </c>
      <c r="U203" s="321"/>
      <c r="X203" s="16"/>
    </row>
    <row r="204" spans="2:27" x14ac:dyDescent="0.35">
      <c r="B204" s="20"/>
      <c r="C204" s="321"/>
      <c r="D204" s="322" t="s">
        <v>1761</v>
      </c>
      <c r="E204" s="321"/>
      <c r="F204" s="321"/>
      <c r="G204" s="321"/>
      <c r="H204" s="321"/>
      <c r="I204" s="321"/>
      <c r="J204" s="321"/>
      <c r="K204" s="321"/>
      <c r="L204" s="321"/>
      <c r="M204" s="321"/>
      <c r="N204" s="321"/>
      <c r="O204" s="321"/>
      <c r="P204" s="321"/>
      <c r="Q204" s="321"/>
      <c r="R204" s="321"/>
      <c r="S204" s="323">
        <f ca="1">LAJES!H95</f>
        <v>0</v>
      </c>
      <c r="T204" s="322" t="s">
        <v>101</v>
      </c>
      <c r="U204" s="321"/>
      <c r="X204" s="16"/>
    </row>
    <row r="205" spans="2:27" x14ac:dyDescent="0.35">
      <c r="B205" s="20"/>
      <c r="C205" s="321"/>
      <c r="D205" s="322" t="s">
        <v>1762</v>
      </c>
      <c r="E205" s="321"/>
      <c r="F205" s="321"/>
      <c r="G205" s="321"/>
      <c r="H205" s="321"/>
      <c r="I205" s="321"/>
      <c r="J205" s="321"/>
      <c r="K205" s="321"/>
      <c r="L205" s="321"/>
      <c r="M205" s="321"/>
      <c r="N205" s="321"/>
      <c r="O205" s="321"/>
      <c r="P205" s="321"/>
      <c r="Q205" s="321"/>
      <c r="R205" s="321"/>
      <c r="S205" s="323">
        <f ca="1">LAJES!H100</f>
        <v>0</v>
      </c>
      <c r="T205" s="322" t="s">
        <v>101</v>
      </c>
      <c r="U205" s="321"/>
      <c r="X205" s="16"/>
    </row>
    <row r="206" spans="2:27" x14ac:dyDescent="0.35">
      <c r="B206" s="20"/>
      <c r="C206" s="321"/>
      <c r="D206" s="322" t="s">
        <v>1763</v>
      </c>
      <c r="E206" s="321"/>
      <c r="F206" s="321"/>
      <c r="G206" s="321"/>
      <c r="H206" s="321"/>
      <c r="I206" s="321"/>
      <c r="J206" s="321"/>
      <c r="K206" s="321"/>
      <c r="L206" s="321"/>
      <c r="M206" s="321"/>
      <c r="N206" s="321"/>
      <c r="O206" s="321"/>
      <c r="P206" s="321"/>
      <c r="Q206" s="321"/>
      <c r="R206" s="321"/>
      <c r="S206" s="323">
        <f ca="1">LAJES!H106</f>
        <v>0</v>
      </c>
      <c r="T206" s="322" t="s">
        <v>101</v>
      </c>
      <c r="U206" s="321"/>
      <c r="X206" s="16"/>
      <c r="AA206" s="761"/>
    </row>
    <row r="207" spans="2:27" x14ac:dyDescent="0.35">
      <c r="B207" s="20"/>
      <c r="C207" s="325"/>
      <c r="D207" s="326" t="s">
        <v>1745</v>
      </c>
      <c r="E207" s="325"/>
      <c r="F207" s="325"/>
      <c r="G207" s="325"/>
      <c r="H207" s="325"/>
      <c r="I207" s="325"/>
      <c r="J207" s="325"/>
      <c r="K207" s="325"/>
      <c r="L207" s="325"/>
      <c r="M207" s="325"/>
      <c r="N207" s="325"/>
      <c r="O207" s="325"/>
      <c r="P207" s="325"/>
      <c r="Q207" s="325"/>
      <c r="R207" s="325"/>
      <c r="S207" s="327">
        <f ca="1">W200-SUM(S201:S206)</f>
        <v>0</v>
      </c>
      <c r="T207" s="328" t="s">
        <v>101</v>
      </c>
      <c r="U207" s="325"/>
      <c r="X207" s="16"/>
    </row>
    <row r="208" spans="2:27" x14ac:dyDescent="0.35">
      <c r="B208" s="20"/>
      <c r="C208" s="315"/>
      <c r="D208" s="324"/>
      <c r="E208" s="315"/>
      <c r="F208" s="315"/>
      <c r="G208" s="315"/>
      <c r="H208" s="315"/>
      <c r="I208" s="329" t="s">
        <v>1751</v>
      </c>
      <c r="J208" s="315"/>
      <c r="K208" s="315"/>
      <c r="L208" s="315"/>
      <c r="M208" s="315"/>
      <c r="N208" s="315"/>
      <c r="O208" s="315"/>
      <c r="P208" s="315"/>
      <c r="Q208" s="315"/>
      <c r="R208" s="315"/>
      <c r="S208" s="317"/>
      <c r="T208" s="316"/>
      <c r="U208" s="315"/>
      <c r="X208" s="16"/>
    </row>
    <row r="209" spans="2:27" ht="3.75" customHeight="1" x14ac:dyDescent="0.35">
      <c r="B209" s="20"/>
      <c r="C209" s="315"/>
      <c r="D209" s="324"/>
      <c r="E209" s="315"/>
      <c r="F209" s="315"/>
      <c r="G209" s="315"/>
      <c r="H209" s="315"/>
      <c r="I209" s="329"/>
      <c r="J209" s="315"/>
      <c r="K209" s="315"/>
      <c r="L209" s="315"/>
      <c r="M209" s="315"/>
      <c r="N209" s="315"/>
      <c r="O209" s="315"/>
      <c r="P209" s="315"/>
      <c r="Q209" s="315"/>
      <c r="R209" s="315"/>
      <c r="S209" s="317"/>
      <c r="T209" s="316"/>
      <c r="U209" s="315"/>
      <c r="X209" s="16"/>
    </row>
    <row r="210" spans="2:27" ht="4.5" customHeight="1" x14ac:dyDescent="0.35">
      <c r="B210" s="695"/>
      <c r="C210" s="995"/>
      <c r="D210" s="35"/>
      <c r="E210" s="35"/>
      <c r="F210" s="35"/>
      <c r="G210" s="35"/>
      <c r="H210" s="35"/>
      <c r="I210" s="35"/>
      <c r="J210" s="35"/>
      <c r="K210" s="35"/>
      <c r="L210" s="35"/>
      <c r="M210" s="35"/>
      <c r="N210" s="35"/>
      <c r="O210" s="35"/>
      <c r="P210" s="35"/>
      <c r="Q210" s="35"/>
      <c r="R210" s="35"/>
      <c r="S210" s="35"/>
      <c r="T210" s="35"/>
      <c r="U210" s="35"/>
      <c r="V210" s="35"/>
      <c r="W210" s="282"/>
      <c r="X210" s="997"/>
    </row>
    <row r="211" spans="2:27" x14ac:dyDescent="0.35">
      <c r="B211" s="302" t="s">
        <v>1764</v>
      </c>
      <c r="C211" s="303" t="s">
        <v>1765</v>
      </c>
      <c r="D211" s="303"/>
      <c r="E211" s="303"/>
      <c r="F211" s="303"/>
      <c r="G211" s="303"/>
      <c r="H211" s="303"/>
      <c r="I211" s="303"/>
      <c r="J211" s="303"/>
      <c r="K211" s="303"/>
      <c r="L211" s="303"/>
      <c r="M211" s="303"/>
      <c r="N211" s="303"/>
      <c r="O211" s="303"/>
      <c r="P211" s="303"/>
      <c r="Q211" s="303"/>
      <c r="R211" s="303"/>
      <c r="S211" s="303"/>
      <c r="T211" s="344"/>
      <c r="U211" s="303"/>
      <c r="V211" s="303"/>
      <c r="W211" s="487">
        <f ca="1">IF(ENTRADAS!F22=1,LARGE('cronograma unit.'!E30:E32,1)-SMALL('cronograma unit.'!$E$29:$E$31,1),IF(ENTRADAS!F22=2,LARGE('cronograma unit.'!E114:E116,1)-SMALL('cronograma unit.'!$E$29:$E$31,1),IF(ENTRADAS!F22=3,LARGE('cronograma unit.'!E198:E200,1)-SMALL('cronograma unit.'!$E$29:$E$31,1),IF(ENTRADAS!F22=4,LARGE('cronograma unit.'!E282:E284,1)-SMALL('cronograma unit.'!$E$29:$E$31,1),IF(AND(ENTRADAS!F22&gt;4,ENTRADAS!F22&lt;=10),'cronograma unit.'!E371,0)))))</f>
        <v>101.48750000000291</v>
      </c>
      <c r="X211" s="304" t="s">
        <v>101</v>
      </c>
    </row>
    <row r="212" spans="2:27" ht="13.15" x14ac:dyDescent="0.4">
      <c r="B212" s="695"/>
      <c r="C212" s="35"/>
      <c r="D212" s="35"/>
      <c r="E212" s="35"/>
      <c r="F212" s="35"/>
      <c r="G212" s="35"/>
      <c r="H212" s="35"/>
      <c r="I212" s="35"/>
      <c r="J212" s="35"/>
      <c r="K212" s="35"/>
      <c r="L212" s="35"/>
      <c r="M212" s="35"/>
      <c r="N212" s="35"/>
      <c r="O212" s="35"/>
      <c r="P212" s="35"/>
      <c r="Q212" s="35"/>
      <c r="R212" s="35"/>
      <c r="S212" s="12">
        <f>IF(ENTRADAS!$F$22=5,"Cronograma apenas para 4 tanques ",0)</f>
        <v>0</v>
      </c>
      <c r="T212" s="35"/>
      <c r="U212" s="35"/>
      <c r="V212" s="35"/>
      <c r="W212" s="282"/>
      <c r="X212" s="52"/>
    </row>
    <row r="213" spans="2:27" hidden="1" x14ac:dyDescent="0.35">
      <c r="B213" s="308" t="s">
        <v>1766</v>
      </c>
      <c r="C213" s="309" t="s">
        <v>1767</v>
      </c>
      <c r="D213" s="309"/>
      <c r="E213" s="309"/>
      <c r="F213" s="309"/>
      <c r="G213" s="309"/>
      <c r="H213" s="309"/>
      <c r="I213" s="309"/>
      <c r="J213" s="309"/>
      <c r="K213" s="309"/>
      <c r="L213" s="309"/>
      <c r="M213" s="309"/>
      <c r="N213" s="309"/>
      <c r="O213" s="309"/>
      <c r="P213" s="309"/>
      <c r="Q213" s="309"/>
      <c r="R213" s="309"/>
      <c r="S213" s="309"/>
      <c r="T213" s="309"/>
      <c r="U213" s="309"/>
      <c r="V213" s="309"/>
      <c r="W213" s="660"/>
      <c r="X213" s="310" t="s">
        <v>101</v>
      </c>
    </row>
    <row r="214" spans="2:27" x14ac:dyDescent="0.35">
      <c r="B214" s="695"/>
      <c r="C214" s="995" t="str">
        <f>IF(ENTRADAS!F22&gt;3,"Para cronograma não é valido, pois o limite é 3 tanques","ir em CRONOGRAMA e ajustar as datas caso necessário")</f>
        <v>Para cronograma não é valido, pois o limite é 3 tanques</v>
      </c>
      <c r="D214" s="35"/>
      <c r="E214" s="35"/>
      <c r="F214" s="35"/>
      <c r="G214" s="35"/>
      <c r="H214" s="35"/>
      <c r="I214" s="35"/>
      <c r="J214" s="35"/>
      <c r="K214" s="35"/>
      <c r="L214" s="35"/>
      <c r="M214" s="35"/>
      <c r="N214" s="35"/>
      <c r="O214" s="35"/>
      <c r="P214" s="35"/>
      <c r="Q214" s="35"/>
      <c r="R214" s="35"/>
      <c r="S214" s="35"/>
      <c r="T214" s="35"/>
      <c r="U214" s="35"/>
      <c r="V214" s="35"/>
      <c r="W214" s="282"/>
      <c r="X214" s="52"/>
    </row>
    <row r="215" spans="2:27" ht="15.4" x14ac:dyDescent="0.45">
      <c r="B215" s="547" t="s">
        <v>1766</v>
      </c>
      <c r="C215" s="548" t="s">
        <v>1768</v>
      </c>
      <c r="D215" s="548"/>
      <c r="E215" s="548"/>
      <c r="F215" s="548"/>
      <c r="G215" s="548"/>
      <c r="H215" s="548"/>
      <c r="I215" s="548"/>
      <c r="J215" s="548"/>
      <c r="K215" s="548"/>
      <c r="L215" s="548"/>
      <c r="M215" s="548"/>
      <c r="N215" s="548"/>
      <c r="O215" s="548"/>
      <c r="P215" s="548"/>
      <c r="Q215" s="548"/>
      <c r="R215" s="548"/>
      <c r="S215" s="548"/>
      <c r="T215" s="548"/>
      <c r="U215" s="548"/>
      <c r="V215" s="548"/>
      <c r="W215" s="549">
        <f ca="1">('cronograma unit.'!E29-'cronograma unit.'!E17)+W211+ENTRADAS!Q852+3</f>
        <v>139.73750000000291</v>
      </c>
      <c r="X215" s="304" t="s">
        <v>101</v>
      </c>
      <c r="Z215" s="450"/>
      <c r="AA215" s="450"/>
    </row>
    <row r="218" spans="2:27" x14ac:dyDescent="0.35">
      <c r="B218" t="s">
        <v>1769</v>
      </c>
      <c r="M218" s="2059">
        <f ca="1">CÁLCULOS!H319</f>
        <v>13</v>
      </c>
      <c r="N218" s="2059"/>
      <c r="O218" s="2059"/>
      <c r="P218" t="s">
        <v>1770</v>
      </c>
    </row>
    <row r="219" spans="2:27" x14ac:dyDescent="0.35">
      <c r="B219" t="s">
        <v>1771</v>
      </c>
      <c r="M219" s="2059">
        <f ca="1">CÁLCULOS!H321</f>
        <v>39</v>
      </c>
      <c r="N219" s="2059"/>
      <c r="O219" s="2059"/>
      <c r="P219" t="s">
        <v>1770</v>
      </c>
    </row>
  </sheetData>
  <sheetProtection algorithmName="SHA-512" hashValue="7uMs2R8zXySurSO1rTqennabx9qyk/NY2zlCZKO6LY/MGJu2/qG+m87EWWLR0o9UX1PGcfO4zGKIM6HlOLNKpA==" saltValue="zUWM5uqbt5gSd88leLUdng==" spinCount="100000" sheet="1" autoFilter="0"/>
  <protectedRanges>
    <protectedRange sqref="W213" name="Intervalo2"/>
  </protectedRanges>
  <autoFilter ref="A42:A156" xr:uid="{00000000-0009-0000-0000-000006000000}">
    <filterColumn colId="0">
      <customFilters>
        <customFilter operator="notEqual" val=" "/>
      </customFilters>
    </filterColumn>
  </autoFilter>
  <mergeCells count="650">
    <mergeCell ref="M218:O218"/>
    <mergeCell ref="M219:O219"/>
    <mergeCell ref="S100:T100"/>
    <mergeCell ref="U100:W100"/>
    <mergeCell ref="B101:C101"/>
    <mergeCell ref="D101:E101"/>
    <mergeCell ref="H101:I101"/>
    <mergeCell ref="J101:L101"/>
    <mergeCell ref="M101:O101"/>
    <mergeCell ref="P101:R101"/>
    <mergeCell ref="S101:T101"/>
    <mergeCell ref="U101:W101"/>
    <mergeCell ref="B100:C100"/>
    <mergeCell ref="D100:E100"/>
    <mergeCell ref="H100:I100"/>
    <mergeCell ref="J100:L100"/>
    <mergeCell ref="M100:O100"/>
    <mergeCell ref="P100:R100"/>
    <mergeCell ref="O111:P111"/>
    <mergeCell ref="Q111:R111"/>
    <mergeCell ref="B110:C110"/>
    <mergeCell ref="D110:E110"/>
    <mergeCell ref="H110:I110"/>
    <mergeCell ref="J110:L110"/>
    <mergeCell ref="S98:T98"/>
    <mergeCell ref="U98:W98"/>
    <mergeCell ref="B99:C99"/>
    <mergeCell ref="D99:E99"/>
    <mergeCell ref="H99:I99"/>
    <mergeCell ref="J99:L99"/>
    <mergeCell ref="M99:O99"/>
    <mergeCell ref="P99:R99"/>
    <mergeCell ref="S99:T99"/>
    <mergeCell ref="U99:W99"/>
    <mergeCell ref="B98:C98"/>
    <mergeCell ref="D98:E98"/>
    <mergeCell ref="H98:I98"/>
    <mergeCell ref="J98:L98"/>
    <mergeCell ref="M98:O98"/>
    <mergeCell ref="P98:R98"/>
    <mergeCell ref="S96:T96"/>
    <mergeCell ref="U96:W96"/>
    <mergeCell ref="B97:C97"/>
    <mergeCell ref="D97:E97"/>
    <mergeCell ref="H97:I97"/>
    <mergeCell ref="J97:L97"/>
    <mergeCell ref="M97:O97"/>
    <mergeCell ref="P97:R97"/>
    <mergeCell ref="S97:T97"/>
    <mergeCell ref="U97:W97"/>
    <mergeCell ref="B96:C96"/>
    <mergeCell ref="D96:E96"/>
    <mergeCell ref="H96:I96"/>
    <mergeCell ref="J96:L96"/>
    <mergeCell ref="M96:O96"/>
    <mergeCell ref="P96:R96"/>
    <mergeCell ref="S94:T94"/>
    <mergeCell ref="U94:W94"/>
    <mergeCell ref="B95:C95"/>
    <mergeCell ref="D95:E95"/>
    <mergeCell ref="H95:I95"/>
    <mergeCell ref="J95:L95"/>
    <mergeCell ref="M95:O95"/>
    <mergeCell ref="P95:R95"/>
    <mergeCell ref="S95:T95"/>
    <mergeCell ref="U95:W95"/>
    <mergeCell ref="B94:C94"/>
    <mergeCell ref="D94:E94"/>
    <mergeCell ref="H94:I94"/>
    <mergeCell ref="J94:L94"/>
    <mergeCell ref="M94:O94"/>
    <mergeCell ref="P94:R94"/>
    <mergeCell ref="F94:G94"/>
    <mergeCell ref="S92:T92"/>
    <mergeCell ref="U92:W92"/>
    <mergeCell ref="B93:C93"/>
    <mergeCell ref="D93:E93"/>
    <mergeCell ref="H93:I93"/>
    <mergeCell ref="J93:L93"/>
    <mergeCell ref="M93:O93"/>
    <mergeCell ref="P93:R93"/>
    <mergeCell ref="S93:T93"/>
    <mergeCell ref="U93:W93"/>
    <mergeCell ref="B92:C92"/>
    <mergeCell ref="D92:E92"/>
    <mergeCell ref="H92:I92"/>
    <mergeCell ref="J92:L92"/>
    <mergeCell ref="M92:O92"/>
    <mergeCell ref="P92:R92"/>
    <mergeCell ref="F92:G92"/>
    <mergeCell ref="F93:G93"/>
    <mergeCell ref="B91:C91"/>
    <mergeCell ref="D91:E91"/>
    <mergeCell ref="H91:I91"/>
    <mergeCell ref="J91:L91"/>
    <mergeCell ref="M91:O91"/>
    <mergeCell ref="P91:R91"/>
    <mergeCell ref="F91:G91"/>
    <mergeCell ref="B90:C90"/>
    <mergeCell ref="D90:E90"/>
    <mergeCell ref="H90:I90"/>
    <mergeCell ref="J90:L90"/>
    <mergeCell ref="M90:O90"/>
    <mergeCell ref="P90:R90"/>
    <mergeCell ref="F90:G90"/>
    <mergeCell ref="M110:N110"/>
    <mergeCell ref="O110:P110"/>
    <mergeCell ref="H112:I112"/>
    <mergeCell ref="J112:L112"/>
    <mergeCell ref="M112:N112"/>
    <mergeCell ref="O112:P112"/>
    <mergeCell ref="Q110:R110"/>
    <mergeCell ref="B111:C111"/>
    <mergeCell ref="D111:E111"/>
    <mergeCell ref="H111:I111"/>
    <mergeCell ref="J111:L111"/>
    <mergeCell ref="M111:N111"/>
    <mergeCell ref="Q112:R112"/>
    <mergeCell ref="C140:X140"/>
    <mergeCell ref="C131:X131"/>
    <mergeCell ref="U86:W86"/>
    <mergeCell ref="U87:W87"/>
    <mergeCell ref="S87:T87"/>
    <mergeCell ref="B88:C88"/>
    <mergeCell ref="D88:E88"/>
    <mergeCell ref="H88:I88"/>
    <mergeCell ref="C150:X150"/>
    <mergeCell ref="Q106:R106"/>
    <mergeCell ref="O106:P106"/>
    <mergeCell ref="O105:P105"/>
    <mergeCell ref="J105:L105"/>
    <mergeCell ref="M106:N106"/>
    <mergeCell ref="B109:C109"/>
    <mergeCell ref="D109:E109"/>
    <mergeCell ref="H109:I109"/>
    <mergeCell ref="J109:L109"/>
    <mergeCell ref="M109:N109"/>
    <mergeCell ref="Q107:R107"/>
    <mergeCell ref="O109:P109"/>
    <mergeCell ref="Q109:R109"/>
    <mergeCell ref="B108:C108"/>
    <mergeCell ref="D108:E108"/>
    <mergeCell ref="C151:X151"/>
    <mergeCell ref="C152:X152"/>
    <mergeCell ref="C142:X142"/>
    <mergeCell ref="C143:X143"/>
    <mergeCell ref="C144:X144"/>
    <mergeCell ref="C145:X145"/>
    <mergeCell ref="C146:X146"/>
    <mergeCell ref="C153:X153"/>
    <mergeCell ref="C154:X154"/>
    <mergeCell ref="C155:X155"/>
    <mergeCell ref="C156:X156"/>
    <mergeCell ref="C137:X138"/>
    <mergeCell ref="B105:C105"/>
    <mergeCell ref="B106:C106"/>
    <mergeCell ref="C147:X147"/>
    <mergeCell ref="C148:X148"/>
    <mergeCell ref="C149:X149"/>
    <mergeCell ref="J106:L106"/>
    <mergeCell ref="B107:C107"/>
    <mergeCell ref="D107:E107"/>
    <mergeCell ref="H107:I107"/>
    <mergeCell ref="J107:L107"/>
    <mergeCell ref="O107:P107"/>
    <mergeCell ref="D105:E105"/>
    <mergeCell ref="D106:E106"/>
    <mergeCell ref="H106:I106"/>
    <mergeCell ref="H105:I105"/>
    <mergeCell ref="M105:N105"/>
    <mergeCell ref="J108:L108"/>
    <mergeCell ref="M108:N108"/>
    <mergeCell ref="O108:P108"/>
    <mergeCell ref="M107:N107"/>
    <mergeCell ref="Q105:R105"/>
    <mergeCell ref="W1:X1"/>
    <mergeCell ref="W2:X2"/>
    <mergeCell ref="T1:V1"/>
    <mergeCell ref="T2:V2"/>
    <mergeCell ref="T3:X3"/>
    <mergeCell ref="T4:X4"/>
    <mergeCell ref="J88:L88"/>
    <mergeCell ref="M88:O88"/>
    <mergeCell ref="P88:R88"/>
    <mergeCell ref="P86:R86"/>
    <mergeCell ref="J86:L86"/>
    <mergeCell ref="Q74:R74"/>
    <mergeCell ref="Q76:R76"/>
    <mergeCell ref="S79:T79"/>
    <mergeCell ref="U71:W71"/>
    <mergeCell ref="S78:T78"/>
    <mergeCell ref="U78:W78"/>
    <mergeCell ref="Q77:R77"/>
    <mergeCell ref="Q78:R78"/>
    <mergeCell ref="S75:T75"/>
    <mergeCell ref="U75:W75"/>
    <mergeCell ref="S77:T77"/>
    <mergeCell ref="U77:W77"/>
    <mergeCell ref="U79:W79"/>
    <mergeCell ref="J113:L113"/>
    <mergeCell ref="M113:N113"/>
    <mergeCell ref="O113:P113"/>
    <mergeCell ref="Q113:R113"/>
    <mergeCell ref="B112:C112"/>
    <mergeCell ref="D112:E112"/>
    <mergeCell ref="O115:P115"/>
    <mergeCell ref="Q115:R115"/>
    <mergeCell ref="B114:C114"/>
    <mergeCell ref="D114:E114"/>
    <mergeCell ref="H114:I114"/>
    <mergeCell ref="J114:L114"/>
    <mergeCell ref="M114:N114"/>
    <mergeCell ref="O114:P114"/>
    <mergeCell ref="F112:G112"/>
    <mergeCell ref="B113:C113"/>
    <mergeCell ref="D113:E113"/>
    <mergeCell ref="H113:I113"/>
    <mergeCell ref="B116:C116"/>
    <mergeCell ref="D116:E116"/>
    <mergeCell ref="H116:I116"/>
    <mergeCell ref="J116:L116"/>
    <mergeCell ref="M116:N116"/>
    <mergeCell ref="O116:P116"/>
    <mergeCell ref="Q114:R114"/>
    <mergeCell ref="B115:C115"/>
    <mergeCell ref="D115:E115"/>
    <mergeCell ref="H115:I115"/>
    <mergeCell ref="J115:L115"/>
    <mergeCell ref="M115:N115"/>
    <mergeCell ref="Q116:R116"/>
    <mergeCell ref="O119:P119"/>
    <mergeCell ref="Q119:R119"/>
    <mergeCell ref="B117:C117"/>
    <mergeCell ref="D117:E117"/>
    <mergeCell ref="H117:I117"/>
    <mergeCell ref="J117:L117"/>
    <mergeCell ref="M117:N117"/>
    <mergeCell ref="O117:P117"/>
    <mergeCell ref="Q117:R117"/>
    <mergeCell ref="B118:C118"/>
    <mergeCell ref="D118:E118"/>
    <mergeCell ref="H118:I118"/>
    <mergeCell ref="J118:L118"/>
    <mergeCell ref="M118:N118"/>
    <mergeCell ref="O118:P118"/>
    <mergeCell ref="Q118:R118"/>
    <mergeCell ref="B119:C119"/>
    <mergeCell ref="D119:E119"/>
    <mergeCell ref="H119:I119"/>
    <mergeCell ref="J119:L119"/>
    <mergeCell ref="M119:N119"/>
    <mergeCell ref="V106:W106"/>
    <mergeCell ref="V107:W107"/>
    <mergeCell ref="V108:W108"/>
    <mergeCell ref="V109:W109"/>
    <mergeCell ref="T111:U111"/>
    <mergeCell ref="T113:U113"/>
    <mergeCell ref="T114:U114"/>
    <mergeCell ref="T115:U115"/>
    <mergeCell ref="V112:W112"/>
    <mergeCell ref="V113:W113"/>
    <mergeCell ref="V114:W114"/>
    <mergeCell ref="V115:W115"/>
    <mergeCell ref="T112:U112"/>
    <mergeCell ref="V110:W110"/>
    <mergeCell ref="V111:W111"/>
    <mergeCell ref="T110:U110"/>
    <mergeCell ref="T116:U116"/>
    <mergeCell ref="T117:U117"/>
    <mergeCell ref="V118:W118"/>
    <mergeCell ref="V119:W119"/>
    <mergeCell ref="V120:W120"/>
    <mergeCell ref="V121:W121"/>
    <mergeCell ref="T119:U119"/>
    <mergeCell ref="T118:U118"/>
    <mergeCell ref="T109:U109"/>
    <mergeCell ref="C135:X135"/>
    <mergeCell ref="C125:X125"/>
    <mergeCell ref="C128:V128"/>
    <mergeCell ref="W126:W127"/>
    <mergeCell ref="X126:X127"/>
    <mergeCell ref="J121:L121"/>
    <mergeCell ref="M121:N121"/>
    <mergeCell ref="O121:P121"/>
    <mergeCell ref="H120:I120"/>
    <mergeCell ref="Q121:R121"/>
    <mergeCell ref="B120:C120"/>
    <mergeCell ref="D120:E120"/>
    <mergeCell ref="J120:L120"/>
    <mergeCell ref="M120:N120"/>
    <mergeCell ref="O120:P120"/>
    <mergeCell ref="Q120:R120"/>
    <mergeCell ref="B121:C121"/>
    <mergeCell ref="D121:E121"/>
    <mergeCell ref="H121:I121"/>
    <mergeCell ref="F120:G120"/>
    <mergeCell ref="F121:G121"/>
    <mergeCell ref="C130:X130"/>
    <mergeCell ref="C132:X133"/>
    <mergeCell ref="S86:T86"/>
    <mergeCell ref="P87:R87"/>
    <mergeCell ref="B87:C87"/>
    <mergeCell ref="T120:U120"/>
    <mergeCell ref="T121:U121"/>
    <mergeCell ref="V116:W116"/>
    <mergeCell ref="V117:W117"/>
    <mergeCell ref="F117:G117"/>
    <mergeCell ref="F118:G118"/>
    <mergeCell ref="F119:G119"/>
    <mergeCell ref="D87:E87"/>
    <mergeCell ref="H87:I87"/>
    <mergeCell ref="M86:O86"/>
    <mergeCell ref="J87:L87"/>
    <mergeCell ref="M87:O87"/>
    <mergeCell ref="D86:E86"/>
    <mergeCell ref="H86:I86"/>
    <mergeCell ref="F113:G113"/>
    <mergeCell ref="F114:G114"/>
    <mergeCell ref="F115:G115"/>
    <mergeCell ref="F116:G116"/>
    <mergeCell ref="F109:G109"/>
    <mergeCell ref="F110:G110"/>
    <mergeCell ref="F111:G111"/>
    <mergeCell ref="B52:C52"/>
    <mergeCell ref="D52:E52"/>
    <mergeCell ref="S52:T52"/>
    <mergeCell ref="U52:W52"/>
    <mergeCell ref="B51:C51"/>
    <mergeCell ref="D51:E51"/>
    <mergeCell ref="K51:M51"/>
    <mergeCell ref="K52:M52"/>
    <mergeCell ref="H51:J51"/>
    <mergeCell ref="H52:J52"/>
    <mergeCell ref="S51:T51"/>
    <mergeCell ref="U51:W51"/>
    <mergeCell ref="Q51:R51"/>
    <mergeCell ref="Q52:R52"/>
    <mergeCell ref="F51:G51"/>
    <mergeCell ref="F52:G52"/>
    <mergeCell ref="B54:C54"/>
    <mergeCell ref="D54:E54"/>
    <mergeCell ref="S54:T54"/>
    <mergeCell ref="U54:W54"/>
    <mergeCell ref="B53:C53"/>
    <mergeCell ref="D53:E53"/>
    <mergeCell ref="K53:M53"/>
    <mergeCell ref="K54:M54"/>
    <mergeCell ref="Q54:R54"/>
    <mergeCell ref="H53:J53"/>
    <mergeCell ref="S53:T53"/>
    <mergeCell ref="U53:W53"/>
    <mergeCell ref="Q53:R53"/>
    <mergeCell ref="F53:G53"/>
    <mergeCell ref="F54:G54"/>
    <mergeCell ref="T105:U105"/>
    <mergeCell ref="V105:W105"/>
    <mergeCell ref="T106:U106"/>
    <mergeCell ref="U55:W55"/>
    <mergeCell ref="S91:T91"/>
    <mergeCell ref="U91:W91"/>
    <mergeCell ref="F81:G81"/>
    <mergeCell ref="F82:G82"/>
    <mergeCell ref="F83:G83"/>
    <mergeCell ref="F86:G86"/>
    <mergeCell ref="F63:G63"/>
    <mergeCell ref="Q81:R81"/>
    <mergeCell ref="Q82:R82"/>
    <mergeCell ref="Q83:R83"/>
    <mergeCell ref="U72:W72"/>
    <mergeCell ref="U74:W74"/>
    <mergeCell ref="Q73:R73"/>
    <mergeCell ref="F105:G105"/>
    <mergeCell ref="F106:G106"/>
    <mergeCell ref="S64:T64"/>
    <mergeCell ref="U64:W64"/>
    <mergeCell ref="S63:T63"/>
    <mergeCell ref="U63:W63"/>
    <mergeCell ref="F64:G64"/>
    <mergeCell ref="B56:C56"/>
    <mergeCell ref="D56:E56"/>
    <mergeCell ref="S56:T56"/>
    <mergeCell ref="U56:W56"/>
    <mergeCell ref="B55:C55"/>
    <mergeCell ref="D55:E55"/>
    <mergeCell ref="K55:M55"/>
    <mergeCell ref="K56:M56"/>
    <mergeCell ref="Q55:R55"/>
    <mergeCell ref="F107:G107"/>
    <mergeCell ref="F108:G108"/>
    <mergeCell ref="S55:T55"/>
    <mergeCell ref="T107:U107"/>
    <mergeCell ref="T108:U108"/>
    <mergeCell ref="Q108:R108"/>
    <mergeCell ref="H108:I108"/>
    <mergeCell ref="F99:G99"/>
    <mergeCell ref="F100:G100"/>
    <mergeCell ref="F101:G101"/>
    <mergeCell ref="S57:T57"/>
    <mergeCell ref="U57:W57"/>
    <mergeCell ref="F95:G95"/>
    <mergeCell ref="F96:G96"/>
    <mergeCell ref="F97:G97"/>
    <mergeCell ref="F98:G98"/>
    <mergeCell ref="S88:T88"/>
    <mergeCell ref="U88:W88"/>
    <mergeCell ref="S89:T89"/>
    <mergeCell ref="U89:W89"/>
    <mergeCell ref="U62:W62"/>
    <mergeCell ref="H89:I89"/>
    <mergeCell ref="S90:T90"/>
    <mergeCell ref="U90:W90"/>
    <mergeCell ref="B57:C57"/>
    <mergeCell ref="B60:C60"/>
    <mergeCell ref="D60:E60"/>
    <mergeCell ref="S60:T60"/>
    <mergeCell ref="U60:W60"/>
    <mergeCell ref="B59:C59"/>
    <mergeCell ref="D59:E59"/>
    <mergeCell ref="H59:J59"/>
    <mergeCell ref="H60:J60"/>
    <mergeCell ref="N59:P59"/>
    <mergeCell ref="N60:P60"/>
    <mergeCell ref="S59:T59"/>
    <mergeCell ref="U59:W59"/>
    <mergeCell ref="F57:G57"/>
    <mergeCell ref="F58:G58"/>
    <mergeCell ref="F59:G59"/>
    <mergeCell ref="F60:G60"/>
    <mergeCell ref="D57:E57"/>
    <mergeCell ref="B62:C62"/>
    <mergeCell ref="D62:E62"/>
    <mergeCell ref="S62:T62"/>
    <mergeCell ref="F62:G62"/>
    <mergeCell ref="F61:G61"/>
    <mergeCell ref="B58:C58"/>
    <mergeCell ref="D58:E58"/>
    <mergeCell ref="S58:T58"/>
    <mergeCell ref="U58:W58"/>
    <mergeCell ref="B66:C66"/>
    <mergeCell ref="D66:E66"/>
    <mergeCell ref="S66:T66"/>
    <mergeCell ref="U66:W66"/>
    <mergeCell ref="B65:C65"/>
    <mergeCell ref="D65:E65"/>
    <mergeCell ref="H65:J65"/>
    <mergeCell ref="H66:J66"/>
    <mergeCell ref="B67:C67"/>
    <mergeCell ref="D67:E67"/>
    <mergeCell ref="S67:T67"/>
    <mergeCell ref="U67:W67"/>
    <mergeCell ref="F65:G65"/>
    <mergeCell ref="F66:G66"/>
    <mergeCell ref="F67:G67"/>
    <mergeCell ref="S65:T65"/>
    <mergeCell ref="U65:W65"/>
    <mergeCell ref="N65:P65"/>
    <mergeCell ref="B89:C89"/>
    <mergeCell ref="D89:E89"/>
    <mergeCell ref="J89:L89"/>
    <mergeCell ref="M89:O89"/>
    <mergeCell ref="P89:R89"/>
    <mergeCell ref="F89:G89"/>
    <mergeCell ref="B86:C86"/>
    <mergeCell ref="D73:E73"/>
    <mergeCell ref="B74:C74"/>
    <mergeCell ref="D74:E74"/>
    <mergeCell ref="N83:P83"/>
    <mergeCell ref="N82:P82"/>
    <mergeCell ref="F74:G74"/>
    <mergeCell ref="F75:G75"/>
    <mergeCell ref="F76:G76"/>
    <mergeCell ref="Q75:R75"/>
    <mergeCell ref="B77:C77"/>
    <mergeCell ref="D77:E77"/>
    <mergeCell ref="B75:C75"/>
    <mergeCell ref="D75:E75"/>
    <mergeCell ref="Q80:R80"/>
    <mergeCell ref="F80:G80"/>
    <mergeCell ref="B80:C80"/>
    <mergeCell ref="D80:E80"/>
    <mergeCell ref="B70:C70"/>
    <mergeCell ref="D70:E70"/>
    <mergeCell ref="S70:T70"/>
    <mergeCell ref="U70:W70"/>
    <mergeCell ref="F69:G69"/>
    <mergeCell ref="F70:G70"/>
    <mergeCell ref="B69:C69"/>
    <mergeCell ref="D69:E69"/>
    <mergeCell ref="K69:M69"/>
    <mergeCell ref="B1:F4"/>
    <mergeCell ref="G1:S2"/>
    <mergeCell ref="G3:I3"/>
    <mergeCell ref="G4:I4"/>
    <mergeCell ref="S69:T69"/>
    <mergeCell ref="J3:S3"/>
    <mergeCell ref="J4:S4"/>
    <mergeCell ref="D72:E72"/>
    <mergeCell ref="S72:T72"/>
    <mergeCell ref="B71:C71"/>
    <mergeCell ref="D71:E71"/>
    <mergeCell ref="Q71:R71"/>
    <mergeCell ref="Q72:R72"/>
    <mergeCell ref="F71:G71"/>
    <mergeCell ref="H72:J72"/>
    <mergeCell ref="K72:M72"/>
    <mergeCell ref="F55:G55"/>
    <mergeCell ref="B64:C64"/>
    <mergeCell ref="D64:E64"/>
    <mergeCell ref="B63:C63"/>
    <mergeCell ref="D63:E63"/>
    <mergeCell ref="N63:P63"/>
    <mergeCell ref="N64:P64"/>
    <mergeCell ref="S61:T61"/>
    <mergeCell ref="S74:T74"/>
    <mergeCell ref="B68:C68"/>
    <mergeCell ref="D68:E68"/>
    <mergeCell ref="S68:T68"/>
    <mergeCell ref="U68:W68"/>
    <mergeCell ref="H71:J71"/>
    <mergeCell ref="N74:P74"/>
    <mergeCell ref="F56:G56"/>
    <mergeCell ref="B73:C73"/>
    <mergeCell ref="Q63:R63"/>
    <mergeCell ref="Q64:R64"/>
    <mergeCell ref="Q65:R65"/>
    <mergeCell ref="Q66:R66"/>
    <mergeCell ref="Q67:R67"/>
    <mergeCell ref="N66:P66"/>
    <mergeCell ref="N69:P69"/>
    <mergeCell ref="F72:G72"/>
    <mergeCell ref="B72:C72"/>
    <mergeCell ref="U61:W61"/>
    <mergeCell ref="B61:C61"/>
    <mergeCell ref="D61:E61"/>
    <mergeCell ref="H61:J61"/>
    <mergeCell ref="H62:J62"/>
    <mergeCell ref="K61:M61"/>
    <mergeCell ref="S71:T71"/>
    <mergeCell ref="F73:G73"/>
    <mergeCell ref="Q56:R56"/>
    <mergeCell ref="Q57:R57"/>
    <mergeCell ref="Q58:R58"/>
    <mergeCell ref="Q59:R59"/>
    <mergeCell ref="Q60:R60"/>
    <mergeCell ref="S73:T73"/>
    <mergeCell ref="U73:W73"/>
    <mergeCell ref="K62:M62"/>
    <mergeCell ref="Q61:R61"/>
    <mergeCell ref="Q62:R62"/>
    <mergeCell ref="Q68:R68"/>
    <mergeCell ref="Q69:R69"/>
    <mergeCell ref="Q70:R70"/>
    <mergeCell ref="F68:G68"/>
    <mergeCell ref="N73:P73"/>
    <mergeCell ref="H68:J68"/>
    <mergeCell ref="H69:J69"/>
    <mergeCell ref="H70:J70"/>
    <mergeCell ref="H64:J64"/>
    <mergeCell ref="U69:W69"/>
    <mergeCell ref="N79:P79"/>
    <mergeCell ref="Q79:R79"/>
    <mergeCell ref="B78:C78"/>
    <mergeCell ref="D78:E78"/>
    <mergeCell ref="F79:G79"/>
    <mergeCell ref="F77:G77"/>
    <mergeCell ref="F78:G78"/>
    <mergeCell ref="B76:C76"/>
    <mergeCell ref="D76:E76"/>
    <mergeCell ref="S82:T82"/>
    <mergeCell ref="U82:W82"/>
    <mergeCell ref="N51:P51"/>
    <mergeCell ref="N52:P52"/>
    <mergeCell ref="N53:P53"/>
    <mergeCell ref="N54:P54"/>
    <mergeCell ref="N55:P55"/>
    <mergeCell ref="N56:P56"/>
    <mergeCell ref="N61:P61"/>
    <mergeCell ref="N58:P58"/>
    <mergeCell ref="N71:P71"/>
    <mergeCell ref="N62:P62"/>
    <mergeCell ref="N67:P67"/>
    <mergeCell ref="N68:P68"/>
    <mergeCell ref="N70:P70"/>
    <mergeCell ref="S80:T80"/>
    <mergeCell ref="U80:W80"/>
    <mergeCell ref="S81:T81"/>
    <mergeCell ref="U81:W81"/>
    <mergeCell ref="N80:P80"/>
    <mergeCell ref="N81:P81"/>
    <mergeCell ref="N78:P78"/>
    <mergeCell ref="S76:T76"/>
    <mergeCell ref="U76:W76"/>
    <mergeCell ref="B83:C83"/>
    <mergeCell ref="D83:E83"/>
    <mergeCell ref="K83:M83"/>
    <mergeCell ref="H73:J73"/>
    <mergeCell ref="H74:J74"/>
    <mergeCell ref="H75:J75"/>
    <mergeCell ref="H76:J76"/>
    <mergeCell ref="B82:C82"/>
    <mergeCell ref="D82:E82"/>
    <mergeCell ref="K82:M82"/>
    <mergeCell ref="K76:M76"/>
    <mergeCell ref="K77:M77"/>
    <mergeCell ref="K78:M78"/>
    <mergeCell ref="K79:M79"/>
    <mergeCell ref="H81:J81"/>
    <mergeCell ref="K80:M80"/>
    <mergeCell ref="H82:J82"/>
    <mergeCell ref="K81:M81"/>
    <mergeCell ref="H83:J83"/>
    <mergeCell ref="H80:J80"/>
    <mergeCell ref="B81:C81"/>
    <mergeCell ref="D81:E81"/>
    <mergeCell ref="B79:C79"/>
    <mergeCell ref="D79:E79"/>
    <mergeCell ref="U83:W83"/>
    <mergeCell ref="S83:T83"/>
    <mergeCell ref="N72:P72"/>
    <mergeCell ref="N75:P75"/>
    <mergeCell ref="N76:P76"/>
    <mergeCell ref="H54:J54"/>
    <mergeCell ref="H55:J55"/>
    <mergeCell ref="H56:J56"/>
    <mergeCell ref="H57:J57"/>
    <mergeCell ref="H58:J58"/>
    <mergeCell ref="N57:P57"/>
    <mergeCell ref="N77:P77"/>
    <mergeCell ref="K57:M57"/>
    <mergeCell ref="K64:M64"/>
    <mergeCell ref="K65:M65"/>
    <mergeCell ref="K66:M66"/>
    <mergeCell ref="K67:M67"/>
    <mergeCell ref="K68:M68"/>
    <mergeCell ref="K58:M58"/>
    <mergeCell ref="K59:M59"/>
    <mergeCell ref="K60:M60"/>
    <mergeCell ref="H67:J67"/>
    <mergeCell ref="H63:J63"/>
    <mergeCell ref="K63:M63"/>
    <mergeCell ref="F87:G87"/>
    <mergeCell ref="F88:G88"/>
    <mergeCell ref="H77:J77"/>
    <mergeCell ref="H78:J78"/>
    <mergeCell ref="H79:J79"/>
    <mergeCell ref="K70:M70"/>
    <mergeCell ref="K71:M71"/>
    <mergeCell ref="K73:M73"/>
    <mergeCell ref="K74:M74"/>
    <mergeCell ref="K75:M75"/>
  </mergeCells>
  <conditionalFormatting sqref="W213">
    <cfRule type="cellIs" dxfId="3" priority="1" stopIfTrue="1" operator="equal">
      <formula>0</formula>
    </cfRule>
  </conditionalFormatting>
  <printOptions horizontalCentered="1"/>
  <pageMargins left="0.51181102362204722" right="0" top="0.78740157480314965" bottom="0.39370078740157483" header="0.31496062992125984" footer="0.11811023622047245"/>
  <pageSetup paperSize="9" scale="85" orientation="portrait" r:id="rId1"/>
  <rowBreaks count="2" manualBreakCount="2">
    <brk id="40" max="16383" man="1"/>
    <brk id="157" max="23" man="1"/>
  </rowBreak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11">
    <tabColor rgb="FF00B0F0"/>
  </sheetPr>
  <dimension ref="A1:T42"/>
  <sheetViews>
    <sheetView showGridLines="0" showZeros="0" topLeftCell="A22" zoomScaleNormal="100" workbookViewId="0">
      <selection activeCell="E35" sqref="E35"/>
    </sheetView>
  </sheetViews>
  <sheetFormatPr defaultRowHeight="12.75" x14ac:dyDescent="0.35"/>
  <cols>
    <col min="1" max="1" width="10.3984375" customWidth="1"/>
    <col min="2" max="2" width="12.3984375" customWidth="1"/>
    <col min="3" max="3" width="10.86328125" customWidth="1"/>
    <col min="4" max="4" width="15" customWidth="1"/>
    <col min="5" max="5" width="8.3984375" customWidth="1"/>
    <col min="6" max="6" width="8.59765625" customWidth="1"/>
    <col min="7" max="7" width="17.59765625" customWidth="1"/>
    <col min="8" max="8" width="8" customWidth="1"/>
    <col min="9" max="9" width="7.3984375" customWidth="1"/>
    <col min="10" max="10" width="1.3984375" hidden="1" customWidth="1"/>
    <col min="11" max="11" width="9.3984375" customWidth="1"/>
    <col min="12" max="12" width="11.3984375" customWidth="1"/>
    <col min="13" max="13" width="6.3984375" customWidth="1"/>
    <col min="14" max="14" width="1.1328125" customWidth="1"/>
    <col min="15" max="15" width="4.59765625" hidden="1" customWidth="1"/>
    <col min="16" max="16" width="17.3984375" hidden="1" customWidth="1"/>
    <col min="17" max="17" width="9.59765625" hidden="1" customWidth="1"/>
    <col min="18" max="18" width="10.59765625" hidden="1" customWidth="1"/>
    <col min="19" max="20" width="5" hidden="1" customWidth="1"/>
  </cols>
  <sheetData>
    <row r="1" spans="1:16" x14ac:dyDescent="0.35">
      <c r="A1" s="1533"/>
      <c r="B1" s="1535"/>
      <c r="C1" s="1393" t="s">
        <v>971</v>
      </c>
      <c r="D1" s="1393"/>
      <c r="E1" s="1393"/>
      <c r="F1" s="1393"/>
      <c r="G1" s="1393"/>
      <c r="H1" s="1393"/>
      <c r="I1" s="1393"/>
      <c r="J1" s="1393"/>
      <c r="K1" s="695" t="s">
        <v>1</v>
      </c>
      <c r="L1" s="2060">
        <f>CÁLCULOS!O1</f>
        <v>45638</v>
      </c>
      <c r="M1" s="2061"/>
      <c r="P1" s="627" t="s">
        <v>10</v>
      </c>
    </row>
    <row r="2" spans="1:16" x14ac:dyDescent="0.35">
      <c r="A2" s="1536"/>
      <c r="B2" s="1538"/>
      <c r="C2" s="1393"/>
      <c r="D2" s="1393"/>
      <c r="E2" s="1393"/>
      <c r="F2" s="1393"/>
      <c r="G2" s="1393"/>
      <c r="H2" s="1393"/>
      <c r="I2" s="1393"/>
      <c r="J2" s="1393"/>
      <c r="K2" s="971" t="s">
        <v>3</v>
      </c>
      <c r="L2" s="1835">
        <f>CÁLCULOS!O2</f>
        <v>3</v>
      </c>
      <c r="M2" s="2062"/>
    </row>
    <row r="3" spans="1:16" x14ac:dyDescent="0.35">
      <c r="A3" s="1536"/>
      <c r="B3" s="1538"/>
      <c r="C3" s="985" t="s">
        <v>5</v>
      </c>
      <c r="D3" s="1500" t="str">
        <f>CÁLCULOS!F3</f>
        <v>Passarelli</v>
      </c>
      <c r="E3" s="1500"/>
      <c r="F3" s="1500"/>
      <c r="G3" s="1500"/>
      <c r="H3" s="1500"/>
      <c r="I3" s="1500"/>
      <c r="J3" s="1501"/>
      <c r="K3" s="1421" t="s">
        <v>844</v>
      </c>
      <c r="L3" s="1421"/>
      <c r="M3" s="1421"/>
    </row>
    <row r="4" spans="1:16" x14ac:dyDescent="0.35">
      <c r="A4" s="1539"/>
      <c r="B4" s="1541"/>
      <c r="C4" s="821" t="s">
        <v>7</v>
      </c>
      <c r="D4" s="1487" t="str">
        <f>CÁLCULOS!F4</f>
        <v>12 tqs Nereda</v>
      </c>
      <c r="E4" s="1487"/>
      <c r="F4" s="1487"/>
      <c r="G4" s="1487"/>
      <c r="H4" s="1487"/>
      <c r="I4" s="1487"/>
      <c r="J4" s="1488"/>
      <c r="K4" s="2063" t="str">
        <f>FECHAMENTO!M5</f>
        <v>São Paulo - Tatuapé - SP</v>
      </c>
      <c r="L4" s="2063"/>
      <c r="M4" s="2063"/>
    </row>
    <row r="5" spans="1:16" hidden="1" x14ac:dyDescent="0.35"/>
    <row r="6" spans="1:16" ht="19.5" hidden="1" customHeight="1" x14ac:dyDescent="0.4">
      <c r="A6" s="80"/>
    </row>
    <row r="7" spans="1:16" ht="6.75" hidden="1" customHeight="1" x14ac:dyDescent="0.35"/>
    <row r="8" spans="1:16" ht="19.5" hidden="1" customHeight="1" x14ac:dyDescent="0.4">
      <c r="A8" s="80"/>
    </row>
    <row r="9" spans="1:16" ht="6.75" hidden="1" customHeight="1" x14ac:dyDescent="0.35"/>
    <row r="10" spans="1:16" ht="19.5" hidden="1" customHeight="1" x14ac:dyDescent="0.4">
      <c r="A10" s="80"/>
    </row>
    <row r="12" spans="1:16" ht="21.75" customHeight="1" x14ac:dyDescent="0.35">
      <c r="A12" s="727" t="s">
        <v>1772</v>
      </c>
      <c r="B12" s="224"/>
      <c r="C12" s="224"/>
      <c r="D12" s="224"/>
      <c r="E12" s="2064">
        <f ca="1">FECHAMENTO!N12</f>
        <v>31709797.739936396</v>
      </c>
      <c r="F12" s="2065"/>
      <c r="G12" s="183"/>
    </row>
    <row r="13" spans="1:16" x14ac:dyDescent="0.35">
      <c r="F13" s="183"/>
      <c r="G13" s="183"/>
    </row>
    <row r="14" spans="1:16" ht="31.5" customHeight="1" x14ac:dyDescent="0.35">
      <c r="A14" s="1208"/>
      <c r="B14" s="1209"/>
      <c r="C14" s="1209"/>
      <c r="D14" s="1209" t="s">
        <v>1773</v>
      </c>
      <c r="E14" s="1209"/>
      <c r="F14" s="1209"/>
      <c r="G14" s="1210"/>
      <c r="H14" s="1079" t="s">
        <v>275</v>
      </c>
      <c r="I14" s="976" t="s">
        <v>891</v>
      </c>
      <c r="J14" s="1156" t="s">
        <v>331</v>
      </c>
      <c r="K14" s="1606" t="s">
        <v>1023</v>
      </c>
      <c r="L14" s="1608"/>
      <c r="M14" s="1185" t="s">
        <v>1774</v>
      </c>
    </row>
    <row r="15" spans="1:16" ht="23.1" customHeight="1" x14ac:dyDescent="0.35">
      <c r="A15" s="44" t="s">
        <v>1775</v>
      </c>
      <c r="B15" s="35"/>
      <c r="C15" s="35"/>
      <c r="D15" s="35"/>
      <c r="E15" s="35"/>
      <c r="F15" s="35"/>
      <c r="G15" s="52"/>
      <c r="H15" s="1211">
        <v>1</v>
      </c>
      <c r="I15" s="251" t="s">
        <v>1776</v>
      </c>
      <c r="K15" s="9"/>
      <c r="L15" s="312">
        <f ca="1">INSUMOS!R158+INSUMOS!R159+INSUMOS!R162+INSUMOS!R167+INSUMOS!R168+INSUMOS!R169+INSUMOS!R170</f>
        <v>446363.83691571926</v>
      </c>
      <c r="M15" s="43">
        <f ca="1">IF(FECHAMENTO!$N$12=0,0,L15/FECHAMENTO!$N$12*100)</f>
        <v>1.4076527405709482</v>
      </c>
    </row>
    <row r="16" spans="1:16" ht="23.1" customHeight="1" x14ac:dyDescent="0.35">
      <c r="A16" s="44" t="s">
        <v>1777</v>
      </c>
      <c r="B16" s="35"/>
      <c r="C16" s="35"/>
      <c r="D16" s="35"/>
      <c r="E16" s="35"/>
      <c r="F16" s="35"/>
      <c r="G16" s="52"/>
      <c r="H16" s="1211">
        <v>1</v>
      </c>
      <c r="I16" s="251" t="s">
        <v>1776</v>
      </c>
      <c r="K16" s="9"/>
      <c r="L16" s="312">
        <f ca="1">INSUMOS!R52+INSUMOS!R53+INSUMOS!R91+INSUMOS!R92+INSUMOS!R93+INSUMOS!R105+INSUMOS!R106+INSUMOS!R116+INSUMOS!R117+INSUMOS!R118+INSUMOS!R164+INSUMOS!R165+INSUMOS!R166</f>
        <v>155444.99800000002</v>
      </c>
      <c r="M16" s="43">
        <f ca="1">IF(FECHAMENTO!$N$12=0,0,L16/FECHAMENTO!$N$12*100)</f>
        <v>0.49021125670640059</v>
      </c>
    </row>
    <row r="17" spans="1:13" ht="23.1" customHeight="1" x14ac:dyDescent="0.35">
      <c r="A17" s="44" t="s">
        <v>1778</v>
      </c>
      <c r="B17" s="35"/>
      <c r="C17" s="35"/>
      <c r="D17" s="35"/>
      <c r="E17" s="35"/>
      <c r="F17" s="35"/>
      <c r="G17" s="52"/>
      <c r="H17" s="1211">
        <v>1</v>
      </c>
      <c r="I17" s="251" t="s">
        <v>1776</v>
      </c>
      <c r="K17" s="9"/>
      <c r="L17" s="312">
        <f ca="1">INSUMOS!R97+INSUMOS!R98</f>
        <v>18695.04</v>
      </c>
      <c r="M17" s="43">
        <f ca="1">IF(FECHAMENTO!$N$12=0,0,L17/FECHAMENTO!$N$12*100)</f>
        <v>5.8956667441794598E-2</v>
      </c>
    </row>
    <row r="18" spans="1:13" ht="23.1" customHeight="1" x14ac:dyDescent="0.35">
      <c r="A18" s="44" t="s">
        <v>1779</v>
      </c>
      <c r="B18" s="35"/>
      <c r="C18" s="35"/>
      <c r="D18" s="35"/>
      <c r="E18" s="35"/>
      <c r="F18" s="35"/>
      <c r="G18" s="52"/>
      <c r="H18" s="1211">
        <v>1</v>
      </c>
      <c r="I18" s="251" t="s">
        <v>1776</v>
      </c>
      <c r="K18" s="9"/>
      <c r="L18" s="312">
        <f ca="1">INSUMOS!R150+INSUMOS!R151+INSUMOS!R152+INSUMOS!R153</f>
        <v>93184</v>
      </c>
      <c r="M18" s="43">
        <f ca="1">IF(FECHAMENTO!$N$12=0,0,L18/FECHAMENTO!$N$12*100)</f>
        <v>0.29386500905567403</v>
      </c>
    </row>
    <row r="19" spans="1:13" ht="23.1" customHeight="1" x14ac:dyDescent="0.35">
      <c r="A19" s="727" t="s">
        <v>1780</v>
      </c>
      <c r="B19" s="35"/>
      <c r="C19" s="35"/>
      <c r="D19" s="35"/>
      <c r="E19" s="35"/>
      <c r="F19" s="35"/>
      <c r="G19" s="52"/>
      <c r="H19" s="1211">
        <v>1</v>
      </c>
      <c r="I19" s="251" t="s">
        <v>1776</v>
      </c>
      <c r="K19" s="9"/>
      <c r="L19" s="312">
        <f ca="1">INSUMOS!R171+INSUMOS!R172+INSUMOS!R173+INSUMOS!R40+INSUMOS!Q275+INSUMOS!Q276</f>
        <v>4966881.3480154751</v>
      </c>
      <c r="M19" s="43">
        <f ca="1">IF(FECHAMENTO!$N$12=0,0,L19/FECHAMENTO!$N$12*100)</f>
        <v>15.663554175749333</v>
      </c>
    </row>
    <row r="20" spans="1:13" ht="23.1" customHeight="1" x14ac:dyDescent="0.35">
      <c r="A20" s="44" t="s">
        <v>1781</v>
      </c>
      <c r="B20" s="35"/>
      <c r="C20" s="35"/>
      <c r="D20" s="35"/>
      <c r="E20" s="35"/>
      <c r="F20" s="35"/>
      <c r="G20" s="52"/>
      <c r="H20" s="1211">
        <v>1</v>
      </c>
      <c r="I20" s="251" t="s">
        <v>1776</v>
      </c>
      <c r="K20" s="9"/>
      <c r="L20" s="312">
        <f ca="1">INSUMOS!R41+INSUMOS!R42+INSUMOS!R114+INSUMOS!R115</f>
        <v>146819.20000000001</v>
      </c>
      <c r="M20" s="43">
        <f ca="1">IF(FECHAMENTO!$N$12=0,0,L20/FECHAMENTO!$N$12*100)</f>
        <v>0.46300894507154461</v>
      </c>
    </row>
    <row r="21" spans="1:13" ht="23.1" customHeight="1" x14ac:dyDescent="0.35">
      <c r="A21" s="44" t="s">
        <v>1782</v>
      </c>
      <c r="B21" s="35"/>
      <c r="C21" s="35"/>
      <c r="D21" s="35"/>
      <c r="E21" s="35"/>
      <c r="F21" s="35"/>
      <c r="G21" s="52"/>
      <c r="H21" s="1211">
        <v>1</v>
      </c>
      <c r="I21" s="251" t="s">
        <v>1776</v>
      </c>
      <c r="K21" s="9"/>
      <c r="L21" s="312">
        <f>INSUMOS!R103+INSUMOS!R104</f>
        <v>0</v>
      </c>
      <c r="M21" s="43">
        <f ca="1">IF(FECHAMENTO!$N$12=0,0,L21/FECHAMENTO!$N$12*100)</f>
        <v>0</v>
      </c>
    </row>
    <row r="22" spans="1:13" ht="23.1" customHeight="1" x14ac:dyDescent="0.35">
      <c r="A22" s="44" t="s">
        <v>1783</v>
      </c>
      <c r="B22" s="35"/>
      <c r="C22" s="35"/>
      <c r="D22" s="35"/>
      <c r="E22" s="35"/>
      <c r="F22" s="35"/>
      <c r="G22" s="52"/>
      <c r="H22" s="1211">
        <v>1</v>
      </c>
      <c r="I22" s="251" t="s">
        <v>1776</v>
      </c>
      <c r="K22" s="9"/>
      <c r="L22" s="312">
        <f ca="1">INSUMOS!R249</f>
        <v>0</v>
      </c>
      <c r="M22" s="43">
        <f ca="1">IF(FECHAMENTO!$N$12=0,0,L22/FECHAMENTO!$N$12*100)</f>
        <v>0</v>
      </c>
    </row>
    <row r="23" spans="1:13" ht="23.1" customHeight="1" x14ac:dyDescent="0.35">
      <c r="A23" s="44" t="s">
        <v>1784</v>
      </c>
      <c r="B23" s="35"/>
      <c r="C23" s="35"/>
      <c r="D23" s="35"/>
      <c r="E23" s="35"/>
      <c r="F23" s="35"/>
      <c r="G23" s="52"/>
      <c r="H23" s="1211">
        <v>1</v>
      </c>
      <c r="I23" s="251" t="s">
        <v>1776</v>
      </c>
      <c r="K23" s="9"/>
      <c r="L23" s="312">
        <f ca="1">INSUMOS!R154+INSUMOS!R155</f>
        <v>752389.38937073969</v>
      </c>
      <c r="M23" s="43">
        <f ca="1">IF(FECHAMENTO!$N$12=0,0,L23/FECHAMENTO!$N$12*100)</f>
        <v>2.372734747605012</v>
      </c>
    </row>
    <row r="24" spans="1:13" ht="23.1" customHeight="1" x14ac:dyDescent="0.35">
      <c r="A24" s="44" t="s">
        <v>1785</v>
      </c>
      <c r="B24" s="35"/>
      <c r="C24" s="35"/>
      <c r="D24" s="35"/>
      <c r="E24" s="35"/>
      <c r="F24" s="35"/>
      <c r="G24" s="52"/>
      <c r="H24" s="1211">
        <v>1</v>
      </c>
      <c r="I24" s="251" t="s">
        <v>1776</v>
      </c>
      <c r="K24" s="9"/>
      <c r="L24" s="312">
        <f ca="1">INSUMOS!R81+INSUMOS!R160</f>
        <v>721673.48017713591</v>
      </c>
      <c r="M24" s="43">
        <f ca="1">IF(FECHAMENTO!$N$12=0,0,L24/FECHAMENTO!$N$12*100)</f>
        <v>2.275869073955763</v>
      </c>
    </row>
    <row r="25" spans="1:13" ht="23.1" customHeight="1" x14ac:dyDescent="0.35">
      <c r="A25" s="44" t="s">
        <v>1786</v>
      </c>
      <c r="B25" s="35"/>
      <c r="C25" s="35"/>
      <c r="D25" s="35"/>
      <c r="E25" s="35"/>
      <c r="F25" s="35"/>
      <c r="G25" s="52"/>
      <c r="H25" s="1211">
        <v>1</v>
      </c>
      <c r="I25" s="251" t="s">
        <v>1776</v>
      </c>
      <c r="K25" s="9"/>
      <c r="L25" s="312">
        <f ca="1">SUM(INSUMOS!R85:R90)+INSUMOS!R156+INSUMOS!R157</f>
        <v>87620</v>
      </c>
      <c r="M25" s="43">
        <f ca="1">IF(FECHAMENTO!$N$12=0,0,L25/FECHAMENTO!$N$12*100)</f>
        <v>0.27631838184085417</v>
      </c>
    </row>
    <row r="26" spans="1:13" ht="23.1" customHeight="1" x14ac:dyDescent="0.35">
      <c r="A26" s="44" t="s">
        <v>1787</v>
      </c>
      <c r="B26" s="35"/>
      <c r="C26" s="35"/>
      <c r="D26" s="35"/>
      <c r="E26" s="35"/>
      <c r="F26" s="35"/>
      <c r="G26" s="52"/>
      <c r="H26" s="1211">
        <v>1</v>
      </c>
      <c r="I26" s="251" t="s">
        <v>1776</v>
      </c>
      <c r="K26" s="9"/>
      <c r="L26" s="312">
        <f ca="1">INSUMOS!Q243</f>
        <v>240745.81184074661</v>
      </c>
      <c r="M26" s="43">
        <f ca="1">IF(FECHAMENTO!$N$12=0,0,L26/FECHAMENTO!$N$12*100)</f>
        <v>0.75921585440307982</v>
      </c>
    </row>
    <row r="27" spans="1:13" ht="23.1" customHeight="1" x14ac:dyDescent="0.35">
      <c r="A27" s="44" t="s">
        <v>1788</v>
      </c>
      <c r="B27" s="35"/>
      <c r="C27" s="35"/>
      <c r="D27" s="35"/>
      <c r="E27" s="35"/>
      <c r="F27" s="35"/>
      <c r="G27" s="52"/>
      <c r="H27" s="1211">
        <v>1</v>
      </c>
      <c r="I27" s="251" t="s">
        <v>1776</v>
      </c>
      <c r="K27" s="9"/>
      <c r="L27" s="312">
        <f ca="1">INSUMOS!R94+INSUMOS!R95</f>
        <v>899.2</v>
      </c>
      <c r="M27" s="43">
        <f ca="1">IF(FECHAMENTO!$N$12=0,0,L27/FECHAMENTO!$N$12*100)</f>
        <v>2.8357166052419094E-3</v>
      </c>
    </row>
    <row r="28" spans="1:13" ht="23.1" customHeight="1" x14ac:dyDescent="0.35">
      <c r="A28" s="44" t="s">
        <v>1789</v>
      </c>
      <c r="B28" s="35"/>
      <c r="C28" s="35"/>
      <c r="D28" s="35"/>
      <c r="E28" s="35"/>
      <c r="F28" s="35"/>
      <c r="G28" s="52"/>
      <c r="H28" s="1211">
        <v>1</v>
      </c>
      <c r="I28" s="251" t="s">
        <v>1776</v>
      </c>
      <c r="K28" s="9"/>
      <c r="L28" s="312">
        <f ca="1">INSUMOS!Q214+INSUMOS!Q230</f>
        <v>20979.599999999999</v>
      </c>
      <c r="M28" s="43">
        <f ca="1">IF(FECHAMENTO!$N$12=0,0,L28/FECHAMENTO!$N$12*100)</f>
        <v>6.6161254549970142E-2</v>
      </c>
    </row>
    <row r="29" spans="1:13" ht="23.1" customHeight="1" x14ac:dyDescent="0.35">
      <c r="A29" s="44" t="s">
        <v>140</v>
      </c>
      <c r="B29" s="35"/>
      <c r="C29" s="35"/>
      <c r="D29" s="35"/>
      <c r="E29" s="35"/>
      <c r="F29" s="35"/>
      <c r="G29" s="52"/>
      <c r="H29" s="1211">
        <v>1</v>
      </c>
      <c r="I29" s="251" t="s">
        <v>1776</v>
      </c>
      <c r="K29" s="9"/>
      <c r="L29" s="312">
        <f ca="1">INSUMOS!R161</f>
        <v>5865.6960000000008</v>
      </c>
      <c r="M29" s="43">
        <f ca="1">IF(FECHAMENTO!$N$12=0,0,L29/FECHAMENTO!$N$12*100)</f>
        <v>1.8498055547710238E-2</v>
      </c>
    </row>
    <row r="30" spans="1:13" ht="23.1" customHeight="1" x14ac:dyDescent="0.35">
      <c r="A30" s="44" t="s">
        <v>1790</v>
      </c>
      <c r="B30" s="35"/>
      <c r="C30" s="35"/>
      <c r="D30" s="35"/>
      <c r="E30" s="35"/>
      <c r="F30" s="35"/>
      <c r="G30" s="52"/>
      <c r="H30" s="1211">
        <v>1</v>
      </c>
      <c r="I30" s="251" t="s">
        <v>1776</v>
      </c>
      <c r="K30" s="9"/>
      <c r="L30" s="312">
        <f ca="1">INSUMOS!R96+INSUMOS!R102+INSUMOS!R246+INSUMOS!R247+INSUMOS!R248</f>
        <v>239.39999999999998</v>
      </c>
      <c r="M30" s="43">
        <f ca="1">IF(FECHAMENTO!$N$12=0,0,L30/FECHAMENTO!$N$12*100)</f>
        <v>7.5497170295252779E-4</v>
      </c>
    </row>
    <row r="31" spans="1:13" ht="23.1" customHeight="1" x14ac:dyDescent="0.35">
      <c r="A31" s="44" t="s">
        <v>336</v>
      </c>
      <c r="B31" s="35"/>
      <c r="C31" s="35"/>
      <c r="D31" s="35"/>
      <c r="E31" s="35"/>
      <c r="F31" s="35"/>
      <c r="G31" s="52"/>
      <c r="H31" s="1211">
        <v>1</v>
      </c>
      <c r="I31" s="251" t="s">
        <v>1776</v>
      </c>
      <c r="K31" s="9"/>
      <c r="L31" s="312">
        <f ca="1">SUM(INSUMOS!R67:R76)</f>
        <v>903172</v>
      </c>
      <c r="M31" s="43">
        <f ca="1">IF(FECHAMENTO!$N$12=0,0,L31/FECHAMENTO!$N$12*100)</f>
        <v>2.8482427021680889</v>
      </c>
    </row>
    <row r="32" spans="1:13" ht="23.1" customHeight="1" x14ac:dyDescent="0.35">
      <c r="A32" s="44" t="s">
        <v>1791</v>
      </c>
      <c r="B32" s="35"/>
      <c r="C32" s="35"/>
      <c r="D32" s="35"/>
      <c r="E32" s="35"/>
      <c r="F32" s="35"/>
      <c r="G32" s="52"/>
      <c r="H32" s="1211">
        <v>1</v>
      </c>
      <c r="I32" s="251" t="s">
        <v>1776</v>
      </c>
      <c r="K32" s="9"/>
      <c r="L32" s="312">
        <f ca="1">INSUMOS!Q183+INSUMOS!Q195</f>
        <v>1037652.0683333332</v>
      </c>
      <c r="M32" s="43">
        <f ca="1">IF(FECHAMENTO!$N$12=0,0,L32/FECHAMENTO!$N$12*100)</f>
        <v>3.2723389686793212</v>
      </c>
    </row>
    <row r="33" spans="1:13" ht="23.1" customHeight="1" x14ac:dyDescent="0.35">
      <c r="A33" s="1010" t="s">
        <v>1792</v>
      </c>
      <c r="B33" s="25"/>
      <c r="C33" s="25"/>
      <c r="D33" s="25"/>
      <c r="E33" s="25"/>
      <c r="F33" s="25"/>
      <c r="G33" s="25"/>
      <c r="H33" s="1211">
        <v>1</v>
      </c>
      <c r="I33" s="251" t="s">
        <v>1776</v>
      </c>
      <c r="K33" s="9"/>
      <c r="L33" s="312">
        <f ca="1">INSUMOS!R54+INSUMOS!R163+INSUMOS!R51</f>
        <v>149.24</v>
      </c>
      <c r="M33" s="43">
        <f ca="1">IF(FECHAMENTO!$N$12=0,0,L33/FECHAMENTO!$N$12*100)</f>
        <v>4.7064317856572788E-4</v>
      </c>
    </row>
    <row r="34" spans="1:13" ht="23.1" customHeight="1" x14ac:dyDescent="0.35">
      <c r="A34" s="44" t="s">
        <v>1793</v>
      </c>
      <c r="B34" s="35"/>
      <c r="C34" s="35"/>
      <c r="D34" s="35"/>
      <c r="E34" s="35"/>
      <c r="F34" s="35"/>
      <c r="G34" s="52"/>
      <c r="H34" s="1211">
        <v>1</v>
      </c>
      <c r="I34" s="251" t="s">
        <v>1776</v>
      </c>
      <c r="K34" s="9"/>
      <c r="L34" s="312">
        <f ca="1">INSUMOS!R43+INSUMOS!R44+INSUMOS!R45+INSUMOS!R46+INSUMOS!R47+INSUMOS!R48+INSUMOS!R49+INSUMOS!R140+INSUMOS!R141+INSUMOS!R142+INSUMOS!R143+INSUMOS!R144+INSUMOS!R145+INSUMOS!R146+INSUMOS!R147+INSUMOS!R148+INSUMOS!R55</f>
        <v>163423.80000000002</v>
      </c>
      <c r="M34" s="43">
        <f ca="1">IF(FECHAMENTO!$N$12=0,0,L34/FECHAMENTO!$N$12*100)</f>
        <v>0.51537320212603732</v>
      </c>
    </row>
    <row r="35" spans="1:13" ht="23.1" customHeight="1" x14ac:dyDescent="0.35">
      <c r="A35" s="44" t="s">
        <v>1794</v>
      </c>
      <c r="B35" s="35"/>
      <c r="C35" s="35"/>
      <c r="D35" s="35"/>
      <c r="E35" s="35"/>
      <c r="F35" s="35"/>
      <c r="G35" s="52"/>
      <c r="H35" s="1211">
        <v>1</v>
      </c>
      <c r="I35" s="251" t="s">
        <v>1776</v>
      </c>
      <c r="K35" s="9"/>
      <c r="L35" s="312">
        <f ca="1">SUM(INSUMOS!R56:R66)+INSUMOS!V257+INSUMOS!X257</f>
        <v>412850</v>
      </c>
      <c r="M35" s="43">
        <f ca="1">IF(FECHAMENTO!$N$12=0,0,L35/FECHAMENTO!$N$12*100)</f>
        <v>1.3019635236589437</v>
      </c>
    </row>
    <row r="36" spans="1:13" ht="23.1" customHeight="1" x14ac:dyDescent="0.35">
      <c r="A36" s="44" t="s">
        <v>1795</v>
      </c>
      <c r="B36" s="35"/>
      <c r="C36" s="35"/>
      <c r="D36" s="35"/>
      <c r="E36" s="35"/>
      <c r="F36" s="35"/>
      <c r="G36" s="52"/>
      <c r="H36" s="1211">
        <v>1</v>
      </c>
      <c r="I36" s="251" t="s">
        <v>1776</v>
      </c>
      <c r="K36" s="9"/>
      <c r="L36" s="312">
        <f ca="1">INSUMOS!Q137+INSUMOS!Q236</f>
        <v>386511.17132564838</v>
      </c>
      <c r="M36" s="43">
        <f ca="1">IF(FECHAMENTO!$N$12=0,0,L36/FECHAMENTO!$N$12*100)</f>
        <v>1.2189014086294947</v>
      </c>
    </row>
    <row r="37" spans="1:13" ht="23.1" customHeight="1" x14ac:dyDescent="0.35">
      <c r="A37" s="44" t="s">
        <v>1796</v>
      </c>
      <c r="B37" s="35"/>
      <c r="C37" s="35"/>
      <c r="D37" s="35"/>
      <c r="E37" s="35"/>
      <c r="F37" s="35"/>
      <c r="G37" s="52"/>
      <c r="H37" s="1211">
        <v>1</v>
      </c>
      <c r="I37" s="251" t="s">
        <v>1776</v>
      </c>
      <c r="K37" s="9"/>
      <c r="L37" s="312">
        <f ca="1">INSUMOS!R110+INSUMOS!R111+INSUMOS!R112+INSUMOS!R113+INSUMOS!R149</f>
        <v>8198.2999999999993</v>
      </c>
      <c r="M37" s="43">
        <f ca="1">IF(FECHAMENTO!$N$12=0,0,L37/FECHAMENTO!$N$12*100)</f>
        <v>2.585415418678241E-2</v>
      </c>
    </row>
    <row r="41" spans="1:13" ht="20.100000000000001" customHeight="1" x14ac:dyDescent="0.35"/>
    <row r="42" spans="1:13" ht="20.100000000000001" customHeight="1" x14ac:dyDescent="0.35"/>
  </sheetData>
  <sheetProtection algorithmName="SHA-512" hashValue="JfGHhDeNfhvnuT3eojLV3uSp8xr81G1+EMyorWoj+6RH3Yw+sUlAjsdiJpntCZZdGFvqIDbxW8wSRPijUD580A==" saltValue="XfdDmD+jQR54Z80it1eL9g==" spinCount="100000" sheet="1" sort="0"/>
  <sortState xmlns:xlrd2="http://schemas.microsoft.com/office/spreadsheetml/2017/richdata2" ref="A15:M37">
    <sortCondition ref="A15:A37"/>
  </sortState>
  <mergeCells count="10">
    <mergeCell ref="K14:L14"/>
    <mergeCell ref="A1:B4"/>
    <mergeCell ref="C1:J2"/>
    <mergeCell ref="D3:J3"/>
    <mergeCell ref="D4:J4"/>
    <mergeCell ref="L1:M1"/>
    <mergeCell ref="L2:M2"/>
    <mergeCell ref="K3:M3"/>
    <mergeCell ref="K4:M4"/>
    <mergeCell ref="E12:F12"/>
  </mergeCells>
  <printOptions horizontalCentered="1"/>
  <pageMargins left="0.78740157480314965" right="0.39370078740157483" top="0.78740157480314965" bottom="0.39370078740157483" header="0.78740157480314965" footer="0.11811023622047245"/>
  <pageSetup paperSize="9" scale="60" orientation="portrait" horizontalDpi="4294967294" verticalDpi="4294967294"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1">
    <tabColor theme="7" tint="0.79998168889431442"/>
  </sheetPr>
  <dimension ref="A1:BJ1077"/>
  <sheetViews>
    <sheetView showGridLines="0" showZeros="0" topLeftCell="A687" zoomScaleNormal="100" workbookViewId="0">
      <selection activeCell="G693" sqref="G693"/>
    </sheetView>
  </sheetViews>
  <sheetFormatPr defaultRowHeight="12.75" x14ac:dyDescent="0.35"/>
  <cols>
    <col min="1" max="1" width="1.3984375" customWidth="1"/>
    <col min="2" max="2" width="2.3984375" customWidth="1"/>
    <col min="3" max="3" width="10.59765625" customWidth="1"/>
    <col min="4" max="4" width="12.3984375" customWidth="1"/>
    <col min="5" max="5" width="10.86328125" customWidth="1"/>
    <col min="6" max="6" width="16.86328125" customWidth="1"/>
    <col min="7" max="7" width="8.3984375" customWidth="1"/>
    <col min="8" max="8" width="9.86328125" customWidth="1"/>
    <col min="9" max="9" width="9.3984375" customWidth="1"/>
    <col min="10" max="10" width="9.59765625" bestFit="1" customWidth="1"/>
    <col min="11" max="11" width="1.1328125" customWidth="1"/>
    <col min="12" max="12" width="10.86328125" customWidth="1"/>
    <col min="13" max="13" width="6.59765625" customWidth="1"/>
    <col min="14" max="14" width="6.3984375" customWidth="1"/>
    <col min="15" max="15" width="9.59765625" customWidth="1"/>
    <col min="16" max="16" width="6.3984375" customWidth="1"/>
    <col min="17" max="17" width="3" customWidth="1"/>
    <col min="18" max="18" width="3.59765625" customWidth="1"/>
    <col min="19" max="19" width="7.86328125" customWidth="1"/>
    <col min="20" max="20" width="9.59765625" customWidth="1"/>
    <col min="21" max="21" width="17.59765625" customWidth="1"/>
    <col min="22" max="22" width="9.86328125" bestFit="1" customWidth="1"/>
    <col min="23" max="24" width="9.1328125" customWidth="1"/>
    <col min="25" max="25" width="25.3984375" customWidth="1"/>
    <col min="26" max="26" width="10.86328125" customWidth="1"/>
    <col min="27" max="27" width="9.1328125" customWidth="1"/>
    <col min="28" max="28" width="12.1328125" customWidth="1"/>
    <col min="29" max="29" width="14.3984375" customWidth="1"/>
    <col min="30" max="30" width="10.86328125" customWidth="1"/>
    <col min="31" max="31" width="14.3984375" customWidth="1"/>
    <col min="32" max="32" width="12" customWidth="1"/>
    <col min="33" max="33" width="11" customWidth="1"/>
    <col min="34" max="34" width="11.3984375" customWidth="1"/>
    <col min="35" max="35" width="11" customWidth="1"/>
    <col min="36" max="36" width="12" customWidth="1"/>
    <col min="37" max="37" width="14" customWidth="1"/>
    <col min="38" max="38" width="9" customWidth="1"/>
    <col min="39" max="39" width="12.1328125" customWidth="1"/>
    <col min="40" max="40" width="13.59765625" customWidth="1"/>
    <col min="41" max="41" width="10.1328125" customWidth="1"/>
    <col min="42" max="42" width="16.1328125" customWidth="1"/>
    <col min="43" max="43" width="10.1328125" customWidth="1"/>
    <col min="44" max="44" width="9.1328125" customWidth="1"/>
    <col min="45" max="45" width="8.59765625" customWidth="1"/>
    <col min="46" max="46" width="10.1328125" customWidth="1"/>
    <col min="47" max="47" width="5.86328125" customWidth="1"/>
    <col min="48" max="48" width="161.86328125" customWidth="1"/>
    <col min="49" max="49" width="5.1328125" customWidth="1"/>
    <col min="50" max="50" width="7.59765625" customWidth="1"/>
    <col min="51" max="51" width="9" customWidth="1"/>
    <col min="52" max="52" width="7.3984375" customWidth="1"/>
    <col min="53" max="53" width="5.86328125" customWidth="1"/>
    <col min="54" max="54" width="6" customWidth="1"/>
    <col min="55" max="55" width="6.3984375" customWidth="1"/>
    <col min="56" max="56" width="9.59765625" customWidth="1"/>
    <col min="57" max="57" width="9.1328125" customWidth="1"/>
    <col min="58" max="58" width="7.59765625" customWidth="1"/>
    <col min="59" max="78" width="9.1328125" customWidth="1"/>
  </cols>
  <sheetData>
    <row r="1" spans="1:62" ht="16.5" customHeight="1" x14ac:dyDescent="0.35">
      <c r="A1" s="1823"/>
      <c r="B1" s="1824"/>
      <c r="C1" s="1824"/>
      <c r="D1" s="1825"/>
      <c r="E1" s="1392" t="s">
        <v>1797</v>
      </c>
      <c r="F1" s="1392"/>
      <c r="G1" s="1392"/>
      <c r="H1" s="1392"/>
      <c r="I1" s="1392"/>
      <c r="J1" s="1392"/>
      <c r="K1" s="1392"/>
      <c r="L1" s="1392"/>
      <c r="M1" s="1394" t="s">
        <v>1</v>
      </c>
      <c r="N1" s="2087"/>
      <c r="O1" s="1375">
        <f>ENTRADAS!O1</f>
        <v>45638</v>
      </c>
      <c r="P1" s="1375"/>
      <c r="Q1" s="1376"/>
    </row>
    <row r="2" spans="1:62" ht="15.75" customHeight="1" x14ac:dyDescent="0.35">
      <c r="A2" s="1826"/>
      <c r="B2" s="1537"/>
      <c r="C2" s="1537"/>
      <c r="D2" s="1538"/>
      <c r="E2" s="1393"/>
      <c r="F2" s="1393"/>
      <c r="G2" s="1393"/>
      <c r="H2" s="1393"/>
      <c r="I2" s="1393"/>
      <c r="J2" s="1393"/>
      <c r="K2" s="1393"/>
      <c r="L2" s="1393"/>
      <c r="M2" s="1373" t="s">
        <v>3</v>
      </c>
      <c r="N2" s="1377"/>
      <c r="O2" s="1472">
        <f>ENTRADAS!O2</f>
        <v>3</v>
      </c>
      <c r="P2" s="1472"/>
      <c r="Q2" s="2088"/>
    </row>
    <row r="3" spans="1:62" ht="12.75" customHeight="1" x14ac:dyDescent="0.35">
      <c r="A3" s="1826"/>
      <c r="B3" s="1537"/>
      <c r="C3" s="1537"/>
      <c r="D3" s="1538"/>
      <c r="E3" s="985" t="s">
        <v>5</v>
      </c>
      <c r="F3" s="1500" t="str">
        <f>ENTRADAS!F3</f>
        <v>Passarelli</v>
      </c>
      <c r="G3" s="1500"/>
      <c r="H3" s="1500"/>
      <c r="I3" s="1500"/>
      <c r="J3" s="1500"/>
      <c r="K3" s="1500"/>
      <c r="L3" s="1501"/>
      <c r="M3" s="1318" t="s">
        <v>844</v>
      </c>
      <c r="N3" s="1319"/>
      <c r="O3" s="1319"/>
      <c r="P3" s="1319"/>
      <c r="Q3" s="2100"/>
    </row>
    <row r="4" spans="1:62" ht="12.75" customHeight="1" thickBot="1" x14ac:dyDescent="0.4">
      <c r="A4" s="1827"/>
      <c r="B4" s="1828"/>
      <c r="C4" s="1828"/>
      <c r="D4" s="1829"/>
      <c r="E4" s="986" t="s">
        <v>7</v>
      </c>
      <c r="F4" s="1846" t="str">
        <f>ENTRADAS!F4</f>
        <v>12 tqs Nereda</v>
      </c>
      <c r="G4" s="1846"/>
      <c r="H4" s="1846"/>
      <c r="I4" s="1846"/>
      <c r="J4" s="1846"/>
      <c r="K4" s="1846"/>
      <c r="L4" s="1847"/>
      <c r="M4" s="2101" t="str">
        <f>ENTRADAS!M4</f>
        <v>São Paulo - Tatuapé</v>
      </c>
      <c r="N4" s="2102"/>
      <c r="O4" s="2102"/>
      <c r="P4" s="2102"/>
      <c r="Q4" s="2103"/>
    </row>
    <row r="5" spans="1:62" ht="10.5" customHeight="1" x14ac:dyDescent="0.35">
      <c r="B5" s="1"/>
      <c r="C5" s="1"/>
      <c r="D5" s="1"/>
      <c r="E5" s="818"/>
      <c r="F5" s="818"/>
      <c r="G5" s="818"/>
      <c r="H5" s="818"/>
      <c r="I5" s="818"/>
      <c r="J5" s="818"/>
      <c r="K5" s="818"/>
      <c r="L5" s="818"/>
      <c r="M5" s="818"/>
      <c r="N5" s="818"/>
      <c r="O5" s="818"/>
      <c r="P5" s="818"/>
    </row>
    <row r="6" spans="1:62" ht="10.5" customHeight="1" x14ac:dyDescent="0.35">
      <c r="B6" s="1"/>
      <c r="C6" s="1"/>
      <c r="D6" s="1"/>
      <c r="E6" s="818"/>
      <c r="F6" s="818"/>
      <c r="G6" s="818"/>
      <c r="H6" s="818"/>
      <c r="I6" s="818"/>
      <c r="J6" s="818"/>
      <c r="K6" s="818"/>
      <c r="L6" s="818"/>
      <c r="M6" s="818"/>
      <c r="N6" s="818"/>
      <c r="O6" s="818"/>
      <c r="P6" s="818"/>
    </row>
    <row r="7" spans="1:62" ht="7.5" customHeight="1" thickBot="1" x14ac:dyDescent="0.4">
      <c r="A7" s="13"/>
      <c r="B7" s="14"/>
      <c r="C7" s="14"/>
      <c r="D7" s="14"/>
      <c r="E7" s="14"/>
      <c r="F7" s="14"/>
      <c r="G7" s="14"/>
      <c r="H7" s="14"/>
      <c r="I7" s="14"/>
      <c r="J7" s="14"/>
      <c r="K7" s="14"/>
      <c r="L7" s="14"/>
      <c r="M7" s="14"/>
      <c r="N7" s="14"/>
      <c r="O7" s="14"/>
      <c r="P7" s="14"/>
      <c r="Q7" s="15"/>
    </row>
    <row r="8" spans="1:62" ht="16.5" customHeight="1" thickBot="1" x14ac:dyDescent="0.45">
      <c r="A8" s="20"/>
      <c r="B8" s="23"/>
      <c r="C8" s="24" t="s">
        <v>1798</v>
      </c>
      <c r="D8" s="21"/>
      <c r="E8" s="21"/>
      <c r="F8" s="21"/>
      <c r="G8" s="21"/>
      <c r="H8" s="21"/>
      <c r="I8" s="21"/>
      <c r="J8" s="21"/>
      <c r="K8" s="21"/>
      <c r="L8" s="21"/>
      <c r="M8" s="21"/>
      <c r="N8" s="21"/>
      <c r="O8" s="21"/>
      <c r="P8" s="22"/>
      <c r="Q8" s="16"/>
      <c r="AE8" s="627"/>
      <c r="BI8" s="627"/>
      <c r="BJ8" s="627" t="s">
        <v>10</v>
      </c>
    </row>
    <row r="9" spans="1:62" ht="20.25" customHeight="1" x14ac:dyDescent="0.4">
      <c r="A9" s="20"/>
      <c r="C9" s="365"/>
      <c r="D9" s="12">
        <f>IF(E11&gt;14," PLANILHA NÃO ATENDE !",0)</f>
        <v>0</v>
      </c>
      <c r="Q9" s="16"/>
      <c r="AE9" s="627"/>
      <c r="BJ9" s="627" t="s">
        <v>18</v>
      </c>
    </row>
    <row r="10" spans="1:62" ht="3.75" customHeight="1" x14ac:dyDescent="0.35">
      <c r="A10" s="20"/>
      <c r="B10" s="13"/>
      <c r="C10" s="14"/>
      <c r="D10" s="14"/>
      <c r="E10" s="14"/>
      <c r="F10" s="14"/>
      <c r="G10" s="14"/>
      <c r="H10" s="14"/>
      <c r="I10" s="14"/>
      <c r="J10" s="15"/>
      <c r="Q10" s="16"/>
    </row>
    <row r="11" spans="1:62" x14ac:dyDescent="0.35">
      <c r="A11" s="20"/>
      <c r="B11" s="20"/>
      <c r="C11" s="627" t="s">
        <v>1799</v>
      </c>
      <c r="E11" s="7">
        <f>ENTRADAS!E15</f>
        <v>7.15</v>
      </c>
      <c r="F11" t="s">
        <v>20</v>
      </c>
      <c r="G11" s="183" t="str">
        <f>IF(G13=0,0,"altura do painel = ")</f>
        <v xml:space="preserve">altura do painel = </v>
      </c>
      <c r="H11" s="183"/>
      <c r="I11" s="184">
        <f ca="1">IF(TODAY()&gt;=ENTRADAS!A1,"xxxxx",IF(E11=0,0,E11+G13))</f>
        <v>7.3000000000000007</v>
      </c>
      <c r="J11" s="185" t="str">
        <f>IF(E11=0,0,"m")</f>
        <v>m</v>
      </c>
      <c r="K11" s="183"/>
      <c r="Q11" s="16"/>
      <c r="BJ11">
        <v>1</v>
      </c>
    </row>
    <row r="12" spans="1:62" x14ac:dyDescent="0.35">
      <c r="A12" s="20"/>
      <c r="B12" s="20"/>
      <c r="C12" s="627" t="s">
        <v>1800</v>
      </c>
      <c r="E12" s="7">
        <f>IF(ENTRADAS!E17&lt;&gt;0,ENTRADAS!E17,ENTRADAS!E16)</f>
        <v>6.4</v>
      </c>
      <c r="F12" s="419">
        <f>ENTRADAS!E16</f>
        <v>6.4</v>
      </c>
      <c r="G12" s="627"/>
      <c r="J12" s="16"/>
      <c r="Q12" s="16"/>
      <c r="BJ12">
        <v>2</v>
      </c>
    </row>
    <row r="13" spans="1:62" x14ac:dyDescent="0.35">
      <c r="A13" s="20"/>
      <c r="B13" s="20"/>
      <c r="C13" s="627" t="s">
        <v>25</v>
      </c>
      <c r="D13" s="627"/>
      <c r="G13" s="7">
        <f>ENTRADAS!G18</f>
        <v>0.15</v>
      </c>
      <c r="H13" s="627" t="s">
        <v>1801</v>
      </c>
      <c r="J13" s="16"/>
      <c r="Q13" s="16"/>
      <c r="BJ13">
        <v>3</v>
      </c>
    </row>
    <row r="14" spans="1:62" ht="4.5" customHeight="1" x14ac:dyDescent="0.35">
      <c r="A14" s="20"/>
      <c r="B14" s="18"/>
      <c r="C14" s="749"/>
      <c r="D14" s="749"/>
      <c r="E14" s="3"/>
      <c r="F14" s="3"/>
      <c r="G14" s="3"/>
      <c r="H14" s="3"/>
      <c r="I14" s="3"/>
      <c r="J14" s="17"/>
      <c r="Q14" s="16"/>
      <c r="BJ14">
        <v>4</v>
      </c>
    </row>
    <row r="15" spans="1:62" x14ac:dyDescent="0.35">
      <c r="A15" s="20"/>
      <c r="B15" s="633"/>
      <c r="C15" s="646" t="s">
        <v>28</v>
      </c>
      <c r="D15" s="646"/>
      <c r="E15" s="646"/>
      <c r="F15" s="1119">
        <f>ENTRADAS!F22</f>
        <v>4</v>
      </c>
      <c r="G15" s="646" t="s">
        <v>1802</v>
      </c>
      <c r="H15" s="646"/>
      <c r="I15" s="646"/>
      <c r="J15" s="629"/>
      <c r="Q15" s="16"/>
      <c r="W15" s="688" t="s">
        <v>27</v>
      </c>
      <c r="X15" s="688"/>
      <c r="BJ15">
        <v>5</v>
      </c>
    </row>
    <row r="16" spans="1:62" ht="5.25" customHeight="1" x14ac:dyDescent="0.35">
      <c r="A16" s="20"/>
      <c r="B16" s="13"/>
      <c r="C16" s="14"/>
      <c r="D16" s="14"/>
      <c r="E16" s="14"/>
      <c r="F16" s="14"/>
      <c r="G16" s="14"/>
      <c r="H16" s="14"/>
      <c r="I16" s="14"/>
      <c r="J16" s="15"/>
      <c r="Q16" s="16"/>
      <c r="W16" s="688"/>
      <c r="X16" s="688"/>
      <c r="BJ16">
        <v>6</v>
      </c>
    </row>
    <row r="17" spans="1:62" ht="17.25" x14ac:dyDescent="0.35">
      <c r="A17" s="20"/>
      <c r="B17" s="20"/>
      <c r="C17" s="627" t="s">
        <v>1665</v>
      </c>
      <c r="G17" s="627" t="s">
        <v>38</v>
      </c>
      <c r="J17" s="16"/>
      <c r="Q17" s="16"/>
      <c r="AV17" s="186"/>
      <c r="BJ17">
        <v>7</v>
      </c>
    </row>
    <row r="18" spans="1:62" x14ac:dyDescent="0.35">
      <c r="A18" s="20"/>
      <c r="B18" s="20"/>
      <c r="C18" s="19" t="s">
        <v>39</v>
      </c>
      <c r="G18" s="19" t="s">
        <v>40</v>
      </c>
      <c r="J18" s="16"/>
      <c r="Q18" s="16"/>
      <c r="AV18" s="187"/>
      <c r="BJ18">
        <v>8</v>
      </c>
    </row>
    <row r="19" spans="1:62" x14ac:dyDescent="0.35">
      <c r="A19" s="20"/>
      <c r="B19" s="20"/>
      <c r="C19" s="626" t="str">
        <f>ENTRADAS!C60</f>
        <v>X</v>
      </c>
      <c r="D19" t="s">
        <v>41</v>
      </c>
      <c r="E19" s="626">
        <f>ENTRADAS!E60</f>
        <v>0</v>
      </c>
      <c r="F19" t="s">
        <v>42</v>
      </c>
      <c r="G19" s="626">
        <f>ENTRADAS!G60</f>
        <v>0</v>
      </c>
      <c r="H19" t="s">
        <v>41</v>
      </c>
      <c r="I19" s="626">
        <f>ENTRADAS!I60</f>
        <v>0</v>
      </c>
      <c r="J19" s="16" t="s">
        <v>42</v>
      </c>
      <c r="Q19" s="16"/>
      <c r="BJ19">
        <v>9</v>
      </c>
    </row>
    <row r="20" spans="1:62" ht="5.25" customHeight="1" x14ac:dyDescent="0.35">
      <c r="A20" s="20"/>
      <c r="B20" s="18"/>
      <c r="C20" s="3"/>
      <c r="D20" s="3"/>
      <c r="E20" s="3"/>
      <c r="F20" s="3"/>
      <c r="G20" s="3"/>
      <c r="H20" s="3"/>
      <c r="I20" s="3"/>
      <c r="J20" s="17"/>
      <c r="Q20" s="16"/>
      <c r="BJ20">
        <v>10</v>
      </c>
    </row>
    <row r="21" spans="1:62" ht="6.75" customHeight="1" x14ac:dyDescent="0.35">
      <c r="A21" s="20"/>
      <c r="Q21" s="16"/>
      <c r="BJ21">
        <v>11</v>
      </c>
    </row>
    <row r="22" spans="1:62" ht="7.5" customHeight="1" x14ac:dyDescent="0.35">
      <c r="A22" s="20"/>
      <c r="B22" s="13"/>
      <c r="C22" s="14"/>
      <c r="D22" s="14"/>
      <c r="E22" s="14"/>
      <c r="F22" s="14"/>
      <c r="G22" s="14"/>
      <c r="H22" s="14"/>
      <c r="I22" s="14"/>
      <c r="J22" s="14"/>
      <c r="K22" s="14"/>
      <c r="L22" s="14"/>
      <c r="M22" s="14"/>
      <c r="N22" s="14"/>
      <c r="O22" s="14"/>
      <c r="P22" s="15"/>
      <c r="Q22" s="16"/>
      <c r="BJ22">
        <v>12</v>
      </c>
    </row>
    <row r="23" spans="1:62" ht="13.15" x14ac:dyDescent="0.4">
      <c r="A23" s="20"/>
      <c r="B23" s="20"/>
      <c r="C23" s="627" t="s">
        <v>29</v>
      </c>
      <c r="G23" s="626">
        <f>ENTRADAS!G25</f>
        <v>47</v>
      </c>
      <c r="H23" t="s">
        <v>20</v>
      </c>
      <c r="I23" s="12">
        <f>IF('TABELA SC-10 e 14'!C2&gt;'TABELA SC-10 e 14'!A103,"EXCEDEU O LIMITE MÁXIMO PERMITIDO,",IF('TABELA SC-10 e 14'!C2&gt;'TABELA SC-10 e 14'!A83,"OS CÁLCULOS ESTÃO SENDO FEITOS, PORÉM ",0))</f>
        <v>0</v>
      </c>
      <c r="O23" s="366">
        <f ca="1">VLOOKUP($BJ$8,D30:H38,5,0)</f>
        <v>62</v>
      </c>
      <c r="P23" s="16"/>
      <c r="Q23" s="16"/>
      <c r="BJ23">
        <v>13</v>
      </c>
    </row>
    <row r="24" spans="1:62" ht="13.15" x14ac:dyDescent="0.4">
      <c r="A24" s="20"/>
      <c r="B24" s="20"/>
      <c r="C24" s="627"/>
      <c r="I24" s="12"/>
      <c r="P24" s="16"/>
      <c r="Q24" s="16"/>
    </row>
    <row r="25" spans="1:62" ht="13.15" x14ac:dyDescent="0.4">
      <c r="A25" s="20"/>
      <c r="B25" s="20"/>
      <c r="C25" s="627"/>
      <c r="D25" s="627" t="s">
        <v>30</v>
      </c>
      <c r="E25" s="627"/>
      <c r="G25">
        <f>PI()*(G23/2)^2*E12</f>
        <v>11103.645074847765</v>
      </c>
      <c r="H25" s="627" t="s">
        <v>31</v>
      </c>
      <c r="I25" s="12"/>
      <c r="P25" s="16"/>
      <c r="Q25" s="16"/>
    </row>
    <row r="26" spans="1:62" ht="13.15" x14ac:dyDescent="0.4">
      <c r="A26" s="20"/>
      <c r="B26" s="20"/>
      <c r="D26" s="1537">
        <f>ENTRADAS!C32</f>
        <v>0</v>
      </c>
      <c r="E26" s="1537"/>
      <c r="F26" s="1537"/>
      <c r="I26" s="12">
        <f>IF('TABELA SC-10 e 14'!C2&gt;'TABELA SC-10 e 14'!A103,"VERIFICAR COM ENGENHARIA",IF('TABELA SC-10 e 14'!C2&gt;'TABELA SC-10 e 14'!A83,"O DIÂMETRO ESTÁ ALÉM DA TABELA PADRÃO, ",0))</f>
        <v>0</v>
      </c>
      <c r="P26" s="16"/>
      <c r="Q26" s="16"/>
      <c r="BJ26">
        <v>14</v>
      </c>
    </row>
    <row r="27" spans="1:62" ht="13.15" x14ac:dyDescent="0.4">
      <c r="A27" s="20"/>
      <c r="B27" s="20"/>
      <c r="D27" s="1537"/>
      <c r="E27" s="1537"/>
      <c r="F27" s="1537"/>
      <c r="I27" s="12">
        <f>IF('TABELA SC-10 e 14'!C2&gt;'TABELA SC-10 e 14'!A103,"",IF('TABELA SC-10 e 14'!C2&gt;'TABELA SC-10 e 14'!A83,"CONFIRMAR COM ENGENHARIA SE É POSSÍVEL",0))</f>
        <v>0</v>
      </c>
      <c r="P27" s="16"/>
      <c r="Q27" s="16"/>
      <c r="BJ27">
        <v>15</v>
      </c>
    </row>
    <row r="28" spans="1:62" x14ac:dyDescent="0.35">
      <c r="A28" s="20"/>
      <c r="B28" s="20"/>
      <c r="C28" s="627" t="s">
        <v>1803</v>
      </c>
      <c r="P28" s="16"/>
      <c r="Q28" s="16"/>
      <c r="BJ28">
        <v>16</v>
      </c>
    </row>
    <row r="29" spans="1:62" x14ac:dyDescent="0.35">
      <c r="A29" s="20"/>
      <c r="B29" s="20"/>
      <c r="H29" s="627" t="s">
        <v>1804</v>
      </c>
      <c r="J29" s="627"/>
      <c r="P29" s="16"/>
      <c r="Q29" s="16"/>
    </row>
    <row r="30" spans="1:62" x14ac:dyDescent="0.35">
      <c r="A30" s="20"/>
      <c r="B30" s="20"/>
      <c r="C30" s="195">
        <f ca="1">IF(D30="X",1,0)</f>
        <v>0</v>
      </c>
      <c r="D30" s="626">
        <f ca="1">IF(TODAY()&gt;=ENTRADAS!A1,"XXXXX",ENTRADAS!D37)</f>
        <v>0</v>
      </c>
      <c r="E30" s="367" t="str">
        <f>IF(O35=10,0,IF(G23=0,0,IF(N38=0,"  OPÇÃO 1  - - -   PARA MENOS - - -",0)))</f>
        <v xml:space="preserve">  OPÇÃO 1  - - -   PARA MENOS - - -</v>
      </c>
      <c r="F30" s="367"/>
      <c r="G30" s="368"/>
      <c r="H30" s="369">
        <f>IF(O35=10,0,IF('TABELA SC-10 e 14'!D2=11,0,IF(G23=0,0,IF(N38=0,'TABELA SC-10 e 14'!D2,0))))</f>
        <v>61</v>
      </c>
      <c r="I30" s="370" t="str">
        <f>IF(O35=10,0,IF(G23=0,0,IF('TABELA SC-10 e 14'!D2=11,0,IF(N38=0,"PAINÉIS E DIÂMETRO PASSA PARA =",0))))</f>
        <v>PAINÉIS E DIÂMETRO PASSA PARA =</v>
      </c>
      <c r="J30" s="370"/>
      <c r="K30" s="370"/>
      <c r="L30" s="370"/>
      <c r="M30" s="370"/>
      <c r="N30" s="371">
        <f>IF(O35=10,0,IF(N38=0,IF(G23=0,0,'TABELA SC-10 e 14'!K2),0))</f>
        <v>46.273356163324316</v>
      </c>
      <c r="O30" s="372" t="str">
        <f>IF(O35=10,0,IF(G23=0,0,IF(N38=0,"m",0)))</f>
        <v>m</v>
      </c>
      <c r="P30" s="373"/>
      <c r="Q30" s="16"/>
      <c r="AC30" s="688" t="s">
        <v>27</v>
      </c>
    </row>
    <row r="31" spans="1:62" x14ac:dyDescent="0.35">
      <c r="A31" s="20"/>
      <c r="B31" s="20"/>
      <c r="D31" s="1"/>
      <c r="E31" s="367"/>
      <c r="F31" s="367"/>
      <c r="G31" s="368"/>
      <c r="H31" s="367"/>
      <c r="I31" s="188" t="str">
        <f>IF(O35=10,0,IF(N30=0,0,"            O DIÂMETRO DIMINUI ="))</f>
        <v xml:space="preserve">            O DIÂMETRO DIMINUI =</v>
      </c>
      <c r="J31" s="188"/>
      <c r="K31" s="188"/>
      <c r="L31" s="188"/>
      <c r="M31" s="189">
        <f>IF(O35=10,0,IF(N30=0,0,G23-N30))</f>
        <v>0.72664383667568444</v>
      </c>
      <c r="N31" s="189" t="str">
        <f>IF(O35=10,0,IF(N30=0,0,"m"))</f>
        <v>m</v>
      </c>
      <c r="O31" s="367"/>
      <c r="P31" s="16"/>
      <c r="Q31" s="16"/>
    </row>
    <row r="32" spans="1:62" x14ac:dyDescent="0.35">
      <c r="A32" s="20"/>
      <c r="B32" s="20"/>
      <c r="E32" s="242" t="str">
        <f>IF(E11=0,0,IF(M31=0,"esta não","marque 'X' somente na opção 1 e veja quanto -------"))</f>
        <v>marque 'X' somente na opção 1 e veja quanto -------</v>
      </c>
      <c r="F32" s="241"/>
      <c r="G32" s="243"/>
      <c r="H32" s="241"/>
      <c r="I32" s="241" t="str">
        <f>IF(O35=10,0,IF(N30=0,0,"--------------- O VOLUME DIMINUI ="))</f>
        <v>--------------- O VOLUME DIMINUI =</v>
      </c>
      <c r="J32" s="241"/>
      <c r="K32" s="241"/>
      <c r="L32" s="241"/>
      <c r="M32" s="241">
        <f ca="1">IF(D30="x",IF(O35=10,0,IF(N30=0,0,G25-F82)),0)</f>
        <v>0</v>
      </c>
      <c r="N32" s="244" t="str">
        <f>IF(O35=10,0,IF(N30=0,0,"m³"))</f>
        <v>m³</v>
      </c>
      <c r="O32" s="367"/>
      <c r="P32" s="16"/>
      <c r="Q32" s="16"/>
    </row>
    <row r="33" spans="1:27" ht="16.5" customHeight="1" x14ac:dyDescent="0.35">
      <c r="A33" s="20"/>
      <c r="B33" s="20"/>
      <c r="E33" s="191"/>
      <c r="F33" s="998"/>
      <c r="G33" s="368"/>
      <c r="H33" s="367"/>
      <c r="I33" s="188"/>
      <c r="J33" s="367"/>
      <c r="K33" s="367"/>
      <c r="L33" s="367"/>
      <c r="M33" s="188"/>
      <c r="N33" s="190"/>
      <c r="O33" s="367"/>
      <c r="P33" s="16"/>
      <c r="Q33" s="16"/>
    </row>
    <row r="34" spans="1:27" x14ac:dyDescent="0.35">
      <c r="A34" s="20"/>
      <c r="B34" s="20"/>
      <c r="C34" s="195">
        <f ca="1">IF(D34="X",1,0)</f>
        <v>1</v>
      </c>
      <c r="D34" s="626" t="str">
        <f ca="1">IF(TODAY()&gt;=ENTRADAS!A1,"XXXXX",ENTRADAS!D41)</f>
        <v>x</v>
      </c>
      <c r="E34" s="367" t="str">
        <f>IF(E11=0,0,IF(O35=10," MARCAR ESTA OPÇÃO ---------------",IF(G23=0,0,IF(N38=0,"  OPÇÃO 2  - - -  PARA MAIS - - - - - -","  OPÇÃO 1  - - -  PARA MENOS - - - - - -"))))</f>
        <v xml:space="preserve">  OPÇÃO 2  - - -  PARA MAIS - - - - - -</v>
      </c>
      <c r="F34" s="367"/>
      <c r="G34" s="367"/>
      <c r="H34" s="369">
        <f>IF(G23=0,0,'TABELA SC-10 e 14'!I2)</f>
        <v>62</v>
      </c>
      <c r="I34" s="370" t="str">
        <f>IF(G23=0,0,"PAINÉIS E DIÂMETRO PASSA PARA =")</f>
        <v>PAINÉIS E DIÂMETRO PASSA PARA =</v>
      </c>
      <c r="J34" s="370"/>
      <c r="K34" s="370"/>
      <c r="L34" s="370"/>
      <c r="M34" s="370"/>
      <c r="N34" s="371">
        <f>IF(G23=0,0,'TABELA SC-10 e 14'!L2)</f>
        <v>47.041150642112115</v>
      </c>
      <c r="O34" s="374" t="str">
        <f>IF(G23=0,0,"m")</f>
        <v>m</v>
      </c>
      <c r="P34" s="16"/>
      <c r="Q34" s="16"/>
    </row>
    <row r="35" spans="1:27" x14ac:dyDescent="0.35">
      <c r="A35" s="20"/>
      <c r="B35" s="20"/>
      <c r="D35" s="1"/>
      <c r="E35" s="367"/>
      <c r="F35" s="367"/>
      <c r="G35" s="367"/>
      <c r="H35" s="367"/>
      <c r="I35" s="191" t="str">
        <f>IF(G23=0,0,IF(N34=G23,"O DIÂMETRO ZEROU",IF(N34=0,0,IF(G23&gt;N34,"            O DIÂMETRO DIMINUI =","        O DIÂMETRO AUMENTA ="))))</f>
        <v xml:space="preserve">        O DIÂMETRO AUMENTA =</v>
      </c>
      <c r="J35" s="188"/>
      <c r="K35" s="188"/>
      <c r="L35" s="367"/>
      <c r="M35" s="189">
        <f>IF(N34=0,0,IF(G23-N34&lt;0,(G23-N34)*-1,G23-N34))</f>
        <v>4.115064211211461E-2</v>
      </c>
      <c r="N35" s="189" t="str">
        <f>IF(N34=0,0,"m")</f>
        <v>m</v>
      </c>
      <c r="O35" s="192">
        <f>IF(M35&lt;0.01,10,0)</f>
        <v>0</v>
      </c>
      <c r="P35" s="16"/>
      <c r="Q35" s="16"/>
      <c r="AA35" s="688" t="s">
        <v>27</v>
      </c>
    </row>
    <row r="36" spans="1:27" x14ac:dyDescent="0.35">
      <c r="A36" s="20"/>
      <c r="B36" s="20"/>
      <c r="E36" s="241" t="str">
        <f>IF(E11=0,0,IF(N38=0,"marque 'X' somente na opção 2 e veja quanto","marque 'X' somente na opção 1 e veja quanto --------"))</f>
        <v>marque 'X' somente na opção 2 e veja quanto</v>
      </c>
      <c r="F36" s="241"/>
      <c r="G36" s="241"/>
      <c r="H36" s="241"/>
      <c r="I36" s="242" t="str">
        <f>IF(G23=0,0,IF(N34=G23,"O VOLUME ZEROU",IF(N34=0,0,IF(G23&gt;N34,"--------------- O VOLUME DIMINUI =","--------------- O VOLUME AUMENTA ="))))</f>
        <v>--------------- O VOLUME AUMENTA =</v>
      </c>
      <c r="J36" s="241"/>
      <c r="K36" s="241"/>
      <c r="L36" s="241"/>
      <c r="M36" s="240">
        <f ca="1">IF(D34="x",IF(N34=0,0,IF(G23-N34&lt;0,(G25-F82)*-1,G23-N34)),0)</f>
        <v>29.273040169700835</v>
      </c>
      <c r="N36" s="241" t="str">
        <f>IF(N34=0,0,"m³")</f>
        <v>m³</v>
      </c>
      <c r="O36" s="367"/>
      <c r="P36" s="16"/>
      <c r="Q36" s="16"/>
    </row>
    <row r="37" spans="1:27" ht="16.5" customHeight="1" x14ac:dyDescent="0.35">
      <c r="A37" s="20"/>
      <c r="B37" s="20"/>
      <c r="E37" s="241"/>
      <c r="F37" s="241"/>
      <c r="G37" s="241"/>
      <c r="H37" s="241"/>
      <c r="I37" s="242"/>
      <c r="J37" s="241"/>
      <c r="K37" s="241"/>
      <c r="L37" s="241"/>
      <c r="M37" s="240"/>
      <c r="N37" s="241"/>
      <c r="O37" s="367"/>
      <c r="P37" s="16"/>
      <c r="Q37" s="16"/>
    </row>
    <row r="38" spans="1:27" x14ac:dyDescent="0.35">
      <c r="A38" s="20"/>
      <c r="B38" s="20"/>
      <c r="C38" s="195">
        <f ca="1">IF(D38="X",1,0)</f>
        <v>0</v>
      </c>
      <c r="D38" s="626">
        <f ca="1">IF(TODAY()&gt;=ENTRADAS!A1,"XXXXX",ENTRADAS!D45)</f>
        <v>0</v>
      </c>
      <c r="E38" s="367">
        <f>IF(N38=0,0,"  OPÇÃO 2  - - -  PARA MAIS - - - - - -")</f>
        <v>0</v>
      </c>
      <c r="F38" s="367"/>
      <c r="G38" s="367"/>
      <c r="H38" s="369">
        <f>IF(O35=10,0,IF(G23=0,0,'TABELA SC-10 e 14'!J2))</f>
        <v>0</v>
      </c>
      <c r="I38" s="370">
        <f>IF(O35=10,0,IF(N38=0,0,"PAINÉIS E DIÂMETRO PASSA PARA ="))</f>
        <v>0</v>
      </c>
      <c r="J38" s="370"/>
      <c r="K38" s="370"/>
      <c r="L38" s="370"/>
      <c r="M38" s="370"/>
      <c r="N38" s="371">
        <f>IF(O35=10,0,IF(G23=0,0,'TABELA SC-10 e 14'!M2))</f>
        <v>0</v>
      </c>
      <c r="O38" s="374">
        <f>IF(O35=10,0,IF(H38=0,0,"m"))</f>
        <v>0</v>
      </c>
      <c r="P38" s="16"/>
      <c r="Q38" s="16"/>
    </row>
    <row r="39" spans="1:27" x14ac:dyDescent="0.35">
      <c r="A39" s="20"/>
      <c r="B39" s="20"/>
      <c r="D39" s="1"/>
      <c r="I39" s="183">
        <f>IF(O35=10,0,IF(N38=0,0,"        O DIÂMETRO AUMENTA ="))</f>
        <v>0</v>
      </c>
      <c r="J39" s="183"/>
      <c r="K39" s="183"/>
      <c r="L39" s="183"/>
      <c r="M39" s="194">
        <f>IF(O35=10,0,IF(N38=0,0,N38-G23))</f>
        <v>0</v>
      </c>
      <c r="N39" s="194">
        <f>IF(O35=10,0,IF(N38=0,0,"m"))</f>
        <v>0</v>
      </c>
      <c r="P39" s="16"/>
      <c r="Q39" s="16"/>
    </row>
    <row r="40" spans="1:27" x14ac:dyDescent="0.35">
      <c r="A40" s="20"/>
      <c r="B40" s="18"/>
      <c r="C40" s="3"/>
      <c r="D40" s="375"/>
      <c r="E40" s="245" t="str">
        <f>IF(E11=0,0,IF(M39=0,"esta não","marque 'X' somente na opção 2 e veja quanto"))</f>
        <v>esta não</v>
      </c>
      <c r="F40" s="245"/>
      <c r="G40" s="245"/>
      <c r="H40" s="245"/>
      <c r="I40" s="245">
        <f>IF(O35=10,0,IF(N38=0,0,"----------- O VOLUME AUMENTA ="))</f>
        <v>0</v>
      </c>
      <c r="J40" s="245"/>
      <c r="K40" s="245"/>
      <c r="L40" s="245"/>
      <c r="M40" s="246">
        <f ca="1">IF(D38="x",IF(O35=10,0,IF(N38=0,0,(G25-F82)*-1)),0)</f>
        <v>0</v>
      </c>
      <c r="N40" s="247">
        <f>IF(O35=10,0,IF(N38=0,0,"m³"))</f>
        <v>0</v>
      </c>
      <c r="O40" s="3"/>
      <c r="P40" s="17"/>
      <c r="Q40" s="16"/>
    </row>
    <row r="41" spans="1:27" ht="6" customHeight="1" x14ac:dyDescent="0.35">
      <c r="A41" s="20"/>
      <c r="Q41" s="16"/>
    </row>
    <row r="42" spans="1:27" ht="6" customHeight="1" x14ac:dyDescent="0.35">
      <c r="A42" s="20"/>
      <c r="B42" s="13"/>
      <c r="C42" s="14"/>
      <c r="D42" s="14"/>
      <c r="E42" s="14"/>
      <c r="F42" s="14"/>
      <c r="G42" s="14"/>
      <c r="H42" s="14"/>
      <c r="I42" s="14"/>
      <c r="J42" s="14"/>
      <c r="K42" s="15"/>
      <c r="Q42" s="16"/>
    </row>
    <row r="43" spans="1:27" x14ac:dyDescent="0.35">
      <c r="A43" s="20"/>
      <c r="B43" s="20"/>
      <c r="C43" t="s">
        <v>1805</v>
      </c>
      <c r="K43" s="16"/>
      <c r="Q43" s="16"/>
    </row>
    <row r="44" spans="1:27" x14ac:dyDescent="0.35">
      <c r="A44" s="20"/>
      <c r="B44" s="20"/>
      <c r="C44" s="626">
        <f>ENTRADAS!C91</f>
        <v>0</v>
      </c>
      <c r="D44" s="627" t="s">
        <v>45</v>
      </c>
      <c r="G44" s="7">
        <f>ENTRADAS!G91</f>
        <v>0</v>
      </c>
      <c r="H44" t="s">
        <v>46</v>
      </c>
      <c r="K44" s="16"/>
      <c r="Q44" s="16"/>
    </row>
    <row r="45" spans="1:27" ht="6" customHeight="1" x14ac:dyDescent="0.35">
      <c r="A45" s="20"/>
      <c r="B45" s="20"/>
      <c r="K45" s="16"/>
      <c r="Q45" s="16"/>
    </row>
    <row r="46" spans="1:27" x14ac:dyDescent="0.35">
      <c r="A46" s="20"/>
      <c r="B46" s="20"/>
      <c r="C46" s="626" t="str">
        <f>ENTRADAS!C93</f>
        <v>X</v>
      </c>
      <c r="D46" s="627" t="s">
        <v>47</v>
      </c>
      <c r="G46" s="31">
        <f>ROUNDUP(IF(C46="X",IF(C19="X",LARGE(H34:H38,1)/40,IF(E19="X",LARGE(H34:H38,1)/40,IF(ENTRADAS!G66="X",LARGE(H34:H38,1)/40,0)))),0)</f>
        <v>2</v>
      </c>
      <c r="H46" t="s">
        <v>46</v>
      </c>
      <c r="K46" s="16"/>
      <c r="Q46" s="16"/>
    </row>
    <row r="47" spans="1:27" ht="5.25" customHeight="1" x14ac:dyDescent="0.35">
      <c r="A47" s="20"/>
      <c r="B47" s="18"/>
      <c r="C47" s="3"/>
      <c r="D47" s="3"/>
      <c r="E47" s="3"/>
      <c r="F47" s="3"/>
      <c r="G47" s="3"/>
      <c r="H47" s="3"/>
      <c r="I47" s="3"/>
      <c r="J47" s="3"/>
      <c r="K47" s="17"/>
      <c r="Q47" s="16"/>
    </row>
    <row r="48" spans="1:27" ht="5.25" customHeight="1" x14ac:dyDescent="0.35">
      <c r="A48" s="20"/>
      <c r="Q48" s="16"/>
    </row>
    <row r="49" spans="1:17" ht="5.25" customHeight="1" x14ac:dyDescent="0.35">
      <c r="A49" s="20"/>
      <c r="B49" s="13"/>
      <c r="C49" s="14"/>
      <c r="D49" s="14"/>
      <c r="E49" s="14"/>
      <c r="F49" s="14"/>
      <c r="G49" s="14"/>
      <c r="H49" s="14"/>
      <c r="I49" s="14"/>
      <c r="J49" s="14"/>
      <c r="K49" s="15"/>
      <c r="Q49" s="16"/>
    </row>
    <row r="50" spans="1:17" x14ac:dyDescent="0.35">
      <c r="A50" s="20"/>
      <c r="B50" s="20"/>
      <c r="C50" s="25" t="s">
        <v>1806</v>
      </c>
      <c r="D50" s="25"/>
      <c r="E50" s="25"/>
      <c r="F50" s="25"/>
      <c r="G50" s="376">
        <f ca="1">IF(G23=0,0,(VLOOKUP(BJ8,D30:H38,5,0))-(G44+G46))</f>
        <v>60</v>
      </c>
      <c r="H50" s="25" t="s">
        <v>46</v>
      </c>
      <c r="K50" s="16"/>
      <c r="Q50" s="16"/>
    </row>
    <row r="51" spans="1:17" ht="4.5" customHeight="1" x14ac:dyDescent="0.35">
      <c r="A51" s="20"/>
      <c r="B51" s="18"/>
      <c r="C51" s="3"/>
      <c r="D51" s="3"/>
      <c r="E51" s="3"/>
      <c r="F51" s="3"/>
      <c r="G51" s="3"/>
      <c r="H51" s="3"/>
      <c r="I51" s="3"/>
      <c r="J51" s="3"/>
      <c r="K51" s="17"/>
      <c r="Q51" s="16"/>
    </row>
    <row r="52" spans="1:17" ht="5.25" customHeight="1" x14ac:dyDescent="0.35">
      <c r="A52" s="20"/>
      <c r="Q52" s="16"/>
    </row>
    <row r="53" spans="1:17" ht="6.75" customHeight="1" x14ac:dyDescent="0.35">
      <c r="A53" s="20"/>
      <c r="B53" s="13"/>
      <c r="C53" s="14"/>
      <c r="D53" s="14"/>
      <c r="E53" s="14"/>
      <c r="F53" s="14"/>
      <c r="G53" s="14"/>
      <c r="H53" s="14"/>
      <c r="I53" s="14"/>
      <c r="J53" s="14"/>
      <c r="K53" s="15"/>
      <c r="Q53" s="16"/>
    </row>
    <row r="54" spans="1:17" x14ac:dyDescent="0.35">
      <c r="A54" s="20"/>
      <c r="B54" s="20"/>
      <c r="C54" s="627" t="s">
        <v>50</v>
      </c>
      <c r="G54" s="627" t="s">
        <v>51</v>
      </c>
      <c r="K54" s="16"/>
      <c r="L54" s="647" t="s">
        <v>1807</v>
      </c>
      <c r="M54" s="32">
        <f ca="1">IF(I11=0,0,(360/(G44+G46+G50))/2)</f>
        <v>2.903225806451613</v>
      </c>
      <c r="O54" s="627" t="s">
        <v>1808</v>
      </c>
      <c r="Q54" s="16"/>
    </row>
    <row r="55" spans="1:17" x14ac:dyDescent="0.35">
      <c r="A55" s="20"/>
      <c r="B55" s="20"/>
      <c r="C55" s="626">
        <f>ENTRADAS!C104</f>
        <v>0</v>
      </c>
      <c r="D55" t="s">
        <v>52</v>
      </c>
      <c r="E55" s="626" t="str">
        <f>ENTRADAS!E104</f>
        <v>X</v>
      </c>
      <c r="F55" t="s">
        <v>53</v>
      </c>
      <c r="G55" s="674" t="s">
        <v>54</v>
      </c>
      <c r="H55" s="674" t="s">
        <v>55</v>
      </c>
      <c r="I55" s="674" t="s">
        <v>56</v>
      </c>
      <c r="J55" s="674" t="s">
        <v>57</v>
      </c>
      <c r="K55" s="751"/>
      <c r="L55" s="751" t="s">
        <v>1809</v>
      </c>
      <c r="M55" s="32">
        <f ca="1">TAN(M54*PI()/180)</f>
        <v>5.0714260228040764E-2</v>
      </c>
      <c r="N55" s="627"/>
      <c r="O55" s="32">
        <f ca="1">IF(I11=0,0,2.4-2*M55*(J56-G56))</f>
        <v>2.4</v>
      </c>
      <c r="Q55" s="16"/>
    </row>
    <row r="56" spans="1:17" x14ac:dyDescent="0.35">
      <c r="A56" s="20"/>
      <c r="B56" s="20"/>
      <c r="C56" s="195">
        <f>IF(C55="X",1000,0)</f>
        <v>0</v>
      </c>
      <c r="G56" s="7">
        <f>ENTRADAS!G105</f>
        <v>0</v>
      </c>
      <c r="H56" s="7">
        <f>ENTRADAS!H105</f>
        <v>0</v>
      </c>
      <c r="I56" s="7">
        <f>ENTRADAS!I105</f>
        <v>0</v>
      </c>
      <c r="J56" s="7">
        <f>ENTRADAS!J105</f>
        <v>0</v>
      </c>
      <c r="K56" s="751"/>
      <c r="Q56" s="16"/>
    </row>
    <row r="57" spans="1:17" ht="6" customHeight="1" x14ac:dyDescent="0.35">
      <c r="A57" s="20"/>
      <c r="B57" s="18"/>
      <c r="C57" s="3"/>
      <c r="D57" s="3"/>
      <c r="E57" s="3"/>
      <c r="F57" s="3"/>
      <c r="G57" s="3"/>
      <c r="H57" s="3"/>
      <c r="I57" s="3"/>
      <c r="J57" s="3"/>
      <c r="K57" s="17"/>
      <c r="Q57" s="16"/>
    </row>
    <row r="58" spans="1:17" ht="5.25" customHeight="1" x14ac:dyDescent="0.35">
      <c r="A58" s="20"/>
      <c r="Q58" s="16"/>
    </row>
    <row r="59" spans="1:17" ht="5.25" customHeight="1" x14ac:dyDescent="0.35">
      <c r="A59" s="20"/>
      <c r="B59" s="13"/>
      <c r="C59" s="14"/>
      <c r="D59" s="14"/>
      <c r="E59" s="14"/>
      <c r="F59" s="14"/>
      <c r="G59" s="14"/>
      <c r="H59" s="14"/>
      <c r="I59" s="14"/>
      <c r="J59" s="14"/>
      <c r="K59" s="15"/>
      <c r="Q59" s="16"/>
    </row>
    <row r="60" spans="1:17" x14ac:dyDescent="0.35">
      <c r="A60" s="20"/>
      <c r="B60" s="20"/>
      <c r="C60" t="s">
        <v>58</v>
      </c>
      <c r="H60" s="627" t="s">
        <v>59</v>
      </c>
      <c r="K60" s="16"/>
      <c r="Q60" s="16"/>
    </row>
    <row r="61" spans="1:17" x14ac:dyDescent="0.35">
      <c r="A61" s="20"/>
      <c r="B61" s="20"/>
      <c r="C61" s="626">
        <f>ENTRADAS!C110</f>
        <v>0</v>
      </c>
      <c r="D61" t="s">
        <v>52</v>
      </c>
      <c r="E61" s="626" t="str">
        <f>ENTRADAS!E110</f>
        <v>X</v>
      </c>
      <c r="F61" t="s">
        <v>53</v>
      </c>
      <c r="H61" s="674" t="s">
        <v>60</v>
      </c>
      <c r="I61" s="674" t="s">
        <v>61</v>
      </c>
      <c r="J61" s="674" t="s">
        <v>62</v>
      </c>
      <c r="K61" s="751"/>
      <c r="Q61" s="16"/>
    </row>
    <row r="62" spans="1:17" x14ac:dyDescent="0.35">
      <c r="A62" s="20"/>
      <c r="B62" s="20"/>
      <c r="C62" s="195">
        <f>IF(C61="X",1000,0)</f>
        <v>0</v>
      </c>
      <c r="H62" s="7">
        <f>ENTRADAS!H111</f>
        <v>0</v>
      </c>
      <c r="I62" s="7">
        <f>ENTRADAS!I111</f>
        <v>0</v>
      </c>
      <c r="J62" s="7">
        <f>ENTRADAS!J111</f>
        <v>0</v>
      </c>
      <c r="K62" s="751"/>
      <c r="Q62" s="16"/>
    </row>
    <row r="63" spans="1:17" ht="6.75" customHeight="1" x14ac:dyDescent="0.35">
      <c r="A63" s="20"/>
      <c r="B63" s="18"/>
      <c r="C63" s="3"/>
      <c r="D63" s="3"/>
      <c r="E63" s="3"/>
      <c r="F63" s="3"/>
      <c r="G63" s="3"/>
      <c r="H63" s="3"/>
      <c r="I63" s="3"/>
      <c r="J63" s="3"/>
      <c r="K63" s="17"/>
      <c r="Q63" s="16"/>
    </row>
    <row r="64" spans="1:17" ht="6" customHeight="1" x14ac:dyDescent="0.35">
      <c r="A64" s="20"/>
      <c r="Q64" s="16"/>
    </row>
    <row r="65" spans="1:17" ht="6" customHeight="1" x14ac:dyDescent="0.35">
      <c r="A65" s="20"/>
      <c r="B65" s="13"/>
      <c r="C65" s="14"/>
      <c r="D65" s="14"/>
      <c r="E65" s="14"/>
      <c r="F65" s="14"/>
      <c r="G65" s="14"/>
      <c r="H65" s="15"/>
      <c r="Q65" s="16"/>
    </row>
    <row r="66" spans="1:17" x14ac:dyDescent="0.35">
      <c r="A66" s="20"/>
      <c r="B66" s="20"/>
      <c r="C66" s="627" t="s">
        <v>63</v>
      </c>
      <c r="F66" s="31">
        <f ca="1">IF(ENTRADAS!G66="X",((G56*(H56+I56)*O55)+(I56*(J56-G56))*((2.1+O55)/2))*2500,((G56*(H56+I56)*O55)+(I56*(J56-G56))*((2.4+O55)/2))*2500)</f>
        <v>0</v>
      </c>
      <c r="G66" t="s">
        <v>64</v>
      </c>
      <c r="H66" s="16"/>
      <c r="Q66" s="16"/>
    </row>
    <row r="67" spans="1:17" x14ac:dyDescent="0.35">
      <c r="A67" s="20"/>
      <c r="B67" s="20"/>
      <c r="H67" s="16"/>
      <c r="Q67" s="16"/>
    </row>
    <row r="68" spans="1:17" x14ac:dyDescent="0.35">
      <c r="A68" s="20"/>
      <c r="B68" s="20"/>
      <c r="C68" t="s">
        <v>65</v>
      </c>
      <c r="F68" s="31">
        <f>IF(ENTRADAS!G66="X",((H62*I62)+(H62*J62/2))*M79*2500,((H62*I62)+(H62*J62/2))*2.4*2500)</f>
        <v>0</v>
      </c>
      <c r="G68" t="s">
        <v>64</v>
      </c>
      <c r="H68" s="16"/>
      <c r="Q68" s="16"/>
    </row>
    <row r="69" spans="1:17" ht="5.25" customHeight="1" x14ac:dyDescent="0.35">
      <c r="A69" s="20"/>
      <c r="B69" s="18"/>
      <c r="C69" s="3"/>
      <c r="D69" s="3"/>
      <c r="E69" s="3"/>
      <c r="F69" s="3"/>
      <c r="G69" s="3"/>
      <c r="H69" s="17"/>
      <c r="Q69" s="16"/>
    </row>
    <row r="70" spans="1:17" ht="6.75" customHeight="1" x14ac:dyDescent="0.35">
      <c r="A70" s="20"/>
      <c r="C70" s="10"/>
      <c r="Q70" s="16"/>
    </row>
    <row r="71" spans="1:17" ht="5.25" customHeight="1" x14ac:dyDescent="0.35">
      <c r="A71" s="20"/>
      <c r="B71" s="13"/>
      <c r="C71" s="14"/>
      <c r="D71" s="14"/>
      <c r="E71" s="14"/>
      <c r="F71" s="14"/>
      <c r="G71" s="14"/>
      <c r="H71" s="15"/>
      <c r="Q71" s="16"/>
    </row>
    <row r="72" spans="1:17" x14ac:dyDescent="0.35">
      <c r="A72" s="20"/>
      <c r="B72" s="20"/>
      <c r="C72" t="s">
        <v>66</v>
      </c>
      <c r="H72" s="16"/>
      <c r="Q72" s="16"/>
    </row>
    <row r="73" spans="1:17" x14ac:dyDescent="0.35">
      <c r="A73" s="20"/>
      <c r="B73" s="20"/>
      <c r="C73" s="626">
        <f>ENTRADAS!C122</f>
        <v>0</v>
      </c>
      <c r="D73" t="s">
        <v>52</v>
      </c>
      <c r="E73" s="626">
        <f>ENTRADAS!E122</f>
        <v>0</v>
      </c>
      <c r="F73" t="s">
        <v>53</v>
      </c>
      <c r="H73" s="16"/>
      <c r="Q73" s="16"/>
    </row>
    <row r="74" spans="1:17" ht="7.5" customHeight="1" x14ac:dyDescent="0.35">
      <c r="A74" s="20"/>
      <c r="B74" s="18"/>
      <c r="C74" s="3"/>
      <c r="D74" s="3"/>
      <c r="E74" s="3"/>
      <c r="F74" s="3"/>
      <c r="G74" s="3"/>
      <c r="H74" s="17"/>
      <c r="I74" s="192"/>
      <c r="J74" s="196" t="s">
        <v>67</v>
      </c>
      <c r="K74" s="196"/>
      <c r="L74" s="196" t="s">
        <v>68</v>
      </c>
      <c r="Q74" s="16"/>
    </row>
    <row r="75" spans="1:17" ht="7.5" customHeight="1" x14ac:dyDescent="0.35">
      <c r="A75" s="20"/>
      <c r="I75" s="192"/>
      <c r="J75" s="196"/>
      <c r="K75" s="196"/>
      <c r="L75" s="196"/>
      <c r="Q75" s="16"/>
    </row>
    <row r="76" spans="1:17" ht="15" x14ac:dyDescent="0.4">
      <c r="A76" s="20"/>
      <c r="C76" s="365" t="s">
        <v>69</v>
      </c>
      <c r="I76" s="998" t="s">
        <v>70</v>
      </c>
      <c r="J76" s="999">
        <f ca="1">IF(C19="x",(VLOOKUP(BJ8,D30:H38,5,0)),0)</f>
        <v>62</v>
      </c>
      <c r="K76" s="999"/>
      <c r="L76" s="999">
        <f>IF(E19="x",VLOOKUP(BJ8,D30:H38,5,0),0)</f>
        <v>0</v>
      </c>
      <c r="M76" s="502">
        <f>IF(ENTRADAS!G66="x",VLOOKUP(BJ8,D30:H38,5,0),0)</f>
        <v>0</v>
      </c>
      <c r="N76" s="627"/>
      <c r="Q76" s="16"/>
    </row>
    <row r="77" spans="1:17" x14ac:dyDescent="0.35">
      <c r="A77" s="20"/>
      <c r="B77" s="9"/>
      <c r="C77" s="646" t="s">
        <v>71</v>
      </c>
      <c r="D77" s="10"/>
      <c r="E77" s="10"/>
      <c r="F77" s="2071">
        <f ca="1">IF(G23=0,0,IF(ENTRADAS!G66="X",M77,IF(C19="x",J77,IF(E19="x",L77))))</f>
        <v>23.55111104147047</v>
      </c>
      <c r="G77" s="2071"/>
      <c r="H77" s="6" t="s">
        <v>20</v>
      </c>
      <c r="I77" s="998" t="s">
        <v>72</v>
      </c>
      <c r="J77" s="999">
        <f ca="1">IF(C19="x",1.205/SIN(PI()/(VLOOKUP(BJ8,D30:H38,5,0)))-0.24,0)</f>
        <v>23.55111104147047</v>
      </c>
      <c r="K77" s="999"/>
      <c r="L77" s="999">
        <f>IF(E19="x",1.205/SIN(PI()/(VLOOKUP(BJ8,D30:H38,5,0)))-0.3,0)</f>
        <v>0</v>
      </c>
      <c r="M77" s="5">
        <f>IF(ENTRADAS!G66="x",M78/COS(PI()/M76),0)</f>
        <v>0</v>
      </c>
      <c r="N77" s="627"/>
      <c r="Q77" s="16"/>
    </row>
    <row r="78" spans="1:17" x14ac:dyDescent="0.35">
      <c r="A78" s="20"/>
      <c r="B78" s="9"/>
      <c r="C78" s="646" t="s">
        <v>73</v>
      </c>
      <c r="D78" s="10"/>
      <c r="E78" s="10"/>
      <c r="F78" s="2071">
        <f ca="1">IF(G23=0,0,IF(ENTRADAS!G66="X",M78,IF(C19="x",J78,IF(E19="x",L78))))</f>
        <v>23.520883359335002</v>
      </c>
      <c r="G78" s="2071"/>
      <c r="H78" s="6" t="s">
        <v>20</v>
      </c>
      <c r="I78" s="998" t="s">
        <v>74</v>
      </c>
      <c r="J78" s="999">
        <f ca="1">IF(C19="x",J77*COS(PI()/J76),0)</f>
        <v>23.520883359335002</v>
      </c>
      <c r="K78" s="999"/>
      <c r="L78" s="999">
        <f>IF(E19="x",L77*COS(PI()/L76),0)</f>
        <v>0</v>
      </c>
      <c r="M78" s="5">
        <f>IF(ENTRADAS!G66="X",(2.1+0.006-0.005)/2/TAN(PI()/M76)-0.07,0)</f>
        <v>0</v>
      </c>
      <c r="N78" s="627"/>
      <c r="Q78" s="16"/>
    </row>
    <row r="79" spans="1:17" x14ac:dyDescent="0.35">
      <c r="A79" s="20"/>
      <c r="B79" s="9"/>
      <c r="C79" s="10" t="s">
        <v>75</v>
      </c>
      <c r="D79" s="10"/>
      <c r="E79" s="10"/>
      <c r="F79" s="2071">
        <f ca="1">IF(G23=0,0,IF(ENTRADAS!G66="X",M79,IF(C19="x",J79,IF(E19="x",L79))))</f>
        <v>2.3856883989574178</v>
      </c>
      <c r="G79" s="2071"/>
      <c r="H79" s="6" t="s">
        <v>20</v>
      </c>
      <c r="I79" s="998" t="s">
        <v>76</v>
      </c>
      <c r="J79" s="999">
        <f ca="1">IF(C19="X",2*J78*TAN(PI()/J76),0)</f>
        <v>2.3856883989574178</v>
      </c>
      <c r="K79" s="999"/>
      <c r="L79" s="999">
        <f>IF(E19="X",2*L78*TAN(PI()/L76),0)</f>
        <v>0</v>
      </c>
      <c r="M79" s="503">
        <f>IF(ENTRADAS!G66="X",2*M77*TAN(PI()/M76),0)</f>
        <v>0</v>
      </c>
      <c r="N79" s="627"/>
      <c r="Q79" s="16"/>
    </row>
    <row r="80" spans="1:17" x14ac:dyDescent="0.35">
      <c r="A80" s="20"/>
      <c r="B80" s="9"/>
      <c r="C80" s="10" t="s">
        <v>77</v>
      </c>
      <c r="D80" s="10"/>
      <c r="E80" s="10"/>
      <c r="F80" s="2085">
        <f ca="1">IF(G23=0,0,IF(ENTRADAS!G66="X",M80,IF(C19="x",J80,IF(E19="x",L80))))</f>
        <v>1739.518455471479</v>
      </c>
      <c r="G80" s="2085"/>
      <c r="H80" s="6" t="s">
        <v>78</v>
      </c>
      <c r="I80" s="998" t="s">
        <v>79</v>
      </c>
      <c r="J80" s="999">
        <f ca="1">J76*J79*J78/2</f>
        <v>1739.518455471479</v>
      </c>
      <c r="K80" s="999"/>
      <c r="L80" s="999">
        <f>L76*L79*L78/2</f>
        <v>0</v>
      </c>
      <c r="M80" s="501">
        <f>M76*M79*M78/2</f>
        <v>0</v>
      </c>
      <c r="N80" s="627"/>
      <c r="Q80" s="16"/>
    </row>
    <row r="81" spans="1:17" x14ac:dyDescent="0.35">
      <c r="A81" s="20"/>
      <c r="B81" s="9"/>
      <c r="C81" s="10" t="s">
        <v>80</v>
      </c>
      <c r="D81" s="10"/>
      <c r="E81" s="10"/>
      <c r="F81" s="2085">
        <f ca="1">IF(G23=0,0,IF(ENTRADAS!G66="X",M81,IF(C19="x",J81,IF(E19="x",L81))))</f>
        <v>12437.556956621076</v>
      </c>
      <c r="G81" s="2085"/>
      <c r="H81" s="6" t="s">
        <v>31</v>
      </c>
      <c r="I81" s="998" t="s">
        <v>81</v>
      </c>
      <c r="J81" s="999">
        <f ca="1">J80*E11</f>
        <v>12437.556956621076</v>
      </c>
      <c r="K81" s="999"/>
      <c r="L81" s="999">
        <f>L80*E11</f>
        <v>0</v>
      </c>
      <c r="M81" s="501">
        <f>M80*E11</f>
        <v>0</v>
      </c>
      <c r="N81" s="627"/>
      <c r="Q81" s="16"/>
    </row>
    <row r="82" spans="1:17" x14ac:dyDescent="0.35">
      <c r="A82" s="20"/>
      <c r="B82" s="9"/>
      <c r="C82" s="10" t="s">
        <v>82</v>
      </c>
      <c r="D82" s="10"/>
      <c r="E82" s="10"/>
      <c r="F82" s="2085">
        <f ca="1">IF(G23=0,0,IF(ENTRADAS!G66="X",M82,IF(C19="x",J82,IF(E19="x",L82))))</f>
        <v>11132.918115017466</v>
      </c>
      <c r="G82" s="2085"/>
      <c r="H82" s="6" t="s">
        <v>31</v>
      </c>
      <c r="I82" s="998" t="s">
        <v>83</v>
      </c>
      <c r="J82" s="999">
        <f ca="1">J80*F12</f>
        <v>11132.918115017466</v>
      </c>
      <c r="K82" s="999"/>
      <c r="L82" s="999">
        <f>L80*F12</f>
        <v>0</v>
      </c>
      <c r="M82" s="501">
        <f>M80*F12</f>
        <v>0</v>
      </c>
      <c r="N82" s="627"/>
      <c r="Q82" s="16"/>
    </row>
    <row r="83" spans="1:17" x14ac:dyDescent="0.35">
      <c r="A83" s="20"/>
      <c r="B83" s="9"/>
      <c r="C83" s="10" t="s">
        <v>84</v>
      </c>
      <c r="D83" s="10"/>
      <c r="E83" s="10"/>
      <c r="F83" s="2085">
        <f ca="1">IF(G23=0,0,IF(ENTRADAS!G66="X",M83*F15,IF(C19="x",J83*F15,IF(E19="x",L83*F15))))</f>
        <v>4344.96</v>
      </c>
      <c r="G83" s="2085"/>
      <c r="H83" s="6" t="s">
        <v>78</v>
      </c>
      <c r="I83" s="998" t="s">
        <v>85</v>
      </c>
      <c r="J83" s="998">
        <f ca="1">J76*I11*2.4</f>
        <v>1086.24</v>
      </c>
      <c r="K83" s="998"/>
      <c r="L83" s="999">
        <f ca="1">L76*I11*2.4</f>
        <v>0</v>
      </c>
      <c r="M83" s="504">
        <f ca="1">M76*I11*M79</f>
        <v>0</v>
      </c>
      <c r="N83" s="627"/>
      <c r="Q83" s="16"/>
    </row>
    <row r="84" spans="1:17" x14ac:dyDescent="0.35">
      <c r="A84" s="20"/>
      <c r="B84" s="9"/>
      <c r="C84" s="10" t="s">
        <v>1810</v>
      </c>
      <c r="D84" s="10"/>
      <c r="E84" s="10"/>
      <c r="F84" s="2085">
        <f ca="1">IF(ENTRADAS!G66="X",2.1*E11*(G50+G44+G46)*F15,IF(OR(C19="X",E19="X"),2.48*E11*(G50+G44+G46)*F15,0))</f>
        <v>4397.5360000000001</v>
      </c>
      <c r="G84" s="2085"/>
      <c r="H84" s="6" t="s">
        <v>78</v>
      </c>
      <c r="I84" s="998"/>
      <c r="J84" s="998"/>
      <c r="K84" s="998"/>
      <c r="L84" s="999"/>
      <c r="M84" s="504"/>
      <c r="N84" s="627"/>
      <c r="Q84" s="16"/>
    </row>
    <row r="85" spans="1:17" ht="3.75" customHeight="1" x14ac:dyDescent="0.35">
      <c r="A85" s="20"/>
      <c r="B85" s="10"/>
      <c r="C85" s="10"/>
      <c r="D85" s="10"/>
      <c r="E85" s="10"/>
      <c r="F85" s="377"/>
      <c r="G85" s="377"/>
      <c r="H85" s="10"/>
      <c r="I85" s="998"/>
      <c r="J85" s="998"/>
      <c r="K85" s="998"/>
      <c r="L85" s="999"/>
      <c r="M85" s="627"/>
      <c r="N85" s="627"/>
      <c r="Q85" s="16"/>
    </row>
    <row r="86" spans="1:17" x14ac:dyDescent="0.35">
      <c r="A86" s="20"/>
      <c r="B86" s="9"/>
      <c r="C86" s="10" t="s">
        <v>1811</v>
      </c>
      <c r="D86" s="10"/>
      <c r="E86" s="10"/>
      <c r="F86" s="1322">
        <f ca="1">IF(ENTRADAS!G66="X",Z229*1000,IF(C19="x",Z229*1000,IF(E19="x",AB229*1000,0)))</f>
        <v>8673.5220684377146</v>
      </c>
      <c r="G86" s="1322"/>
      <c r="H86" s="6" t="s">
        <v>64</v>
      </c>
      <c r="I86" s="998"/>
      <c r="J86" s="998"/>
      <c r="K86" s="998"/>
      <c r="L86" s="999"/>
      <c r="M86" s="627"/>
      <c r="N86" s="627"/>
      <c r="Q86" s="16"/>
    </row>
    <row r="87" spans="1:17" x14ac:dyDescent="0.35">
      <c r="A87" s="20"/>
      <c r="B87" s="9"/>
      <c r="C87" s="10" t="s">
        <v>1812</v>
      </c>
      <c r="D87" s="10"/>
      <c r="E87" s="10"/>
      <c r="F87" s="1322">
        <f ca="1">IF(ENTRADAS!G66="X",AA229*1000,IF(C19="x",AA229*1000,IF(E19="x",AC229*1000,0)))</f>
        <v>11953.750000000004</v>
      </c>
      <c r="G87" s="1322"/>
      <c r="H87" s="6" t="s">
        <v>64</v>
      </c>
      <c r="I87" s="627"/>
      <c r="J87" s="627"/>
      <c r="K87" s="627"/>
      <c r="L87" s="627"/>
      <c r="M87" s="627"/>
      <c r="N87" s="627"/>
      <c r="Q87" s="16"/>
    </row>
    <row r="88" spans="1:17" ht="6" customHeight="1" x14ac:dyDescent="0.35">
      <c r="A88" s="18"/>
      <c r="B88" s="3"/>
      <c r="C88" s="3"/>
      <c r="D88" s="3"/>
      <c r="E88" s="3"/>
      <c r="F88" s="3"/>
      <c r="G88" s="3"/>
      <c r="H88" s="3"/>
      <c r="I88" s="3"/>
      <c r="J88" s="3"/>
      <c r="K88" s="3"/>
      <c r="L88" s="3"/>
      <c r="M88" s="3"/>
      <c r="N88" s="3"/>
      <c r="O88" s="3"/>
      <c r="P88" s="3"/>
      <c r="Q88" s="17"/>
    </row>
    <row r="89" spans="1:17" ht="5.25" customHeight="1" thickBot="1" x14ac:dyDescent="0.4">
      <c r="A89" s="13"/>
      <c r="B89" s="14"/>
      <c r="C89" s="14"/>
      <c r="D89" s="14"/>
      <c r="E89" s="14"/>
      <c r="F89" s="14"/>
      <c r="G89" s="14"/>
      <c r="H89" s="14"/>
      <c r="I89" s="14"/>
      <c r="J89" s="14"/>
      <c r="K89" s="14"/>
      <c r="L89" s="14"/>
      <c r="M89" s="14"/>
      <c r="N89" s="14"/>
      <c r="O89" s="14"/>
      <c r="P89" s="14"/>
      <c r="Q89" s="15"/>
    </row>
    <row r="90" spans="1:17" ht="15.4" thickBot="1" x14ac:dyDescent="0.45">
      <c r="A90" s="20"/>
      <c r="B90" s="23"/>
      <c r="C90" s="24" t="s">
        <v>1813</v>
      </c>
      <c r="D90" s="21"/>
      <c r="E90" s="21"/>
      <c r="F90" s="21"/>
      <c r="G90" s="21"/>
      <c r="H90" s="21"/>
      <c r="I90" s="21"/>
      <c r="J90" s="21"/>
      <c r="K90" s="21"/>
      <c r="L90" s="21"/>
      <c r="M90" s="21"/>
      <c r="N90" s="21"/>
      <c r="O90" s="21"/>
      <c r="P90" s="22"/>
      <c r="Q90" s="16"/>
    </row>
    <row r="91" spans="1:17" ht="6" customHeight="1" x14ac:dyDescent="0.35">
      <c r="A91" s="20"/>
      <c r="C91" s="627"/>
      <c r="Q91" s="16"/>
    </row>
    <row r="92" spans="1:17" x14ac:dyDescent="0.35">
      <c r="A92" s="20"/>
      <c r="C92" t="s">
        <v>281</v>
      </c>
      <c r="D92">
        <f ca="1">IF(I11&gt;18,"altura do painel &gt; que 18,00m. Verificar com engenharia !",0)</f>
        <v>0</v>
      </c>
      <c r="M92" s="627"/>
      <c r="Q92" s="16"/>
    </row>
    <row r="93" spans="1:17" ht="13.15" x14ac:dyDescent="0.4">
      <c r="A93" s="20"/>
      <c r="C93" s="1409" t="s">
        <v>282</v>
      </c>
      <c r="D93" s="1410"/>
      <c r="E93" s="1410"/>
      <c r="F93" s="1410"/>
      <c r="G93" s="1411"/>
      <c r="H93" s="2086" t="s">
        <v>283</v>
      </c>
      <c r="I93" s="2049"/>
      <c r="Q93" s="16"/>
    </row>
    <row r="94" spans="1:17" x14ac:dyDescent="0.35">
      <c r="A94" s="20"/>
      <c r="C94" s="379" t="s">
        <v>284</v>
      </c>
      <c r="D94" s="1536" t="s">
        <v>285</v>
      </c>
      <c r="E94" s="1538"/>
      <c r="F94" s="1536" t="s">
        <v>286</v>
      </c>
      <c r="G94" s="1538"/>
      <c r="H94" s="1418" t="s">
        <v>287</v>
      </c>
      <c r="I94" s="1419"/>
      <c r="L94" s="627"/>
      <c r="Q94" s="16"/>
    </row>
    <row r="95" spans="1:17" x14ac:dyDescent="0.35">
      <c r="A95" s="20"/>
      <c r="C95" s="380" t="s">
        <v>288</v>
      </c>
      <c r="D95" s="1539" t="s">
        <v>258</v>
      </c>
      <c r="E95" s="1541"/>
      <c r="F95" s="1412" t="s">
        <v>289</v>
      </c>
      <c r="G95" s="1541"/>
      <c r="H95" s="741" t="s">
        <v>290</v>
      </c>
      <c r="I95" s="382"/>
      <c r="L95" s="627"/>
      <c r="Q95" s="16"/>
    </row>
    <row r="96" spans="1:17" ht="13.15" x14ac:dyDescent="0.4">
      <c r="A96" s="20"/>
      <c r="C96" s="383">
        <f>IF(AND($E$11&gt;0,$E$11&lt;=3),"X",0)</f>
        <v>0</v>
      </c>
      <c r="D96" s="2070" t="s">
        <v>291</v>
      </c>
      <c r="E96" s="2070"/>
      <c r="F96" s="2070">
        <f>ENTRADAS!F416</f>
        <v>0</v>
      </c>
      <c r="G96" s="2070"/>
      <c r="H96" s="1337">
        <f>ENTRADAS!H416</f>
        <v>0</v>
      </c>
      <c r="I96" s="2070"/>
      <c r="L96" s="627"/>
      <c r="Q96" s="16"/>
    </row>
    <row r="97" spans="1:17" ht="13.15" x14ac:dyDescent="0.4">
      <c r="A97" s="20"/>
      <c r="C97" s="383">
        <f>IF(AND($E$11&gt;3,$E$11&lt;=6),"X",0)</f>
        <v>0</v>
      </c>
      <c r="D97" s="2070" t="s">
        <v>292</v>
      </c>
      <c r="E97" s="2070"/>
      <c r="F97" s="2069">
        <f>ENTRADAS!F417</f>
        <v>0</v>
      </c>
      <c r="G97" s="1545"/>
      <c r="H97" s="1338">
        <f>ENTRADAS!H417</f>
        <v>0</v>
      </c>
      <c r="I97" s="1339"/>
      <c r="L97" s="627"/>
      <c r="Q97" s="16"/>
    </row>
    <row r="98" spans="1:17" ht="13.15" x14ac:dyDescent="0.4">
      <c r="A98" s="20"/>
      <c r="C98" s="383" t="str">
        <f>IF(AND($E$11&gt;6,$E$11&lt;=10),"X",0)</f>
        <v>X</v>
      </c>
      <c r="D98" s="2070" t="s">
        <v>293</v>
      </c>
      <c r="E98" s="2070"/>
      <c r="F98" s="2069">
        <f>ENTRADAS!F418</f>
        <v>7</v>
      </c>
      <c r="G98" s="1545"/>
      <c r="H98" s="1338">
        <f>ENTRADAS!H418</f>
        <v>7</v>
      </c>
      <c r="I98" s="1339"/>
      <c r="L98" s="627"/>
      <c r="Q98" s="16"/>
    </row>
    <row r="99" spans="1:17" ht="13.15" x14ac:dyDescent="0.4">
      <c r="A99" s="20"/>
      <c r="C99" s="383">
        <f>IF(AND($E$11&gt;10,$E$11&lt;=14),"X",0)</f>
        <v>0</v>
      </c>
      <c r="D99" s="2070" t="s">
        <v>306</v>
      </c>
      <c r="E99" s="2070"/>
      <c r="F99" s="2069">
        <f>ENTRADAS!F419</f>
        <v>0</v>
      </c>
      <c r="G99" s="1545"/>
      <c r="H99" s="1338">
        <f>ENTRADAS!H419</f>
        <v>0</v>
      </c>
      <c r="I99" s="1339"/>
      <c r="Q99" s="16"/>
    </row>
    <row r="100" spans="1:17" ht="13.15" x14ac:dyDescent="0.4">
      <c r="A100" s="20"/>
      <c r="C100" s="383">
        <f ca="1">IF(AND($I$11&gt;14,$I$11&lt;=18),0,0)</f>
        <v>0</v>
      </c>
      <c r="D100" s="1343" t="s">
        <v>295</v>
      </c>
      <c r="E100" s="1343"/>
      <c r="F100" s="2089">
        <f>ENTRADAS!F420</f>
        <v>6</v>
      </c>
      <c r="G100" s="2090"/>
      <c r="H100" s="1338">
        <f>ENTRADAS!H420</f>
        <v>0</v>
      </c>
      <c r="I100" s="1339"/>
      <c r="Q100" s="16"/>
    </row>
    <row r="101" spans="1:17" ht="13.15" x14ac:dyDescent="0.4">
      <c r="A101" s="20"/>
      <c r="C101" s="378"/>
      <c r="D101" s="378"/>
      <c r="E101" s="378"/>
      <c r="F101" s="378"/>
      <c r="G101" s="378"/>
      <c r="Q101" s="16"/>
    </row>
    <row r="102" spans="1:17" x14ac:dyDescent="0.35">
      <c r="A102" s="20"/>
      <c r="C102" s="633" t="s">
        <v>296</v>
      </c>
      <c r="D102" s="10"/>
      <c r="E102" s="10"/>
      <c r="F102" s="10"/>
      <c r="G102" s="10"/>
      <c r="H102" s="1441">
        <f>IF(E11=0,0,VLOOKUP(BJ8,C96:F100,4,0))</f>
        <v>7</v>
      </c>
      <c r="I102" s="1545"/>
      <c r="J102" s="627" t="s">
        <v>297</v>
      </c>
      <c r="L102" s="627"/>
      <c r="Q102" s="16"/>
    </row>
    <row r="103" spans="1:17" x14ac:dyDescent="0.35">
      <c r="A103" s="20"/>
      <c r="C103" s="627"/>
      <c r="Q103" s="16"/>
    </row>
    <row r="104" spans="1:17" x14ac:dyDescent="0.35">
      <c r="A104" s="20"/>
      <c r="C104" s="627" t="s">
        <v>298</v>
      </c>
      <c r="D104">
        <f ca="1">IF(I11&gt;18,"altura do painel &gt; que 18,00m. Verificar com engenharia !",0)</f>
        <v>0</v>
      </c>
      <c r="Q104" s="16"/>
    </row>
    <row r="105" spans="1:17" ht="13.15" x14ac:dyDescent="0.4">
      <c r="A105" s="20"/>
      <c r="C105" s="1340" t="s">
        <v>299</v>
      </c>
      <c r="D105" s="1340"/>
      <c r="E105" s="1340"/>
      <c r="F105" s="1340"/>
      <c r="G105" s="1340"/>
      <c r="H105" s="1340"/>
      <c r="I105" s="1340"/>
      <c r="Q105" s="16"/>
    </row>
    <row r="106" spans="1:17" x14ac:dyDescent="0.35">
      <c r="A106" s="20"/>
      <c r="C106" s="384" t="s">
        <v>284</v>
      </c>
      <c r="D106" s="1536" t="s">
        <v>285</v>
      </c>
      <c r="E106" s="1538"/>
      <c r="F106" s="1341" t="s">
        <v>300</v>
      </c>
      <c r="G106" s="1538"/>
      <c r="H106" s="1341" t="s">
        <v>301</v>
      </c>
      <c r="I106" s="1538"/>
      <c r="Q106" s="16"/>
    </row>
    <row r="107" spans="1:17" x14ac:dyDescent="0.35">
      <c r="A107" s="20"/>
      <c r="C107" s="380" t="s">
        <v>288</v>
      </c>
      <c r="D107" s="1539" t="s">
        <v>258</v>
      </c>
      <c r="E107" s="1541"/>
      <c r="F107" s="1412" t="s">
        <v>302</v>
      </c>
      <c r="G107" s="1414"/>
      <c r="H107" s="1412" t="s">
        <v>303</v>
      </c>
      <c r="I107" s="1414"/>
      <c r="Q107" s="16"/>
    </row>
    <row r="108" spans="1:17" ht="13.15" x14ac:dyDescent="0.4">
      <c r="A108" s="20"/>
      <c r="C108" s="383">
        <f ca="1">IF(AND($I$11&gt;0,$I$11&lt;=4),"X",0)</f>
        <v>0</v>
      </c>
      <c r="D108" s="1337" t="s">
        <v>304</v>
      </c>
      <c r="E108" s="2070"/>
      <c r="F108" s="1337">
        <f ca="1">IF(AND($I$11&gt;0,$I$11&lt;=4),1,0)</f>
        <v>0</v>
      </c>
      <c r="G108" s="2070"/>
      <c r="H108" s="1337">
        <f ca="1">IF(AND($I$11&gt;0,$I$11&lt;=4),2.5,0)</f>
        <v>0</v>
      </c>
      <c r="I108" s="2070"/>
      <c r="Q108" s="16"/>
    </row>
    <row r="109" spans="1:17" ht="13.15" x14ac:dyDescent="0.4">
      <c r="A109" s="20"/>
      <c r="C109" s="383">
        <f ca="1">IF(AND($I$11&gt;4,$I$11&lt;=6),"X",0)</f>
        <v>0</v>
      </c>
      <c r="D109" s="1337" t="s">
        <v>305</v>
      </c>
      <c r="E109" s="2070"/>
      <c r="F109" s="1337">
        <f ca="1">IF(AND($I$11&gt;4,$I$11&lt;=6),1,0)</f>
        <v>0</v>
      </c>
      <c r="G109" s="2070"/>
      <c r="H109" s="1337">
        <f ca="1">IF(AND($I$11&gt;4,$I$11&lt;=6),3.8,0)</f>
        <v>0</v>
      </c>
      <c r="I109" s="2070"/>
      <c r="Q109" s="16"/>
    </row>
    <row r="110" spans="1:17" ht="13.15" x14ac:dyDescent="0.4">
      <c r="A110" s="20"/>
      <c r="C110" s="383" t="str">
        <f ca="1">IF(AND($I$11&gt;6,$I$11&lt;=10),"X",0)</f>
        <v>X</v>
      </c>
      <c r="D110" s="2070" t="s">
        <v>293</v>
      </c>
      <c r="E110" s="2070"/>
      <c r="F110" s="2070">
        <f ca="1">IF(AND($I$11&gt;6,$I$11&lt;=10),1,0)</f>
        <v>1</v>
      </c>
      <c r="G110" s="2070"/>
      <c r="H110" s="2070">
        <f ca="1">IF(AND($I$11&gt;6,$I$11&lt;=10),5.8,0)</f>
        <v>5.8</v>
      </c>
      <c r="I110" s="2070"/>
      <c r="Q110" s="16"/>
    </row>
    <row r="111" spans="1:17" ht="13.15" x14ac:dyDescent="0.4">
      <c r="A111" s="20"/>
      <c r="C111" s="383">
        <f ca="1">IF(AND($I$11&gt;10,$I$11&lt;=14+G13),"X",0)</f>
        <v>0</v>
      </c>
      <c r="D111" s="2070" t="s">
        <v>306</v>
      </c>
      <c r="E111" s="2070"/>
      <c r="F111" s="2070">
        <f ca="1">IF(AND($I$11&gt;10,$I$11&lt;=14+G13),1,0)</f>
        <v>0</v>
      </c>
      <c r="G111" s="2070"/>
      <c r="H111" s="2070">
        <f ca="1">IF(AND($I$11&gt;10,$I$11&lt;=14+G13),6,0)</f>
        <v>0</v>
      </c>
      <c r="I111" s="2070"/>
      <c r="Q111" s="16"/>
    </row>
    <row r="112" spans="1:17" ht="13.15" x14ac:dyDescent="0.4">
      <c r="A112" s="20"/>
      <c r="C112" s="383">
        <f ca="1">IF(AND($I$11&gt;14,$I$11&lt;=18),0,0)</f>
        <v>0</v>
      </c>
      <c r="D112" s="1343" t="s">
        <v>295</v>
      </c>
      <c r="E112" s="1343"/>
      <c r="F112" s="2070">
        <f ca="1">IF(AND($I$11&gt;14,$I$11&lt;=18),0,0)</f>
        <v>0</v>
      </c>
      <c r="G112" s="2070"/>
      <c r="H112" s="2070">
        <f ca="1">IF(AND($I$11&gt;14,$I$11&lt;=18),0,0)</f>
        <v>0</v>
      </c>
      <c r="I112" s="2070"/>
      <c r="Q112" s="16"/>
    </row>
    <row r="113" spans="1:17" x14ac:dyDescent="0.35">
      <c r="A113" s="20"/>
      <c r="C113" s="627"/>
      <c r="Q113" s="16"/>
    </row>
    <row r="114" spans="1:17" x14ac:dyDescent="0.35">
      <c r="A114" s="20"/>
      <c r="C114" s="627" t="s">
        <v>307</v>
      </c>
      <c r="D114">
        <f>IF(I21&gt;18,"altura do painel &gt; que 18,00m. Verificar com engenharia !",0)</f>
        <v>0</v>
      </c>
      <c r="Q114" s="16"/>
    </row>
    <row r="115" spans="1:17" ht="13.15" x14ac:dyDescent="0.4">
      <c r="A115" s="20"/>
      <c r="C115" s="1340" t="s">
        <v>1814</v>
      </c>
      <c r="D115" s="1340"/>
      <c r="E115" s="1340"/>
      <c r="F115" s="1340"/>
      <c r="G115" s="1340"/>
      <c r="H115" s="1340"/>
      <c r="I115" s="1340"/>
      <c r="Q115" s="16"/>
    </row>
    <row r="116" spans="1:17" x14ac:dyDescent="0.35">
      <c r="A116" s="20"/>
      <c r="C116" s="384" t="s">
        <v>284</v>
      </c>
      <c r="D116" s="1536" t="s">
        <v>285</v>
      </c>
      <c r="E116" s="1538"/>
      <c r="F116" s="1341" t="s">
        <v>309</v>
      </c>
      <c r="G116" s="1538"/>
      <c r="H116" s="1341" t="s">
        <v>310</v>
      </c>
      <c r="I116" s="1538"/>
      <c r="Q116" s="16"/>
    </row>
    <row r="117" spans="1:17" x14ac:dyDescent="0.35">
      <c r="A117" s="20"/>
      <c r="C117" s="380" t="s">
        <v>288</v>
      </c>
      <c r="D117" s="1539" t="s">
        <v>258</v>
      </c>
      <c r="E117" s="1541"/>
      <c r="F117" s="1412" t="s">
        <v>311</v>
      </c>
      <c r="G117" s="1414"/>
      <c r="H117" s="1412" t="s">
        <v>311</v>
      </c>
      <c r="I117" s="1414"/>
      <c r="Q117" s="16"/>
    </row>
    <row r="118" spans="1:17" ht="13.15" x14ac:dyDescent="0.4">
      <c r="A118" s="20"/>
      <c r="B118">
        <f ca="1">IF(C118="X",1,0)</f>
        <v>0</v>
      </c>
      <c r="C118" s="383">
        <f ca="1">IF(AND($I$11&gt;0,$I$11&lt;=4+G13),"X",0)</f>
        <v>0</v>
      </c>
      <c r="D118" s="1337" t="s">
        <v>304</v>
      </c>
      <c r="E118" s="2070"/>
      <c r="F118" s="1337">
        <f>IF(E133&lt;&gt;0,0,IF(AND($I$11&gt;0,$I$11&lt;=4+G13),AC168+AC169,0))</f>
        <v>0</v>
      </c>
      <c r="G118" s="2070"/>
      <c r="H118" s="1337"/>
      <c r="I118" s="2070"/>
      <c r="Q118" s="16"/>
    </row>
    <row r="119" spans="1:17" ht="13.15" x14ac:dyDescent="0.4">
      <c r="A119" s="20"/>
      <c r="B119">
        <f t="shared" ref="B119:B125" ca="1" si="0">IF(C119="X",1,0)</f>
        <v>0</v>
      </c>
      <c r="C119" s="383">
        <f ca="1">IF(AND($I$11&gt;4+G13,$I$11&lt;=6+G13),"X",0)</f>
        <v>0</v>
      </c>
      <c r="D119" s="1337" t="s">
        <v>305</v>
      </c>
      <c r="E119" s="2070"/>
      <c r="F119" s="1337">
        <f>IF(E133&lt;&gt;0,0,IF(AND($I$11&gt;4+G13,$I$11&lt;=6+G13),AC170+AC171,0))</f>
        <v>0</v>
      </c>
      <c r="G119" s="2070"/>
      <c r="H119" s="1337"/>
      <c r="I119" s="2070"/>
      <c r="Q119" s="16"/>
    </row>
    <row r="120" spans="1:17" ht="13.15" x14ac:dyDescent="0.4">
      <c r="A120" s="20"/>
      <c r="B120">
        <f t="shared" ca="1" si="0"/>
        <v>1</v>
      </c>
      <c r="C120" s="383" t="str">
        <f ca="1">IF(AND($I$11&gt;6+G13,$I$11&lt;=8+G13),"X",0)</f>
        <v>X</v>
      </c>
      <c r="D120" s="1337" t="s">
        <v>312</v>
      </c>
      <c r="E120" s="2070"/>
      <c r="F120" s="1337">
        <f>IF(E133&lt;&gt;0,0,IF(AND($I$11&gt;6+G13,$I$11&lt;=8+G13),AC172+AC173,0))</f>
        <v>0</v>
      </c>
      <c r="G120" s="2070"/>
      <c r="H120" s="1337">
        <f ca="1">IF(I135="x",0,IF(E134&lt;&gt;0,0,IF(AND($I$11&gt;7,$I$11&lt;=8+G13),AD172+AD173,0)))</f>
        <v>60</v>
      </c>
      <c r="I120" s="2070"/>
      <c r="Q120" s="16"/>
    </row>
    <row r="121" spans="1:17" ht="13.15" x14ac:dyDescent="0.4">
      <c r="A121" s="20"/>
      <c r="B121">
        <f t="shared" ca="1" si="0"/>
        <v>0</v>
      </c>
      <c r="C121" s="383">
        <f ca="1">IF(AND($I$11&gt;8+G13,$I$11&lt;=10+G13),"X",0)</f>
        <v>0</v>
      </c>
      <c r="D121" s="1337" t="s">
        <v>313</v>
      </c>
      <c r="E121" s="2070"/>
      <c r="F121" s="1337">
        <f>IF(E133&lt;&gt;0,0,IF(AND($I$11&gt;8+G13,$I$11&lt;=10+G13),AC174+AC175,0))</f>
        <v>0</v>
      </c>
      <c r="G121" s="2070"/>
      <c r="H121" s="1337">
        <f ca="1">IF(I135="x",0,IF(E134&lt;&gt;0,0,IF(AND($I$11&gt;8+G13,$I$11&lt;=10+G13),AD174+AD175,0)))</f>
        <v>0</v>
      </c>
      <c r="I121" s="2070"/>
      <c r="L121" t="s">
        <v>1815</v>
      </c>
      <c r="N121" s="627" t="s">
        <v>1816</v>
      </c>
      <c r="Q121" s="16"/>
    </row>
    <row r="122" spans="1:17" ht="13.15" x14ac:dyDescent="0.4">
      <c r="A122" s="20"/>
      <c r="B122">
        <f t="shared" ca="1" si="0"/>
        <v>0</v>
      </c>
      <c r="C122" s="383">
        <f ca="1">IF(AND($I$11&gt;10+G13,$I$11&lt;=12+G13),"X",0)</f>
        <v>0</v>
      </c>
      <c r="D122" s="1337" t="s">
        <v>314</v>
      </c>
      <c r="E122" s="2070"/>
      <c r="F122" s="1337">
        <f>IF(E133&lt;&gt;0,0,IF(AND($I$11&gt;10+G13,$I$11&lt;=12+G13),AC176+AC177,0))</f>
        <v>0</v>
      </c>
      <c r="G122" s="2070"/>
      <c r="H122" s="1337">
        <f ca="1">IF(I135="x",0,IF(E134&lt;&gt;0,0,IF(AND($I$11&gt;10+G13,$I$11&lt;=12+G13),AD176+AD177,0)))</f>
        <v>0</v>
      </c>
      <c r="I122" s="2070"/>
      <c r="L122" s="2">
        <v>1</v>
      </c>
      <c r="Q122" s="16"/>
    </row>
    <row r="123" spans="1:17" ht="13.15" x14ac:dyDescent="0.4">
      <c r="A123" s="20"/>
      <c r="B123">
        <f t="shared" ca="1" si="0"/>
        <v>0</v>
      </c>
      <c r="C123" s="383">
        <f ca="1">IF(AND($I$11&gt;12+G13,$I$11&lt;=13+G13),"X",0)</f>
        <v>0</v>
      </c>
      <c r="D123" s="1337" t="s">
        <v>1817</v>
      </c>
      <c r="E123" s="2070"/>
      <c r="F123" s="1337">
        <f>IF(E133&lt;&gt;0,0,IF(AND($I$11&gt;12+G13,$I$11&lt;=13+G13),AC178+AC179,0))</f>
        <v>0</v>
      </c>
      <c r="G123" s="2070"/>
      <c r="H123" s="1337">
        <f ca="1">IF(I135="x",0,IF(E134&lt;&gt;0,0,IF(AND($I$11&gt;12+G13,$I$11&lt;=13+G13),AD178+AD179,0)))</f>
        <v>0</v>
      </c>
      <c r="I123" s="2070"/>
      <c r="Q123" s="16"/>
    </row>
    <row r="124" spans="1:17" ht="13.15" x14ac:dyDescent="0.4">
      <c r="A124" s="20"/>
      <c r="B124">
        <f t="shared" ca="1" si="0"/>
        <v>0</v>
      </c>
      <c r="C124" s="383">
        <f ca="1">IF(AND($I$11&gt;13+G13,$I$11&lt;=14+G13),"X",0)</f>
        <v>0</v>
      </c>
      <c r="D124" s="1337" t="s">
        <v>1818</v>
      </c>
      <c r="E124" s="1337"/>
      <c r="F124" s="1337">
        <f>IF(E133&lt;&gt;0,0,IF(AND($I$11&gt;13+G13,$I$11&lt;=14+G13),AC180+AC181,0))</f>
        <v>0</v>
      </c>
      <c r="G124" s="2070"/>
      <c r="H124" s="1337">
        <f ca="1">IF(I135="x",0,IF(E134&lt;&gt;0,0,IF(AND($I$11&gt;13+G13,$I$11&lt;=14+G13),AD180+AD181,0)))</f>
        <v>0</v>
      </c>
      <c r="I124" s="2070"/>
      <c r="Q124" s="16"/>
    </row>
    <row r="125" spans="1:17" ht="13.15" x14ac:dyDescent="0.4">
      <c r="A125" s="20"/>
      <c r="B125">
        <f t="shared" ca="1" si="0"/>
        <v>0</v>
      </c>
      <c r="C125" s="383">
        <f ca="1">IF(AND($I$11&gt;14+G13,$I$11&lt;=18+G13),"X",0)</f>
        <v>0</v>
      </c>
      <c r="D125" s="1337" t="s">
        <v>295</v>
      </c>
      <c r="E125" s="1337"/>
      <c r="F125" s="2070">
        <f>IF(E133&lt;&gt;0,0,IF(AND($I$11&gt;14+G13,$I$11&lt;=18),AC182+AC183,0))</f>
        <v>0</v>
      </c>
      <c r="G125" s="2070"/>
      <c r="H125" s="2070">
        <f ca="1">IF(I135="x",0,IF(E134&lt;&gt;0,0,IF(AND($I$11&gt;14+G13,$I$11&lt;=18+G13),AD182+AD183,0)))</f>
        <v>0</v>
      </c>
      <c r="I125" s="2070"/>
      <c r="Q125" s="16"/>
    </row>
    <row r="126" spans="1:17" x14ac:dyDescent="0.35">
      <c r="A126" s="20"/>
      <c r="C126" s="627"/>
      <c r="E126" s="34" t="s">
        <v>840</v>
      </c>
      <c r="F126" s="2069">
        <f>IF(L122=2,0,SUM(F118:G125))</f>
        <v>0</v>
      </c>
      <c r="G126" s="1545"/>
      <c r="H126" s="2069">
        <f ca="1">IF(L122=2,0,SUM(H118:I125))</f>
        <v>60</v>
      </c>
      <c r="I126" s="1545"/>
      <c r="Q126" s="16"/>
    </row>
    <row r="127" spans="1:17" ht="15" customHeight="1" x14ac:dyDescent="0.4">
      <c r="A127" s="20"/>
      <c r="C127" s="627"/>
      <c r="F127" s="1409" t="s">
        <v>1819</v>
      </c>
      <c r="G127" s="1410"/>
      <c r="H127" s="1410"/>
      <c r="I127" s="1411"/>
      <c r="Q127" s="16"/>
    </row>
    <row r="128" spans="1:17" ht="15" customHeight="1" x14ac:dyDescent="0.35">
      <c r="A128" s="20"/>
      <c r="C128" s="627"/>
      <c r="F128" s="1341" t="s">
        <v>309</v>
      </c>
      <c r="G128" s="1538"/>
      <c r="H128" s="1341" t="s">
        <v>310</v>
      </c>
      <c r="I128" s="1538"/>
      <c r="Q128" s="16"/>
    </row>
    <row r="129" spans="1:19" ht="15" customHeight="1" x14ac:dyDescent="0.35">
      <c r="A129" s="20"/>
      <c r="C129" s="627"/>
      <c r="F129" s="1412" t="s">
        <v>311</v>
      </c>
      <c r="G129" s="1414"/>
      <c r="H129" s="1412" t="s">
        <v>311</v>
      </c>
      <c r="I129" s="1414"/>
      <c r="Q129" s="16"/>
    </row>
    <row r="130" spans="1:19" x14ac:dyDescent="0.35">
      <c r="A130" s="20"/>
      <c r="C130" s="627"/>
      <c r="F130" s="1337">
        <f>IF(L122=1,0,AB189)</f>
        <v>0</v>
      </c>
      <c r="G130" s="2070"/>
      <c r="H130" s="1337">
        <f>IF(L122=1,0,AF189)</f>
        <v>0</v>
      </c>
      <c r="I130" s="2070">
        <f ca="1">AF189</f>
        <v>30</v>
      </c>
      <c r="Q130" s="16"/>
    </row>
    <row r="131" spans="1:19" x14ac:dyDescent="0.35">
      <c r="A131" s="20"/>
      <c r="C131" s="627"/>
      <c r="Q131" s="16"/>
    </row>
    <row r="132" spans="1:19" x14ac:dyDescent="0.35">
      <c r="A132" s="20"/>
      <c r="C132" s="627" t="s">
        <v>1820</v>
      </c>
      <c r="Q132" s="16"/>
    </row>
    <row r="133" spans="1:19" x14ac:dyDescent="0.35">
      <c r="A133" s="20"/>
      <c r="C133" s="627" t="s">
        <v>855</v>
      </c>
      <c r="D133" s="627"/>
      <c r="E133" s="641">
        <f>GUINDASTE!E27</f>
        <v>70</v>
      </c>
      <c r="F133" s="627" t="s">
        <v>445</v>
      </c>
      <c r="Q133" s="16"/>
    </row>
    <row r="134" spans="1:19" x14ac:dyDescent="0.35">
      <c r="A134" s="20"/>
      <c r="C134" s="627" t="s">
        <v>856</v>
      </c>
      <c r="D134" s="627"/>
      <c r="E134" s="641">
        <f>GUINDASTE!E28</f>
        <v>0</v>
      </c>
      <c r="F134" s="627" t="s">
        <v>445</v>
      </c>
      <c r="G134" s="1">
        <f>IF(J135+L135=2000," &lt;&lt;&lt; Você marcou  X  para não utilizar este guindaste 2 !",0)</f>
        <v>0</v>
      </c>
      <c r="H134" s="1"/>
      <c r="I134" s="1"/>
      <c r="J134" s="1"/>
      <c r="K134" s="1"/>
      <c r="L134" s="1"/>
      <c r="Q134" s="16"/>
    </row>
    <row r="135" spans="1:19" x14ac:dyDescent="0.35">
      <c r="A135" s="20"/>
      <c r="C135" s="627" t="s">
        <v>1821</v>
      </c>
      <c r="D135" s="627"/>
      <c r="E135" s="627"/>
      <c r="F135" s="627"/>
      <c r="I135" s="1212">
        <f>GUINDASTE!I29</f>
        <v>0</v>
      </c>
      <c r="J135" s="195">
        <f>IF(I135="x",1000,0)</f>
        <v>0</v>
      </c>
      <c r="K135" s="195"/>
      <c r="L135" s="195">
        <f>IF(E134&lt;&gt;0,1000,0)</f>
        <v>0</v>
      </c>
      <c r="Q135" s="16"/>
    </row>
    <row r="136" spans="1:19" x14ac:dyDescent="0.35">
      <c r="A136" s="20"/>
      <c r="C136" s="627"/>
      <c r="D136" s="627"/>
      <c r="E136" s="627"/>
      <c r="F136" s="627"/>
      <c r="J136" s="195"/>
      <c r="K136" s="195"/>
      <c r="L136" s="195"/>
      <c r="Q136" s="16"/>
    </row>
    <row r="137" spans="1:19" x14ac:dyDescent="0.35">
      <c r="A137" s="20"/>
      <c r="C137" s="627" t="s">
        <v>1822</v>
      </c>
      <c r="D137" s="627"/>
      <c r="E137" s="627"/>
      <c r="F137" s="627"/>
      <c r="G137" s="642">
        <f>GUINDASTE!L31</f>
        <v>0</v>
      </c>
      <c r="H137" s="635" t="s">
        <v>860</v>
      </c>
      <c r="I137" s="195"/>
      <c r="J137" s="195"/>
      <c r="K137" s="195"/>
      <c r="L137" s="195"/>
      <c r="Q137" s="16"/>
    </row>
    <row r="138" spans="1:19" x14ac:dyDescent="0.35">
      <c r="A138" s="20"/>
      <c r="C138" s="627" t="s">
        <v>1823</v>
      </c>
      <c r="D138" s="627"/>
      <c r="E138" s="627"/>
      <c r="F138" s="627"/>
      <c r="G138" s="642">
        <f>GUINDASTE!L34</f>
        <v>0</v>
      </c>
      <c r="H138" s="635" t="s">
        <v>860</v>
      </c>
      <c r="I138" s="195"/>
      <c r="K138" s="195"/>
      <c r="L138" s="195"/>
      <c r="Q138" s="16"/>
    </row>
    <row r="139" spans="1:19" x14ac:dyDescent="0.35">
      <c r="A139" s="20"/>
      <c r="C139" s="627"/>
      <c r="D139" s="627"/>
      <c r="E139" s="627"/>
      <c r="F139" s="627"/>
      <c r="K139" s="195"/>
      <c r="L139" s="195"/>
      <c r="Q139" s="16"/>
    </row>
    <row r="140" spans="1:19" x14ac:dyDescent="0.35">
      <c r="A140" s="20"/>
      <c r="C140" s="627" t="s">
        <v>862</v>
      </c>
      <c r="D140" s="627"/>
      <c r="E140" s="627"/>
      <c r="F140" s="627"/>
      <c r="G140" s="627" t="s">
        <v>865</v>
      </c>
      <c r="K140" s="195"/>
      <c r="L140" s="195"/>
      <c r="O140" s="1212">
        <f>GUINDASTE!L40</f>
        <v>0</v>
      </c>
      <c r="Q140" s="16"/>
    </row>
    <row r="141" spans="1:19" x14ac:dyDescent="0.35">
      <c r="A141" s="20"/>
      <c r="C141" s="627"/>
      <c r="D141" s="627" t="s">
        <v>863</v>
      </c>
      <c r="E141" s="627"/>
      <c r="F141" s="627"/>
      <c r="J141" s="195"/>
      <c r="K141" s="195"/>
      <c r="L141" s="761">
        <f ca="1">IF(F15&lt;=1,0,IF(O140="X",0,ROUNDUP(SUM(J412:J415)+SUM(J362:J364)+J382+J523*H474,0)))</f>
        <v>46</v>
      </c>
      <c r="M141" s="627" t="s">
        <v>101</v>
      </c>
      <c r="Q141" s="16"/>
      <c r="S141">
        <f ca="1">IF(O140="X",0,ROUNDUP(SUM(J412:J415)+SUM(J362:J364)+J523*H474,0))</f>
        <v>42</v>
      </c>
    </row>
    <row r="142" spans="1:19" ht="2.25" customHeight="1" x14ac:dyDescent="0.35">
      <c r="A142" s="20"/>
      <c r="C142" s="627"/>
      <c r="D142" s="627"/>
      <c r="E142" s="627"/>
      <c r="F142" s="627"/>
      <c r="J142" s="195"/>
      <c r="K142" s="195"/>
      <c r="L142" s="195"/>
      <c r="Q142" s="16"/>
    </row>
    <row r="143" spans="1:19" x14ac:dyDescent="0.35">
      <c r="A143" s="20"/>
      <c r="C143" s="627"/>
      <c r="D143" s="627" t="s">
        <v>1824</v>
      </c>
      <c r="E143" s="627"/>
      <c r="F143" s="627"/>
      <c r="H143" s="450">
        <f>ENTRADAS!BQ411</f>
        <v>0</v>
      </c>
      <c r="I143" t="s">
        <v>101</v>
      </c>
      <c r="J143" s="195"/>
      <c r="K143" s="195"/>
      <c r="L143" s="195"/>
      <c r="Q143" s="16"/>
      <c r="S143" s="450">
        <f>ENTRADAS!BQ411</f>
        <v>0</v>
      </c>
    </row>
    <row r="144" spans="1:19" ht="9.75" customHeight="1" x14ac:dyDescent="0.35">
      <c r="A144" s="20"/>
      <c r="C144" s="627" t="s">
        <v>317</v>
      </c>
      <c r="D144" s="627"/>
      <c r="E144" s="627"/>
      <c r="F144" s="627"/>
      <c r="J144" s="195"/>
      <c r="K144" s="195"/>
      <c r="L144" s="195"/>
      <c r="Q144" s="16"/>
    </row>
    <row r="145" spans="1:31" x14ac:dyDescent="0.35">
      <c r="A145" s="20"/>
      <c r="C145" s="627" t="s">
        <v>320</v>
      </c>
      <c r="E145" s="7">
        <f>ENTRADAS!E453</f>
        <v>1000</v>
      </c>
      <c r="F145" s="627" t="s">
        <v>17</v>
      </c>
      <c r="J145" s="195"/>
      <c r="K145" s="195"/>
      <c r="L145" s="195"/>
      <c r="Q145" s="16"/>
    </row>
    <row r="146" spans="1:31" x14ac:dyDescent="0.35">
      <c r="A146" s="20"/>
      <c r="C146" s="627"/>
      <c r="D146" s="627"/>
      <c r="E146" s="627"/>
      <c r="F146" s="627"/>
      <c r="J146" s="195"/>
      <c r="K146" s="195"/>
      <c r="L146" s="195"/>
      <c r="Q146" s="16"/>
    </row>
    <row r="147" spans="1:31" x14ac:dyDescent="0.35">
      <c r="A147" s="20"/>
      <c r="C147" s="627" t="s">
        <v>1825</v>
      </c>
      <c r="D147" s="627"/>
      <c r="E147" s="627"/>
      <c r="F147" s="627"/>
      <c r="J147" s="195"/>
      <c r="K147" s="195"/>
      <c r="L147" s="195"/>
      <c r="Q147" s="16"/>
    </row>
    <row r="148" spans="1:31" x14ac:dyDescent="0.35">
      <c r="A148" s="20"/>
      <c r="C148" s="627"/>
      <c r="D148" s="627" t="s">
        <v>1826</v>
      </c>
      <c r="E148" s="627"/>
      <c r="F148" s="627"/>
      <c r="J148" s="195"/>
      <c r="K148" s="195"/>
      <c r="L148" s="195"/>
      <c r="Q148" s="16"/>
    </row>
    <row r="149" spans="1:31" x14ac:dyDescent="0.35">
      <c r="A149" s="20"/>
      <c r="C149" s="627"/>
      <c r="D149" s="627" t="s">
        <v>1827</v>
      </c>
      <c r="E149" s="627"/>
      <c r="F149" s="627"/>
      <c r="J149" s="195"/>
      <c r="K149" s="195"/>
      <c r="L149" s="195"/>
      <c r="Q149" s="16"/>
    </row>
    <row r="150" spans="1:31" x14ac:dyDescent="0.35">
      <c r="A150" s="20"/>
      <c r="C150" s="183" t="str">
        <f ca="1">IF(I11&gt;12.2,"ALERTA: PAINÉIS MAIORES QUE 12,2 m ! A CARRETA TEM QUE SER ESPECÍFICA. ANALISAR E DESCREVER NA TABELA ABAIXO .","ESCOLHA a CONFIGURAÇÃO ABAIXO para TRANSPORTE: (marcar X) ")</f>
        <v xml:space="preserve">ESCOLHA a CONFIGURAÇÃO ABAIXO para TRANSPORTE: (marcar X) </v>
      </c>
      <c r="D150" s="627"/>
      <c r="E150" s="627"/>
      <c r="F150" s="627"/>
      <c r="J150" s="195"/>
      <c r="K150" s="195"/>
      <c r="L150" s="195"/>
      <c r="Q150" s="16"/>
    </row>
    <row r="151" spans="1:31" x14ac:dyDescent="0.35">
      <c r="A151" s="20"/>
      <c r="C151" s="1370" t="s">
        <v>1828</v>
      </c>
      <c r="D151" s="1421" t="s">
        <v>323</v>
      </c>
      <c r="E151" s="1318" t="s">
        <v>324</v>
      </c>
      <c r="F151" s="1319"/>
      <c r="G151" s="1400"/>
      <c r="H151" s="674" t="s">
        <v>1829</v>
      </c>
      <c r="J151" s="183"/>
      <c r="K151" s="195"/>
      <c r="L151" s="195"/>
      <c r="Q151" s="16"/>
    </row>
    <row r="152" spans="1:31" x14ac:dyDescent="0.35">
      <c r="A152" s="20"/>
      <c r="C152" s="1372"/>
      <c r="D152" s="1422"/>
      <c r="E152" s="1471"/>
      <c r="F152" s="1472"/>
      <c r="G152" s="1473"/>
      <c r="H152" s="673" t="s">
        <v>328</v>
      </c>
      <c r="J152" s="183"/>
      <c r="K152" s="195"/>
      <c r="L152" s="195"/>
      <c r="Q152" s="16"/>
    </row>
    <row r="153" spans="1:31" x14ac:dyDescent="0.35">
      <c r="A153" s="20">
        <f t="shared" ref="A153:A167" si="1">IF(C153="x",1,0)</f>
        <v>1</v>
      </c>
      <c r="B153" s="195">
        <f t="shared" ref="B153:B167" si="2">IF(C153="X",1,0)</f>
        <v>1</v>
      </c>
      <c r="C153" s="626" t="str">
        <f>ENTRADAS!C461</f>
        <v>x</v>
      </c>
      <c r="D153" s="41">
        <v>1</v>
      </c>
      <c r="E153" s="633" t="str">
        <f>ENTRADAS!E461</f>
        <v xml:space="preserve">CARRETA ABERTA </v>
      </c>
      <c r="F153" s="646"/>
      <c r="G153" s="629"/>
      <c r="H153" s="626">
        <f>ENTRADAS!H461</f>
        <v>25</v>
      </c>
      <c r="I153" s="195">
        <f t="shared" ref="I153:I166" si="3">IF(H154=0,0,IF(H153&gt;H154,1,0))</f>
        <v>0</v>
      </c>
      <c r="J153" s="183"/>
      <c r="K153" s="195"/>
      <c r="L153" s="195"/>
      <c r="Q153" s="16"/>
    </row>
    <row r="154" spans="1:31" x14ac:dyDescent="0.35">
      <c r="A154" s="20">
        <f t="shared" si="1"/>
        <v>1</v>
      </c>
      <c r="B154" s="195">
        <f t="shared" si="2"/>
        <v>1</v>
      </c>
      <c r="C154" s="626" t="str">
        <f>ENTRADAS!C462</f>
        <v>x</v>
      </c>
      <c r="D154" s="41">
        <v>2</v>
      </c>
      <c r="E154" s="633" t="str">
        <f>ENTRADAS!E462</f>
        <v>CARRETA LS</v>
      </c>
      <c r="F154" s="646"/>
      <c r="G154" s="629"/>
      <c r="H154" s="626">
        <f>ENTRADAS!H462</f>
        <v>31</v>
      </c>
      <c r="I154" s="195">
        <f t="shared" si="3"/>
        <v>1</v>
      </c>
      <c r="K154" s="195"/>
      <c r="L154" s="195"/>
      <c r="Q154" s="16"/>
      <c r="W154" s="13"/>
      <c r="X154" s="14"/>
      <c r="Y154" s="652" t="s">
        <v>340</v>
      </c>
      <c r="Z154" s="14"/>
      <c r="AA154" s="14"/>
      <c r="AB154" s="14"/>
      <c r="AC154" s="14"/>
      <c r="AD154" s="15"/>
    </row>
    <row r="155" spans="1:31" x14ac:dyDescent="0.35">
      <c r="A155" s="20">
        <f t="shared" si="1"/>
        <v>1</v>
      </c>
      <c r="B155" s="195">
        <f t="shared" si="2"/>
        <v>1</v>
      </c>
      <c r="C155" s="626" t="str">
        <f>ENTRADAS!C463</f>
        <v>x</v>
      </c>
      <c r="D155" s="41">
        <v>3</v>
      </c>
      <c r="E155" s="633" t="str">
        <f>ENTRADAS!E463</f>
        <v>CARRETA VANDERLEIA</v>
      </c>
      <c r="F155" s="646"/>
      <c r="G155" s="629"/>
      <c r="H155" s="626">
        <f>ENTRADAS!H463</f>
        <v>25</v>
      </c>
      <c r="I155" s="195">
        <f t="shared" si="3"/>
        <v>0</v>
      </c>
      <c r="K155" s="195"/>
      <c r="L155" s="195"/>
      <c r="Q155" s="16"/>
      <c r="W155" s="20"/>
      <c r="Z155" s="2069" t="str">
        <f>IF(ENTRADAS!G66="X","SC6","SC10")</f>
        <v>SC10</v>
      </c>
      <c r="AA155" s="1545"/>
      <c r="AB155" s="2069" t="s">
        <v>68</v>
      </c>
      <c r="AC155" s="1545"/>
      <c r="AD155" s="1338" t="s">
        <v>1830</v>
      </c>
      <c r="AE155" s="1339"/>
    </row>
    <row r="156" spans="1:31" x14ac:dyDescent="0.35">
      <c r="A156" s="20">
        <f t="shared" si="1"/>
        <v>1</v>
      </c>
      <c r="B156" s="195">
        <f t="shared" si="2"/>
        <v>1</v>
      </c>
      <c r="C156" s="626" t="str">
        <f>ENTRADAS!C464</f>
        <v>x</v>
      </c>
      <c r="D156" s="41">
        <v>4</v>
      </c>
      <c r="E156" s="633" t="str">
        <f>ENTRADAS!E464</f>
        <v>CARRETA VANDERLEIA</v>
      </c>
      <c r="F156" s="646"/>
      <c r="G156" s="629"/>
      <c r="H156" s="626">
        <f>ENTRADAS!H464</f>
        <v>31</v>
      </c>
      <c r="I156" s="195">
        <f t="shared" si="3"/>
        <v>0</v>
      </c>
      <c r="J156" s="627"/>
      <c r="K156" s="195"/>
      <c r="L156" s="195"/>
      <c r="Q156" s="16"/>
      <c r="W156" s="9" t="s">
        <v>351</v>
      </c>
      <c r="X156" s="10"/>
      <c r="Y156" s="588">
        <v>20</v>
      </c>
      <c r="Z156" s="630" t="s">
        <v>352</v>
      </c>
      <c r="AA156" s="630" t="s">
        <v>353</v>
      </c>
      <c r="AB156" s="630" t="s">
        <v>352</v>
      </c>
      <c r="AC156" s="630" t="s">
        <v>353</v>
      </c>
      <c r="AD156" s="630" t="s">
        <v>352</v>
      </c>
      <c r="AE156" s="630" t="s">
        <v>353</v>
      </c>
    </row>
    <row r="157" spans="1:31" x14ac:dyDescent="0.35">
      <c r="A157" s="20">
        <f t="shared" si="1"/>
        <v>1</v>
      </c>
      <c r="B157" s="195">
        <f t="shared" si="2"/>
        <v>1</v>
      </c>
      <c r="C157" s="626" t="str">
        <f>ENTRADAS!C465</f>
        <v>x</v>
      </c>
      <c r="D157" s="41">
        <v>5</v>
      </c>
      <c r="E157" s="633" t="str">
        <f>ENTRADAS!E465</f>
        <v>CARRETA VANDERLEIA</v>
      </c>
      <c r="F157" s="646"/>
      <c r="G157" s="629"/>
      <c r="H157" s="626">
        <f>ENTRADAS!H465</f>
        <v>35</v>
      </c>
      <c r="I157" s="195">
        <f t="shared" si="3"/>
        <v>0</v>
      </c>
      <c r="J157" s="627"/>
      <c r="K157" s="195"/>
      <c r="L157" s="195"/>
      <c r="Q157" s="16"/>
      <c r="W157" s="20"/>
      <c r="X157" s="386">
        <f>Y156/100+1</f>
        <v>1.2</v>
      </c>
      <c r="Y157" s="386" t="s">
        <v>362</v>
      </c>
      <c r="Z157" s="387">
        <f ca="1">J587</f>
        <v>0.47526148320206651</v>
      </c>
      <c r="AA157" s="387">
        <f>AA225</f>
        <v>0.65500000000000003</v>
      </c>
      <c r="AB157" s="387">
        <f ca="1">AB225</f>
        <v>0.60699999999999998</v>
      </c>
      <c r="AC157" s="387">
        <f ca="1">AC225</f>
        <v>0.79600000000000004</v>
      </c>
      <c r="AD157" s="387">
        <f ca="1">Z157</f>
        <v>0.47526148320206651</v>
      </c>
      <c r="AE157" s="387">
        <f>(1.13*0.15)+((2.4*0.185+0.26*0.055*2))</f>
        <v>0.6421</v>
      </c>
    </row>
    <row r="158" spans="1:31" x14ac:dyDescent="0.35">
      <c r="A158" s="20">
        <f t="shared" si="1"/>
        <v>1</v>
      </c>
      <c r="B158" s="195">
        <f t="shared" si="2"/>
        <v>1</v>
      </c>
      <c r="C158" s="626" t="str">
        <f>ENTRADAS!C466</f>
        <v>x</v>
      </c>
      <c r="D158" s="41">
        <v>6</v>
      </c>
      <c r="E158" s="633">
        <f>ENTRADAS!E466</f>
        <v>0</v>
      </c>
      <c r="F158" s="646"/>
      <c r="G158" s="629"/>
      <c r="H158" s="626">
        <f>ENTRADAS!H466</f>
        <v>0</v>
      </c>
      <c r="I158" s="195">
        <f t="shared" si="3"/>
        <v>0</v>
      </c>
      <c r="J158" s="627"/>
      <c r="K158" s="195"/>
      <c r="L158" s="195"/>
      <c r="Q158" s="16"/>
      <c r="W158" s="20"/>
      <c r="Y158" s="32" t="s">
        <v>363</v>
      </c>
      <c r="Z158" s="7">
        <f t="shared" ref="Z158:AE158" ca="1" si="4">Z157*2.5</f>
        <v>1.1881537080051663</v>
      </c>
      <c r="AA158" s="7">
        <f t="shared" si="4"/>
        <v>1.6375000000000002</v>
      </c>
      <c r="AB158" s="7">
        <f t="shared" ca="1" si="4"/>
        <v>1.5175000000000001</v>
      </c>
      <c r="AC158" s="7">
        <f t="shared" ca="1" si="4"/>
        <v>1.9900000000000002</v>
      </c>
      <c r="AD158" s="7">
        <f t="shared" ca="1" si="4"/>
        <v>1.1881537080051663</v>
      </c>
      <c r="AE158" s="7">
        <f t="shared" si="4"/>
        <v>1.6052500000000001</v>
      </c>
    </row>
    <row r="159" spans="1:31" x14ac:dyDescent="0.35">
      <c r="A159" s="20">
        <f t="shared" si="1"/>
        <v>1</v>
      </c>
      <c r="B159" s="195">
        <f t="shared" si="2"/>
        <v>1</v>
      </c>
      <c r="C159" s="626" t="str">
        <f>ENTRADAS!C467</f>
        <v>x</v>
      </c>
      <c r="D159" s="41">
        <v>7</v>
      </c>
      <c r="E159" s="633">
        <f>ENTRADAS!E467</f>
        <v>0</v>
      </c>
      <c r="F159" s="646"/>
      <c r="G159" s="629"/>
      <c r="H159" s="626">
        <f>ENTRADAS!H467</f>
        <v>0</v>
      </c>
      <c r="I159" s="195">
        <f t="shared" si="3"/>
        <v>0</v>
      </c>
      <c r="J159" s="627">
        <f t="shared" ref="J159:J167" si="5">IF(H158=0,0,IF(H158&lt;=H159,1,0))</f>
        <v>0</v>
      </c>
      <c r="K159" s="195"/>
      <c r="L159" s="195"/>
      <c r="Q159" s="16"/>
      <c r="W159" s="20"/>
      <c r="Y159" s="630" t="s">
        <v>364</v>
      </c>
      <c r="Z159" s="7">
        <f t="shared" ref="Z159:AE159" ca="1" si="6">$F$66/1000</f>
        <v>0</v>
      </c>
      <c r="AA159" s="7">
        <f t="shared" ca="1" si="6"/>
        <v>0</v>
      </c>
      <c r="AB159" s="7">
        <f t="shared" ca="1" si="6"/>
        <v>0</v>
      </c>
      <c r="AC159" s="7">
        <f t="shared" ca="1" si="6"/>
        <v>0</v>
      </c>
      <c r="AD159" s="7">
        <f t="shared" ca="1" si="6"/>
        <v>0</v>
      </c>
      <c r="AE159" s="7">
        <f t="shared" ca="1" si="6"/>
        <v>0</v>
      </c>
    </row>
    <row r="160" spans="1:31" x14ac:dyDescent="0.35">
      <c r="A160" s="20">
        <f t="shared" si="1"/>
        <v>1</v>
      </c>
      <c r="B160" s="195">
        <f t="shared" si="2"/>
        <v>1</v>
      </c>
      <c r="C160" s="626" t="str">
        <f>ENTRADAS!C468</f>
        <v>x</v>
      </c>
      <c r="D160" s="41">
        <v>8</v>
      </c>
      <c r="E160" s="633">
        <f>ENTRADAS!E468</f>
        <v>0</v>
      </c>
      <c r="F160" s="646"/>
      <c r="G160" s="629"/>
      <c r="H160" s="626">
        <f>ENTRADAS!H468</f>
        <v>0</v>
      </c>
      <c r="I160" s="195">
        <f t="shared" si="3"/>
        <v>0</v>
      </c>
      <c r="J160" s="627">
        <f t="shared" si="5"/>
        <v>0</v>
      </c>
      <c r="K160" s="195"/>
      <c r="L160" s="195"/>
      <c r="Q160" s="16"/>
      <c r="W160" s="20"/>
      <c r="Y160" s="630" t="s">
        <v>365</v>
      </c>
      <c r="Z160" s="7">
        <f t="shared" ref="Z160:AE160" si="7">$F$68/1000</f>
        <v>0</v>
      </c>
      <c r="AA160" s="7">
        <f t="shared" si="7"/>
        <v>0</v>
      </c>
      <c r="AB160" s="7">
        <f t="shared" si="7"/>
        <v>0</v>
      </c>
      <c r="AC160" s="7">
        <f t="shared" si="7"/>
        <v>0</v>
      </c>
      <c r="AD160" s="7">
        <f t="shared" si="7"/>
        <v>0</v>
      </c>
      <c r="AE160" s="7">
        <f t="shared" si="7"/>
        <v>0</v>
      </c>
    </row>
    <row r="161" spans="1:37" x14ac:dyDescent="0.35">
      <c r="A161" s="20">
        <f t="shared" si="1"/>
        <v>1</v>
      </c>
      <c r="B161" s="195">
        <f t="shared" si="2"/>
        <v>1</v>
      </c>
      <c r="C161" s="626" t="str">
        <f>ENTRADAS!C469</f>
        <v>x</v>
      </c>
      <c r="D161" s="41">
        <v>9</v>
      </c>
      <c r="E161" s="633">
        <f>ENTRADAS!E469</f>
        <v>0</v>
      </c>
      <c r="F161" s="646"/>
      <c r="G161" s="629"/>
      <c r="H161" s="626">
        <f>ENTRADAS!H469</f>
        <v>0</v>
      </c>
      <c r="I161" s="195">
        <f t="shared" si="3"/>
        <v>0</v>
      </c>
      <c r="J161" s="627">
        <f t="shared" si="5"/>
        <v>0</v>
      </c>
      <c r="K161" s="195"/>
      <c r="L161" s="195"/>
      <c r="Q161" s="16"/>
      <c r="W161" s="20"/>
      <c r="Y161" s="32" t="s">
        <v>366</v>
      </c>
      <c r="Z161" s="7">
        <f ca="1">(Z158*$I$11)+Z159+Z160</f>
        <v>8.6735220684377143</v>
      </c>
      <c r="AA161" s="7">
        <f t="shared" ref="AA161:AE161" ca="1" si="8">(AA158*$I$11)+AA159+AA160</f>
        <v>11.953750000000003</v>
      </c>
      <c r="AB161" s="7">
        <f ca="1">(AB158*$I$11)+AB159+AB160</f>
        <v>11.077750000000002</v>
      </c>
      <c r="AC161" s="7">
        <f t="shared" ca="1" si="8"/>
        <v>14.527000000000003</v>
      </c>
      <c r="AD161" s="7">
        <f t="shared" ca="1" si="8"/>
        <v>8.6735220684377143</v>
      </c>
      <c r="AE161" s="7">
        <f t="shared" ca="1" si="8"/>
        <v>11.718325000000002</v>
      </c>
    </row>
    <row r="162" spans="1:37" x14ac:dyDescent="0.35">
      <c r="A162" s="20">
        <f t="shared" si="1"/>
        <v>1</v>
      </c>
      <c r="B162" s="195">
        <f t="shared" si="2"/>
        <v>1</v>
      </c>
      <c r="C162" s="626" t="str">
        <f>ENTRADAS!C470</f>
        <v>x</v>
      </c>
      <c r="D162" s="41">
        <v>10</v>
      </c>
      <c r="E162" s="633">
        <f>ENTRADAS!E470</f>
        <v>0</v>
      </c>
      <c r="F162" s="646"/>
      <c r="G162" s="629"/>
      <c r="H162" s="626">
        <f>ENTRADAS!H470</f>
        <v>0</v>
      </c>
      <c r="I162" s="195">
        <f t="shared" si="3"/>
        <v>0</v>
      </c>
      <c r="J162" s="627">
        <f t="shared" si="5"/>
        <v>0</v>
      </c>
      <c r="K162" s="195"/>
      <c r="L162" s="195"/>
      <c r="Q162" s="16"/>
      <c r="W162" s="20"/>
      <c r="Z162" s="4"/>
      <c r="AA162" s="4"/>
      <c r="AB162" s="4"/>
      <c r="AC162" s="4"/>
      <c r="AD162" s="4"/>
      <c r="AE162" s="4"/>
    </row>
    <row r="163" spans="1:37" x14ac:dyDescent="0.35">
      <c r="A163" s="20">
        <f t="shared" si="1"/>
        <v>1</v>
      </c>
      <c r="B163" s="195">
        <f t="shared" si="2"/>
        <v>1</v>
      </c>
      <c r="C163" s="626" t="str">
        <f>ENTRADAS!C471</f>
        <v>x</v>
      </c>
      <c r="D163" s="41">
        <v>11</v>
      </c>
      <c r="E163" s="633">
        <f>ENTRADAS!E471</f>
        <v>0</v>
      </c>
      <c r="F163" s="646"/>
      <c r="G163" s="629"/>
      <c r="H163" s="626">
        <f>ENTRADAS!H471</f>
        <v>0</v>
      </c>
      <c r="I163" s="195">
        <f t="shared" si="3"/>
        <v>0</v>
      </c>
      <c r="J163" s="627">
        <f t="shared" si="5"/>
        <v>0</v>
      </c>
      <c r="K163" s="195"/>
      <c r="L163" s="195"/>
      <c r="Q163" s="16"/>
      <c r="W163" s="988" t="s">
        <v>367</v>
      </c>
      <c r="X163" s="627"/>
      <c r="Y163" s="630" t="s">
        <v>368</v>
      </c>
      <c r="Z163" s="7">
        <f ca="1">IF($C$56+$C$62&gt;100,0,(Z158*$I$11)*$X$157)</f>
        <v>10.408226482125256</v>
      </c>
      <c r="AA163" s="7">
        <f ca="1">IF($C$56+$C$62&gt;100,0,(AA158*$I$11)*X157)</f>
        <v>14.344500000000004</v>
      </c>
      <c r="AB163" s="7">
        <f ca="1">IF($C$56+$C$62&gt;100,0,(AB158*$I$11)*X157)</f>
        <v>13.293300000000002</v>
      </c>
      <c r="AC163" s="7">
        <f ca="1">IF($C$56+$C$62&gt;100,0,(AC158*$I$11)*X157)</f>
        <v>17.432400000000001</v>
      </c>
      <c r="AD163" s="7">
        <f ca="1">IF($C$56+$C$62&gt;100,0,(AD158*$I$11)*Z157)</f>
        <v>4.1221909628315636</v>
      </c>
      <c r="AE163" s="7">
        <f ca="1">IF($C$56+$C$62&gt;100,0,(AE158*$I$11)*Z157)</f>
        <v>5.569268520143857</v>
      </c>
    </row>
    <row r="164" spans="1:37" x14ac:dyDescent="0.35">
      <c r="A164" s="20">
        <f t="shared" si="1"/>
        <v>1</v>
      </c>
      <c r="B164" s="195">
        <f t="shared" si="2"/>
        <v>1</v>
      </c>
      <c r="C164" s="626" t="str">
        <f>ENTRADAS!C472</f>
        <v>x</v>
      </c>
      <c r="D164" s="41">
        <v>12</v>
      </c>
      <c r="E164" s="633">
        <f>ENTRADAS!E472</f>
        <v>0</v>
      </c>
      <c r="F164" s="646"/>
      <c r="G164" s="629"/>
      <c r="H164" s="626">
        <f>ENTRADAS!H472</f>
        <v>0</v>
      </c>
      <c r="I164" s="195">
        <f t="shared" si="3"/>
        <v>0</v>
      </c>
      <c r="J164" s="627">
        <f t="shared" si="5"/>
        <v>0</v>
      </c>
      <c r="K164" s="195"/>
      <c r="L164" s="195"/>
      <c r="Q164" s="16"/>
      <c r="W164" s="988" t="s">
        <v>369</v>
      </c>
      <c r="X164" s="627"/>
      <c r="Y164" s="630" t="s">
        <v>368</v>
      </c>
      <c r="Z164" s="7">
        <f>IF($C$56+$C$62&gt;100,Z161*$X$157,0)</f>
        <v>0</v>
      </c>
      <c r="AA164" s="7">
        <f>IF($C$56+$C$62&gt;100,AA161*X157,0)</f>
        <v>0</v>
      </c>
      <c r="AB164" s="7">
        <f>IF($C$56+$C$62&gt;100,AB161*X157,0)</f>
        <v>0</v>
      </c>
      <c r="AC164" s="7">
        <f>IF($C$56+$C$62&gt;100,AC161*X157,0)</f>
        <v>0</v>
      </c>
      <c r="AD164" s="7">
        <f>IF($C$56+$C$62&gt;100,AD161*X157,0)</f>
        <v>0</v>
      </c>
      <c r="AE164" s="7">
        <f>IF($C$56+$C$62&gt;100,AE161*X157,0)</f>
        <v>0</v>
      </c>
    </row>
    <row r="165" spans="1:37" x14ac:dyDescent="0.35">
      <c r="A165" s="20">
        <f t="shared" si="1"/>
        <v>1</v>
      </c>
      <c r="B165" s="195">
        <f t="shared" si="2"/>
        <v>1</v>
      </c>
      <c r="C165" s="626" t="str">
        <f>ENTRADAS!C473</f>
        <v>x</v>
      </c>
      <c r="D165" s="41">
        <v>13</v>
      </c>
      <c r="E165" s="633">
        <f>ENTRADAS!E473</f>
        <v>0</v>
      </c>
      <c r="F165" s="646"/>
      <c r="G165" s="629"/>
      <c r="H165" s="626">
        <f>ENTRADAS!H473</f>
        <v>0</v>
      </c>
      <c r="I165" s="195">
        <f t="shared" si="3"/>
        <v>0</v>
      </c>
      <c r="J165" s="627">
        <f t="shared" si="5"/>
        <v>0</v>
      </c>
      <c r="K165" s="195"/>
      <c r="L165" s="195"/>
      <c r="Q165" s="16"/>
      <c r="W165" s="988"/>
      <c r="X165" s="627"/>
      <c r="Y165" s="627"/>
      <c r="Z165" s="627"/>
      <c r="AA165" s="627"/>
      <c r="AB165" s="627"/>
      <c r="AC165" s="627"/>
      <c r="AD165" s="16"/>
    </row>
    <row r="166" spans="1:37" x14ac:dyDescent="0.35">
      <c r="A166" s="20">
        <f t="shared" si="1"/>
        <v>1</v>
      </c>
      <c r="B166" s="195">
        <f t="shared" si="2"/>
        <v>1</v>
      </c>
      <c r="C166" s="626" t="str">
        <f>ENTRADAS!C474</f>
        <v>x</v>
      </c>
      <c r="D166" s="41">
        <v>14</v>
      </c>
      <c r="E166" s="633">
        <f>ENTRADAS!E474</f>
        <v>0</v>
      </c>
      <c r="F166" s="646"/>
      <c r="G166" s="629"/>
      <c r="H166" s="626">
        <f>ENTRADAS!H474</f>
        <v>0</v>
      </c>
      <c r="I166" s="195">
        <f t="shared" si="3"/>
        <v>0</v>
      </c>
      <c r="J166" s="627">
        <f t="shared" si="5"/>
        <v>0</v>
      </c>
      <c r="K166" s="195"/>
      <c r="L166" s="195"/>
      <c r="Q166" s="16"/>
      <c r="W166" s="988"/>
      <c r="X166" s="627"/>
      <c r="Y166" s="627"/>
      <c r="Z166" s="627"/>
      <c r="AA166" s="627"/>
      <c r="AB166" s="627"/>
      <c r="AC166" s="627"/>
      <c r="AD166" s="16"/>
    </row>
    <row r="167" spans="1:37" x14ac:dyDescent="0.35">
      <c r="A167" s="20">
        <f t="shared" si="1"/>
        <v>1</v>
      </c>
      <c r="B167" s="195">
        <f t="shared" si="2"/>
        <v>1</v>
      </c>
      <c r="C167" s="626" t="str">
        <f>ENTRADAS!C475</f>
        <v>x</v>
      </c>
      <c r="D167" s="41">
        <v>15</v>
      </c>
      <c r="E167" s="633">
        <f>ENTRADAS!E475</f>
        <v>0</v>
      </c>
      <c r="F167" s="646"/>
      <c r="G167" s="629"/>
      <c r="H167" s="626">
        <f>ENTRADAS!H475</f>
        <v>0</v>
      </c>
      <c r="I167" s="195"/>
      <c r="J167" s="627">
        <f t="shared" si="5"/>
        <v>0</v>
      </c>
      <c r="K167" s="195"/>
      <c r="L167" s="195"/>
      <c r="Q167" s="16"/>
      <c r="W167" s="32"/>
      <c r="X167" s="32"/>
      <c r="Y167" s="32"/>
      <c r="Z167" s="626" t="s">
        <v>371</v>
      </c>
      <c r="AA167" s="626" t="s">
        <v>372</v>
      </c>
      <c r="AB167" s="630" t="s">
        <v>373</v>
      </c>
      <c r="AC167" s="630" t="s">
        <v>374</v>
      </c>
      <c r="AD167" s="630" t="s">
        <v>375</v>
      </c>
    </row>
    <row r="168" spans="1:37" x14ac:dyDescent="0.35">
      <c r="A168" s="20"/>
      <c r="C168" s="627"/>
      <c r="D168" s="627"/>
      <c r="E168" s="627"/>
      <c r="F168" s="627"/>
      <c r="J168" s="195"/>
      <c r="K168" s="195"/>
      <c r="L168" s="195"/>
      <c r="Q168" s="16"/>
      <c r="W168" s="630" t="str">
        <f>IF($C$19="X","SC10",IF($E$19="X","SC14",IF(ENTRADAS!$G$66="X","SF6",0)))</f>
        <v>SC10</v>
      </c>
      <c r="X168" s="630">
        <f>IF($C$56+$C$62&gt;100,1000,1)</f>
        <v>1</v>
      </c>
      <c r="Y168" s="630" t="s">
        <v>377</v>
      </c>
      <c r="Z168" s="2">
        <v>4</v>
      </c>
      <c r="AA168" s="2">
        <v>60</v>
      </c>
      <c r="AB168" s="2"/>
      <c r="AC168" s="32">
        <f>IF(X168=1000,0,AA168)</f>
        <v>60</v>
      </c>
      <c r="AD168" s="32"/>
    </row>
    <row r="169" spans="1:37" x14ac:dyDescent="0.35">
      <c r="A169" s="18"/>
      <c r="B169" s="3"/>
      <c r="C169" s="749"/>
      <c r="D169" s="749"/>
      <c r="E169" s="749"/>
      <c r="F169" s="749"/>
      <c r="G169" s="3"/>
      <c r="H169" s="3"/>
      <c r="I169" s="3"/>
      <c r="J169" s="198"/>
      <c r="K169" s="198"/>
      <c r="L169" s="198"/>
      <c r="M169" s="3"/>
      <c r="N169" s="3"/>
      <c r="O169" s="3"/>
      <c r="P169" s="3"/>
      <c r="Q169" s="17"/>
      <c r="W169" s="630" t="str">
        <f>IF($C$19="X","SC10",IF($E$19="X","SC14",IF(ENTRADAS!$G$66="X","SF6",0)))</f>
        <v>SC10</v>
      </c>
      <c r="X169" s="630">
        <f>IF($C$56+$C$62&gt;100,1000,1)</f>
        <v>1</v>
      </c>
      <c r="Y169" s="630" t="s">
        <v>380</v>
      </c>
      <c r="Z169" s="2">
        <v>4</v>
      </c>
      <c r="AA169" s="2">
        <v>70</v>
      </c>
      <c r="AB169" s="2"/>
      <c r="AC169" s="32">
        <f>IF(X169=1000,AA169,0)</f>
        <v>0</v>
      </c>
      <c r="AD169" s="32"/>
    </row>
    <row r="170" spans="1:37" x14ac:dyDescent="0.35">
      <c r="A170" s="13"/>
      <c r="B170" s="14"/>
      <c r="C170" s="652"/>
      <c r="D170" s="652"/>
      <c r="E170" s="652"/>
      <c r="F170" s="652"/>
      <c r="G170" s="14"/>
      <c r="H170" s="14"/>
      <c r="I170" s="199"/>
      <c r="J170" s="199"/>
      <c r="K170" s="199"/>
      <c r="L170" s="199"/>
      <c r="M170" s="14"/>
      <c r="N170" s="14"/>
      <c r="O170" s="14"/>
      <c r="P170" s="14"/>
      <c r="Q170" s="15"/>
      <c r="W170" s="630" t="str">
        <f>IF($C$19="X","SC10",IF($E$19="X","SC14",IF(ENTRADAS!$G$66="X","SF6",0)))</f>
        <v>SC10</v>
      </c>
      <c r="X170" s="630">
        <f t="shared" ref="X170:X183" si="9">IF($C$56+$C$62&gt;100,1000,1)</f>
        <v>1</v>
      </c>
      <c r="Y170" s="630" t="s">
        <v>377</v>
      </c>
      <c r="Z170" s="2">
        <v>6</v>
      </c>
      <c r="AA170" s="2">
        <v>70</v>
      </c>
      <c r="AB170" s="2">
        <v>60</v>
      </c>
      <c r="AC170" s="32">
        <f>IF(X170=1000,0,AA170)</f>
        <v>70</v>
      </c>
      <c r="AD170" s="630">
        <f>IF(X170=1000,0,AB170)</f>
        <v>60</v>
      </c>
      <c r="AE170" s="384"/>
    </row>
    <row r="171" spans="1:37" x14ac:dyDescent="0.35">
      <c r="A171" s="20"/>
      <c r="B171" s="13"/>
      <c r="C171" s="14"/>
      <c r="D171" s="14"/>
      <c r="E171" s="14"/>
      <c r="F171" s="14"/>
      <c r="G171" s="14"/>
      <c r="H171" s="14"/>
      <c r="I171" s="14"/>
      <c r="J171" s="14"/>
      <c r="K171" s="14"/>
      <c r="L171" s="14"/>
      <c r="M171" s="14"/>
      <c r="N171" s="14"/>
      <c r="O171" s="15"/>
      <c r="Q171" s="16"/>
      <c r="W171" s="630" t="str">
        <f>IF($C$19="X","SC10",IF($E$19="X","SC14",IF(ENTRADAS!$G$66="X","SF6",0)))</f>
        <v>SC10</v>
      </c>
      <c r="X171" s="630">
        <f t="shared" si="9"/>
        <v>1</v>
      </c>
      <c r="Y171" s="630" t="s">
        <v>380</v>
      </c>
      <c r="Z171" s="2">
        <v>6</v>
      </c>
      <c r="AA171" s="2">
        <v>90</v>
      </c>
      <c r="AB171" s="2">
        <v>60</v>
      </c>
      <c r="AC171" s="32">
        <f>IF(X171=1000,AA171,0)</f>
        <v>0</v>
      </c>
      <c r="AD171" s="630">
        <f>IF(X171=1000,AB171,0)</f>
        <v>0</v>
      </c>
      <c r="AE171" s="384"/>
    </row>
    <row r="172" spans="1:37" x14ac:dyDescent="0.35">
      <c r="A172" s="20"/>
      <c r="B172" s="20"/>
      <c r="C172" s="627" t="s">
        <v>320</v>
      </c>
      <c r="E172" s="31">
        <f>E145</f>
        <v>1000</v>
      </c>
      <c r="F172" s="627" t="s">
        <v>17</v>
      </c>
      <c r="G172" s="627"/>
      <c r="O172" s="16"/>
      <c r="Q172" s="16"/>
      <c r="W172" s="630" t="str">
        <f>IF($C$19="X","SC10",IF($E$19="X","SC14",IF(ENTRADAS!$G$66="X","SF6",0)))</f>
        <v>SC10</v>
      </c>
      <c r="X172" s="630">
        <f t="shared" si="9"/>
        <v>1</v>
      </c>
      <c r="Y172" s="630" t="s">
        <v>377</v>
      </c>
      <c r="Z172" s="2">
        <v>8</v>
      </c>
      <c r="AA172" s="2">
        <v>90</v>
      </c>
      <c r="AB172" s="2">
        <v>60</v>
      </c>
      <c r="AC172" s="32">
        <f>IF(X172=1000,0,AA172)</f>
        <v>90</v>
      </c>
      <c r="AD172" s="630">
        <f>IF(X172=1000,0,AB172)</f>
        <v>60</v>
      </c>
      <c r="AE172" s="384"/>
    </row>
    <row r="173" spans="1:37" x14ac:dyDescent="0.35">
      <c r="A173" s="20"/>
      <c r="B173" s="20"/>
      <c r="O173" s="16"/>
      <c r="Q173" s="16"/>
      <c r="W173" s="630" t="str">
        <f>IF($C$19="X","SC10",IF($E$19="X","SC14",IF(ENTRADAS!$G$66="X","SF6",0)))</f>
        <v>SC10</v>
      </c>
      <c r="X173" s="630">
        <f t="shared" si="9"/>
        <v>1</v>
      </c>
      <c r="Y173" s="630" t="s">
        <v>380</v>
      </c>
      <c r="Z173" s="2">
        <v>8</v>
      </c>
      <c r="AA173" s="2">
        <v>90</v>
      </c>
      <c r="AB173" s="2">
        <v>60</v>
      </c>
      <c r="AC173" s="32">
        <f>IF(X173=1000,AA173,0)</f>
        <v>0</v>
      </c>
      <c r="AD173" s="630">
        <f>IF(X173=1000,AB173,0)</f>
        <v>0</v>
      </c>
      <c r="AE173" s="252"/>
    </row>
    <row r="174" spans="1:37" x14ac:dyDescent="0.35">
      <c r="A174" s="20"/>
      <c r="B174" s="20"/>
      <c r="C174" s="183">
        <f ca="1">IF(I11&gt;12.3,"ALERTA: PAINÉIS MAIORES QUE 12,3 m ! A CARRETA TEM QUE SER ESPECÍFICA. ANALISAR E DESCREVER NA TABELA ACIMA .",0)</f>
        <v>0</v>
      </c>
      <c r="O174" s="16"/>
      <c r="Q174" s="16"/>
      <c r="W174" s="630" t="str">
        <f>IF($C$19="X","SC10",IF($E$19="X","SC14",IF(ENTRADAS!$G$66="X","SF6",0)))</f>
        <v>SC10</v>
      </c>
      <c r="X174" s="630">
        <f t="shared" si="9"/>
        <v>1</v>
      </c>
      <c r="Y174" s="630" t="s">
        <v>377</v>
      </c>
      <c r="Z174" s="2">
        <v>10</v>
      </c>
      <c r="AA174" s="2">
        <v>130</v>
      </c>
      <c r="AB174" s="2">
        <v>90</v>
      </c>
      <c r="AC174" s="32">
        <f>IF(X174=1000,0,AA174)</f>
        <v>130</v>
      </c>
      <c r="AD174" s="630">
        <f>IF(X174=1000,0,AB174)</f>
        <v>90</v>
      </c>
      <c r="AE174" s="252"/>
    </row>
    <row r="175" spans="1:37" x14ac:dyDescent="0.35">
      <c r="A175" s="20"/>
      <c r="B175" s="20"/>
      <c r="C175" s="627"/>
      <c r="O175" s="16"/>
      <c r="Q175" s="16"/>
      <c r="W175" s="630" t="str">
        <f>IF($C$19="X","SC10",IF($E$19="X","SC14",IF(ENTRADAS!$G$66="X","SF6",0)))</f>
        <v>SC10</v>
      </c>
      <c r="X175" s="630">
        <f t="shared" si="9"/>
        <v>1</v>
      </c>
      <c r="Y175" s="630" t="s">
        <v>380</v>
      </c>
      <c r="Z175" s="2">
        <v>10</v>
      </c>
      <c r="AA175" s="2">
        <v>130</v>
      </c>
      <c r="AB175" s="2">
        <v>90</v>
      </c>
      <c r="AC175" s="32">
        <f>IF(X175=1000,AA175,0)</f>
        <v>0</v>
      </c>
      <c r="AD175" s="630">
        <f>IF(X175=1000,AB175,0)</f>
        <v>0</v>
      </c>
      <c r="AE175" s="252"/>
    </row>
    <row r="176" spans="1:37" x14ac:dyDescent="0.35">
      <c r="A176" s="20">
        <f ca="1">IF(C176="x",1,0)</f>
        <v>0</v>
      </c>
      <c r="B176" s="200">
        <v>1</v>
      </c>
      <c r="C176" s="626">
        <f ca="1">IF(AND(C174&lt;&gt;0,O176&lt;=12.3),0,IF(S195&lt;&gt;0,IF(V192=1,"X",ENTRADAS!C488)))</f>
        <v>0</v>
      </c>
      <c r="D176" t="str">
        <f ca="1">IF(H176=0,0,VLOOKUP(B176,$AH$225:$AU$242,10,0)&amp;"  capac.= "&amp; AU225/(1+$AI$221/100)&amp;" ton")</f>
        <v>CARRETA ABERTA   capac.= 25 ton</v>
      </c>
      <c r="H176" s="388">
        <f ca="1">IF(AG225="x",IF(AJ225=0,0,AP225),0)</f>
        <v>125</v>
      </c>
      <c r="I176" s="627" t="str">
        <f ca="1">IF(H176=0,0,"FRETES TRANSPORTANDO:")</f>
        <v>FRETES TRANSPORTANDO:</v>
      </c>
      <c r="K176" s="627"/>
      <c r="N176" s="4">
        <f>ENTRADAS!I461</f>
        <v>12.4</v>
      </c>
      <c r="O176" s="617">
        <f>N176-0.1</f>
        <v>12.3</v>
      </c>
      <c r="Q176" s="16"/>
      <c r="R176">
        <f ca="1">IF(H176=0,0,AU225)</f>
        <v>25</v>
      </c>
      <c r="W176" s="630" t="str">
        <f>IF($C$19="X","SC10",IF($E$19="X","SC14",IF(ENTRADAS!$G$66="X","SF6",0)))</f>
        <v>SC10</v>
      </c>
      <c r="X176" s="630">
        <f t="shared" si="9"/>
        <v>1</v>
      </c>
      <c r="Y176" s="630" t="s">
        <v>377</v>
      </c>
      <c r="Z176" s="2">
        <v>12</v>
      </c>
      <c r="AA176" s="2">
        <v>130</v>
      </c>
      <c r="AB176" s="2">
        <v>90</v>
      </c>
      <c r="AC176" s="32">
        <f>IF(X176=1000,0,AA176)</f>
        <v>130</v>
      </c>
      <c r="AD176" s="630">
        <f>IF(X176=1000,0,AB176)</f>
        <v>90</v>
      </c>
      <c r="AE176" s="252"/>
      <c r="AJ176" s="627"/>
      <c r="AK176" s="627"/>
    </row>
    <row r="177" spans="1:41" x14ac:dyDescent="0.35">
      <c r="A177" s="20"/>
      <c r="B177" s="200"/>
      <c r="C177" s="195">
        <f ca="1">IF(C176="X","Y",0)</f>
        <v>0</v>
      </c>
      <c r="D177">
        <f>IF(H177=0,0,VLOOKUP(B177,$AH$225:$AU$242,9,0)&amp;"  capac.= "&amp; AU226&amp;" ton --------------------------------------------------------------------------------------")</f>
        <v>0</v>
      </c>
      <c r="E177">
        <f ca="1">IF(H176=0,0,IF(AG225="X",IF(AJ225=0,0,AJ225),0))</f>
        <v>2</v>
      </c>
      <c r="F177" s="627" t="str">
        <f ca="1">IF(ENTRADAS!$C$60="X",IF(H176=0,0,IF($E$11=0,0,"painéis empilhados c/ largura =2,40 m, espessura= 0,25 m e comprimento=")),IF(ENTRADAS!$E$60="X",IF(H176=0,0,IF($E$11=0,0,"painéis empilhados c/ largura =2,40 m, espessura= 0,30 m e comprimento=")),IF(ENTRADAS!$C$65="X",IF(H176=0,0,IF($E$11=0,0,"painéis empilhados c/ largura =2,10 m, espessura= 0,18 m e comprimento=")),0)))</f>
        <v>painéis empilhados c/ largura =2,40 m, espessura= 0,25 m e comprimento=</v>
      </c>
      <c r="N177" s="4">
        <f ca="1">IF(H176=0,0,IF($E$11=0,0,$I$11))</f>
        <v>7.3000000000000007</v>
      </c>
      <c r="O177" s="16" t="str">
        <f ca="1">IF(H176=0,0,IF($E$11=0,0,"m"))</f>
        <v>m</v>
      </c>
      <c r="Q177" s="16"/>
      <c r="R177" t="s">
        <v>1831</v>
      </c>
      <c r="W177" s="630" t="str">
        <f>IF($C$19="X","SC10",IF($E$19="X","SC14",IF(ENTRADAS!$G$66="X","SF6",0)))</f>
        <v>SC10</v>
      </c>
      <c r="X177" s="630">
        <f t="shared" si="9"/>
        <v>1</v>
      </c>
      <c r="Y177" s="630" t="s">
        <v>380</v>
      </c>
      <c r="Z177" s="2">
        <v>12</v>
      </c>
      <c r="AA177" s="2">
        <v>130</v>
      </c>
      <c r="AB177" s="2">
        <v>90</v>
      </c>
      <c r="AC177" s="32">
        <f>IF(X177=1000,AA177,0)</f>
        <v>0</v>
      </c>
      <c r="AD177" s="630">
        <f>IF(X177=1000,AB177,0)</f>
        <v>0</v>
      </c>
      <c r="AE177" s="252"/>
      <c r="AJ177" s="627"/>
    </row>
    <row r="178" spans="1:41" x14ac:dyDescent="0.35">
      <c r="A178" s="20"/>
      <c r="B178" s="200"/>
      <c r="C178" s="627"/>
      <c r="O178" s="16"/>
      <c r="Q178" s="16"/>
      <c r="W178" s="630" t="str">
        <f>IF($C$19="X","SC10",IF($E$19="X","SC14",IF(ENTRADAS!$G$66="X","SF6",0)))</f>
        <v>SC10</v>
      </c>
      <c r="X178" s="630">
        <f t="shared" si="9"/>
        <v>1</v>
      </c>
      <c r="Y178" s="630" t="s">
        <v>377</v>
      </c>
      <c r="Z178" s="2">
        <v>13</v>
      </c>
      <c r="AA178" s="2">
        <v>160</v>
      </c>
      <c r="AB178" s="2">
        <v>100</v>
      </c>
      <c r="AC178" s="32">
        <f>IF(X178=1000,0,AA178)</f>
        <v>160</v>
      </c>
      <c r="AD178" s="630">
        <f>IF(X178=1000,0,AB178)</f>
        <v>100</v>
      </c>
      <c r="AE178" s="252"/>
      <c r="AK178" s="627"/>
      <c r="AN178" s="647"/>
      <c r="AO178" s="627"/>
    </row>
    <row r="179" spans="1:41" x14ac:dyDescent="0.35">
      <c r="A179" s="20">
        <f ca="1">IF(C179="x",1,0)</f>
        <v>1</v>
      </c>
      <c r="B179" s="200">
        <v>2</v>
      </c>
      <c r="C179" s="626" t="str">
        <f ca="1">IF(AND(C174&lt;&gt;0,O179&lt;=12.3),0,IF(S195&lt;&gt;0,IF(V192=2,"X",ENTRADAS!C491)))</f>
        <v>X</v>
      </c>
      <c r="D179" t="str">
        <f ca="1">IF(H179=0,0,VLOOKUP(B179,$AH$225:$AU$242,10,0)&amp;"  capac.= "&amp; AU226/(1+$AI$221/100)&amp;" ton ")</f>
        <v xml:space="preserve">CARRETA LS  capac.= 31 ton </v>
      </c>
      <c r="H179" s="34">
        <f ca="1">IF(AG226="x",IF(AJ226=0,0,AP226),0)</f>
        <v>84</v>
      </c>
      <c r="I179" s="627" t="str">
        <f ca="1">IF(H179=0,0,"FRETES TRANSPORTANDO:")</f>
        <v>FRETES TRANSPORTANDO:</v>
      </c>
      <c r="K179" s="627"/>
      <c r="N179" s="4">
        <f>ENTRADAS!I462</f>
        <v>12.4</v>
      </c>
      <c r="O179" s="617">
        <f ca="1">IF(H179=0,0,N179-0.1)</f>
        <v>12.3</v>
      </c>
      <c r="Q179" s="16"/>
      <c r="R179">
        <f ca="1">IF(H179=0,0,AU226)</f>
        <v>31</v>
      </c>
      <c r="W179" s="630" t="str">
        <f>IF($C$19="X","SC10",IF($E$19="X","SC14",IF(ENTRADAS!$G$66="X","SF6",0)))</f>
        <v>SC10</v>
      </c>
      <c r="X179" s="630">
        <f t="shared" si="9"/>
        <v>1</v>
      </c>
      <c r="Y179" s="630" t="s">
        <v>380</v>
      </c>
      <c r="Z179" s="2">
        <v>13</v>
      </c>
      <c r="AA179" s="2">
        <v>160</v>
      </c>
      <c r="AB179" s="2">
        <v>100</v>
      </c>
      <c r="AC179" s="32">
        <f>IF(X179=1000,AA179,0)</f>
        <v>0</v>
      </c>
      <c r="AD179" s="630">
        <f>IF(X179=1000,AB179,0)</f>
        <v>0</v>
      </c>
      <c r="AE179" s="252"/>
      <c r="AN179" s="647"/>
      <c r="AO179" s="4"/>
    </row>
    <row r="180" spans="1:41" x14ac:dyDescent="0.35">
      <c r="A180" s="20"/>
      <c r="B180" s="200"/>
      <c r="C180" s="195" t="str">
        <f ca="1">IF(C179="X","Y",0)</f>
        <v>Y</v>
      </c>
      <c r="D180" s="647"/>
      <c r="E180">
        <f ca="1">IF(H179=0,0,IF(AG226="x",IF(AJ226=0,0,AJ226),0))</f>
        <v>3</v>
      </c>
      <c r="F180" s="627" t="str">
        <f ca="1">IF(ENTRADAS!$C$60="X",IF(H179=0,0,IF($E$11=0,0,"painéis empilhados c/ largura =2,40 m, espessura= 0,25 m e comprimento=")),IF(ENTRADAS!$E$60="X",IF(H179=0,0,IF($E$11=0,0,"painéis empilhados c/ largura =2,40 m, espessura= 0,30 m e comprimento=")),IF(ENTRADAS!$C$65="X",IF(H179=0,0,IF($E$11=0,0,"painéis empilhados c/ largura =2,10 m, espessura= 0,18 m e comprimento=")),0)))</f>
        <v>painéis empilhados c/ largura =2,40 m, espessura= 0,25 m e comprimento=</v>
      </c>
      <c r="N180" s="4">
        <f ca="1">IF(H179=0,0,IF($E$11=0,0,$I$11))</f>
        <v>7.3000000000000007</v>
      </c>
      <c r="O180" s="16" t="str">
        <f ca="1">IF(H179=0,0,IF($E$11=0,0,"m"))</f>
        <v>m</v>
      </c>
      <c r="Q180" s="16"/>
      <c r="R180" t="s">
        <v>1831</v>
      </c>
      <c r="W180" s="630" t="str">
        <f>IF($C$19="X","SC10",IF($E$19="X","SC14",IF(ENTRADAS!$G$66="X","SF6",0)))</f>
        <v>SC10</v>
      </c>
      <c r="X180" s="630">
        <f t="shared" si="9"/>
        <v>1</v>
      </c>
      <c r="Y180" s="630" t="s">
        <v>377</v>
      </c>
      <c r="Z180" s="2">
        <v>14</v>
      </c>
      <c r="AA180" s="2">
        <v>160</v>
      </c>
      <c r="AB180" s="2">
        <v>100</v>
      </c>
      <c r="AC180" s="32">
        <f>IF(X180=1000,0,AA180)</f>
        <v>160</v>
      </c>
      <c r="AD180" s="630">
        <f>IF(X180=1000,0,AB180)</f>
        <v>100</v>
      </c>
      <c r="AE180" s="252"/>
      <c r="AN180" s="647"/>
      <c r="AO180" s="4"/>
    </row>
    <row r="181" spans="1:41" x14ac:dyDescent="0.35">
      <c r="A181" s="20"/>
      <c r="B181" s="200"/>
      <c r="C181" s="627"/>
      <c r="O181" s="16"/>
      <c r="Q181" s="16"/>
      <c r="W181" s="630" t="str">
        <f>IF($C$19="X","SC10",IF($E$19="X","SC14",IF(ENTRADAS!$G$66="X","SF6",0)))</f>
        <v>SC10</v>
      </c>
      <c r="X181" s="630">
        <f>IF($C$56+$C$62&gt;100,1000,1)</f>
        <v>1</v>
      </c>
      <c r="Y181" s="630" t="s">
        <v>380</v>
      </c>
      <c r="Z181" s="2">
        <v>14</v>
      </c>
      <c r="AA181" s="2">
        <v>200</v>
      </c>
      <c r="AB181" s="2">
        <v>100</v>
      </c>
      <c r="AC181" s="32">
        <f>IF(X181=1000,AA181,0)</f>
        <v>0</v>
      </c>
      <c r="AD181" s="630">
        <f>IF(X181=1000,AB181,0)</f>
        <v>0</v>
      </c>
      <c r="AE181" s="252"/>
      <c r="AN181" s="647"/>
      <c r="AO181" s="4"/>
    </row>
    <row r="182" spans="1:41" x14ac:dyDescent="0.35">
      <c r="A182" s="20">
        <f ca="1">IF(C182="x",1,0)</f>
        <v>0</v>
      </c>
      <c r="B182" s="200">
        <v>3</v>
      </c>
      <c r="C182" s="626">
        <f ca="1">IF(AND(C174&lt;&gt;0,O182&lt;=12.3),0,IF(S195&lt;&gt;0,IF(V192=3,"X",ENTRADAS!C494)))</f>
        <v>0</v>
      </c>
      <c r="D182" t="str">
        <f ca="1">IF(H182=0,0,VLOOKUP(B182,$AH$225:$AU$242,10,0)&amp;"  capac.= "&amp; AU227/(1+$AI$221/100)&amp;" ton")</f>
        <v>CARRETA VANDERLEIA  capac.= 25 ton</v>
      </c>
      <c r="H182" s="34">
        <f ca="1">IF(AG227="x",IF(AJ227=0,0,AP227),0)</f>
        <v>125</v>
      </c>
      <c r="I182" s="627" t="str">
        <f ca="1">IF(H182=0,0,"FRETES TRANSPORTANDO:")</f>
        <v>FRETES TRANSPORTANDO:</v>
      </c>
      <c r="K182" s="627"/>
      <c r="N182" s="4">
        <f>ENTRADAS!I463</f>
        <v>15</v>
      </c>
      <c r="O182" s="617">
        <f ca="1">IF(H182=0,0,N182-0.1)</f>
        <v>14.9</v>
      </c>
      <c r="Q182" s="16"/>
      <c r="R182">
        <f ca="1">IF(H182=0,0,AU227)</f>
        <v>25</v>
      </c>
      <c r="W182" s="630" t="str">
        <f>IF($C$19="X","SC10",IF($E$19="X","SC14",IF(ENTRADAS!$G$66="X","SF6",0)))</f>
        <v>SC10</v>
      </c>
      <c r="X182" s="630">
        <f t="shared" si="9"/>
        <v>1</v>
      </c>
      <c r="Y182" s="630" t="s">
        <v>377</v>
      </c>
      <c r="Z182" s="2">
        <v>18</v>
      </c>
      <c r="AA182" s="2">
        <v>200</v>
      </c>
      <c r="AB182" s="2">
        <v>100</v>
      </c>
      <c r="AC182" s="32">
        <f>IF(X182=1000,0,AA182)</f>
        <v>200</v>
      </c>
      <c r="AD182" s="630">
        <f>IF(X182=1000,0,AB182)</f>
        <v>100</v>
      </c>
      <c r="AE182" s="252"/>
      <c r="AN182" s="647"/>
      <c r="AO182" s="4"/>
    </row>
    <row r="183" spans="1:41" x14ac:dyDescent="0.35">
      <c r="A183" s="20"/>
      <c r="B183" s="200"/>
      <c r="C183" s="195">
        <f ca="1">IF(C182="X","Y",0)</f>
        <v>0</v>
      </c>
      <c r="D183" s="647"/>
      <c r="E183">
        <f ca="1">IF(H182=0,0,IF(AG227="x",IF(AJ227=0,0,AJ227),0))</f>
        <v>2</v>
      </c>
      <c r="F183" s="627" t="str">
        <f ca="1">IF(ENTRADAS!$C$60="X",IF(H182=0,0,IF($E$11=0,0,"painéis empilhados c/ largura =2,40 m, espessura= 0,25 m e comprimento=")),IF(ENTRADAS!$E$60="X",IF(H182=0,0,IF($E$11=0,0,"painéis empilhados c/ largura =2,40 m, espessura= 0,30 m e comprimento=")),IF(ENTRADAS!$C$65="X",IF(H182=0,0,IF($E$11=0,0,"painéis empilhados c/ largura =2,10 m, espessura= 0,18 m e comprimento=")),0)))</f>
        <v>painéis empilhados c/ largura =2,40 m, espessura= 0,25 m e comprimento=</v>
      </c>
      <c r="N183" s="4">
        <f ca="1">IF(H182=0,0,IF($E$11=0,0,$I$11))</f>
        <v>7.3000000000000007</v>
      </c>
      <c r="O183" s="16" t="str">
        <f ca="1">IF(H182=0,0,IF($E$11=0,0,"m"))</f>
        <v>m</v>
      </c>
      <c r="Q183" s="16"/>
      <c r="R183" t="s">
        <v>1831</v>
      </c>
      <c r="W183" s="638" t="str">
        <f>IF($C$19="X","SC10",IF($E$19="X","SC14",IF(ENTRADAS!$G$66="X","SF6",0)))</f>
        <v>SC10</v>
      </c>
      <c r="X183" s="630">
        <f t="shared" si="9"/>
        <v>1</v>
      </c>
      <c r="Y183" s="630" t="s">
        <v>380</v>
      </c>
      <c r="Z183" s="2">
        <v>18</v>
      </c>
      <c r="AA183" s="2">
        <v>200</v>
      </c>
      <c r="AB183" s="2">
        <v>100</v>
      </c>
      <c r="AC183" s="32">
        <f>IF(X183=1000,AA183,0)</f>
        <v>0</v>
      </c>
      <c r="AD183" s="630">
        <f>IF(X183=1000,AB183,0)</f>
        <v>0</v>
      </c>
      <c r="AE183" s="252"/>
      <c r="AN183" s="647"/>
      <c r="AO183" s="4"/>
    </row>
    <row r="184" spans="1:41" x14ac:dyDescent="0.35">
      <c r="A184" s="20"/>
      <c r="B184" s="200"/>
      <c r="C184" s="627"/>
      <c r="D184" s="647"/>
      <c r="F184" s="627"/>
      <c r="N184" s="4"/>
      <c r="O184" s="16"/>
      <c r="Q184" s="16"/>
      <c r="S184" s="13" t="s">
        <v>1832</v>
      </c>
      <c r="T184" s="14"/>
      <c r="U184" s="14"/>
      <c r="V184" s="14"/>
      <c r="W184" s="15"/>
      <c r="AN184" s="647"/>
      <c r="AO184" s="4"/>
    </row>
    <row r="185" spans="1:41" x14ac:dyDescent="0.35">
      <c r="A185" s="20">
        <f ca="1">IF(C185="x",1,0)</f>
        <v>0</v>
      </c>
      <c r="B185" s="200">
        <v>4</v>
      </c>
      <c r="C185" s="626">
        <f ca="1">IF(AND(C174&lt;&gt;0,O185&lt;=12.3),0,IF(S195&lt;&gt;0,IF(V192=4,"X",ENTRADAS!C497)))</f>
        <v>0</v>
      </c>
      <c r="D185" t="str">
        <f ca="1">IF(H185=0,0,VLOOKUP(B185,$AH$225:$AU$242,10,0)&amp;"  capac.= "&amp; AU228/(1+$AI$221/100)&amp;" ton")</f>
        <v>CARRETA VANDERLEIA  capac.= 31 ton</v>
      </c>
      <c r="H185" s="388">
        <f ca="1">IF(AG228="x",IF(AJ228=0,0,AP228),0)</f>
        <v>84</v>
      </c>
      <c r="I185" s="627" t="str">
        <f ca="1">IF(H185=0,0,"FRETES TRANSPORTANDO:")</f>
        <v>FRETES TRANSPORTANDO:</v>
      </c>
      <c r="J185" s="627"/>
      <c r="N185" s="4">
        <f>ENTRADAS!I464</f>
        <v>15</v>
      </c>
      <c r="O185" s="617">
        <f ca="1">IF(H185=0,0,N185-0.1)</f>
        <v>14.9</v>
      </c>
      <c r="Q185" s="16"/>
      <c r="R185">
        <f ca="1">IF(H185=0,0,AU228)</f>
        <v>31</v>
      </c>
      <c r="S185" s="32" t="s">
        <v>1833</v>
      </c>
      <c r="T185" s="32" t="s">
        <v>1834</v>
      </c>
      <c r="U185" s="32"/>
      <c r="W185" s="16"/>
    </row>
    <row r="186" spans="1:41" x14ac:dyDescent="0.35">
      <c r="A186" s="20"/>
      <c r="B186" s="200"/>
      <c r="C186" s="195">
        <f ca="1">IF(C185="X","Y",0)</f>
        <v>0</v>
      </c>
      <c r="E186">
        <f ca="1">IF(H185=0,0,IF(AG228="x",IF(AJ228=0,0,AJ228),0))</f>
        <v>3</v>
      </c>
      <c r="F186" s="627" t="str">
        <f ca="1">IF(ENTRADAS!$C$60="X",IF(H185=0,0,IF($E$11=0,0,"painéis empilhados c/ largura =2,40 m, espessura= 0,25 m e comprimento=")),IF(ENTRADAS!$E$60="X",IF(H185=0,0,IF($E$11=0,0,"painéis empilhados c/ largura =2,40 m, espessura= 0,30 m e comprimento=")),IF(ENTRADAS!$C$65="X",IF(H185=0,0,IF($E$11=0,0,"painéis empilhados c/ largura =2,10 m, espessura= 0,18 m e comprimento=")),0)))</f>
        <v>painéis empilhados c/ largura =2,40 m, espessura= 0,25 m e comprimento=</v>
      </c>
      <c r="H186" s="388"/>
      <c r="I186" s="627"/>
      <c r="J186" s="627"/>
      <c r="N186" s="4">
        <f ca="1">IF(H185=0,0,IF($E$11=0,0,$I$11))</f>
        <v>7.3000000000000007</v>
      </c>
      <c r="O186" s="16" t="str">
        <f ca="1">IF(H185=0,0,IF($E$11=0,0,"m"))</f>
        <v>m</v>
      </c>
      <c r="Q186" s="16"/>
      <c r="R186" t="s">
        <v>1831</v>
      </c>
      <c r="S186" s="32">
        <v>1</v>
      </c>
      <c r="T186" s="32">
        <f ca="1">H176*INSUMOS!X67</f>
        <v>1312750</v>
      </c>
      <c r="U186" s="618">
        <f ca="1">IF(AND(C174&lt;&gt;0,O176&lt;=12.3),10000000000,IF(T186=0,10000000000,T186))</f>
        <v>1312750</v>
      </c>
      <c r="V186" s="32">
        <f>S186</f>
        <v>1</v>
      </c>
      <c r="W186" s="16"/>
    </row>
    <row r="187" spans="1:41" x14ac:dyDescent="0.35">
      <c r="A187" s="20"/>
      <c r="B187" s="200"/>
      <c r="H187" s="388"/>
      <c r="I187" s="627"/>
      <c r="J187" s="627"/>
      <c r="O187" s="16"/>
      <c r="Q187" s="16"/>
      <c r="S187" s="32">
        <v>2</v>
      </c>
      <c r="T187" s="32">
        <f ca="1">H179*INSUMOS!X68</f>
        <v>882168</v>
      </c>
      <c r="U187" s="618">
        <f ca="1">IF(AND(C174&lt;&gt;0,O179&lt;=12.3),10000000000,IF(T187=0,10000000000,T187))</f>
        <v>882168</v>
      </c>
      <c r="V187" s="32">
        <f>S187</f>
        <v>2</v>
      </c>
      <c r="W187" s="16"/>
    </row>
    <row r="188" spans="1:41" x14ac:dyDescent="0.35">
      <c r="A188" s="20">
        <f ca="1">IF(C188="x",1,0)</f>
        <v>0</v>
      </c>
      <c r="B188" s="200">
        <v>5</v>
      </c>
      <c r="C188" s="626">
        <f ca="1">IF(AND(C174&lt;&gt;0,N188&lt;=12.3),0,IF(S195&lt;&gt;0,IF(V192=5,"X",ENTRADAS!C500)))</f>
        <v>0</v>
      </c>
      <c r="D188" t="str">
        <f ca="1">IF(H188=0,0,VLOOKUP(B188,$AH$225:$AU$242,10,0)&amp;"  capac.= "&amp; AU229/(1+$AI$221/100)&amp;" ton ")</f>
        <v xml:space="preserve">CARRETA VANDERLEIA  capac.= 35 ton </v>
      </c>
      <c r="H188" s="388">
        <f ca="1">IF(AG229="x",IF(AJ229=0,0,AP229),0)</f>
        <v>63</v>
      </c>
      <c r="I188" s="627" t="str">
        <f ca="1">IF(H188=0,0,"FRETES TRANSPORTANDO:")</f>
        <v>FRETES TRANSPORTANDO:</v>
      </c>
      <c r="J188" s="627"/>
      <c r="N188" s="4">
        <f>ENTRADAS!I465</f>
        <v>15</v>
      </c>
      <c r="O188" s="617">
        <f ca="1">IF(H188=0,0,N188-0.1)</f>
        <v>14.9</v>
      </c>
      <c r="Q188" s="16"/>
      <c r="R188">
        <f ca="1">IF(H188=0,0,AU229)</f>
        <v>35</v>
      </c>
      <c r="S188" s="32">
        <v>3</v>
      </c>
      <c r="T188" s="32">
        <f ca="1">H182*INSUMOS!X69</f>
        <v>0</v>
      </c>
      <c r="U188" s="618">
        <f ca="1">IF(AND(C174&lt;&gt;0,O182&lt;=12.3),10000000000,IF(T188=0,10000000000,T188))</f>
        <v>10000000000</v>
      </c>
      <c r="V188" s="32">
        <f>S188</f>
        <v>3</v>
      </c>
      <c r="W188" s="16"/>
    </row>
    <row r="189" spans="1:41" x14ac:dyDescent="0.35">
      <c r="A189" s="20"/>
      <c r="B189" s="200"/>
      <c r="C189" s="195">
        <f ca="1">IF(C188="X","Y",0)</f>
        <v>0</v>
      </c>
      <c r="E189">
        <f ca="1">IF(H188=0,0,IF(AG229="x",IF(AJ229=0,0,AJ229),0))</f>
        <v>4</v>
      </c>
      <c r="F189" s="627" t="str">
        <f ca="1">IF(ENTRADAS!$C$60="X",IF(H188=0,0,IF($E$11=0,0,"painéis empilhados c/ largura =2,40 m, espessura= 0,25 m e comprimento=")),IF(ENTRADAS!$E$60="X",IF(H188=0,0,IF($E$11=0,0,"painéis empilhados c/ largura =2,40 m, espessura= 0,30 m e comprimento=")),IF(ENTRADAS!$C$65="X",IF(H188=0,0,IF($E$11=0,0,"painéis empilhados c/ largura =2,10 m, espessura= 0,18 m e comprimento=")),0)))</f>
        <v>painéis empilhados c/ largura =2,40 m, espessura= 0,25 m e comprimento=</v>
      </c>
      <c r="H189" s="388"/>
      <c r="I189" s="627"/>
      <c r="J189" s="627"/>
      <c r="N189" s="4">
        <f ca="1">IF(H188=0,0,IF($E$11=0,0,$I$11))</f>
        <v>7.3000000000000007</v>
      </c>
      <c r="O189" s="16" t="str">
        <f ca="1">IF(H188=0,0,IF($E$11=0,0,"m"))</f>
        <v>m</v>
      </c>
      <c r="Q189" s="16"/>
      <c r="R189" t="s">
        <v>1831</v>
      </c>
      <c r="S189" s="32">
        <v>4</v>
      </c>
      <c r="T189" s="32">
        <f ca="1">H185*INSUMOS!X70</f>
        <v>0</v>
      </c>
      <c r="U189" s="618">
        <f ca="1">IF(AND(C174&lt;&gt;0,O185&lt;=12.3),10000000000,IF(T189=0,10000000000,T189))</f>
        <v>10000000000</v>
      </c>
      <c r="V189" s="32">
        <f>S189</f>
        <v>4</v>
      </c>
      <c r="W189" s="16"/>
      <c r="Y189" s="626" t="s">
        <v>1835</v>
      </c>
      <c r="Z189" s="32"/>
      <c r="AA189" s="626">
        <f ca="1">IF(W168="SC10",AA163+AA164,IF(W168="SC14",AC163+AC164,IF(W168="SF6",AE163+AE164,0)))*1000</f>
        <v>14344.500000000004</v>
      </c>
      <c r="AB189" s="626">
        <f ca="1">SMALL(AB191:AB198,1)</f>
        <v>60</v>
      </c>
      <c r="AC189" s="630" t="s">
        <v>1836</v>
      </c>
      <c r="AD189" s="630"/>
      <c r="AE189" s="32">
        <f ca="1">0.7*AA189</f>
        <v>10041.150000000001</v>
      </c>
      <c r="AF189" s="2">
        <f ca="1">IF(SUM(AF191:AF198)=8000,0,SMALL(AF191:AF198,1))</f>
        <v>30</v>
      </c>
    </row>
    <row r="190" spans="1:41" x14ac:dyDescent="0.35">
      <c r="A190" s="20"/>
      <c r="B190" s="200"/>
      <c r="H190" s="388"/>
      <c r="I190" s="627"/>
      <c r="J190" s="627"/>
      <c r="O190" s="16"/>
      <c r="Q190" s="16"/>
      <c r="S190" s="32">
        <v>5</v>
      </c>
      <c r="T190" s="32">
        <f ca="1">H188*INSUMOS!X71</f>
        <v>882168</v>
      </c>
      <c r="U190" s="618">
        <f ca="1">IF(AND(C174&lt;&gt;0,O188&lt;=12.3),10000000000,IF(T190=0,10000000000,T190))</f>
        <v>882168</v>
      </c>
      <c r="V190" s="32">
        <f>S190</f>
        <v>5</v>
      </c>
      <c r="W190" s="16"/>
      <c r="Y190" s="1083" t="s">
        <v>1837</v>
      </c>
      <c r="Z190" s="630" t="s">
        <v>1838</v>
      </c>
      <c r="AA190" s="630" t="s">
        <v>1839</v>
      </c>
      <c r="AB190" s="630" t="s">
        <v>1840</v>
      </c>
      <c r="AC190" s="1083" t="s">
        <v>1841</v>
      </c>
      <c r="AD190" s="630" t="s">
        <v>1842</v>
      </c>
      <c r="AE190" s="630" t="s">
        <v>1839</v>
      </c>
      <c r="AF190" s="630" t="s">
        <v>1843</v>
      </c>
    </row>
    <row r="191" spans="1:41" x14ac:dyDescent="0.35">
      <c r="A191" s="20">
        <f>IF(C191="x",1,0)</f>
        <v>0</v>
      </c>
      <c r="B191" s="200">
        <v>6</v>
      </c>
      <c r="C191" s="626">
        <f>ENTRADAS!C503</f>
        <v>0</v>
      </c>
      <c r="D191">
        <f ca="1">IF(H191=0,0,VLOOKUP(B191,$AH$225:$AU$242,10,0)&amp;"  capac.= "&amp; AU232/(1+$AI$221/100)&amp;" ton")</f>
        <v>0</v>
      </c>
      <c r="H191" s="388">
        <f ca="1">IF(AG232="x",IF(AJ232=0,0,AP232),0)</f>
        <v>0</v>
      </c>
      <c r="I191" s="627">
        <f ca="1">IF(H191=0,0,"FRETES TRANSPORTANDO:")</f>
        <v>0</v>
      </c>
      <c r="J191" s="627"/>
      <c r="O191" s="16"/>
      <c r="Q191" s="16"/>
      <c r="R191">
        <f ca="1">IF(H191=0,0,AU230)</f>
        <v>0</v>
      </c>
      <c r="S191" s="20"/>
      <c r="T191" s="2069" t="s">
        <v>1844</v>
      </c>
      <c r="U191" s="1542"/>
      <c r="V191" s="1545"/>
      <c r="W191" s="16"/>
      <c r="Y191" s="7">
        <v>7</v>
      </c>
      <c r="Z191" s="32">
        <v>30</v>
      </c>
      <c r="AA191" s="32">
        <v>11000</v>
      </c>
      <c r="AB191" s="32">
        <f ca="1">IF(ENTRADAS!I15&lt;=6,1000,IF($AA$189&lt;=AA191,Z191,1000))</f>
        <v>1000</v>
      </c>
      <c r="AC191" s="7">
        <v>7</v>
      </c>
      <c r="AD191" s="32">
        <v>30</v>
      </c>
      <c r="AE191" s="32">
        <v>11000</v>
      </c>
      <c r="AF191" s="32">
        <f ca="1">IF(ENTRADAS!$I$15&lt;=7,1000,IF($AE$189&lt;=AE191,AD191,1000))</f>
        <v>30</v>
      </c>
    </row>
    <row r="192" spans="1:41" x14ac:dyDescent="0.35">
      <c r="A192" s="20"/>
      <c r="B192" s="200"/>
      <c r="C192" s="195">
        <f>IF(C191="X","Y",0)</f>
        <v>0</v>
      </c>
      <c r="E192">
        <f ca="1">IF(H191=0,0,IF(AG232="x",IF(AJ232=0,0,AJ232),0))</f>
        <v>0</v>
      </c>
      <c r="F192" s="627">
        <f ca="1">IF(ENTRADAS!$C$60="X",IF(H191=0,0,IF($E$11=0,0,"painéis empilhados c/ largura =2,40 m, espessura= 0,25 m e comprimento=")),IF(ENTRADAS!$E$60="X",IF(H191=0,0,IF($E$11=0,0,"painéis empilhados c/ largura =2,40 m, espessura= 0,30 m e comprimento=")),IF(ENTRADAS!$C$65="X",IF(H191=0,0,IF($E$11=0,0,"painéis empilhados c/ largura =2,10 m, espessura= 0,18 m e comprimento=")),0)))</f>
        <v>0</v>
      </c>
      <c r="H192" s="388"/>
      <c r="I192" s="627"/>
      <c r="J192" s="627"/>
      <c r="N192" s="4">
        <f ca="1">IF(H191=0,0,IF($E$11=0,0,$I$11))</f>
        <v>0</v>
      </c>
      <c r="O192" s="16">
        <f ca="1">IF(H191=0,0,IF($E$11=0,0,"m"))</f>
        <v>0</v>
      </c>
      <c r="Q192" s="16"/>
      <c r="R192" t="s">
        <v>1831</v>
      </c>
      <c r="S192" s="20"/>
      <c r="T192" s="32"/>
      <c r="U192" s="618">
        <f ca="1">IF(S195=0,0,SMALL(U186:U190,1))</f>
        <v>882168</v>
      </c>
      <c r="V192" s="32">
        <f ca="1">IF(U192=0,0,VLOOKUP(U192,U186:V190,2,0))</f>
        <v>2</v>
      </c>
      <c r="W192" s="16"/>
      <c r="Y192" s="7">
        <v>8</v>
      </c>
      <c r="Z192" s="32">
        <v>60</v>
      </c>
      <c r="AA192" s="32">
        <v>15800</v>
      </c>
      <c r="AB192" s="32">
        <f t="shared" ref="AB192:AB197" ca="1" si="10">IF($AA$189&lt;=AA192,Z192,1000)</f>
        <v>60</v>
      </c>
      <c r="AC192" s="7">
        <v>7</v>
      </c>
      <c r="AD192" s="32">
        <v>60</v>
      </c>
      <c r="AE192" s="32">
        <v>20000</v>
      </c>
      <c r="AF192" s="32">
        <f ca="1">IF(ENTRADAS!$I$15&lt;=7,1000,IF($AE$189&lt;=AE192,AD192,1000))</f>
        <v>60</v>
      </c>
    </row>
    <row r="193" spans="1:32" x14ac:dyDescent="0.35">
      <c r="A193" s="20"/>
      <c r="B193" s="200"/>
      <c r="H193" s="388"/>
      <c r="I193" s="627"/>
      <c r="J193" s="627"/>
      <c r="O193" s="16"/>
      <c r="Q193" s="16"/>
      <c r="S193" s="20"/>
      <c r="W193" s="16"/>
      <c r="Y193" s="7">
        <v>9</v>
      </c>
      <c r="Z193" s="32">
        <v>70</v>
      </c>
      <c r="AA193" s="32">
        <v>17000</v>
      </c>
      <c r="AB193" s="32">
        <f t="shared" ca="1" si="10"/>
        <v>70</v>
      </c>
      <c r="AC193" s="7">
        <v>7</v>
      </c>
      <c r="AD193" s="32">
        <v>70</v>
      </c>
      <c r="AE193" s="32">
        <v>23000</v>
      </c>
      <c r="AF193" s="32">
        <f ca="1">IF(ENTRADAS!$I$15&lt;=7,1000,IF($AE$189&lt;=AE193,AD193,1000))</f>
        <v>70</v>
      </c>
    </row>
    <row r="194" spans="1:32" x14ac:dyDescent="0.35">
      <c r="A194" s="20">
        <f>IF(C194="x",1,0)</f>
        <v>0</v>
      </c>
      <c r="B194" s="200">
        <v>7</v>
      </c>
      <c r="C194" s="626">
        <f>ENTRADAS!C506</f>
        <v>0</v>
      </c>
      <c r="D194">
        <f ca="1">IF(H194=0,0,VLOOKUP(B194,$AH$225:$AU$242,10,0)&amp;"  capac.= "&amp; AU233/(1+$AI$221/100)&amp;" ton")</f>
        <v>0</v>
      </c>
      <c r="H194" s="388">
        <f ca="1">IF(AG233="x",IF(AJ233=0,0,AP233),0)</f>
        <v>0</v>
      </c>
      <c r="I194" s="627">
        <f ca="1">IF(H194=0,0,"FRETES TRANSPORTANDO:")</f>
        <v>0</v>
      </c>
      <c r="J194" s="627"/>
      <c r="O194" s="16"/>
      <c r="Q194" s="16"/>
      <c r="R194">
        <f ca="1">IF(H194=0,0,AU231)</f>
        <v>0</v>
      </c>
      <c r="S194" s="20" t="s">
        <v>1845</v>
      </c>
      <c r="W194" s="16"/>
      <c r="Y194" s="7">
        <v>9</v>
      </c>
      <c r="Z194" s="32">
        <v>90</v>
      </c>
      <c r="AA194" s="32">
        <v>28000</v>
      </c>
      <c r="AB194" s="32">
        <f t="shared" ca="1" si="10"/>
        <v>90</v>
      </c>
      <c r="AC194" s="7">
        <v>8</v>
      </c>
      <c r="AD194" s="32">
        <v>90</v>
      </c>
      <c r="AE194" s="32">
        <v>32000</v>
      </c>
      <c r="AF194" s="32">
        <f ca="1">IF(ENTRADAS!$I$15&lt;=7,1000,IF($AE$189&lt;=AE194,AD194,1000))</f>
        <v>90</v>
      </c>
    </row>
    <row r="195" spans="1:32" x14ac:dyDescent="0.35">
      <c r="A195" s="20"/>
      <c r="B195" s="200"/>
      <c r="C195" s="195">
        <f>IF(C194="X","Y",0)</f>
        <v>0</v>
      </c>
      <c r="E195">
        <f ca="1">IF(H194=0,0,IF(AG233="x",IF(AJ233=0,0,AJ233),0))</f>
        <v>0</v>
      </c>
      <c r="F195" s="627">
        <f ca="1">IF(ENTRADAS!$C$60="X",IF(H194=0,0,IF($E$11=0,0,"painéis empilhados c/ largura =2,40 m, espessura= 0,25 m e comprimento=")),IF(ENTRADAS!$E$60="X",IF(H194=0,0,IF($E$11=0,0,"painéis empilhados c/ largura =2,40 m, espessura= 0,30 m e comprimento=")),IF(ENTRADAS!$C$65="X",IF(H194=0,0,IF($E$11=0,0,"painéis empilhados c/ largura =2,10 m, espessura= 0,18 m e comprimento=")),0)))</f>
        <v>0</v>
      </c>
      <c r="H195" s="388"/>
      <c r="I195" s="627"/>
      <c r="J195" s="627"/>
      <c r="N195" s="4">
        <f ca="1">IF(H194=0,0,IF($E$11=0,0,$I$11))</f>
        <v>0</v>
      </c>
      <c r="O195" s="16">
        <f ca="1">IF(H194=0,0,IF($E$11=0,0,"m"))</f>
        <v>0</v>
      </c>
      <c r="Q195" s="16"/>
      <c r="R195" t="s">
        <v>1831</v>
      </c>
      <c r="S195" s="2" t="s">
        <v>35</v>
      </c>
      <c r="T195" s="3" t="s">
        <v>847</v>
      </c>
      <c r="U195" s="32"/>
      <c r="V195" s="3" t="s">
        <v>848</v>
      </c>
      <c r="W195" s="17"/>
      <c r="Y195" s="7">
        <v>9</v>
      </c>
      <c r="Z195" s="32">
        <v>100</v>
      </c>
      <c r="AA195" s="32">
        <v>30000</v>
      </c>
      <c r="AB195" s="32">
        <f t="shared" ca="1" si="10"/>
        <v>100</v>
      </c>
      <c r="AC195" s="7">
        <v>8</v>
      </c>
      <c r="AD195" s="32">
        <v>100</v>
      </c>
      <c r="AE195" s="32">
        <v>34000</v>
      </c>
      <c r="AF195" s="32">
        <f ca="1">IF(ENTRADAS!$I$15&lt;=7,1000,IF($AE$189&lt;=AE195,AD195,1000))</f>
        <v>100</v>
      </c>
    </row>
    <row r="196" spans="1:32" x14ac:dyDescent="0.35">
      <c r="A196" s="20"/>
      <c r="B196" s="200"/>
      <c r="H196" s="388"/>
      <c r="I196" s="627"/>
      <c r="J196" s="627"/>
      <c r="O196" s="16"/>
      <c r="Q196" s="16"/>
      <c r="Y196" s="7">
        <v>12</v>
      </c>
      <c r="Z196" s="32">
        <v>130</v>
      </c>
      <c r="AA196" s="32">
        <v>33400</v>
      </c>
      <c r="AB196" s="32">
        <f t="shared" ca="1" si="10"/>
        <v>130</v>
      </c>
      <c r="AC196" s="7"/>
      <c r="AD196" s="32"/>
      <c r="AE196" s="32"/>
      <c r="AF196" s="32">
        <f ca="1">IF(ENTRADAS!$I$15&lt;=7,1000,IF($AE$189&lt;=AE196,AD196,1000))</f>
        <v>1000</v>
      </c>
    </row>
    <row r="197" spans="1:32" x14ac:dyDescent="0.35">
      <c r="A197" s="20">
        <f>IF(C197="x",1,0)</f>
        <v>0</v>
      </c>
      <c r="B197" s="200">
        <v>8</v>
      </c>
      <c r="C197" s="626">
        <f>ENTRADAS!C509</f>
        <v>0</v>
      </c>
      <c r="D197">
        <f ca="1">IF(H197=0,0,VLOOKUP(B197,$AH$225:$AU$242,10,0)&amp;" capac.= "&amp; AU234/(1+$AI$221/100)&amp;" ton")</f>
        <v>0</v>
      </c>
      <c r="H197" s="388">
        <f ca="1">IF(AG234="x",IF(AJ234=0,0,AP234),0)</f>
        <v>0</v>
      </c>
      <c r="I197" s="627">
        <f ca="1">IF(H197=0,0,"FRETES TRANSPORTANDO:")</f>
        <v>0</v>
      </c>
      <c r="J197" s="627"/>
      <c r="O197" s="16"/>
      <c r="Q197" s="16"/>
      <c r="R197">
        <f ca="1">IF(H197=0,0,AU232)</f>
        <v>0</v>
      </c>
      <c r="Y197" s="7">
        <v>14</v>
      </c>
      <c r="Z197" s="32">
        <v>160</v>
      </c>
      <c r="AA197" s="32">
        <v>38000</v>
      </c>
      <c r="AB197" s="32">
        <f t="shared" ca="1" si="10"/>
        <v>160</v>
      </c>
      <c r="AC197" s="7"/>
      <c r="AD197" s="32"/>
      <c r="AE197" s="32"/>
      <c r="AF197" s="32">
        <f ca="1">IF(ENTRADAS!$I$15&lt;=7,1000,IF($AE$189&lt;=AE197,AD197,1000))</f>
        <v>1000</v>
      </c>
    </row>
    <row r="198" spans="1:32" x14ac:dyDescent="0.35">
      <c r="A198" s="20"/>
      <c r="B198" s="200"/>
      <c r="C198" s="195">
        <f>IF(C197="X","Y",0)</f>
        <v>0</v>
      </c>
      <c r="E198">
        <f ca="1">IF(H197=0,0,IF(AG234="x",IF(AJ234=0,0,AJ234),0))</f>
        <v>0</v>
      </c>
      <c r="F198" s="627">
        <f ca="1">IF(ENTRADAS!$C$60="X",IF(H197=0,0,IF($E$11=0,0,"painéis empilhados c/ largura =2,40 m, espessura= 0,25 m e comprimento=")),IF(ENTRADAS!$E$60="X",IF(H197=0,0,IF($E$11=0,0,"painéis empilhados c/ largura =2,40 m, espessura= 0,30 m e comprimento=")),IF(ENTRADAS!$C$65="X",IF(H197=0,0,IF($E$11=0,0,"painéis empilhados c/ largura =2,10 m, espessura= 0,18 m e comprimento=")),0)))</f>
        <v>0</v>
      </c>
      <c r="H198" s="388"/>
      <c r="I198" s="627"/>
      <c r="J198" s="627"/>
      <c r="N198" s="4">
        <f ca="1">IF(H197=0,0,IF($E$11=0,0,$I$11))</f>
        <v>0</v>
      </c>
      <c r="O198" s="16">
        <f ca="1">IF(H197=0,0,IF($E$11=0,0,"m"))</f>
        <v>0</v>
      </c>
      <c r="Q198" s="16"/>
      <c r="R198" t="s">
        <v>1831</v>
      </c>
      <c r="Y198" s="7"/>
      <c r="Z198" s="32"/>
      <c r="AA198" s="32"/>
      <c r="AB198" s="32"/>
      <c r="AC198" s="7"/>
      <c r="AD198" s="32"/>
      <c r="AE198" s="32"/>
      <c r="AF198" s="32">
        <f ca="1">IF(ENTRADAS!$I$15&lt;=7,1000,IF($AE$189&lt;=AE198,AD198,1000))</f>
        <v>1000</v>
      </c>
    </row>
    <row r="199" spans="1:32" x14ac:dyDescent="0.35">
      <c r="A199" s="20"/>
      <c r="B199" s="200"/>
      <c r="H199" s="388"/>
      <c r="I199" s="627"/>
      <c r="J199" s="627"/>
      <c r="O199" s="16"/>
      <c r="Q199" s="16"/>
    </row>
    <row r="200" spans="1:32" x14ac:dyDescent="0.35">
      <c r="A200" s="20">
        <f>IF(C200="x",1,0)</f>
        <v>0</v>
      </c>
      <c r="B200" s="200">
        <v>9</v>
      </c>
      <c r="C200" s="626">
        <f>ENTRADAS!C512</f>
        <v>0</v>
      </c>
      <c r="D200">
        <f ca="1">IF(H200=0,0,VLOOKUP(B200,$AH$225:$AU$242,10,0)&amp;"  capac.= "&amp; AU235/(1+$AI$221/100)&amp;" ton")</f>
        <v>0</v>
      </c>
      <c r="H200" s="388">
        <f ca="1">IF(AG235="x",IF(AJ235=0,0,AP235),0)</f>
        <v>0</v>
      </c>
      <c r="I200" s="627">
        <f ca="1">IF(H200=0,0,"FRETES TRANSPORTANDO:")</f>
        <v>0</v>
      </c>
      <c r="J200" s="627"/>
      <c r="O200" s="16"/>
      <c r="Q200" s="16"/>
      <c r="R200">
        <f ca="1">IF(H200=0,0,AU233)</f>
        <v>0</v>
      </c>
      <c r="U200" s="34"/>
      <c r="Z200" s="32" t="s">
        <v>1846</v>
      </c>
      <c r="AA200" s="32" t="s">
        <v>1847</v>
      </c>
    </row>
    <row r="201" spans="1:32" x14ac:dyDescent="0.35">
      <c r="A201" s="20"/>
      <c r="B201" s="200"/>
      <c r="C201" s="195">
        <f>IF(C200="X","Y",0)</f>
        <v>0</v>
      </c>
      <c r="E201">
        <f ca="1">IF(H200=0,0,IF(AG235="x",IF(AJ235=0,0,AJ235),0))</f>
        <v>0</v>
      </c>
      <c r="F201" s="627">
        <f ca="1">IF(ENTRADAS!$C$60="X",IF(H200=0,0,IF($E$11=0,0,"painéis empilhados c/ largura =2,40 m, espessura= 0,25 m e comprimento=")),IF(ENTRADAS!$E$60="X",IF(H200=0,0,IF($E$11=0,0,"painéis empilhados c/ largura =2,40 m, espessura= 0,30 m e comprimento=")),IF(ENTRADAS!$C$65="X",IF(H200=0,0,IF($E$11=0,0,"painéis empilhados c/ largura =2,10 m, espessura= 0,18 m e comprimento=")),0)))</f>
        <v>0</v>
      </c>
      <c r="H201" s="388"/>
      <c r="I201" s="627"/>
      <c r="J201" s="627"/>
      <c r="N201" s="4">
        <f ca="1">IF(H200=0,0,IF($E$11=0,0,$I$11))</f>
        <v>0</v>
      </c>
      <c r="O201" s="16">
        <f ca="1">IF(H200=0,0,IF($E$11=0,0,"m"))</f>
        <v>0</v>
      </c>
      <c r="Q201" s="16"/>
      <c r="R201" t="s">
        <v>1831</v>
      </c>
      <c r="Y201" s="630" t="s">
        <v>1848</v>
      </c>
      <c r="Z201" s="630" t="s">
        <v>1849</v>
      </c>
      <c r="AA201" s="630" t="s">
        <v>1849</v>
      </c>
    </row>
    <row r="202" spans="1:32" x14ac:dyDescent="0.35">
      <c r="A202" s="20"/>
      <c r="B202" s="200"/>
      <c r="H202" s="388"/>
      <c r="I202" s="627"/>
      <c r="J202" s="627"/>
      <c r="O202" s="16"/>
      <c r="Q202" s="16"/>
      <c r="Y202" s="630" t="s">
        <v>41</v>
      </c>
      <c r="Z202" s="32">
        <v>70</v>
      </c>
      <c r="AA202" s="32">
        <v>60</v>
      </c>
    </row>
    <row r="203" spans="1:32" x14ac:dyDescent="0.35">
      <c r="A203" s="20">
        <f>IF(C203="x",1,0)</f>
        <v>0</v>
      </c>
      <c r="B203" s="200">
        <v>10</v>
      </c>
      <c r="C203" s="626">
        <f>ENTRADAS!C515</f>
        <v>0</v>
      </c>
      <c r="D203">
        <f ca="1">IF(H203=0,0,VLOOKUP(B203,$AH$225:$AU$242,10,0)&amp;"  capac.= "&amp; AU236/(1+$AI$221/100)&amp;" ton")</f>
        <v>0</v>
      </c>
      <c r="H203" s="388">
        <f ca="1">IF(AG236="x",IF(AJ236=0,0,AP236),0)</f>
        <v>0</v>
      </c>
      <c r="I203" s="627">
        <f ca="1">IF(H203=0,0,"FRETES TRANSPORTANDO:")</f>
        <v>0</v>
      </c>
      <c r="J203" s="627"/>
      <c r="O203" s="16"/>
      <c r="Q203" s="16"/>
      <c r="R203">
        <f ca="1">IF(H203=0,0,AU234)</f>
        <v>0</v>
      </c>
      <c r="Y203" s="630" t="s">
        <v>42</v>
      </c>
      <c r="Z203" s="32">
        <v>100</v>
      </c>
      <c r="AA203" s="32">
        <v>70</v>
      </c>
    </row>
    <row r="204" spans="1:32" x14ac:dyDescent="0.35">
      <c r="A204" s="20"/>
      <c r="B204" s="200"/>
      <c r="C204" s="195">
        <f>IF(C203="X","Y",0)</f>
        <v>0</v>
      </c>
      <c r="E204">
        <f ca="1">IF(H203=0,0,IF(AG236="x",IF(AJ236=0,0,AJ236),0))</f>
        <v>0</v>
      </c>
      <c r="F204" s="627">
        <f ca="1">IF(ENTRADAS!$C$60="X",IF(H203=0,0,IF($E$11=0,0,"painéis empilhados c/ largura =2,40 m, espessura= 0,25 m e comprimento=")),IF(ENTRADAS!$E$60="X",IF(H203=0,0,IF($E$11=0,0,"painéis empilhados c/ largura =2,40 m, espessura= 0,30 m e comprimento=")),IF(ENTRADAS!$C$65="X",IF(H203=0,0,IF($E$11=0,0,"painéis empilhados c/ largura =2,10 m, espessura= 0,18 m e comprimento=")),0)))</f>
        <v>0</v>
      </c>
      <c r="H204" s="388"/>
      <c r="I204" s="627"/>
      <c r="J204" s="627"/>
      <c r="N204" s="4">
        <f ca="1">IF(H203=0,0,IF($E$11=0,0,$I$11))</f>
        <v>0</v>
      </c>
      <c r="O204" s="16">
        <f ca="1">IF(H203=0,0,IF($E$11=0,0,"m"))</f>
        <v>0</v>
      </c>
      <c r="Q204" s="16"/>
      <c r="R204" t="s">
        <v>1831</v>
      </c>
      <c r="Y204" s="630" t="s">
        <v>1844</v>
      </c>
      <c r="Z204" s="32">
        <f ca="1">IF(AND(H587="sc-10",E11&lt;=10),Z202,IF(AND(H587="sc-14",E11&lt;=8.5),Z202,IF(AND(H587="sc-14",E11&lt;=14),Z203,0)))</f>
        <v>70</v>
      </c>
      <c r="AA204" s="32">
        <f ca="1">IF(ENTRADAS!$I$15&lt;=7,0,IF(AND(H587="sc-10",E11&lt;=10),AA202,IF(AND(H587="sc-14",E11&lt;=8.5),AA202,IF(AND(H587="sc-14",E11&lt;=14),AA203,0))))</f>
        <v>60</v>
      </c>
    </row>
    <row r="205" spans="1:32" x14ac:dyDescent="0.35">
      <c r="A205" s="20"/>
      <c r="B205" s="200"/>
      <c r="C205" s="195"/>
      <c r="F205" s="627"/>
      <c r="H205" s="388"/>
      <c r="I205" s="627"/>
      <c r="J205" s="627"/>
      <c r="N205" s="4"/>
      <c r="O205" s="16"/>
      <c r="Q205" s="16"/>
    </row>
    <row r="206" spans="1:32" x14ac:dyDescent="0.35">
      <c r="A206" s="20">
        <f>IF(C206="x",1,0)</f>
        <v>0</v>
      </c>
      <c r="B206" s="200">
        <v>10</v>
      </c>
      <c r="C206" s="626">
        <f>ENTRADAS!C518</f>
        <v>0</v>
      </c>
      <c r="D206">
        <f ca="1">IF(H206=0,0,VLOOKUP(B206,$AH$225:$AU$242,10,0)&amp;"  capac.= "&amp; AU237/(1+$AI$221/100)&amp;" ton")</f>
        <v>0</v>
      </c>
      <c r="H206" s="388">
        <f ca="1">IF(AG237="x",IF(AJ237=0,0,AP237),0)</f>
        <v>0</v>
      </c>
      <c r="I206" s="627">
        <f ca="1">IF(H206=0,0,"FRETES TRANSPORTANDO:")</f>
        <v>0</v>
      </c>
      <c r="J206" s="627"/>
      <c r="O206" s="16"/>
      <c r="Q206" s="16"/>
      <c r="R206">
        <f ca="1">IF(H206=0,0,AU235)</f>
        <v>0</v>
      </c>
    </row>
    <row r="207" spans="1:32" x14ac:dyDescent="0.35">
      <c r="A207" s="20"/>
      <c r="B207" s="200"/>
      <c r="C207" s="195">
        <f>IF(C206="X","Y",0)</f>
        <v>0</v>
      </c>
      <c r="E207">
        <f ca="1">IF(H206=0,0,IF(AG239="x",IF(AJ239=0,0,AJ239),0))</f>
        <v>0</v>
      </c>
      <c r="F207" s="627">
        <f ca="1">IF(ENTRADAS!$C$60="X",IF(H206=0,0,IF($E$11=0,0,"painéis empilhados c/ largura =2,40 m, espessura= 0,25 m e comprimento=")),IF(ENTRADAS!$E$60="X",IF(H206=0,0,IF($E$11=0,0,"painéis empilhados c/ largura =2,40 m, espessura= 0,30 m e comprimento=")),IF(ENTRADAS!$C$65="X",IF(H206=0,0,IF($E$11=0,0,"painéis empilhados c/ largura =2,10 m, espessura= 0,18 m e comprimento=")),0)))</f>
        <v>0</v>
      </c>
      <c r="H207" s="388"/>
      <c r="I207" s="627"/>
      <c r="J207" s="627"/>
      <c r="N207" s="4">
        <f ca="1">IF(H206=0,0,IF($E$11=0,0,$I$11))</f>
        <v>0</v>
      </c>
      <c r="O207" s="16">
        <f ca="1">IF(H206=0,0,IF($E$11=0,0,"m"))</f>
        <v>0</v>
      </c>
      <c r="Q207" s="16"/>
      <c r="R207" t="s">
        <v>1831</v>
      </c>
    </row>
    <row r="208" spans="1:32" x14ac:dyDescent="0.35">
      <c r="A208" s="20"/>
      <c r="B208" s="200"/>
      <c r="C208" s="195"/>
      <c r="F208" s="627"/>
      <c r="H208" s="388"/>
      <c r="I208" s="627"/>
      <c r="J208" s="627"/>
      <c r="N208" s="4"/>
      <c r="O208" s="16"/>
      <c r="Q208" s="16"/>
    </row>
    <row r="209" spans="1:58" x14ac:dyDescent="0.35">
      <c r="A209" s="20">
        <f>IF(C209="x",1,0)</f>
        <v>0</v>
      </c>
      <c r="B209" s="200">
        <v>10</v>
      </c>
      <c r="C209" s="626">
        <f>ENTRADAS!C521</f>
        <v>0</v>
      </c>
      <c r="D209">
        <f ca="1">IF(H209=0,0,VLOOKUP(B209,$AH$225:$AU$242,10,0)&amp;"  capac.= "&amp; AU238/(1+$AI$221/100)&amp;" ton")</f>
        <v>0</v>
      </c>
      <c r="H209" s="388">
        <f ca="1">IF(AG238="x",IF(AJ238=0,0,AP238),0)</f>
        <v>0</v>
      </c>
      <c r="I209" s="627">
        <f ca="1">IF(H209=0,0,"FRETES TRANSPORTANDO:")</f>
        <v>0</v>
      </c>
      <c r="J209" s="627"/>
      <c r="O209" s="16"/>
      <c r="Q209" s="16"/>
      <c r="R209">
        <f ca="1">IF(H209=0,0,AU236)</f>
        <v>0</v>
      </c>
    </row>
    <row r="210" spans="1:58" x14ac:dyDescent="0.35">
      <c r="A210" s="20"/>
      <c r="B210" s="200"/>
      <c r="C210" s="195">
        <f>IF(C209="X","Y",0)</f>
        <v>0</v>
      </c>
      <c r="E210">
        <f ca="1">IF(H209=0,0,IF(AG245="x",IF(AJ245=0,0,AJ245),0))</f>
        <v>0</v>
      </c>
      <c r="F210" s="627">
        <f ca="1">IF(ENTRADAS!$C$60="X",IF(H209=0,0,IF($E$11=0,0,"painéis empilhados c/ largura =2,40 m, espessura= 0,25 m e comprimento=")),IF(ENTRADAS!$E$60="X",IF(H209=0,0,IF($E$11=0,0,"painéis empilhados c/ largura =2,40 m, espessura= 0,30 m e comprimento=")),IF(ENTRADAS!$C$65="X",IF(H209=0,0,IF($E$11=0,0,"painéis empilhados c/ largura =2,10 m, espessura= 0,18 m e comprimento=")),0)))</f>
        <v>0</v>
      </c>
      <c r="H210" s="388"/>
      <c r="I210" s="627"/>
      <c r="J210" s="627"/>
      <c r="N210" s="4">
        <f ca="1">IF(H209=0,0,IF($E$11=0,0,$I$11))</f>
        <v>0</v>
      </c>
      <c r="O210" s="16">
        <f ca="1">IF(H209=0,0,IF($E$11=0,0,"m"))</f>
        <v>0</v>
      </c>
      <c r="Q210" s="16"/>
      <c r="R210" t="s">
        <v>1831</v>
      </c>
    </row>
    <row r="211" spans="1:58" x14ac:dyDescent="0.35">
      <c r="A211" s="20"/>
      <c r="B211" s="200"/>
      <c r="C211" s="195"/>
      <c r="F211" s="627"/>
      <c r="H211" s="388"/>
      <c r="I211" s="627"/>
      <c r="J211" s="627"/>
      <c r="N211" s="4"/>
      <c r="O211" s="16"/>
      <c r="Q211" s="16"/>
    </row>
    <row r="212" spans="1:58" x14ac:dyDescent="0.35">
      <c r="A212" s="20">
        <f>IF(C212="x",1,0)</f>
        <v>0</v>
      </c>
      <c r="B212" s="200">
        <v>10</v>
      </c>
      <c r="C212" s="626">
        <f>ENTRADAS!C524</f>
        <v>0</v>
      </c>
      <c r="D212">
        <f ca="1">IF(H212=0,0,VLOOKUP(B212,$AH$225:$AU$242,10,0)&amp;"  capac.= "&amp; AU239/(1+$AI$221/100)&amp;" ton")</f>
        <v>0</v>
      </c>
      <c r="H212" s="388">
        <f ca="1">IF(AG239="x",IF(AJ239=0,0,AP239),0)</f>
        <v>0</v>
      </c>
      <c r="I212" s="627">
        <f ca="1">IF(H212=0,0,"FRETES TRANSPORTANDO:")</f>
        <v>0</v>
      </c>
      <c r="J212" s="627"/>
      <c r="O212" s="16"/>
      <c r="Q212" s="16"/>
      <c r="R212">
        <f ca="1">IF(H212=0,0,AU237)</f>
        <v>0</v>
      </c>
    </row>
    <row r="213" spans="1:58" x14ac:dyDescent="0.35">
      <c r="A213" s="20"/>
      <c r="B213" s="200"/>
      <c r="C213" s="195">
        <f>IF(C212="X","Y",0)</f>
        <v>0</v>
      </c>
      <c r="E213">
        <f ca="1">IF(H212=0,0,IF(AG249="x",IF(AJ249=0,0,AJ249),0))</f>
        <v>0</v>
      </c>
      <c r="F213" s="627">
        <f ca="1">IF(ENTRADAS!$C$60="X",IF(H212=0,0,IF($E$11=0,0,"painéis empilhados c/ largura =2,40 m, espessura= 0,25 m e comprimento=")),IF(ENTRADAS!$E$60="X",IF(H212=0,0,IF($E$11=0,0,"painéis empilhados c/ largura =2,40 m, espessura= 0,30 m e comprimento=")),IF(ENTRADAS!$C$65="X",IF(H212=0,0,IF($E$11=0,0,"painéis empilhados c/ largura =2,10 m, espessura= 0,18 m e comprimento=")),0)))</f>
        <v>0</v>
      </c>
      <c r="H213" s="388"/>
      <c r="I213" s="627"/>
      <c r="J213" s="627"/>
      <c r="N213" s="4">
        <f ca="1">IF(H212=0,0,IF($E$11=0,0,$I$11))</f>
        <v>0</v>
      </c>
      <c r="O213" s="16">
        <f ca="1">IF(H212=0,0,IF($E$11=0,0,"m"))</f>
        <v>0</v>
      </c>
      <c r="Q213" s="16"/>
      <c r="R213" t="s">
        <v>1831</v>
      </c>
    </row>
    <row r="214" spans="1:58" x14ac:dyDescent="0.35">
      <c r="A214" s="20"/>
      <c r="B214" s="200"/>
      <c r="C214" s="195"/>
      <c r="F214" s="627"/>
      <c r="H214" s="388"/>
      <c r="I214" s="627"/>
      <c r="J214" s="627"/>
      <c r="N214" s="4"/>
      <c r="O214" s="16"/>
      <c r="Q214" s="16"/>
    </row>
    <row r="215" spans="1:58" x14ac:dyDescent="0.35">
      <c r="A215" s="20">
        <f>IF(C215="x",1,0)</f>
        <v>0</v>
      </c>
      <c r="B215" s="200">
        <v>10</v>
      </c>
      <c r="C215" s="626">
        <f>ENTRADAS!C527</f>
        <v>0</v>
      </c>
      <c r="D215">
        <f ca="1">IF(H215=0,0,VLOOKUP(B215,$AH$225:$AU$242,10,0)&amp;"  capac.= "&amp; AU241/(1+$AI$221/100)&amp;" ton")</f>
        <v>0</v>
      </c>
      <c r="H215" s="388">
        <f ca="1">IF(AG241="x",IF(AJ241=0,0,AP241),0)</f>
        <v>0</v>
      </c>
      <c r="I215" s="627">
        <f ca="1">IF(H215=0,0,"FRETES TRANSPORTANDO:")</f>
        <v>0</v>
      </c>
      <c r="J215" s="627"/>
      <c r="O215" s="16"/>
      <c r="Q215" s="16"/>
      <c r="R215">
        <f ca="1">IF(H215=0,0,AU238)</f>
        <v>0</v>
      </c>
    </row>
    <row r="216" spans="1:58" x14ac:dyDescent="0.35">
      <c r="A216" s="20"/>
      <c r="B216" s="200"/>
      <c r="C216" s="195">
        <f>IF(C215="X","Y",0)</f>
        <v>0</v>
      </c>
      <c r="E216">
        <f ca="1">IF(H215=0,0,IF(AG252="x",IF(AJ252=0,0,AJ252),0))</f>
        <v>0</v>
      </c>
      <c r="F216" s="627">
        <f ca="1">IF(ENTRADAS!$C$60="X",IF(H215=0,0,IF($E$11=0,0,"painéis empilhados c/ largura =2,40 m, espessura= 0,25 m e comprimento=")),IF(ENTRADAS!$E$60="X",IF(H215=0,0,IF($E$11=0,0,"painéis empilhados c/ largura =2,40 m, espessura= 0,30 m e comprimento=")),IF(ENTRADAS!$C$65="X",IF(H215=0,0,IF($E$11=0,0,"painéis empilhados c/ largura =2,10 m, espessura= 0,18 m e comprimento=")),0)))</f>
        <v>0</v>
      </c>
      <c r="H216" s="388"/>
      <c r="I216" s="627"/>
      <c r="J216" s="627"/>
      <c r="N216" s="4">
        <f ca="1">IF(H215=0,0,IF($E$11=0,0,$I$11))</f>
        <v>0</v>
      </c>
      <c r="O216" s="16">
        <f ca="1">IF(H215=0,0,IF($E$11=0,0,"m"))</f>
        <v>0</v>
      </c>
      <c r="Q216" s="16"/>
      <c r="R216" t="s">
        <v>1831</v>
      </c>
    </row>
    <row r="217" spans="1:58" x14ac:dyDescent="0.35">
      <c r="A217" s="20"/>
      <c r="B217" s="200"/>
      <c r="C217" s="195"/>
      <c r="F217" s="627"/>
      <c r="H217" s="388"/>
      <c r="I217" s="627"/>
      <c r="J217" s="627"/>
      <c r="N217" s="4"/>
      <c r="O217" s="16"/>
      <c r="Q217" s="16"/>
    </row>
    <row r="218" spans="1:58" x14ac:dyDescent="0.35">
      <c r="A218" s="20">
        <f>IF(C218="x",1,0)</f>
        <v>0</v>
      </c>
      <c r="B218" s="200">
        <v>10</v>
      </c>
      <c r="C218" s="626">
        <f>ENTRADAS!C530</f>
        <v>0</v>
      </c>
      <c r="D218">
        <f ca="1">IF(H218=0,0,VLOOKUP(B218,$AH$225:$AU$242,10,0)&amp;"  capac.= "&amp; AU242/(1+$AI$221/100)&amp;" ton")</f>
        <v>0</v>
      </c>
      <c r="H218" s="388">
        <f ca="1">IF(AG242="x",IF(AJ242=0,0,AP242),0)</f>
        <v>0</v>
      </c>
      <c r="I218" s="627">
        <f ca="1">IF(H218=0,0,"FRETES TRANSPORTANDO:")</f>
        <v>0</v>
      </c>
      <c r="J218" s="627"/>
      <c r="O218" s="16"/>
      <c r="Q218" s="16"/>
      <c r="R218">
        <f ca="1">IF(H218=0,0,AU239)</f>
        <v>0</v>
      </c>
    </row>
    <row r="219" spans="1:58" x14ac:dyDescent="0.35">
      <c r="A219" s="20"/>
      <c r="B219" s="200"/>
      <c r="C219" s="195">
        <f>IF(C218="X","Y",0)</f>
        <v>0</v>
      </c>
      <c r="E219">
        <f ca="1">IF(H218=0,0,IF(AG255="x",IF(AJ255=0,0,AJ255),0))</f>
        <v>0</v>
      </c>
      <c r="F219" s="627">
        <f ca="1">IF(ENTRADAS!$C$60="X",IF(H218=0,0,IF($E$11=0,0,"painéis empilhados c/ largura =2,40 m, espessura= 0,25 m e comprimento=")),IF(ENTRADAS!$E$60="X",IF(H218=0,0,IF($E$11=0,0,"painéis empilhados c/ largura =2,40 m, espessura= 0,30 m e comprimento=")),IF(ENTRADAS!$C$65="X",IF(H218=0,0,IF($E$11=0,0,"painéis empilhados c/ largura =2,10 m, espessura= 0,18 m e comprimento=")),0)))</f>
        <v>0</v>
      </c>
      <c r="H219" s="388"/>
      <c r="I219" s="627"/>
      <c r="J219" s="627"/>
      <c r="N219" s="4">
        <f ca="1">IF(H218=0,0,IF($E$11=0,0,$I$11))</f>
        <v>0</v>
      </c>
      <c r="O219" s="16">
        <f ca="1">IF(H218=0,0,IF($E$11=0,0,"m"))</f>
        <v>0</v>
      </c>
      <c r="Q219" s="16"/>
      <c r="R219" t="s">
        <v>1831</v>
      </c>
    </row>
    <row r="220" spans="1:58" ht="13.15" thickBot="1" x14ac:dyDescent="0.4">
      <c r="A220" s="20"/>
      <c r="B220" s="201"/>
      <c r="C220" s="198">
        <f>IF(D335="X","Y",0)</f>
        <v>0</v>
      </c>
      <c r="D220" s="3">
        <f>IF(E220="X",1,0)</f>
        <v>0</v>
      </c>
      <c r="E220" s="3"/>
      <c r="F220" s="749"/>
      <c r="G220" s="3"/>
      <c r="H220" s="3"/>
      <c r="I220" s="3"/>
      <c r="J220" s="3"/>
      <c r="K220" s="3"/>
      <c r="L220" s="3"/>
      <c r="M220" s="3"/>
      <c r="N220" s="33"/>
      <c r="O220" s="17"/>
      <c r="Q220" s="16"/>
      <c r="AB220" s="2070" t="s">
        <v>1850</v>
      </c>
      <c r="AC220" s="2070"/>
    </row>
    <row r="221" spans="1:58" ht="13.15" thickBot="1" x14ac:dyDescent="0.4">
      <c r="A221" s="20"/>
      <c r="C221" s="627"/>
      <c r="Q221" s="16"/>
      <c r="AB221" s="32" t="s">
        <v>1851</v>
      </c>
      <c r="AC221" s="32" t="s">
        <v>1852</v>
      </c>
      <c r="AG221" s="692" t="s">
        <v>1853</v>
      </c>
      <c r="AH221" s="21"/>
      <c r="AI221" s="156">
        <f>ENTRADAS!E480</f>
        <v>0</v>
      </c>
      <c r="AJ221" s="691" t="s">
        <v>130</v>
      </c>
      <c r="AN221" s="32" t="s">
        <v>1854</v>
      </c>
      <c r="AO221" s="32" t="s">
        <v>1855</v>
      </c>
      <c r="AP221" s="32" t="s">
        <v>1844</v>
      </c>
    </row>
    <row r="222" spans="1:58" x14ac:dyDescent="0.35">
      <c r="A222" s="20"/>
      <c r="C222" s="627" t="s">
        <v>385</v>
      </c>
      <c r="Q222" s="16"/>
      <c r="W222" s="13" t="s">
        <v>341</v>
      </c>
      <c r="X222" s="14"/>
      <c r="Y222" s="652"/>
      <c r="Z222" s="14"/>
      <c r="AA222" s="14"/>
      <c r="AB222" s="387">
        <v>0.60699999999999998</v>
      </c>
      <c r="AC222" s="32">
        <v>0.79600000000000004</v>
      </c>
      <c r="AD222" s="15"/>
      <c r="AG222" s="705"/>
      <c r="AH222" s="705"/>
      <c r="AI222" s="705"/>
      <c r="AJ222" s="705"/>
      <c r="AK222" s="674"/>
      <c r="AL222" s="674"/>
      <c r="AM222" s="674"/>
      <c r="AN222" s="638" t="s">
        <v>343</v>
      </c>
      <c r="AO222" s="638" t="s">
        <v>343</v>
      </c>
      <c r="AP222" s="638" t="s">
        <v>343</v>
      </c>
      <c r="AW222" s="1337" t="s">
        <v>327</v>
      </c>
      <c r="AX222" s="1337"/>
      <c r="AY222" s="1337"/>
      <c r="AZ222" s="1337"/>
      <c r="BA222" s="1337"/>
      <c r="BB222" s="1337"/>
      <c r="BC222" s="1337"/>
      <c r="BD222" s="1337"/>
      <c r="BE222" s="1337"/>
      <c r="BF222" s="1337"/>
    </row>
    <row r="223" spans="1:58" x14ac:dyDescent="0.35">
      <c r="A223" s="20"/>
      <c r="C223" t="s">
        <v>386</v>
      </c>
      <c r="J223" s="31">
        <f>IF(O223=0,40,O223)</f>
        <v>40</v>
      </c>
      <c r="K223" s="627" t="s">
        <v>387</v>
      </c>
      <c r="M223" s="688" t="s">
        <v>388</v>
      </c>
      <c r="O223" s="7"/>
      <c r="Q223" s="16"/>
      <c r="W223" s="988"/>
      <c r="Z223" s="13" t="str">
        <f>IF(ENTRADAS!G66="X","SC6","SC-10")</f>
        <v>SC-10</v>
      </c>
      <c r="AA223" s="15"/>
      <c r="AB223" s="13">
        <f>IF(E19="X","SC14",0)</f>
        <v>0</v>
      </c>
      <c r="AC223" s="15"/>
      <c r="AD223" s="16"/>
      <c r="AG223" s="1097"/>
      <c r="AH223" s="1097" t="s">
        <v>346</v>
      </c>
      <c r="AI223" s="1097"/>
      <c r="AJ223" s="1097" t="s">
        <v>148</v>
      </c>
      <c r="AK223" s="1097"/>
      <c r="AL223" s="1097"/>
      <c r="AM223" s="1097" t="s">
        <v>347</v>
      </c>
      <c r="AN223" s="750" t="s">
        <v>349</v>
      </c>
      <c r="AO223" s="750" t="s">
        <v>349</v>
      </c>
      <c r="AP223" s="750" t="s">
        <v>349</v>
      </c>
      <c r="AQ223" s="1421" t="s">
        <v>324</v>
      </c>
      <c r="AR223" s="1421"/>
      <c r="AS223" s="1421"/>
      <c r="AT223" s="1421"/>
      <c r="AU223" s="1374" t="s">
        <v>330</v>
      </c>
      <c r="AW223" s="2070" t="s">
        <v>323</v>
      </c>
      <c r="AX223" s="1422" t="s">
        <v>324</v>
      </c>
      <c r="AY223" s="1422"/>
      <c r="AZ223" s="1422"/>
      <c r="BA223" s="1422"/>
      <c r="BB223" s="1422" t="s">
        <v>330</v>
      </c>
      <c r="BC223" s="1422" t="s">
        <v>331</v>
      </c>
      <c r="BD223" s="750" t="s">
        <v>275</v>
      </c>
      <c r="BE223" s="750" t="s">
        <v>332</v>
      </c>
      <c r="BF223" s="705" t="s">
        <v>333</v>
      </c>
    </row>
    <row r="224" spans="1:58" x14ac:dyDescent="0.35">
      <c r="A224" s="20"/>
      <c r="C224" s="627"/>
      <c r="Q224" s="16"/>
      <c r="W224" s="988"/>
      <c r="Z224" s="630" t="s">
        <v>352</v>
      </c>
      <c r="AA224" s="630" t="s">
        <v>353</v>
      </c>
      <c r="AB224" s="630" t="s">
        <v>352</v>
      </c>
      <c r="AC224" s="630" t="s">
        <v>353</v>
      </c>
      <c r="AD224" s="16"/>
      <c r="AG224" s="1047" t="s">
        <v>354</v>
      </c>
      <c r="AH224" s="1047" t="s">
        <v>355</v>
      </c>
      <c r="AI224" s="1047" t="s">
        <v>356</v>
      </c>
      <c r="AJ224" s="1047" t="s">
        <v>357</v>
      </c>
      <c r="AK224" s="1047" t="s">
        <v>358</v>
      </c>
      <c r="AL224" s="1047" t="s">
        <v>359</v>
      </c>
      <c r="AM224" s="1047" t="s">
        <v>360</v>
      </c>
      <c r="AN224" s="386" t="s">
        <v>361</v>
      </c>
      <c r="AO224" s="386" t="s">
        <v>361</v>
      </c>
      <c r="AP224" s="386" t="s">
        <v>361</v>
      </c>
      <c r="AQ224" s="1418"/>
      <c r="AR224" s="1482"/>
      <c r="AS224" s="1482"/>
      <c r="AT224" s="1419"/>
      <c r="AU224" s="1374"/>
      <c r="AW224" s="2070"/>
      <c r="AX224" s="1352"/>
      <c r="AY224" s="1352"/>
      <c r="AZ224" s="1352"/>
      <c r="BA224" s="1352"/>
      <c r="BB224" s="1352"/>
      <c r="BC224" s="1352"/>
      <c r="BD224" s="639" t="s">
        <v>336</v>
      </c>
      <c r="BE224" s="639" t="s">
        <v>337</v>
      </c>
      <c r="BF224" s="673" t="s">
        <v>338</v>
      </c>
    </row>
    <row r="225" spans="1:58" x14ac:dyDescent="0.35">
      <c r="A225" s="20"/>
      <c r="C225" s="627" t="s">
        <v>389</v>
      </c>
      <c r="J225" s="31">
        <f>IF(O225=0,40,O225)</f>
        <v>40</v>
      </c>
      <c r="K225" s="627" t="s">
        <v>390</v>
      </c>
      <c r="L225" s="627"/>
      <c r="M225" s="688" t="s">
        <v>388</v>
      </c>
      <c r="O225" s="7"/>
      <c r="Q225" s="16"/>
      <c r="W225" s="20"/>
      <c r="Y225" s="32" t="s">
        <v>362</v>
      </c>
      <c r="Z225" s="387">
        <f ca="1">IF(Z223="SC6",0.348,IF(Z223="SC-10",J587,0))</f>
        <v>0.47526148320206651</v>
      </c>
      <c r="AA225" s="387">
        <f>IF(Z223="SC6",0.5,IF(Z223="SC-10",0.655,0))</f>
        <v>0.65500000000000003</v>
      </c>
      <c r="AB225" s="387">
        <f ca="1">IF(Z225&gt;(AB222),Z225,(AB222))</f>
        <v>0.60699999999999998</v>
      </c>
      <c r="AC225" s="387">
        <f ca="1">IF(Z225&gt;(AB222),AC222+(AB225-AB222),AC222)</f>
        <v>0.79600000000000004</v>
      </c>
      <c r="AD225" s="16"/>
      <c r="AF225" s="627">
        <f ca="1">IF(AP225=0,1,0)</f>
        <v>0</v>
      </c>
      <c r="AG225" s="673" t="str">
        <f>IF(A153=1,"X",IF($I$11&gt;12,0,IF(AP225=0,0,IF(AP225&gt;=AP224,0,"X"))))</f>
        <v>X</v>
      </c>
      <c r="AH225" s="626">
        <f>D153</f>
        <v>1</v>
      </c>
      <c r="AI225" s="2">
        <f>H153*(1+$AI$221/100)</f>
        <v>25</v>
      </c>
      <c r="AJ225" s="2">
        <f ca="1">IF($E$11=0,0,IF($AB$223="SC-14",ROUNDDOWN(AI225/($AB$237+$AB$238),0),ROUNDDOWN(AI225/($Z$237+$Z$238),0)))</f>
        <v>2</v>
      </c>
      <c r="AK225" s="389">
        <f ca="1">IF($E$11=0,0,IF($AB$223="SC-14",ROUNDDOWN(AI225/($AC$237+$AC$238),0),ROUNDDOWN(AI225/($AA$237+$AA$238),0)))</f>
        <v>2</v>
      </c>
      <c r="AL225" s="389">
        <f>IF(AI225=0,0,$G$44+$G$46)</f>
        <v>2</v>
      </c>
      <c r="AM225" s="389">
        <f ca="1">IF(AK225-AL225&lt;0,0,AK225-AL225)</f>
        <v>0</v>
      </c>
      <c r="AN225" s="389">
        <f ca="1">IF(AK225=0,0,ROUNDUP(IF(AL225&lt;=AK225,(($F$15*(($G$50)-(AM225)))/AJ225)+(($F$15*(($G$44+$G$46))))/AK225,($F$15*$G$50/AJ225)+$F$15*(AL225/AK225)),0))</f>
        <v>124</v>
      </c>
      <c r="AO225" s="32">
        <f ca="1">IF(AK225=0,0,ROUNDUP(IF(AL225&lt;=AK225,(($F$15*($G$44+$G$46+$G$50)-(AM225))/AJ225)+1,($F$15*$G$50/AJ225)+(AL225/AK225)),0))</f>
        <v>125</v>
      </c>
      <c r="AP225" s="389">
        <f ca="1">IF(ENTRADAS!$D$912="X",AN225,AO225)</f>
        <v>125</v>
      </c>
      <c r="AQ225" s="9" t="str">
        <f>E153</f>
        <v xml:space="preserve">CARRETA ABERTA </v>
      </c>
      <c r="AR225" s="10"/>
      <c r="AS225" s="10"/>
      <c r="AT225" s="6"/>
      <c r="AU225" s="546">
        <f>IF(AG225="x",AI225,0)</f>
        <v>25</v>
      </c>
      <c r="AW225" s="2">
        <f>IF(AX225=0,0,1)</f>
        <v>1</v>
      </c>
      <c r="AX225" s="9" t="str">
        <f>AQ225</f>
        <v xml:space="preserve">CARRETA ABERTA </v>
      </c>
      <c r="AY225" s="10"/>
      <c r="AZ225" s="10"/>
      <c r="BA225" s="6"/>
      <c r="BB225" s="41">
        <f>H153</f>
        <v>25</v>
      </c>
      <c r="BC225" s="729" t="str">
        <f ca="1">IF(BD225=0,0,"ton")</f>
        <v>ton</v>
      </c>
      <c r="BD225" s="390">
        <f ca="1">AP225</f>
        <v>125</v>
      </c>
      <c r="BE225" s="390">
        <f ca="1">IF(BD225=0,0,AJ225)</f>
        <v>2</v>
      </c>
      <c r="BF225" s="2" t="str">
        <f ca="1">IF(AX225=0,0,IF(BD225=0,"NÃO","SIM"))</f>
        <v>SIM</v>
      </c>
    </row>
    <row r="226" spans="1:58" x14ac:dyDescent="0.35">
      <c r="A226" s="20"/>
      <c r="C226" s="627"/>
      <c r="J226" s="627"/>
      <c r="K226" s="627"/>
      <c r="L226" s="627"/>
      <c r="Q226" s="16"/>
      <c r="W226" s="20"/>
      <c r="Y226" s="32" t="s">
        <v>363</v>
      </c>
      <c r="Z226" s="7">
        <f ca="1">Z225*2.5</f>
        <v>1.1881537080051663</v>
      </c>
      <c r="AA226" s="7">
        <f>AA225*2.5</f>
        <v>1.6375000000000002</v>
      </c>
      <c r="AB226" s="731">
        <f ca="1">AB225*2.5</f>
        <v>1.5175000000000001</v>
      </c>
      <c r="AC226" s="7">
        <f ca="1">AC225*2.5</f>
        <v>1.9900000000000002</v>
      </c>
      <c r="AD226" s="16"/>
      <c r="AF226" s="627">
        <f ca="1">IF(AP226=0,1,0)</f>
        <v>0</v>
      </c>
      <c r="AG226" s="673" t="str">
        <f>IF(A154=1,"X",IF($I$11&gt;12,0,IF(AP226=0,0,IF(AF225=1,"x",IF(AP226&gt;=AP225,0,"X")))))</f>
        <v>X</v>
      </c>
      <c r="AH226" s="626">
        <f>D154</f>
        <v>2</v>
      </c>
      <c r="AI226" s="2">
        <f t="shared" ref="AI226:AI229" si="11">H154*(1+$AI$221/100)</f>
        <v>31</v>
      </c>
      <c r="AJ226" s="2">
        <f ca="1">IF($E$11=0,0,IF($AB$223="SC-14",ROUNDDOWN(AI226/($AB$237+$AB$238),0),ROUNDDOWN(AI226/($Z$237+$Z$238),0)))</f>
        <v>3</v>
      </c>
      <c r="AK226" s="389">
        <f ca="1">IF($E$11=0,0,IF($AB$223="SC-14",ROUNDDOWN(AI226/($AC$237+$AC$238),0),ROUNDDOWN(AI226/($AA$237+$AA$238),0)))</f>
        <v>2</v>
      </c>
      <c r="AL226" s="389">
        <f>IF(AI226=0,0,$G$44+$G$46)</f>
        <v>2</v>
      </c>
      <c r="AM226" s="389">
        <f ca="1">IF(AK226-AL226&lt;0,0,AK226-AL226)</f>
        <v>0</v>
      </c>
      <c r="AN226" s="389">
        <f ca="1">IF(AK226=0,0,ROUNDUP(IF(AL226&lt;=AK226,(($F$15*(($G$50)-(AM226)))/AJ226)+(($F$15*(($G$44+$G$46))))/AK226,($F$15*$G$50/AJ226)+$F$15*(AL226/AK226)),0))</f>
        <v>84</v>
      </c>
      <c r="AO226" s="32">
        <f t="shared" ref="AO226:AO242" ca="1" si="12">IF(AK226=0,0,ROUNDUP(IF(AL226&lt;=AK226,(($F$15*($G$44+$G$46+$G$50)-(AM226))/AJ226)+1,($F$15*$G$50/AJ226)+(AL226/AK226)),0))</f>
        <v>84</v>
      </c>
      <c r="AP226" s="389">
        <f ca="1">IF(ENTRADAS!$D$912="X",AN226,AO226)</f>
        <v>84</v>
      </c>
      <c r="AQ226" s="9" t="str">
        <f>E154</f>
        <v>CARRETA LS</v>
      </c>
      <c r="AR226" s="10"/>
      <c r="AS226" s="10"/>
      <c r="AT226" s="6"/>
      <c r="AU226" s="41">
        <f>IF(AG226="x",AI226,0)</f>
        <v>31</v>
      </c>
      <c r="AW226" s="2">
        <f>IF(AX226=0,0,2)</f>
        <v>2</v>
      </c>
      <c r="AX226" s="9" t="str">
        <f>AQ226</f>
        <v>CARRETA LS</v>
      </c>
      <c r="AY226" s="10"/>
      <c r="AZ226" s="10"/>
      <c r="BA226" s="6"/>
      <c r="BB226" s="41">
        <f>H154</f>
        <v>31</v>
      </c>
      <c r="BC226" s="729" t="str">
        <f ca="1">IF(BD226=0,0,"ton")</f>
        <v>ton</v>
      </c>
      <c r="BD226" s="390">
        <f ca="1">AP226</f>
        <v>84</v>
      </c>
      <c r="BE226" s="390">
        <f ca="1">IF(BD226=0,0,AJ226)</f>
        <v>3</v>
      </c>
      <c r="BF226" s="2" t="str">
        <f ca="1">IF(AX226=0,0,IF(BD226=0,"NÃO","SIM"))</f>
        <v>SIM</v>
      </c>
    </row>
    <row r="227" spans="1:58" x14ac:dyDescent="0.35">
      <c r="A227" s="20"/>
      <c r="C227" s="627" t="s">
        <v>391</v>
      </c>
      <c r="J227" s="627"/>
      <c r="K227" s="627"/>
      <c r="L227" s="627"/>
      <c r="Q227" s="16"/>
      <c r="W227" s="20"/>
      <c r="Y227" s="630" t="s">
        <v>364</v>
      </c>
      <c r="Z227" s="7">
        <f>IF(ENTRADAS!C104="X",$F$66/1000,0)</f>
        <v>0</v>
      </c>
      <c r="AA227" s="7">
        <f>IF(ENTRADAS!C104="X",$F$66/1000,0)</f>
        <v>0</v>
      </c>
      <c r="AB227" s="7">
        <f>IF(ENTRADAS!F248="X",$F$66/1000,0)</f>
        <v>0</v>
      </c>
      <c r="AC227" s="7">
        <f>IF(ENTRADAS!F248="X",$F$66/1000,0)</f>
        <v>0</v>
      </c>
      <c r="AD227" s="16"/>
      <c r="AF227" s="627">
        <f ca="1">IF(AP227=0,1,0)</f>
        <v>0</v>
      </c>
      <c r="AG227" s="673" t="str">
        <f>IF(A155=1,"X",IF($I$11&gt;12,0,IF(AP227=0,0,IF(AF226=1,"x",IF(AP227&gt;=AP226,0,"X")))))</f>
        <v>X</v>
      </c>
      <c r="AH227" s="626">
        <f>D155</f>
        <v>3</v>
      </c>
      <c r="AI227" s="2">
        <f t="shared" si="11"/>
        <v>25</v>
      </c>
      <c r="AJ227" s="2">
        <f ca="1">IF($E$11=0,0,IF($AB$223="SC-14",ROUNDDOWN(AI227/($AB$237+$AB$238),0),ROUNDDOWN(AI227/($Z$237+$Z$238),0)))</f>
        <v>2</v>
      </c>
      <c r="AK227" s="389">
        <f ca="1">IF($E$11=0,0,IF($AB$223="SC-14",ROUNDDOWN(AI227/($AC$237+$AC$238),0),ROUNDDOWN(AI227/($AA$237+$AA$238),0)))</f>
        <v>2</v>
      </c>
      <c r="AL227" s="389">
        <f>IF(AI227=0,0,$G$44+$G$46)</f>
        <v>2</v>
      </c>
      <c r="AM227" s="389">
        <f ca="1">IF(AK227-AL227&lt;0,0,AK227-AL227)</f>
        <v>0</v>
      </c>
      <c r="AN227" s="389">
        <f ca="1">IF(AK227=0,0,ROUNDUP(IF(AL227&lt;=AK227,(($F$15*(($G$50)-(AM227)))/AJ227)+(($F$15*(($G$44+$G$46))))/AK227,($F$15*$G$50/AJ227)+$F$15*(AL227/AK227)),0))</f>
        <v>124</v>
      </c>
      <c r="AO227" s="32">
        <f t="shared" ca="1" si="12"/>
        <v>125</v>
      </c>
      <c r="AP227" s="389">
        <f ca="1">IF(ENTRADAS!$D$912="X",AN227,AO227)</f>
        <v>125</v>
      </c>
      <c r="AQ227" s="9" t="str">
        <f>E155</f>
        <v>CARRETA VANDERLEIA</v>
      </c>
      <c r="AR227" s="10"/>
      <c r="AS227" s="10"/>
      <c r="AT227" s="6"/>
      <c r="AU227" s="41">
        <f>IF(AG227="x",AI227,0)</f>
        <v>25</v>
      </c>
      <c r="AW227" s="2">
        <f>IF(AX227=0,0,3)</f>
        <v>3</v>
      </c>
      <c r="AX227" s="9" t="str">
        <f>AQ227</f>
        <v>CARRETA VANDERLEIA</v>
      </c>
      <c r="AY227" s="10"/>
      <c r="AZ227" s="10"/>
      <c r="BA227" s="6"/>
      <c r="BB227" s="41">
        <f>H155</f>
        <v>25</v>
      </c>
      <c r="BC227" s="729" t="str">
        <f ca="1">IF(BD227=0,0,"ton")</f>
        <v>ton</v>
      </c>
      <c r="BD227" s="390">
        <f ca="1">AP227</f>
        <v>125</v>
      </c>
      <c r="BE227" s="390">
        <f ca="1">IF(BD227=0,0,AJ227)</f>
        <v>2</v>
      </c>
      <c r="BF227" s="2" t="str">
        <f ca="1">IF(AX227=0,0,IF(BD227=0,"NÃO","SIM"))</f>
        <v>SIM</v>
      </c>
    </row>
    <row r="228" spans="1:58" x14ac:dyDescent="0.35">
      <c r="A228" s="20"/>
      <c r="C228" s="627"/>
      <c r="E228" s="627" t="s">
        <v>392</v>
      </c>
      <c r="J228" s="7">
        <f>ENTRADAS!J543</f>
        <v>0</v>
      </c>
      <c r="K228" s="627" t="str">
        <f>IF(J228&lt;=1,"dia","dias")</f>
        <v>dia</v>
      </c>
      <c r="L228" s="627"/>
      <c r="Q228" s="16"/>
      <c r="W228" s="20"/>
      <c r="Y228" s="630" t="s">
        <v>365</v>
      </c>
      <c r="Z228" s="7">
        <f>IF(ENTRADAS!C110="X",$F$68/1000,0)</f>
        <v>0</v>
      </c>
      <c r="AA228" s="7">
        <f>IF(ENTRADAS!C110="X",$F$68/1000,0)</f>
        <v>0</v>
      </c>
      <c r="AB228" s="7">
        <f>IF(ENTRADAS!F248="X",$F$68/1000,0)</f>
        <v>0</v>
      </c>
      <c r="AC228" s="7">
        <f>IF(ENTRADAS!F248="X",$F$68/1000,0)</f>
        <v>0</v>
      </c>
      <c r="AD228" s="16"/>
      <c r="AF228" s="627">
        <f ca="1">IF(AP228=0,1,0)</f>
        <v>0</v>
      </c>
      <c r="AG228" s="673" t="str">
        <f>IF(A156=1,"X",IF($I$11&gt;12,0,IF(AP228=0,0,IF(AF227=1,"x",IF(AP228&gt;=AP227,0,"X")))))</f>
        <v>X</v>
      </c>
      <c r="AH228" s="626">
        <f>D156</f>
        <v>4</v>
      </c>
      <c r="AI228" s="2">
        <f t="shared" si="11"/>
        <v>31</v>
      </c>
      <c r="AJ228" s="2">
        <f ca="1">IF($E$11=0,0,IF($AB$223="SC-14",ROUNDDOWN(AI228/($AB$237+$AB$238),0),ROUNDDOWN(AI228/($Z$237+$Z$238),0)))</f>
        <v>3</v>
      </c>
      <c r="AK228" s="389">
        <f ca="1">IF($E$11=0,0,IF($AB$223="SC-14",ROUNDDOWN(AI228/($AC$237+$AC$238),0),ROUNDDOWN(AI228/($AA$237+$AA$238),0)))</f>
        <v>2</v>
      </c>
      <c r="AL228" s="389">
        <f>IF(AI228=0,0,$G$44+$G$46)</f>
        <v>2</v>
      </c>
      <c r="AM228" s="389">
        <f ca="1">IF(AK228-AL228&lt;0,0,AK228-AL228)</f>
        <v>0</v>
      </c>
      <c r="AN228" s="389">
        <f ca="1">IF(AK228=0,0,ROUNDUP(IF(AL228&lt;=AK228,(($F$15*(($G$50)-(AM228)))/AJ228)+(($F$15*(($G$44+$G$46))))/AK228,($F$15*$G$50/AJ228)+$F$15*(AL228/AK228)),0))</f>
        <v>84</v>
      </c>
      <c r="AO228" s="32">
        <f t="shared" ca="1" si="12"/>
        <v>84</v>
      </c>
      <c r="AP228" s="389">
        <f ca="1">IF(ENTRADAS!$D$912="X",AN228,AO228)</f>
        <v>84</v>
      </c>
      <c r="AQ228" s="9" t="str">
        <f>E156</f>
        <v>CARRETA VANDERLEIA</v>
      </c>
      <c r="AR228" s="10"/>
      <c r="AS228" s="10"/>
      <c r="AT228" s="6"/>
      <c r="AU228" s="41">
        <f>IF(AG228="x",AI228,0)</f>
        <v>31</v>
      </c>
      <c r="AW228" s="2">
        <f>IF(AX228=0,0,4)</f>
        <v>4</v>
      </c>
      <c r="AX228" s="9" t="str">
        <f>AQ228</f>
        <v>CARRETA VANDERLEIA</v>
      </c>
      <c r="AY228" s="10"/>
      <c r="AZ228" s="10"/>
      <c r="BA228" s="6"/>
      <c r="BB228" s="41">
        <f>H156</f>
        <v>31</v>
      </c>
      <c r="BC228" s="729" t="str">
        <f ca="1">IF(BD228=0,0,"ton")</f>
        <v>ton</v>
      </c>
      <c r="BD228" s="390">
        <f ca="1">AP228</f>
        <v>84</v>
      </c>
      <c r="BE228" s="390">
        <f ca="1">IF(BD228=0,0,AJ228)</f>
        <v>3</v>
      </c>
      <c r="BF228" s="2" t="str">
        <f ca="1">IF(AX228=0,0,IF(BD228=0,"NÃO","SIM"))</f>
        <v>SIM</v>
      </c>
    </row>
    <row r="229" spans="1:58" x14ac:dyDescent="0.35">
      <c r="A229" s="20"/>
      <c r="Q229" s="16"/>
      <c r="W229" s="20"/>
      <c r="Y229" s="32" t="s">
        <v>366</v>
      </c>
      <c r="Z229" s="7">
        <f ca="1">(Z226*$I$11)+Z227+Z228</f>
        <v>8.6735220684377143</v>
      </c>
      <c r="AA229" s="7">
        <f ca="1">(AA226*$I$11)+AA227+AA228</f>
        <v>11.953750000000003</v>
      </c>
      <c r="AB229" s="7">
        <f ca="1">(AB226*$I$11)+AB227+AB228</f>
        <v>11.077750000000002</v>
      </c>
      <c r="AC229" s="7">
        <f ca="1">(AC226*$I$11)+AC227+AC228</f>
        <v>14.527000000000003</v>
      </c>
      <c r="AD229" s="16"/>
      <c r="AF229" s="627">
        <f ca="1">IF(AP229=0,1,0)</f>
        <v>0</v>
      </c>
      <c r="AG229" s="673" t="str">
        <f>IF(A157=1,"X",IF($I$11&gt;12,0,IF(AP229=0,0,IF(AF228=1,"x",IF(AP229&gt;=AP228,0,"X")))))</f>
        <v>X</v>
      </c>
      <c r="AH229" s="626">
        <f>D157</f>
        <v>5</v>
      </c>
      <c r="AI229" s="2">
        <f t="shared" si="11"/>
        <v>35</v>
      </c>
      <c r="AJ229" s="2">
        <f ca="1">IF($E$11=0,0,IF($AB$223="SC-14",ROUNDDOWN(AI229/($AB$237+$AB$238),0),ROUNDDOWN(AI229/($Z$237+$Z$238),0)))</f>
        <v>4</v>
      </c>
      <c r="AK229" s="389">
        <f ca="1">IF($E$11=0,0,IF($AB$223="SC-14",ROUNDDOWN(AI229/($AC$237+$AC$238),0),ROUNDDOWN(AI229/($AA$237+$AA$238),0)))</f>
        <v>2</v>
      </c>
      <c r="AL229" s="389">
        <f>IF(AI229=0,0,$G$44+$G$46)</f>
        <v>2</v>
      </c>
      <c r="AM229" s="389">
        <f ca="1">IF(AK229-AL229&lt;0,0,AK229-AL229)</f>
        <v>0</v>
      </c>
      <c r="AN229" s="389">
        <f ca="1">IF(AK229=0,0,ROUNDUP(IF(AL229&lt;=AK229,(($F$15*(($G$50)-(AM229)))/AJ229)+(($F$15*(($G$44+$G$46))))/AK229,($F$15*$G$50/AJ229)+$F$15*(AL229/AK229)),0))</f>
        <v>64</v>
      </c>
      <c r="AO229" s="32">
        <f t="shared" ca="1" si="12"/>
        <v>63</v>
      </c>
      <c r="AP229" s="389">
        <f ca="1">IF(ENTRADAS!$D$912="X",AN229,AO229)</f>
        <v>63</v>
      </c>
      <c r="AQ229" s="9" t="str">
        <f>E157</f>
        <v>CARRETA VANDERLEIA</v>
      </c>
      <c r="AR229" s="10"/>
      <c r="AS229" s="10"/>
      <c r="AT229" s="6"/>
      <c r="AU229" s="41">
        <f>IF(AG229="x",AI229,0)</f>
        <v>35</v>
      </c>
      <c r="AW229" s="2">
        <f>IF(AX229=0,0,5)</f>
        <v>5</v>
      </c>
      <c r="AX229" s="9" t="str">
        <f>AQ229</f>
        <v>CARRETA VANDERLEIA</v>
      </c>
      <c r="AY229" s="10"/>
      <c r="AZ229" s="10"/>
      <c r="BA229" s="6"/>
      <c r="BB229" s="41">
        <f>H157</f>
        <v>35</v>
      </c>
      <c r="BC229" s="729" t="str">
        <f ca="1">IF(BD229=0,0,"ton")</f>
        <v>ton</v>
      </c>
      <c r="BD229" s="390">
        <f ca="1">AP229</f>
        <v>63</v>
      </c>
      <c r="BE229" s="390">
        <f ca="1">IF(BD229=0,0,AJ229)</f>
        <v>4</v>
      </c>
      <c r="BF229" s="2" t="str">
        <f ca="1">IF(AX229=0,0,IF(BD229=0,"NÃO","SIM"))</f>
        <v>SIM</v>
      </c>
    </row>
    <row r="230" spans="1:58" ht="8.25" customHeight="1" x14ac:dyDescent="0.35">
      <c r="A230" s="18"/>
      <c r="B230" s="3"/>
      <c r="C230" s="3"/>
      <c r="D230" s="3"/>
      <c r="E230" s="3"/>
      <c r="F230" s="3"/>
      <c r="G230" s="3"/>
      <c r="H230" s="3"/>
      <c r="I230" s="3"/>
      <c r="J230" s="3"/>
      <c r="K230" s="3"/>
      <c r="L230" s="3"/>
      <c r="M230" s="3"/>
      <c r="N230" s="3"/>
      <c r="O230" s="3"/>
      <c r="P230" s="3"/>
      <c r="Q230" s="17"/>
      <c r="W230" s="20"/>
      <c r="Z230" s="4"/>
      <c r="AA230" s="4"/>
      <c r="AB230" s="4"/>
      <c r="AC230" s="4"/>
      <c r="AD230" s="16"/>
      <c r="AF230" s="627"/>
      <c r="AG230" s="673"/>
      <c r="AH230" s="626"/>
      <c r="AI230" s="2"/>
      <c r="AJ230" s="2"/>
      <c r="AK230" s="389">
        <f ca="1">IF($E$11=0,0,IF($C$19="X",ROUNDDOWN(AI230/($AA$237+$AA$238),0),IF($E$19="X",ROUNDDOWN(AI230/($AC$237+$AC$238),0),0)))</f>
        <v>0</v>
      </c>
      <c r="AL230" s="389"/>
      <c r="AM230" s="389"/>
      <c r="AN230" s="389"/>
      <c r="AO230" s="32"/>
      <c r="AP230" s="389"/>
      <c r="AQ230" s="9"/>
      <c r="AR230" s="10"/>
      <c r="AS230" s="10"/>
      <c r="AT230" s="6"/>
      <c r="AU230" s="41"/>
      <c r="AW230" s="2"/>
      <c r="AX230" s="9"/>
      <c r="AY230" s="10"/>
      <c r="AZ230" s="10"/>
      <c r="BA230" s="6"/>
      <c r="BB230" s="41"/>
      <c r="BC230" s="729"/>
      <c r="BD230" s="390"/>
      <c r="BE230" s="390"/>
      <c r="BF230" s="2"/>
    </row>
    <row r="231" spans="1:58" ht="8.25" customHeight="1" x14ac:dyDescent="0.35">
      <c r="A231" s="13"/>
      <c r="B231" s="14"/>
      <c r="C231" s="10"/>
      <c r="D231" s="10"/>
      <c r="E231" s="10"/>
      <c r="F231" s="10"/>
      <c r="G231" s="10"/>
      <c r="H231" s="10"/>
      <c r="I231" s="10"/>
      <c r="J231" s="10"/>
      <c r="K231" s="10"/>
      <c r="L231" s="10"/>
      <c r="M231" s="14"/>
      <c r="N231" s="14"/>
      <c r="O231" s="14"/>
      <c r="P231" s="14"/>
      <c r="Q231" s="15"/>
      <c r="W231" s="20"/>
      <c r="Z231" s="4"/>
      <c r="AA231" s="4"/>
      <c r="AB231" s="4"/>
      <c r="AC231" s="4"/>
      <c r="AD231" s="16"/>
      <c r="AF231" s="627"/>
      <c r="AG231" s="673"/>
      <c r="AH231" s="626"/>
      <c r="AI231" s="2"/>
      <c r="AJ231" s="2"/>
      <c r="AK231" s="389">
        <f ca="1">IF($E$11=0,0,IF($C$19="X",ROUNDDOWN(AI231/($AA$237+$AA$238),0),IF($E$19="X",ROUNDDOWN(AI231/($AC$237+$AC$238),0),0)))</f>
        <v>0</v>
      </c>
      <c r="AL231" s="389"/>
      <c r="AM231" s="389"/>
      <c r="AN231" s="389"/>
      <c r="AO231" s="32"/>
      <c r="AP231" s="389"/>
      <c r="AQ231" s="9"/>
      <c r="AR231" s="10"/>
      <c r="AS231" s="10"/>
      <c r="AT231" s="6"/>
      <c r="AU231" s="41"/>
      <c r="AW231" s="2"/>
      <c r="AX231" s="9"/>
      <c r="AY231" s="10"/>
      <c r="AZ231" s="10"/>
      <c r="BA231" s="6"/>
      <c r="BB231" s="41"/>
      <c r="BC231" s="729"/>
      <c r="BD231" s="390"/>
      <c r="BE231" s="390"/>
      <c r="BF231" s="2"/>
    </row>
    <row r="232" spans="1:58" x14ac:dyDescent="0.35">
      <c r="A232" s="20"/>
      <c r="C232" s="1338" t="s">
        <v>393</v>
      </c>
      <c r="D232" s="1441"/>
      <c r="E232" s="1441"/>
      <c r="F232" s="1441"/>
      <c r="G232" s="1441"/>
      <c r="H232" s="1441"/>
      <c r="I232" s="1441"/>
      <c r="J232" s="1441"/>
      <c r="K232" s="1441"/>
      <c r="L232" s="1339"/>
      <c r="Q232" s="16"/>
      <c r="W232" s="20"/>
      <c r="Z232" s="4"/>
      <c r="AA232" s="4"/>
      <c r="AB232" s="4"/>
      <c r="AC232" s="4"/>
      <c r="AD232" s="16"/>
      <c r="AF232" s="627">
        <f t="shared" ref="AF232:AF239" ca="1" si="13">IF(AP232=0,1,0)</f>
        <v>1</v>
      </c>
      <c r="AG232" s="673" t="str">
        <f>IF(A158=1,"X",IF($I$11&gt;12,0,IF(AP232=0,0,IF(AF229=1,"x",IF(AP232&gt;=AP229,0,"X")))))</f>
        <v>X</v>
      </c>
      <c r="AH232" s="626">
        <f t="shared" ref="AH232:AH239" si="14">D158</f>
        <v>6</v>
      </c>
      <c r="AI232" s="2">
        <f t="shared" ref="AI232:AI239" si="15">H158</f>
        <v>0</v>
      </c>
      <c r="AJ232" s="2">
        <f t="shared" ref="AJ232:AJ239" ca="1" si="16">IF($E$11=0,0,IF($AB$223="SC-14",ROUNDDOWN(AI232/($AB$237+$AB$238),0),ROUNDDOWN(AI232/($Z$237+$Z$238),0)))</f>
        <v>0</v>
      </c>
      <c r="AK232" s="389">
        <f t="shared" ref="AK232:AK239" ca="1" si="17">IF($E$11=0,0,IF($AB$223="SC-14",ROUNDDOWN(AI232/($AC$237+$AC$238),0),ROUNDDOWN(AI232/($AA$237+$AA$238),0)))</f>
        <v>0</v>
      </c>
      <c r="AL232" s="389">
        <f t="shared" ref="AL232:AL239" si="18">IF(AI232=0,0,$G$44+$G$46)</f>
        <v>0</v>
      </c>
      <c r="AM232" s="389">
        <f t="shared" ref="AM232:AM239" ca="1" si="19">IF(AK232-AL232&lt;0,0,AK232-AL232)</f>
        <v>0</v>
      </c>
      <c r="AN232" s="389">
        <f t="shared" ref="AN232:AN242" ca="1" si="20">IF(AK232=0,0,ROUNDUP(IF(AL232&lt;=AK232,(($F$15*(($G$50)-(AM232)))/AJ232)+(($F$15*(($G$44+$G$46))))/AK232,($F$15*$G$50/AJ232)+$F$15*(AL232/AK232)),0))</f>
        <v>0</v>
      </c>
      <c r="AO232" s="32">
        <f t="shared" ca="1" si="12"/>
        <v>0</v>
      </c>
      <c r="AP232" s="389">
        <f t="shared" ref="AP232:AP239" ca="1" si="21">IF(AK232=0,0,ROUNDUP(IF(AL232&lt;=AK232,(($F$15*($G$44+$G$46+$G$50)-(AM232))/AJ232)+1,($F$15*$G$50/AJ232)+(AL232/AK232)),0))</f>
        <v>0</v>
      </c>
      <c r="AQ232" s="9">
        <f t="shared" ref="AQ232:AQ239" si="22">E158</f>
        <v>0</v>
      </c>
      <c r="AR232" s="10"/>
      <c r="AS232" s="10"/>
      <c r="AT232" s="6"/>
      <c r="AU232" s="41">
        <f t="shared" ref="AU232:AU239" si="23">IF(AG232="x",AI232,0)</f>
        <v>0</v>
      </c>
      <c r="AW232" s="2">
        <f>IF(AX232=0,0,6)</f>
        <v>0</v>
      </c>
      <c r="AX232" s="9">
        <f t="shared" ref="AX232:AX239" si="24">AQ232</f>
        <v>0</v>
      </c>
      <c r="AY232" s="10"/>
      <c r="AZ232" s="10"/>
      <c r="BA232" s="6"/>
      <c r="BB232" s="41">
        <f t="shared" ref="BB232:BB239" si="25">H158</f>
        <v>0</v>
      </c>
      <c r="BC232" s="729">
        <f t="shared" ref="BC232:BC239" ca="1" si="26">IF(BD232=0,0,"ton")</f>
        <v>0</v>
      </c>
      <c r="BD232" s="390">
        <f t="shared" ref="BD232:BD239" ca="1" si="27">AP232</f>
        <v>0</v>
      </c>
      <c r="BE232" s="390">
        <f t="shared" ref="BE232:BE239" ca="1" si="28">IF(BD232=0,0,AJ232)</f>
        <v>0</v>
      </c>
      <c r="BF232" s="2">
        <f t="shared" ref="BF232:BF239" si="29">IF(AX232=0,0,IF(BD232=0,"NÃO","SIM"))</f>
        <v>0</v>
      </c>
    </row>
    <row r="233" spans="1:58" x14ac:dyDescent="0.35">
      <c r="A233" s="20"/>
      <c r="C233" s="9" t="str">
        <f>IF(N233+O233=2,"CHAPA AÇO 400 x 250 x 3/16'",IF(N233+O233=3,"CHAPA AÇO 500 x 300 x 3/16'",IF(N233+O233=4,"CHAPA AÇO 500 x 300 x 1/4'",0)))</f>
        <v>CHAPA AÇO 500 x 300 x 3/16'</v>
      </c>
      <c r="D233" s="10"/>
      <c r="E233" s="10"/>
      <c r="F233" s="10"/>
      <c r="G233" s="10"/>
      <c r="H233" s="10"/>
      <c r="I233" s="10"/>
      <c r="J233" s="10"/>
      <c r="K233" s="6"/>
      <c r="L233" s="7">
        <f ca="1">IF(E11=0,0,(G44+G46+G50)*F15)</f>
        <v>248</v>
      </c>
      <c r="M233" s="627" t="s">
        <v>46</v>
      </c>
      <c r="N233" s="32">
        <f>IF(OR(C19="x",ENTRADAS!G66="x"),1,IF(E19="x",2,0))</f>
        <v>1</v>
      </c>
      <c r="O233" s="32">
        <f>IF(ENTRADAS!$G$26&lt;=40,1,2)</f>
        <v>2</v>
      </c>
      <c r="P233">
        <f>IF(N233+O233=2,3.8,IF(N233+O233=3,5.6,IF(N233+O233=4,7.45,0)))</f>
        <v>5.6</v>
      </c>
      <c r="Q233" s="719" t="s">
        <v>1856</v>
      </c>
      <c r="W233" s="988" t="s">
        <v>367</v>
      </c>
      <c r="X233" s="627"/>
      <c r="Y233" s="630" t="s">
        <v>370</v>
      </c>
      <c r="Z233" s="7">
        <f ca="1">IF($C$56+$C$62&gt;100,0,(Z226*$I$11))</f>
        <v>8.6735220684377143</v>
      </c>
      <c r="AA233" s="7">
        <f ca="1">IF($C$56+$C$62&gt;100,0,(AA226*$I$11))</f>
        <v>11.953750000000003</v>
      </c>
      <c r="AB233" s="7">
        <f ca="1">IF($C$56+$C$62&gt;100,0,(AB226*$I$11))</f>
        <v>11.077750000000002</v>
      </c>
      <c r="AC233" s="7">
        <f ca="1">IF($C$56+$C$62&gt;100,0,(AC226*$I$11))</f>
        <v>14.527000000000003</v>
      </c>
      <c r="AD233" s="16"/>
      <c r="AF233" s="627">
        <f t="shared" ca="1" si="13"/>
        <v>1</v>
      </c>
      <c r="AG233" s="673" t="str">
        <f t="shared" ref="AG233:AG239" si="30">IF(A159=1,"X",IF($I$11&gt;12,0,IF(AP233=0,0,IF(AF232=1,"x",IF(AP233&gt;=AP232,0,"X")))))</f>
        <v>X</v>
      </c>
      <c r="AH233" s="626">
        <f t="shared" si="14"/>
        <v>7</v>
      </c>
      <c r="AI233" s="2">
        <f t="shared" si="15"/>
        <v>0</v>
      </c>
      <c r="AJ233" s="2">
        <f t="shared" ca="1" si="16"/>
        <v>0</v>
      </c>
      <c r="AK233" s="389">
        <f t="shared" ca="1" si="17"/>
        <v>0</v>
      </c>
      <c r="AL233" s="389">
        <f t="shared" si="18"/>
        <v>0</v>
      </c>
      <c r="AM233" s="389">
        <f t="shared" ca="1" si="19"/>
        <v>0</v>
      </c>
      <c r="AN233" s="389">
        <f t="shared" ca="1" si="20"/>
        <v>0</v>
      </c>
      <c r="AO233" s="32">
        <f t="shared" ca="1" si="12"/>
        <v>0</v>
      </c>
      <c r="AP233" s="389">
        <f t="shared" ca="1" si="21"/>
        <v>0</v>
      </c>
      <c r="AQ233" s="9">
        <f t="shared" si="22"/>
        <v>0</v>
      </c>
      <c r="AR233" s="10"/>
      <c r="AS233" s="10"/>
      <c r="AT233" s="6"/>
      <c r="AU233" s="41">
        <f t="shared" si="23"/>
        <v>0</v>
      </c>
      <c r="AW233" s="2">
        <f>IF(AX233=0,0,7)</f>
        <v>0</v>
      </c>
      <c r="AX233" s="9">
        <f t="shared" si="24"/>
        <v>0</v>
      </c>
      <c r="AY233" s="10"/>
      <c r="AZ233" s="10"/>
      <c r="BA233" s="6"/>
      <c r="BB233" s="41">
        <f t="shared" si="25"/>
        <v>0</v>
      </c>
      <c r="BC233" s="729">
        <f t="shared" ca="1" si="26"/>
        <v>0</v>
      </c>
      <c r="BD233" s="390">
        <f t="shared" ca="1" si="27"/>
        <v>0</v>
      </c>
      <c r="BE233" s="390">
        <f t="shared" ca="1" si="28"/>
        <v>0</v>
      </c>
      <c r="BF233" s="2">
        <f t="shared" si="29"/>
        <v>0</v>
      </c>
    </row>
    <row r="234" spans="1:58" x14ac:dyDescent="0.35">
      <c r="A234" s="20"/>
      <c r="C234" s="633" t="s">
        <v>394</v>
      </c>
      <c r="D234" s="10"/>
      <c r="E234" s="10"/>
      <c r="F234" s="10"/>
      <c r="G234" s="10"/>
      <c r="H234" s="10"/>
      <c r="I234" s="10"/>
      <c r="J234" s="10"/>
      <c r="K234" s="6"/>
      <c r="L234" s="7">
        <f ca="1">ROUNDUP((((G44+G46+G50)*F15)/8*35)/50,0)</f>
        <v>22</v>
      </c>
      <c r="M234" s="627" t="s">
        <v>395</v>
      </c>
      <c r="Q234" s="16"/>
      <c r="W234" s="988" t="s">
        <v>369</v>
      </c>
      <c r="X234" s="627"/>
      <c r="Y234" s="630" t="s">
        <v>370</v>
      </c>
      <c r="Z234" s="7">
        <f>IF($C$56+$C$62&gt;100,Z229,0)</f>
        <v>0</v>
      </c>
      <c r="AA234" s="7">
        <f>IF($C$56+$C$62&gt;100,AA229,0)</f>
        <v>0</v>
      </c>
      <c r="AB234" s="7">
        <f>IF($C$56+$C$62&gt;100,AB229,0)</f>
        <v>0</v>
      </c>
      <c r="AC234" s="7">
        <f>IF($C$56+$C$62&gt;100,AC229,0)</f>
        <v>0</v>
      </c>
      <c r="AD234" s="16"/>
      <c r="AF234" s="627">
        <f t="shared" ca="1" si="13"/>
        <v>1</v>
      </c>
      <c r="AG234" s="673" t="str">
        <f t="shared" si="30"/>
        <v>X</v>
      </c>
      <c r="AH234" s="626">
        <f t="shared" si="14"/>
        <v>8</v>
      </c>
      <c r="AI234" s="2">
        <f t="shared" si="15"/>
        <v>0</v>
      </c>
      <c r="AJ234" s="2">
        <f t="shared" ca="1" si="16"/>
        <v>0</v>
      </c>
      <c r="AK234" s="389">
        <f t="shared" ca="1" si="17"/>
        <v>0</v>
      </c>
      <c r="AL234" s="389">
        <f t="shared" si="18"/>
        <v>0</v>
      </c>
      <c r="AM234" s="389">
        <f t="shared" ca="1" si="19"/>
        <v>0</v>
      </c>
      <c r="AN234" s="389">
        <f t="shared" ca="1" si="20"/>
        <v>0</v>
      </c>
      <c r="AO234" s="32">
        <f t="shared" ca="1" si="12"/>
        <v>0</v>
      </c>
      <c r="AP234" s="389">
        <f t="shared" ca="1" si="21"/>
        <v>0</v>
      </c>
      <c r="AQ234" s="9">
        <f t="shared" si="22"/>
        <v>0</v>
      </c>
      <c r="AR234" s="10"/>
      <c r="AS234" s="10"/>
      <c r="AT234" s="6"/>
      <c r="AU234" s="41">
        <f t="shared" si="23"/>
        <v>0</v>
      </c>
      <c r="AW234" s="2">
        <f>IF(AX234=0,0,8)</f>
        <v>0</v>
      </c>
      <c r="AX234" s="9">
        <f t="shared" si="24"/>
        <v>0</v>
      </c>
      <c r="AY234" s="10"/>
      <c r="AZ234" s="10"/>
      <c r="BA234" s="6"/>
      <c r="BB234" s="41">
        <f t="shared" si="25"/>
        <v>0</v>
      </c>
      <c r="BC234" s="729">
        <f t="shared" ca="1" si="26"/>
        <v>0</v>
      </c>
      <c r="BD234" s="390">
        <f t="shared" ca="1" si="27"/>
        <v>0</v>
      </c>
      <c r="BE234" s="390">
        <f t="shared" ca="1" si="28"/>
        <v>0</v>
      </c>
      <c r="BF234" s="2">
        <f t="shared" si="29"/>
        <v>0</v>
      </c>
    </row>
    <row r="235" spans="1:58" x14ac:dyDescent="0.35">
      <c r="A235" s="20"/>
      <c r="C235" s="633" t="s">
        <v>396</v>
      </c>
      <c r="D235" s="10"/>
      <c r="E235" s="10"/>
      <c r="F235" s="10"/>
      <c r="G235" s="10"/>
      <c r="H235" s="10"/>
      <c r="I235" s="10"/>
      <c r="J235" s="10"/>
      <c r="K235" s="6"/>
      <c r="L235" s="7">
        <f ca="1">ROUNDUP((L234*3*0.05),1)</f>
        <v>3.3</v>
      </c>
      <c r="M235" s="627" t="s">
        <v>31</v>
      </c>
      <c r="Q235" s="16"/>
      <c r="W235" s="20"/>
      <c r="AD235" s="16"/>
      <c r="AF235" s="627">
        <f t="shared" ca="1" si="13"/>
        <v>1</v>
      </c>
      <c r="AG235" s="673" t="str">
        <f t="shared" si="30"/>
        <v>X</v>
      </c>
      <c r="AH235" s="626">
        <f t="shared" si="14"/>
        <v>9</v>
      </c>
      <c r="AI235" s="2">
        <f t="shared" si="15"/>
        <v>0</v>
      </c>
      <c r="AJ235" s="2">
        <f t="shared" ca="1" si="16"/>
        <v>0</v>
      </c>
      <c r="AK235" s="389">
        <f t="shared" ca="1" si="17"/>
        <v>0</v>
      </c>
      <c r="AL235" s="389">
        <f t="shared" si="18"/>
        <v>0</v>
      </c>
      <c r="AM235" s="389">
        <f t="shared" ca="1" si="19"/>
        <v>0</v>
      </c>
      <c r="AN235" s="389">
        <f t="shared" ca="1" si="20"/>
        <v>0</v>
      </c>
      <c r="AO235" s="32">
        <f t="shared" ca="1" si="12"/>
        <v>0</v>
      </c>
      <c r="AP235" s="389">
        <f t="shared" ca="1" si="21"/>
        <v>0</v>
      </c>
      <c r="AQ235" s="9">
        <f t="shared" si="22"/>
        <v>0</v>
      </c>
      <c r="AR235" s="10"/>
      <c r="AS235" s="10"/>
      <c r="AT235" s="6"/>
      <c r="AU235" s="41">
        <f t="shared" si="23"/>
        <v>0</v>
      </c>
      <c r="AW235" s="2">
        <f>IF(AX235=0,0,9)</f>
        <v>0</v>
      </c>
      <c r="AX235" s="9">
        <f t="shared" si="24"/>
        <v>0</v>
      </c>
      <c r="AY235" s="10"/>
      <c r="AZ235" s="10"/>
      <c r="BA235" s="6"/>
      <c r="BB235" s="41">
        <f t="shared" si="25"/>
        <v>0</v>
      </c>
      <c r="BC235" s="729">
        <f t="shared" ca="1" si="26"/>
        <v>0</v>
      </c>
      <c r="BD235" s="390">
        <f t="shared" ca="1" si="27"/>
        <v>0</v>
      </c>
      <c r="BE235" s="390">
        <f t="shared" ca="1" si="28"/>
        <v>0</v>
      </c>
      <c r="BF235" s="2">
        <f t="shared" si="29"/>
        <v>0</v>
      </c>
    </row>
    <row r="236" spans="1:58" x14ac:dyDescent="0.35">
      <c r="A236" s="20"/>
      <c r="C236" s="633" t="s">
        <v>1857</v>
      </c>
      <c r="D236" s="10"/>
      <c r="E236" s="10"/>
      <c r="F236" s="10"/>
      <c r="G236" s="10" t="s">
        <v>398</v>
      </c>
      <c r="H236" s="10"/>
      <c r="I236" s="10"/>
      <c r="J236" s="10"/>
      <c r="K236" s="6"/>
      <c r="L236" s="7">
        <f ca="1">IF(I11=0,0,IF(I11&gt;10,4*L275,2*L275))</f>
        <v>124</v>
      </c>
      <c r="M236" s="627" t="s">
        <v>46</v>
      </c>
      <c r="Q236" s="16"/>
      <c r="W236" s="633" t="s">
        <v>378</v>
      </c>
      <c r="X236" s="10"/>
      <c r="Y236" s="10"/>
      <c r="Z236" s="629" t="s">
        <v>130</v>
      </c>
      <c r="AA236" s="627" t="s">
        <v>379</v>
      </c>
      <c r="AD236" s="16"/>
      <c r="AF236" s="627">
        <f t="shared" ca="1" si="13"/>
        <v>1</v>
      </c>
      <c r="AG236" s="673" t="str">
        <f t="shared" si="30"/>
        <v>X</v>
      </c>
      <c r="AH236" s="626">
        <f t="shared" si="14"/>
        <v>10</v>
      </c>
      <c r="AI236" s="2">
        <f t="shared" si="15"/>
        <v>0</v>
      </c>
      <c r="AJ236" s="2">
        <f t="shared" ca="1" si="16"/>
        <v>0</v>
      </c>
      <c r="AK236" s="389">
        <f t="shared" ca="1" si="17"/>
        <v>0</v>
      </c>
      <c r="AL236" s="389">
        <f t="shared" si="18"/>
        <v>0</v>
      </c>
      <c r="AM236" s="389">
        <f t="shared" ca="1" si="19"/>
        <v>0</v>
      </c>
      <c r="AN236" s="389">
        <f t="shared" ca="1" si="20"/>
        <v>0</v>
      </c>
      <c r="AO236" s="32">
        <f t="shared" ca="1" si="12"/>
        <v>0</v>
      </c>
      <c r="AP236" s="389">
        <f t="shared" ca="1" si="21"/>
        <v>0</v>
      </c>
      <c r="AQ236" s="9">
        <f t="shared" si="22"/>
        <v>0</v>
      </c>
      <c r="AR236" s="10"/>
      <c r="AS236" s="10"/>
      <c r="AT236" s="6"/>
      <c r="AU236" s="41">
        <f t="shared" si="23"/>
        <v>0</v>
      </c>
      <c r="AW236" s="2">
        <f>IF(AX236=0,0,10)</f>
        <v>0</v>
      </c>
      <c r="AX236" s="9">
        <f t="shared" si="24"/>
        <v>0</v>
      </c>
      <c r="AY236" s="10"/>
      <c r="AZ236" s="10"/>
      <c r="BA236" s="6"/>
      <c r="BB236" s="41">
        <f t="shared" si="25"/>
        <v>0</v>
      </c>
      <c r="BC236" s="729">
        <f t="shared" ca="1" si="26"/>
        <v>0</v>
      </c>
      <c r="BD236" s="390">
        <f t="shared" ca="1" si="27"/>
        <v>0</v>
      </c>
      <c r="BE236" s="390">
        <f t="shared" ca="1" si="28"/>
        <v>0</v>
      </c>
      <c r="BF236" s="2">
        <f t="shared" si="29"/>
        <v>0</v>
      </c>
    </row>
    <row r="237" spans="1:58" ht="15.75" customHeight="1" x14ac:dyDescent="0.35">
      <c r="A237" s="20"/>
      <c r="C237" s="633" t="s">
        <v>1858</v>
      </c>
      <c r="D237" s="10"/>
      <c r="E237" s="10"/>
      <c r="F237" s="10"/>
      <c r="G237" s="646" t="s">
        <v>1859</v>
      </c>
      <c r="H237" s="10"/>
      <c r="I237" s="10"/>
      <c r="J237" s="10"/>
      <c r="K237" s="6"/>
      <c r="L237" s="7">
        <f ca="1">IF(I11=0,0,40*4*50%)</f>
        <v>80</v>
      </c>
      <c r="M237" s="627" t="s">
        <v>46</v>
      </c>
      <c r="Q237" s="16"/>
      <c r="W237" s="633" t="s">
        <v>367</v>
      </c>
      <c r="X237" s="629"/>
      <c r="Y237" s="630" t="s">
        <v>381</v>
      </c>
      <c r="Z237" s="7">
        <f ca="1">Z233*(1-$Y$236/100)</f>
        <v>8.6735220684377143</v>
      </c>
      <c r="AA237" s="7">
        <f t="shared" ref="AA237:AC238" ca="1" si="31">AA233*(1-$Y$236/100)</f>
        <v>11.953750000000003</v>
      </c>
      <c r="AB237" s="7">
        <f t="shared" ca="1" si="31"/>
        <v>11.077750000000002</v>
      </c>
      <c r="AC237" s="7">
        <f ca="1">AC233*(1-$Y$236/100)</f>
        <v>14.527000000000003</v>
      </c>
      <c r="AD237" s="16"/>
      <c r="AF237" s="627">
        <f t="shared" ca="1" si="13"/>
        <v>1</v>
      </c>
      <c r="AG237" s="673" t="str">
        <f t="shared" si="30"/>
        <v>X</v>
      </c>
      <c r="AH237" s="626">
        <f t="shared" si="14"/>
        <v>11</v>
      </c>
      <c r="AI237" s="2">
        <f t="shared" si="15"/>
        <v>0</v>
      </c>
      <c r="AJ237" s="2">
        <f t="shared" ca="1" si="16"/>
        <v>0</v>
      </c>
      <c r="AK237" s="389">
        <f t="shared" ca="1" si="17"/>
        <v>0</v>
      </c>
      <c r="AL237" s="389">
        <f t="shared" si="18"/>
        <v>0</v>
      </c>
      <c r="AM237" s="389">
        <f t="shared" ca="1" si="19"/>
        <v>0</v>
      </c>
      <c r="AN237" s="389">
        <f t="shared" ca="1" si="20"/>
        <v>0</v>
      </c>
      <c r="AO237" s="32">
        <f t="shared" ca="1" si="12"/>
        <v>0</v>
      </c>
      <c r="AP237" s="389">
        <f t="shared" ca="1" si="21"/>
        <v>0</v>
      </c>
      <c r="AQ237" s="9">
        <f t="shared" si="22"/>
        <v>0</v>
      </c>
      <c r="AR237" s="10"/>
      <c r="AS237" s="10"/>
      <c r="AT237" s="6"/>
      <c r="AU237" s="41">
        <f t="shared" si="23"/>
        <v>0</v>
      </c>
      <c r="AW237" s="2">
        <f>IF(AX237=0,0,11)</f>
        <v>0</v>
      </c>
      <c r="AX237" s="9">
        <f t="shared" si="24"/>
        <v>0</v>
      </c>
      <c r="AY237" s="10"/>
      <c r="AZ237" s="10"/>
      <c r="BA237" s="6"/>
      <c r="BB237" s="41">
        <f t="shared" si="25"/>
        <v>0</v>
      </c>
      <c r="BC237" s="729">
        <f t="shared" ca="1" si="26"/>
        <v>0</v>
      </c>
      <c r="BD237" s="390">
        <f t="shared" ca="1" si="27"/>
        <v>0</v>
      </c>
      <c r="BE237" s="390">
        <f t="shared" ca="1" si="28"/>
        <v>0</v>
      </c>
      <c r="BF237" s="2">
        <f t="shared" si="29"/>
        <v>0</v>
      </c>
    </row>
    <row r="238" spans="1:58" x14ac:dyDescent="0.35">
      <c r="A238" s="20"/>
      <c r="C238" s="633" t="str">
        <f ca="1">IF(G239=0,0,IF(I11&gt;6,"PARAFUSO p/ escora  M16 x 1 3/4""","PARAFUSO p/ escora  M16 x 1 1/2"""))</f>
        <v>PARAFUSO p/ escora  M16 x 1 3/4"</v>
      </c>
      <c r="D238" s="10"/>
      <c r="E238" s="10"/>
      <c r="F238" s="10"/>
      <c r="G238" s="10" t="s">
        <v>402</v>
      </c>
      <c r="H238" s="10"/>
      <c r="I238" s="10"/>
      <c r="J238" s="10"/>
      <c r="K238" s="6"/>
      <c r="L238" s="7">
        <f ca="1">IF(OR(C19="X",ENTRADAS!G66="X"),(G44+G46+G50)*2*F15,IF(E19="X",L275*3*F15,0))</f>
        <v>496</v>
      </c>
      <c r="M238" s="627" t="s">
        <v>46</v>
      </c>
      <c r="N238" s="667"/>
      <c r="Q238" s="16"/>
      <c r="U238" s="4"/>
      <c r="W238" s="633" t="s">
        <v>369</v>
      </c>
      <c r="X238" s="629"/>
      <c r="Y238" s="630" t="s">
        <v>381</v>
      </c>
      <c r="Z238" s="7">
        <f>Z234*(1-$Y$236/100)</f>
        <v>0</v>
      </c>
      <c r="AA238" s="7">
        <f t="shared" si="31"/>
        <v>0</v>
      </c>
      <c r="AB238" s="7">
        <f t="shared" si="31"/>
        <v>0</v>
      </c>
      <c r="AC238" s="7">
        <f t="shared" si="31"/>
        <v>0</v>
      </c>
      <c r="AD238" s="16"/>
      <c r="AF238" s="627">
        <f t="shared" ca="1" si="13"/>
        <v>1</v>
      </c>
      <c r="AG238" s="673" t="str">
        <f t="shared" si="30"/>
        <v>X</v>
      </c>
      <c r="AH238" s="626">
        <f t="shared" si="14"/>
        <v>12</v>
      </c>
      <c r="AI238" s="2">
        <f t="shared" si="15"/>
        <v>0</v>
      </c>
      <c r="AJ238" s="2">
        <f t="shared" ca="1" si="16"/>
        <v>0</v>
      </c>
      <c r="AK238" s="389">
        <f t="shared" ca="1" si="17"/>
        <v>0</v>
      </c>
      <c r="AL238" s="389">
        <f t="shared" si="18"/>
        <v>0</v>
      </c>
      <c r="AM238" s="389">
        <f t="shared" ca="1" si="19"/>
        <v>0</v>
      </c>
      <c r="AN238" s="389">
        <f t="shared" ca="1" si="20"/>
        <v>0</v>
      </c>
      <c r="AO238" s="32">
        <f t="shared" ca="1" si="12"/>
        <v>0</v>
      </c>
      <c r="AP238" s="389">
        <f t="shared" ca="1" si="21"/>
        <v>0</v>
      </c>
      <c r="AQ238" s="9">
        <f t="shared" si="22"/>
        <v>0</v>
      </c>
      <c r="AR238" s="10"/>
      <c r="AS238" s="10"/>
      <c r="AT238" s="6"/>
      <c r="AU238" s="41">
        <f t="shared" si="23"/>
        <v>0</v>
      </c>
      <c r="AW238" s="2">
        <f>IF(AX238=0,0,12)</f>
        <v>0</v>
      </c>
      <c r="AX238" s="9">
        <f t="shared" si="24"/>
        <v>0</v>
      </c>
      <c r="AY238" s="10"/>
      <c r="AZ238" s="10"/>
      <c r="BA238" s="6"/>
      <c r="BB238" s="41">
        <f t="shared" si="25"/>
        <v>0</v>
      </c>
      <c r="BC238" s="729">
        <f t="shared" ca="1" si="26"/>
        <v>0</v>
      </c>
      <c r="BD238" s="390">
        <f t="shared" ca="1" si="27"/>
        <v>0</v>
      </c>
      <c r="BE238" s="390">
        <f t="shared" ca="1" si="28"/>
        <v>0</v>
      </c>
      <c r="BF238" s="2">
        <f t="shared" si="29"/>
        <v>0</v>
      </c>
    </row>
    <row r="239" spans="1:58" x14ac:dyDescent="0.35">
      <c r="A239" s="20"/>
      <c r="C239" s="633" t="str">
        <f ca="1">"PARAFUSO p/ Nivelam. "&amp;IF(G239*1000=0,0,VLOOKUP(J239*1000,Z280:AA285,2,0)&amp;" ( pé do P. Normal ) -----------")</f>
        <v>PARAFUSO p/ Nivelam. M30 x 85 ( pé do P. Normal ) -----------</v>
      </c>
      <c r="D239" s="10"/>
      <c r="E239" s="10"/>
      <c r="F239" s="10"/>
      <c r="G239" s="10">
        <f ca="1">IF(I11=0,0,AH280/1000)</f>
        <v>6</v>
      </c>
      <c r="H239" s="10" t="str">
        <f ca="1">IF(G239=0,0,"ton p/ painel normal")</f>
        <v>ton p/ painel normal</v>
      </c>
      <c r="I239" s="10"/>
      <c r="J239" s="732">
        <f ca="1">IF(ENTRADAS!$F$1261="X",IF(G239=15,10,IF(G239=10,6,IF(G239=6,4,IF(G239=4,4,0)))),G239)</f>
        <v>6</v>
      </c>
      <c r="K239" s="6"/>
      <c r="L239" s="7">
        <f ca="1">G50*2*F15</f>
        <v>480</v>
      </c>
      <c r="M239" s="627" t="s">
        <v>46</v>
      </c>
      <c r="N239" s="667"/>
      <c r="Q239" s="16"/>
      <c r="U239" s="4"/>
      <c r="W239" s="18"/>
      <c r="X239" s="3"/>
      <c r="Y239" s="3"/>
      <c r="Z239" s="3"/>
      <c r="AA239" s="3"/>
      <c r="AB239" s="3"/>
      <c r="AC239" s="3"/>
      <c r="AD239" s="17"/>
      <c r="AF239" s="627">
        <f t="shared" ca="1" si="13"/>
        <v>1</v>
      </c>
      <c r="AG239" s="673" t="str">
        <f t="shared" si="30"/>
        <v>X</v>
      </c>
      <c r="AH239" s="626">
        <f t="shared" si="14"/>
        <v>13</v>
      </c>
      <c r="AI239" s="2">
        <f t="shared" si="15"/>
        <v>0</v>
      </c>
      <c r="AJ239" s="2">
        <f t="shared" ca="1" si="16"/>
        <v>0</v>
      </c>
      <c r="AK239" s="389">
        <f t="shared" ca="1" si="17"/>
        <v>0</v>
      </c>
      <c r="AL239" s="389">
        <f t="shared" si="18"/>
        <v>0</v>
      </c>
      <c r="AM239" s="389">
        <f t="shared" ca="1" si="19"/>
        <v>0</v>
      </c>
      <c r="AN239" s="389">
        <f t="shared" ca="1" si="20"/>
        <v>0</v>
      </c>
      <c r="AO239" s="32">
        <f t="shared" ca="1" si="12"/>
        <v>0</v>
      </c>
      <c r="AP239" s="389">
        <f t="shared" ca="1" si="21"/>
        <v>0</v>
      </c>
      <c r="AQ239" s="9">
        <f t="shared" si="22"/>
        <v>0</v>
      </c>
      <c r="AR239" s="10"/>
      <c r="AS239" s="10"/>
      <c r="AT239" s="6"/>
      <c r="AU239" s="41">
        <f t="shared" si="23"/>
        <v>0</v>
      </c>
      <c r="AW239" s="2">
        <f>IF(AX239=0,0,13)</f>
        <v>0</v>
      </c>
      <c r="AX239" s="9">
        <f t="shared" si="24"/>
        <v>0</v>
      </c>
      <c r="AY239" s="10"/>
      <c r="AZ239" s="10"/>
      <c r="BA239" s="6"/>
      <c r="BB239" s="41">
        <f t="shared" si="25"/>
        <v>0</v>
      </c>
      <c r="BC239" s="729">
        <f t="shared" ca="1" si="26"/>
        <v>0</v>
      </c>
      <c r="BD239" s="390">
        <f t="shared" ca="1" si="27"/>
        <v>0</v>
      </c>
      <c r="BE239" s="390">
        <f t="shared" ca="1" si="28"/>
        <v>0</v>
      </c>
      <c r="BF239" s="2">
        <f t="shared" si="29"/>
        <v>0</v>
      </c>
    </row>
    <row r="240" spans="1:58" x14ac:dyDescent="0.35">
      <c r="A240" s="20"/>
      <c r="C240" s="633" t="str">
        <f ca="1">"PARAFUSO p/ Nivelam. "&amp;IF(G240*1000=0,0,VLOOKUP(J240*1000,Z280:AA285,2,0)&amp;" ( pé do P. Fecho ) -----------")</f>
        <v>PARAFUSO p/ Nivelam. M30 x 85 ( pé do P. Fecho ) -----------</v>
      </c>
      <c r="D240" s="10"/>
      <c r="E240" s="10"/>
      <c r="F240" s="10"/>
      <c r="G240" s="10">
        <f ca="1">IF(I11=0,0,AH281/1000)</f>
        <v>6</v>
      </c>
      <c r="H240" s="10" t="str">
        <f ca="1">IF(G240=0,0,"ton p/ painel fecho")</f>
        <v>ton p/ painel fecho</v>
      </c>
      <c r="I240" s="10"/>
      <c r="J240" s="371">
        <f ca="1">IF(ENTRADAS!$F$1261="X",IF(G240=15,10,IF(G240=10,6,IF(G240=6,4,IF(G240=4,4,0)))),G240)</f>
        <v>6</v>
      </c>
      <c r="K240" s="6"/>
      <c r="L240" s="7">
        <f>(G44+G46)*2*F15</f>
        <v>16</v>
      </c>
      <c r="M240" s="627" t="s">
        <v>46</v>
      </c>
      <c r="N240" s="667"/>
      <c r="Q240" s="16"/>
      <c r="V240" s="627" t="s">
        <v>1860</v>
      </c>
      <c r="AF240" s="627"/>
      <c r="AG240" s="673"/>
      <c r="AH240" s="626"/>
      <c r="AI240" s="2"/>
      <c r="AJ240" s="2"/>
      <c r="AK240" s="389"/>
      <c r="AL240" s="389"/>
      <c r="AM240" s="389"/>
      <c r="AN240" s="389"/>
      <c r="AO240" s="32"/>
      <c r="AP240" s="389"/>
      <c r="AQ240" s="9"/>
      <c r="AR240" s="10"/>
      <c r="AS240" s="10"/>
      <c r="AT240" s="6"/>
      <c r="AU240" s="41"/>
      <c r="AW240" s="2"/>
      <c r="AX240" s="9"/>
      <c r="AY240" s="10"/>
      <c r="AZ240" s="10"/>
      <c r="BA240" s="6"/>
      <c r="BB240" s="41"/>
      <c r="BC240" s="729"/>
      <c r="BD240" s="390"/>
      <c r="BE240" s="390"/>
      <c r="BF240" s="2"/>
    </row>
    <row r="241" spans="1:58" x14ac:dyDescent="0.35">
      <c r="A241" s="20"/>
      <c r="C241" s="633" t="s">
        <v>405</v>
      </c>
      <c r="D241" s="10"/>
      <c r="E241" s="10"/>
      <c r="F241" s="10"/>
      <c r="G241" s="10" t="s">
        <v>406</v>
      </c>
      <c r="H241" s="10"/>
      <c r="I241" s="10"/>
      <c r="J241" s="10"/>
      <c r="K241" s="6"/>
      <c r="L241" s="7">
        <f ca="1">IF(ENTRADAS!G66="X",0,(G44+G46+G50)*2)</f>
        <v>124</v>
      </c>
      <c r="M241" s="627" t="s">
        <v>46</v>
      </c>
      <c r="N241" s="667"/>
      <c r="Q241" s="16"/>
      <c r="T241" s="636" t="s">
        <v>1861</v>
      </c>
      <c r="U241" s="15">
        <f ca="1">IF(I279=0,0,IF(AND(F15&gt;0,ENTRADAS!D912=0),ROUNDUP(('cronograma unit.'!E378/7*6-(J382+J412+J413+J414+J415+J362+J363+J364)),0),ROUNDUP(('cronograma unit.'!E378/7*6),0)))</f>
        <v>47</v>
      </c>
      <c r="V241">
        <f ca="1">IF(I279=0,0,IF(F15=1,ROUNDUP((L531-J382-J412-J413-J414-J415-J362-J363-J364),0),ROUNDUP((L531-L141),0)))</f>
        <v>55</v>
      </c>
      <c r="AF241" s="627">
        <f ca="1">IF(AP241=0,1,0)</f>
        <v>1</v>
      </c>
      <c r="AG241" s="673" t="str">
        <f>IF(A166=1,"X",IF($I$11&gt;12,0,IF(AP241=0,0,IF(AF239=1,"x",IF(AP241&gt;=AP239,0,"X")))))</f>
        <v>X</v>
      </c>
      <c r="AH241" s="626">
        <f>D166</f>
        <v>14</v>
      </c>
      <c r="AI241" s="2">
        <f>H166</f>
        <v>0</v>
      </c>
      <c r="AJ241" s="2">
        <f ca="1">IF($E$11=0,0,IF($AB$223="SC-14",ROUNDDOWN(AI241/($AB$237+$AB$238),0),ROUNDDOWN(AI241/($Z$237+$Z$238),0)))</f>
        <v>0</v>
      </c>
      <c r="AK241" s="389">
        <f ca="1">IF($E$11=0,0,IF($AB$223="SC-14",ROUNDDOWN(AI241/($AC$237+$AC$238),0),ROUNDDOWN(AI241/($AA$237+$AA$238),0)))</f>
        <v>0</v>
      </c>
      <c r="AL241" s="389">
        <f>IF(AI241=0,0,$G$44+$G$46)</f>
        <v>0</v>
      </c>
      <c r="AM241" s="389">
        <f ca="1">IF(AK241-AL241&lt;0,0,AK241-AL241)</f>
        <v>0</v>
      </c>
      <c r="AN241" s="389">
        <f t="shared" ca="1" si="20"/>
        <v>0</v>
      </c>
      <c r="AO241" s="32">
        <f t="shared" ca="1" si="12"/>
        <v>0</v>
      </c>
      <c r="AP241" s="389">
        <f ca="1">IF(AK241=0,0,ROUNDUP(IF(AL241&lt;=AK241,(($F$15*($G$44+$G$46+$G$50)-(AM241))/AJ241)+1,($F$15*$G$50/AJ241)+(AL241/AK241)),0))</f>
        <v>0</v>
      </c>
      <c r="AQ241" s="9">
        <f>E166</f>
        <v>0</v>
      </c>
      <c r="AR241" s="10"/>
      <c r="AS241" s="10"/>
      <c r="AT241" s="6"/>
      <c r="AU241" s="41">
        <f>IF(AG241="x",AI241,0)</f>
        <v>0</v>
      </c>
      <c r="AW241" s="2">
        <f>IF(AX241=0,0,14)</f>
        <v>0</v>
      </c>
      <c r="AX241" s="9">
        <f>AQ241</f>
        <v>0</v>
      </c>
      <c r="AY241" s="10"/>
      <c r="AZ241" s="10"/>
      <c r="BA241" s="6"/>
      <c r="BB241" s="41">
        <f>H166</f>
        <v>0</v>
      </c>
      <c r="BC241" s="729">
        <f ca="1">IF(BD241=0,0,"ton")</f>
        <v>0</v>
      </c>
      <c r="BD241" s="390">
        <f ca="1">AP241</f>
        <v>0</v>
      </c>
      <c r="BE241" s="390">
        <f ca="1">IF(BD241=0,0,AJ241)</f>
        <v>0</v>
      </c>
      <c r="BF241" s="2">
        <f>IF(AX241=0,0,IF(BD241=0,"NÃO","SIM"))</f>
        <v>0</v>
      </c>
    </row>
    <row r="242" spans="1:58" x14ac:dyDescent="0.35">
      <c r="A242" s="20"/>
      <c r="C242" s="633" t="s">
        <v>407</v>
      </c>
      <c r="D242" s="10"/>
      <c r="E242" s="10"/>
      <c r="F242" s="10"/>
      <c r="G242" s="10" t="s">
        <v>402</v>
      </c>
      <c r="H242" s="10"/>
      <c r="I242" s="10"/>
      <c r="J242" s="10"/>
      <c r="K242" s="6"/>
      <c r="L242" s="7">
        <f ca="1">IF(ENTRADAS!G66="X",0,L236+L237)</f>
        <v>204</v>
      </c>
      <c r="M242" s="627" t="s">
        <v>46</v>
      </c>
      <c r="N242" s="667"/>
      <c r="O242" s="627"/>
      <c r="Q242" s="16"/>
      <c r="T242" s="637" t="s">
        <v>1862</v>
      </c>
      <c r="U242" s="17">
        <f ca="1">U241/(U241+LAJES!M154)</f>
        <v>1</v>
      </c>
      <c r="AF242" s="627">
        <f ca="1">IF(AP242=0,1,0)</f>
        <v>1</v>
      </c>
      <c r="AG242" s="673" t="str">
        <f>IF(A167=1,"X",IF($I$11&gt;12,0,IF(AP242=0,0,IF(AF241=1,"x",IF(AP242&gt;=AP241,0,"X")))))</f>
        <v>X</v>
      </c>
      <c r="AH242" s="626">
        <f>D167</f>
        <v>15</v>
      </c>
      <c r="AI242" s="2">
        <f>H167</f>
        <v>0</v>
      </c>
      <c r="AJ242" s="2">
        <f ca="1">IF($E$11=0,0,IF($AB$223="SC-14",ROUNDDOWN(AI242/($AB$237+$AB$238),0),ROUNDDOWN(AI242/($Z$237+$Z$238),0)))</f>
        <v>0</v>
      </c>
      <c r="AK242" s="389">
        <f ca="1">IF($E$11=0,0,IF($AB$223="SC-14",ROUNDDOWN(AI242/($AC$237+$AC$238),0),ROUNDDOWN(AI242/($AA$237+$AA$238),0)))</f>
        <v>0</v>
      </c>
      <c r="AL242" s="389">
        <f>IF(AI242=0,0,$G$44+$G$46)</f>
        <v>0</v>
      </c>
      <c r="AM242" s="389">
        <f ca="1">IF(AK242-AL242&lt;0,0,AK242-AL242)</f>
        <v>0</v>
      </c>
      <c r="AN242" s="389">
        <f t="shared" ca="1" si="20"/>
        <v>0</v>
      </c>
      <c r="AO242" s="32">
        <f t="shared" ca="1" si="12"/>
        <v>0</v>
      </c>
      <c r="AP242" s="389">
        <f ca="1">IF(AK242=0,0,ROUNDUP(IF(AL242&lt;=AK242,(($F$15*($G$44+$G$46+$G$50)-(AM242))/AJ242)+1,($F$15*$G$50/AJ242)+(AL242/AK242)),0))</f>
        <v>0</v>
      </c>
      <c r="AQ242" s="9">
        <f>E167</f>
        <v>0</v>
      </c>
      <c r="AR242" s="10"/>
      <c r="AS242" s="10"/>
      <c r="AT242" s="6"/>
      <c r="AU242" s="41">
        <f>IF(AG242="x",AI242,0)</f>
        <v>0</v>
      </c>
      <c r="AW242" s="2">
        <f>IF(AX242=0,0,15)</f>
        <v>0</v>
      </c>
      <c r="AX242" s="9">
        <f>AQ242</f>
        <v>0</v>
      </c>
      <c r="AY242" s="10"/>
      <c r="AZ242" s="10"/>
      <c r="BA242" s="6"/>
      <c r="BB242" s="41">
        <f>H167</f>
        <v>0</v>
      </c>
      <c r="BC242" s="729">
        <f ca="1">IF(BD242=0,0,"ton")</f>
        <v>0</v>
      </c>
      <c r="BD242" s="390">
        <f ca="1">AP242</f>
        <v>0</v>
      </c>
      <c r="BE242" s="390">
        <f ca="1">IF(BD242=0,0,AJ242)</f>
        <v>0</v>
      </c>
      <c r="BF242" s="2">
        <f>IF(AX242=0,0,IF(BD242=0,"NÃO","SIM"))</f>
        <v>0</v>
      </c>
    </row>
    <row r="243" spans="1:58" x14ac:dyDescent="0.35">
      <c r="A243" s="20"/>
      <c r="C243" s="633" t="s">
        <v>1863</v>
      </c>
      <c r="D243" s="10"/>
      <c r="E243" s="10"/>
      <c r="F243" s="10"/>
      <c r="G243" s="10"/>
      <c r="H243" s="10"/>
      <c r="I243" s="10"/>
      <c r="J243" s="10"/>
      <c r="K243" s="6"/>
      <c r="L243" s="7">
        <f ca="1">ROUNDUP(L236/30,0)</f>
        <v>5</v>
      </c>
      <c r="M243" s="627" t="s">
        <v>46</v>
      </c>
      <c r="N243" s="667"/>
      <c r="O243" s="627"/>
      <c r="Q243" s="16"/>
      <c r="T243" s="627"/>
      <c r="AF243" s="627"/>
      <c r="AG243" s="634"/>
      <c r="AH243" s="634"/>
      <c r="AI243" s="1"/>
      <c r="AJ243" s="1"/>
      <c r="AK243" s="505"/>
      <c r="AL243" s="505"/>
      <c r="AM243" s="505"/>
      <c r="AN243" s="505"/>
      <c r="AP243" s="505"/>
      <c r="AU243" s="131"/>
      <c r="AW243" s="1"/>
      <c r="BB243" s="131"/>
      <c r="BC243" s="734"/>
      <c r="BD243" s="506"/>
      <c r="BE243" s="506"/>
      <c r="BF243" s="1"/>
    </row>
    <row r="244" spans="1:58" x14ac:dyDescent="0.35">
      <c r="A244" s="20"/>
      <c r="C244" s="633" t="s">
        <v>1864</v>
      </c>
      <c r="D244" s="10"/>
      <c r="E244" s="10"/>
      <c r="F244" s="10"/>
      <c r="G244" s="10"/>
      <c r="H244" s="10"/>
      <c r="I244" s="10"/>
      <c r="J244" s="10"/>
      <c r="K244" s="6"/>
      <c r="L244" s="7">
        <f>IF(ENTRADAS!G66="x",(G44+G46+G50)*I11*1.05*F15,0)</f>
        <v>0</v>
      </c>
      <c r="M244" s="627" t="s">
        <v>20</v>
      </c>
      <c r="N244" s="667"/>
      <c r="Q244" s="16"/>
      <c r="T244" s="627"/>
      <c r="AF244" s="627"/>
      <c r="AG244" s="634"/>
      <c r="AH244" s="634"/>
      <c r="AI244" s="1"/>
      <c r="AJ244" s="1"/>
      <c r="AK244" s="505"/>
      <c r="AL244" s="505"/>
      <c r="AM244" s="505"/>
      <c r="AN244" s="505"/>
      <c r="AO244" s="505"/>
      <c r="AT244" s="131"/>
      <c r="AU244" s="734"/>
      <c r="AW244" s="1"/>
      <c r="BB244" s="131"/>
      <c r="BC244" s="734"/>
      <c r="BD244" s="506"/>
      <c r="BE244" s="506"/>
      <c r="BF244" s="1"/>
    </row>
    <row r="245" spans="1:58" x14ac:dyDescent="0.35">
      <c r="A245" s="20"/>
      <c r="C245" s="633" t="s">
        <v>1865</v>
      </c>
      <c r="D245" s="10"/>
      <c r="E245" s="10"/>
      <c r="F245" s="10"/>
      <c r="G245" s="10"/>
      <c r="H245" s="10"/>
      <c r="I245" s="10"/>
      <c r="J245" s="10"/>
      <c r="K245" s="6"/>
      <c r="L245" s="7">
        <f ca="1">ROUNDUP((IF(ENTRADAS!G66="x",ROUNDUP((G44+G46+G50)*F15*I11*0.45+(G44+G46+G50)*F15*2.1*2*0.3,0),ROUNDUP((G44+G46+G50)*F15*I11*1.05+(G44+G46+G50)*F15*2.4*2*0.25+I11*4*0.3,0)))*1.05,0)</f>
        <v>2319</v>
      </c>
      <c r="M245" t="s">
        <v>46</v>
      </c>
      <c r="N245" s="667"/>
      <c r="Q245" s="16"/>
    </row>
    <row r="246" spans="1:58" x14ac:dyDescent="0.35">
      <c r="A246" s="20"/>
      <c r="C246" s="633" t="s">
        <v>1866</v>
      </c>
      <c r="D246" s="10"/>
      <c r="E246" s="10"/>
      <c r="F246" s="10"/>
      <c r="G246" s="10"/>
      <c r="H246" s="10"/>
      <c r="I246" s="10"/>
      <c r="J246" s="10"/>
      <c r="K246" s="6"/>
      <c r="L246" s="7">
        <f ca="1">ROUNDUP((F15*(1/4)/13)+(G44+G46+G50)*F15*1/130,0)</f>
        <v>2</v>
      </c>
      <c r="M246" t="s">
        <v>1867</v>
      </c>
      <c r="N246" s="684"/>
      <c r="O246" s="627"/>
      <c r="Q246" s="16"/>
    </row>
    <row r="247" spans="1:58" ht="12.75" hidden="1" customHeight="1" x14ac:dyDescent="0.35">
      <c r="A247" s="20"/>
      <c r="C247" s="633" t="s">
        <v>411</v>
      </c>
      <c r="D247" s="10"/>
      <c r="E247" s="10"/>
      <c r="F247" s="10"/>
      <c r="G247" s="10"/>
      <c r="H247" s="10"/>
      <c r="I247" s="10"/>
      <c r="J247" s="10"/>
      <c r="K247" s="6"/>
      <c r="L247" s="7">
        <v>100</v>
      </c>
      <c r="M247" s="627" t="s">
        <v>20</v>
      </c>
      <c r="N247" s="1367"/>
      <c r="Q247" s="16"/>
    </row>
    <row r="248" spans="1:58" ht="12.75" hidden="1" customHeight="1" x14ac:dyDescent="0.35">
      <c r="A248" s="20"/>
      <c r="C248" s="633" t="s">
        <v>413</v>
      </c>
      <c r="D248" s="10"/>
      <c r="E248" s="10"/>
      <c r="F248" s="10"/>
      <c r="G248" s="10"/>
      <c r="H248" s="10"/>
      <c r="I248" s="10"/>
      <c r="J248" s="10"/>
      <c r="K248" s="6"/>
      <c r="L248" s="7">
        <v>5</v>
      </c>
      <c r="M248" s="627" t="s">
        <v>46</v>
      </c>
      <c r="N248" s="1368"/>
      <c r="Q248" s="16"/>
    </row>
    <row r="249" spans="1:58" ht="12.75" hidden="1" customHeight="1" x14ac:dyDescent="0.35">
      <c r="A249" s="20"/>
      <c r="C249" s="633" t="s">
        <v>414</v>
      </c>
      <c r="D249" s="10"/>
      <c r="E249" s="10"/>
      <c r="F249" s="10"/>
      <c r="G249" s="10"/>
      <c r="H249" s="10"/>
      <c r="I249" s="10"/>
      <c r="J249" s="10"/>
      <c r="K249" s="6"/>
      <c r="L249" s="7">
        <v>1</v>
      </c>
      <c r="M249" s="627" t="s">
        <v>46</v>
      </c>
      <c r="N249" s="1368"/>
      <c r="Q249" s="16"/>
    </row>
    <row r="250" spans="1:58" ht="12.75" hidden="1" customHeight="1" x14ac:dyDescent="0.35">
      <c r="A250" s="20"/>
      <c r="C250" s="633" t="s">
        <v>415</v>
      </c>
      <c r="D250" s="10"/>
      <c r="E250" s="10"/>
      <c r="F250" s="10"/>
      <c r="G250" s="10"/>
      <c r="H250" s="10"/>
      <c r="I250" s="10"/>
      <c r="J250" s="10"/>
      <c r="K250" s="6"/>
      <c r="L250" s="7">
        <v>2</v>
      </c>
      <c r="M250" s="627" t="s">
        <v>46</v>
      </c>
      <c r="N250" s="1368"/>
      <c r="Q250" s="16"/>
    </row>
    <row r="251" spans="1:58" ht="12.75" hidden="1" customHeight="1" x14ac:dyDescent="0.35">
      <c r="A251" s="20"/>
      <c r="C251" s="633" t="s">
        <v>416</v>
      </c>
      <c r="D251" s="10"/>
      <c r="E251" s="10"/>
      <c r="F251" s="10"/>
      <c r="G251" s="10"/>
      <c r="H251" s="10"/>
      <c r="I251" s="10"/>
      <c r="J251" s="10"/>
      <c r="K251" s="6"/>
      <c r="L251" s="7">
        <v>1</v>
      </c>
      <c r="M251" s="627" t="s">
        <v>46</v>
      </c>
      <c r="N251" s="1368"/>
      <c r="Q251" s="16"/>
    </row>
    <row r="252" spans="1:58" ht="12.75" hidden="1" customHeight="1" x14ac:dyDescent="0.35">
      <c r="A252" s="20"/>
      <c r="C252" s="633" t="s">
        <v>417</v>
      </c>
      <c r="D252" s="10"/>
      <c r="E252" s="10"/>
      <c r="F252" s="10"/>
      <c r="G252" s="10"/>
      <c r="H252" s="10"/>
      <c r="I252" s="10"/>
      <c r="J252" s="10"/>
      <c r="K252" s="6"/>
      <c r="L252" s="7">
        <v>2</v>
      </c>
      <c r="M252" s="627" t="s">
        <v>46</v>
      </c>
      <c r="N252" s="1368"/>
      <c r="Q252" s="16"/>
    </row>
    <row r="253" spans="1:58" ht="12.75" hidden="1" customHeight="1" x14ac:dyDescent="0.35">
      <c r="A253" s="20"/>
      <c r="C253" s="633" t="s">
        <v>418</v>
      </c>
      <c r="D253" s="10"/>
      <c r="E253" s="10"/>
      <c r="F253" s="10"/>
      <c r="G253" s="10"/>
      <c r="H253" s="10"/>
      <c r="I253" s="10"/>
      <c r="J253" s="10"/>
      <c r="K253" s="6"/>
      <c r="L253" s="7">
        <v>1</v>
      </c>
      <c r="M253" s="627" t="s">
        <v>46</v>
      </c>
      <c r="N253" s="1368"/>
      <c r="Q253" s="16"/>
    </row>
    <row r="254" spans="1:58" ht="12.75" hidden="1" customHeight="1" x14ac:dyDescent="0.35">
      <c r="A254" s="20"/>
      <c r="C254" s="633" t="s">
        <v>419</v>
      </c>
      <c r="D254" s="10"/>
      <c r="E254" s="10"/>
      <c r="F254" s="10"/>
      <c r="G254" s="10"/>
      <c r="H254" s="10"/>
      <c r="I254" s="10"/>
      <c r="J254" s="10"/>
      <c r="K254" s="6"/>
      <c r="L254" s="7">
        <v>3</v>
      </c>
      <c r="M254" s="627" t="s">
        <v>46</v>
      </c>
      <c r="N254" s="1368"/>
      <c r="Q254" s="16"/>
    </row>
    <row r="255" spans="1:58" ht="12.75" hidden="1" customHeight="1" x14ac:dyDescent="0.35">
      <c r="A255" s="20"/>
      <c r="C255" s="633" t="s">
        <v>420</v>
      </c>
      <c r="D255" s="10"/>
      <c r="E255" s="10"/>
      <c r="F255" s="10"/>
      <c r="G255" s="10"/>
      <c r="H255" s="10"/>
      <c r="I255" s="10"/>
      <c r="J255" s="10"/>
      <c r="K255" s="6"/>
      <c r="L255" s="7">
        <v>1</v>
      </c>
      <c r="M255" s="627" t="s">
        <v>46</v>
      </c>
      <c r="N255" s="1368"/>
      <c r="Q255" s="16"/>
    </row>
    <row r="256" spans="1:58" ht="12.75" hidden="1" customHeight="1" x14ac:dyDescent="0.35">
      <c r="A256" s="20"/>
      <c r="C256" s="633" t="s">
        <v>421</v>
      </c>
      <c r="D256" s="10"/>
      <c r="E256" s="10"/>
      <c r="F256" s="10"/>
      <c r="G256" s="10"/>
      <c r="H256" s="10"/>
      <c r="I256" s="10"/>
      <c r="J256" s="10"/>
      <c r="K256" s="6"/>
      <c r="L256" s="7">
        <v>1</v>
      </c>
      <c r="M256" s="627" t="s">
        <v>46</v>
      </c>
      <c r="N256" s="1368"/>
      <c r="Q256" s="16"/>
    </row>
    <row r="257" spans="1:17" ht="12.75" hidden="1" customHeight="1" x14ac:dyDescent="0.35">
      <c r="A257" s="20"/>
      <c r="C257" s="633" t="s">
        <v>422</v>
      </c>
      <c r="D257" s="10"/>
      <c r="E257" s="10"/>
      <c r="F257" s="10"/>
      <c r="G257" s="10"/>
      <c r="H257" s="10"/>
      <c r="I257" s="10"/>
      <c r="J257" s="10"/>
      <c r="K257" s="6"/>
      <c r="L257" s="7">
        <v>2</v>
      </c>
      <c r="M257" s="627" t="s">
        <v>46</v>
      </c>
      <c r="N257" s="1368"/>
      <c r="Q257" s="16"/>
    </row>
    <row r="258" spans="1:17" ht="12.75" hidden="1" customHeight="1" x14ac:dyDescent="0.35">
      <c r="A258" s="20"/>
      <c r="C258" s="633" t="s">
        <v>423</v>
      </c>
      <c r="D258" s="10"/>
      <c r="E258" s="10"/>
      <c r="F258" s="10"/>
      <c r="G258" s="10"/>
      <c r="H258" s="10"/>
      <c r="I258" s="10"/>
      <c r="J258" s="10"/>
      <c r="K258" s="6"/>
      <c r="L258" s="7">
        <v>2</v>
      </c>
      <c r="M258" s="627" t="s">
        <v>46</v>
      </c>
      <c r="N258" s="1368"/>
      <c r="Q258" s="16"/>
    </row>
    <row r="259" spans="1:17" ht="12.75" hidden="1" customHeight="1" x14ac:dyDescent="0.35">
      <c r="A259" s="20"/>
      <c r="C259" s="633" t="s">
        <v>424</v>
      </c>
      <c r="D259" s="10"/>
      <c r="E259" s="10"/>
      <c r="F259" s="10"/>
      <c r="G259" s="10"/>
      <c r="H259" s="10"/>
      <c r="I259" s="10"/>
      <c r="J259" s="10"/>
      <c r="K259" s="6"/>
      <c r="L259" s="7">
        <v>2</v>
      </c>
      <c r="M259" s="627" t="s">
        <v>46</v>
      </c>
      <c r="N259" s="1368"/>
      <c r="Q259" s="16"/>
    </row>
    <row r="260" spans="1:17" ht="12.75" hidden="1" customHeight="1" x14ac:dyDescent="0.35">
      <c r="A260" s="20"/>
      <c r="C260" s="633" t="s">
        <v>425</v>
      </c>
      <c r="D260" s="10"/>
      <c r="E260" s="10"/>
      <c r="F260" s="10"/>
      <c r="G260" s="10"/>
      <c r="H260" s="10"/>
      <c r="I260" s="10"/>
      <c r="J260" s="10"/>
      <c r="K260" s="6"/>
      <c r="L260" s="7">
        <v>1</v>
      </c>
      <c r="M260" s="627" t="s">
        <v>46</v>
      </c>
      <c r="N260" s="1368"/>
      <c r="Q260" s="16"/>
    </row>
    <row r="261" spans="1:17" ht="12.75" hidden="1" customHeight="1" x14ac:dyDescent="0.35">
      <c r="A261" s="20"/>
      <c r="C261" s="633" t="s">
        <v>426</v>
      </c>
      <c r="D261" s="10"/>
      <c r="E261" s="10"/>
      <c r="F261" s="10"/>
      <c r="G261" s="10"/>
      <c r="H261" s="10"/>
      <c r="I261" s="10"/>
      <c r="J261" s="10"/>
      <c r="K261" s="6"/>
      <c r="L261" s="7">
        <v>1</v>
      </c>
      <c r="M261" s="627" t="s">
        <v>46</v>
      </c>
      <c r="N261" s="1368"/>
      <c r="Q261" s="16"/>
    </row>
    <row r="262" spans="1:17" ht="12.75" hidden="1" customHeight="1" x14ac:dyDescent="0.35">
      <c r="A262" s="20"/>
      <c r="C262" s="633" t="s">
        <v>427</v>
      </c>
      <c r="D262" s="10"/>
      <c r="E262" s="10"/>
      <c r="F262" s="10"/>
      <c r="G262" s="10"/>
      <c r="H262" s="10"/>
      <c r="I262" s="10"/>
      <c r="J262" s="10"/>
      <c r="K262" s="6"/>
      <c r="L262" s="7">
        <v>2</v>
      </c>
      <c r="M262" s="627" t="s">
        <v>46</v>
      </c>
      <c r="N262" s="1368"/>
      <c r="Q262" s="16"/>
    </row>
    <row r="263" spans="1:17" ht="12.75" hidden="1" customHeight="1" x14ac:dyDescent="0.35">
      <c r="A263" s="20"/>
      <c r="C263" s="633" t="s">
        <v>428</v>
      </c>
      <c r="D263" s="10"/>
      <c r="E263" s="10"/>
      <c r="F263" s="10"/>
      <c r="G263" s="10"/>
      <c r="H263" s="10"/>
      <c r="I263" s="10"/>
      <c r="J263" s="10"/>
      <c r="K263" s="6"/>
      <c r="L263" s="7">
        <v>1</v>
      </c>
      <c r="M263" s="627" t="s">
        <v>46</v>
      </c>
      <c r="N263" s="1368"/>
      <c r="Q263" s="16"/>
    </row>
    <row r="264" spans="1:17" ht="12.75" hidden="1" customHeight="1" x14ac:dyDescent="0.35">
      <c r="A264" s="20"/>
      <c r="C264" s="633" t="s">
        <v>429</v>
      </c>
      <c r="D264" s="10"/>
      <c r="E264" s="10"/>
      <c r="F264" s="10"/>
      <c r="G264" s="10"/>
      <c r="H264" s="10"/>
      <c r="I264" s="10"/>
      <c r="J264" s="10"/>
      <c r="K264" s="6"/>
      <c r="L264" s="7">
        <v>4</v>
      </c>
      <c r="M264" s="627" t="s">
        <v>46</v>
      </c>
      <c r="N264" s="1368"/>
      <c r="Q264" s="16"/>
    </row>
    <row r="265" spans="1:17" ht="12.75" hidden="1" customHeight="1" x14ac:dyDescent="0.35">
      <c r="A265" s="20"/>
      <c r="C265" s="633" t="s">
        <v>430</v>
      </c>
      <c r="D265" s="10"/>
      <c r="E265" s="10"/>
      <c r="F265" s="10"/>
      <c r="G265" s="10"/>
      <c r="H265" s="10"/>
      <c r="I265" s="10"/>
      <c r="J265" s="10"/>
      <c r="K265" s="6"/>
      <c r="L265" s="7">
        <v>8</v>
      </c>
      <c r="M265" s="627" t="s">
        <v>46</v>
      </c>
      <c r="N265" s="1368"/>
      <c r="Q265" s="16"/>
    </row>
    <row r="266" spans="1:17" ht="12.75" hidden="1" customHeight="1" x14ac:dyDescent="0.35">
      <c r="A266" s="20"/>
      <c r="C266" s="633" t="s">
        <v>431</v>
      </c>
      <c r="D266" s="10"/>
      <c r="E266" s="10"/>
      <c r="F266" s="10"/>
      <c r="G266" s="10"/>
      <c r="H266" s="10"/>
      <c r="I266" s="10"/>
      <c r="J266" s="10"/>
      <c r="K266" s="6"/>
      <c r="L266" s="7">
        <v>8</v>
      </c>
      <c r="M266" s="627" t="s">
        <v>46</v>
      </c>
      <c r="N266" s="1368"/>
      <c r="Q266" s="16"/>
    </row>
    <row r="267" spans="1:17" ht="12.75" hidden="1" customHeight="1" x14ac:dyDescent="0.35">
      <c r="A267" s="20"/>
      <c r="C267" s="633" t="s">
        <v>432</v>
      </c>
      <c r="D267" s="10"/>
      <c r="E267" s="10"/>
      <c r="F267" s="10"/>
      <c r="G267" s="10"/>
      <c r="H267" s="10"/>
      <c r="I267" s="10"/>
      <c r="J267" s="10"/>
      <c r="K267" s="6"/>
      <c r="L267" s="7">
        <v>8</v>
      </c>
      <c r="M267" s="627" t="s">
        <v>46</v>
      </c>
      <c r="N267" s="1368"/>
      <c r="Q267" s="16"/>
    </row>
    <row r="268" spans="1:17" ht="12.75" hidden="1" customHeight="1" x14ac:dyDescent="0.35">
      <c r="A268" s="20"/>
      <c r="C268" s="633" t="s">
        <v>433</v>
      </c>
      <c r="D268" s="10"/>
      <c r="E268" s="10"/>
      <c r="F268" s="10"/>
      <c r="G268" s="10"/>
      <c r="H268" s="10"/>
      <c r="I268" s="10"/>
      <c r="J268" s="10"/>
      <c r="K268" s="6"/>
      <c r="L268" s="7">
        <v>1</v>
      </c>
      <c r="M268" s="627" t="s">
        <v>46</v>
      </c>
      <c r="N268" s="1368"/>
      <c r="Q268" s="16"/>
    </row>
    <row r="269" spans="1:17" ht="12.75" hidden="1" customHeight="1" x14ac:dyDescent="0.35">
      <c r="A269" s="20"/>
      <c r="C269" s="633" t="s">
        <v>434</v>
      </c>
      <c r="D269" s="10"/>
      <c r="E269" s="10"/>
      <c r="F269" s="10"/>
      <c r="G269" s="10"/>
      <c r="H269" s="10"/>
      <c r="I269" s="10"/>
      <c r="J269" s="10"/>
      <c r="K269" s="6"/>
      <c r="L269" s="7">
        <v>2</v>
      </c>
      <c r="M269" s="627" t="s">
        <v>46</v>
      </c>
      <c r="N269" s="1368"/>
      <c r="Q269" s="16"/>
    </row>
    <row r="270" spans="1:17" ht="12.75" hidden="1" customHeight="1" x14ac:dyDescent="0.35">
      <c r="A270" s="20"/>
      <c r="C270" s="633" t="s">
        <v>435</v>
      </c>
      <c r="D270" s="10"/>
      <c r="E270" s="10"/>
      <c r="F270" s="10"/>
      <c r="G270" s="10"/>
      <c r="H270" s="10"/>
      <c r="I270" s="10"/>
      <c r="J270" s="10"/>
      <c r="K270" s="6"/>
      <c r="L270" s="7">
        <v>2</v>
      </c>
      <c r="M270" s="627" t="s">
        <v>46</v>
      </c>
      <c r="N270" s="1368"/>
      <c r="Q270" s="16"/>
    </row>
    <row r="271" spans="1:17" ht="12.75" hidden="1" customHeight="1" x14ac:dyDescent="0.35">
      <c r="A271" s="20"/>
      <c r="C271" s="633" t="s">
        <v>436</v>
      </c>
      <c r="D271" s="10"/>
      <c r="E271" s="10"/>
      <c r="F271" s="10"/>
      <c r="G271" s="10"/>
      <c r="H271" s="10"/>
      <c r="I271" s="10"/>
      <c r="J271" s="10"/>
      <c r="K271" s="6"/>
      <c r="L271" s="7">
        <v>2</v>
      </c>
      <c r="M271" s="627" t="s">
        <v>46</v>
      </c>
      <c r="N271" s="1368"/>
      <c r="Q271" s="16"/>
    </row>
    <row r="272" spans="1:17" ht="12.75" hidden="1" customHeight="1" x14ac:dyDescent="0.35">
      <c r="A272" s="20"/>
      <c r="C272" s="633" t="s">
        <v>437</v>
      </c>
      <c r="D272" s="10"/>
      <c r="E272" s="10"/>
      <c r="F272" s="10"/>
      <c r="G272" s="10"/>
      <c r="H272" s="10"/>
      <c r="I272" s="10"/>
      <c r="J272" s="10"/>
      <c r="K272" s="6"/>
      <c r="L272" s="7">
        <v>1</v>
      </c>
      <c r="M272" s="627" t="s">
        <v>46</v>
      </c>
      <c r="N272" s="1368"/>
      <c r="Q272" s="16"/>
    </row>
    <row r="273" spans="1:40" ht="12.75" hidden="1" customHeight="1" x14ac:dyDescent="0.35">
      <c r="A273" s="20"/>
      <c r="C273" s="633" t="s">
        <v>438</v>
      </c>
      <c r="D273" s="10"/>
      <c r="E273" s="10"/>
      <c r="F273" s="10"/>
      <c r="G273" s="10"/>
      <c r="H273" s="10"/>
      <c r="I273" s="10"/>
      <c r="J273" s="10"/>
      <c r="K273" s="6"/>
      <c r="L273" s="7">
        <v>1</v>
      </c>
      <c r="M273" s="627" t="s">
        <v>46</v>
      </c>
      <c r="N273" s="1368"/>
      <c r="Q273" s="16"/>
    </row>
    <row r="274" spans="1:40" ht="12.75" hidden="1" customHeight="1" x14ac:dyDescent="0.35">
      <c r="A274" s="20"/>
      <c r="C274" s="633" t="s">
        <v>439</v>
      </c>
      <c r="D274" s="10"/>
      <c r="E274" s="10"/>
      <c r="F274" s="10"/>
      <c r="G274" s="10"/>
      <c r="H274" s="10"/>
      <c r="I274" s="10"/>
      <c r="J274" s="10"/>
      <c r="K274" s="6"/>
      <c r="L274" s="7">
        <v>1</v>
      </c>
      <c r="M274" s="627" t="s">
        <v>46</v>
      </c>
      <c r="N274" s="1368"/>
      <c r="Q274" s="16"/>
    </row>
    <row r="275" spans="1:40" ht="21.75" hidden="1" customHeight="1" x14ac:dyDescent="0.35">
      <c r="A275" s="20"/>
      <c r="C275" s="633" t="s">
        <v>440</v>
      </c>
      <c r="D275" s="10"/>
      <c r="E275" s="391"/>
      <c r="F275" s="980" t="str">
        <f ca="1">IF(E11=0,0,VLOOKUP(BJ8,C108:I112,6,0)&amp;" m")</f>
        <v>5,8 m</v>
      </c>
      <c r="G275" s="10" t="str">
        <f ca="1">IF(E11=0,0,(G44+G46+G50)*(VLOOKUP(BJ8,C108:I112,4,0)))&amp;" unid. durante "&amp;O531&amp;" dias"</f>
        <v>62 unid. durante 75 dias</v>
      </c>
      <c r="H275" s="10"/>
      <c r="I275" s="10"/>
      <c r="J275" s="10"/>
      <c r="K275" s="6"/>
      <c r="L275" s="31">
        <f ca="1">IF(E11=0,0,((G44+G46+G50)*(VLOOKUP(BJ8,C108:I112,4,0)))*O531/O531)</f>
        <v>62</v>
      </c>
      <c r="M275" s="627" t="s">
        <v>46</v>
      </c>
      <c r="N275" s="1369"/>
      <c r="Q275" s="16"/>
    </row>
    <row r="276" spans="1:40" x14ac:dyDescent="0.35">
      <c r="A276" s="20"/>
      <c r="C276" s="633" t="s">
        <v>441</v>
      </c>
      <c r="D276" s="10"/>
      <c r="E276" s="10"/>
      <c r="F276" s="10"/>
      <c r="G276" s="10"/>
      <c r="H276" s="10"/>
      <c r="I276" s="10"/>
      <c r="J276" s="10"/>
      <c r="K276" s="6"/>
      <c r="L276" s="7">
        <f ca="1">IF(E11=0,0,L534)</f>
        <v>107</v>
      </c>
      <c r="M276" s="627" t="s">
        <v>101</v>
      </c>
      <c r="N276" s="647"/>
      <c r="Q276" s="16"/>
    </row>
    <row r="277" spans="1:40" x14ac:dyDescent="0.35">
      <c r="A277" s="20"/>
      <c r="C277" s="633" t="str">
        <f>IF(E11=0,0,IF(E11&lt;=(10+G13),"PLATAFORMA ELEVATÓRIA ARTICULADA (PTA) TIPO 450AJ","PLATAFORMA ELEVATÓRIA ARTICULADA (PTA) TIPO 600AJ"))</f>
        <v>PLATAFORMA ELEVATÓRIA ARTICULADA (PTA) TIPO 450AJ</v>
      </c>
      <c r="D277" s="10"/>
      <c r="E277" s="10"/>
      <c r="F277" s="10"/>
      <c r="G277" s="10"/>
      <c r="H277" s="10"/>
      <c r="I277" s="10"/>
      <c r="J277" s="10"/>
      <c r="K277" s="6"/>
      <c r="L277" s="31">
        <f ca="1">IF(E11=0,0,IF(ENTRADAS!I448="X",0,L534))</f>
        <v>107</v>
      </c>
      <c r="M277" s="627" t="s">
        <v>101</v>
      </c>
      <c r="Q277" s="16"/>
      <c r="Z277" s="1338" t="s">
        <v>1868</v>
      </c>
      <c r="AA277" s="1441"/>
      <c r="AB277" s="1441"/>
      <c r="AC277" s="1441"/>
      <c r="AD277" s="1339"/>
    </row>
    <row r="278" spans="1:40" x14ac:dyDescent="0.35">
      <c r="A278" s="20"/>
      <c r="C278" s="633" t="s">
        <v>442</v>
      </c>
      <c r="D278" s="10"/>
      <c r="E278" s="10"/>
      <c r="F278" s="10"/>
      <c r="G278" s="10"/>
      <c r="H278" s="10"/>
      <c r="I278" s="10"/>
      <c r="J278" s="10"/>
      <c r="K278" s="6"/>
      <c r="L278" s="31">
        <f ca="1">IF(L277=0,0,1)</f>
        <v>1</v>
      </c>
      <c r="M278" s="627" t="s">
        <v>46</v>
      </c>
      <c r="Q278" s="16"/>
      <c r="Z278" s="1446" t="s">
        <v>1869</v>
      </c>
      <c r="AA278" s="1446" t="s">
        <v>355</v>
      </c>
      <c r="AB278" s="1446"/>
      <c r="AC278" s="1446" t="s">
        <v>1870</v>
      </c>
      <c r="AD278" s="2074" t="s">
        <v>165</v>
      </c>
    </row>
    <row r="279" spans="1:40" x14ac:dyDescent="0.35">
      <c r="A279" s="20"/>
      <c r="C279" s="633" t="s">
        <v>443</v>
      </c>
      <c r="D279" s="10"/>
      <c r="E279" s="10" t="s">
        <v>444</v>
      </c>
      <c r="F279" s="10"/>
      <c r="G279" s="646"/>
      <c r="H279" s="646"/>
      <c r="I279" s="643">
        <f>IF(GUINDASTE!E62="X",IF(O279&gt;=SUM(LAJES!AO154:AO158),O279,SUM(LAJES!AO154:AO158)),O279)</f>
        <v>70</v>
      </c>
      <c r="J279" s="10" t="s">
        <v>445</v>
      </c>
      <c r="K279" s="6"/>
      <c r="L279" s="31">
        <f ca="1">IF(AND(I279&lt;90,ENTRADAS!F22=1,GUINDASTE!O10=1,GUINDASTE!C125&lt;&gt;1),ROUNDUP(SUM(RELATÓRIO!S181:S187),0),IF(AND(I279&gt;=90,ENTRADAS!F22=1,GUINDASTE!O12=1,GUINDASTE!C125&lt;&gt;1),ROUNDUP(SUM(RELATÓRIO!S181:S187),0),IF(I279=0,0,IF(GUINDASTE!C123=1,GUINDASTE!I77,IF(GUINDASTE!C125=1,ROUNDDOWN(GUINDASTE!I103*CÁLCULOS!U242,0),0)))))</f>
        <v>88</v>
      </c>
      <c r="M279" s="627" t="str">
        <f ca="1">IF(L279&lt;=1,"dia","dias trabalhados")</f>
        <v>dias trabalhados</v>
      </c>
      <c r="O279" s="32">
        <f>IF(E11=0,0,IF(E133&lt;&gt;0,E133,IF(L122=1,P279,IF(L122=2,F130,IF(AND(L122=3,ENTRADAS!G66="x"),F130,IF(L122=3,Z204,0))))))</f>
        <v>70</v>
      </c>
      <c r="P279" s="480">
        <f ca="1">IF(SUM(B118:B125)=0,0,VLOOKUP(BJ8,C118:I125,4,0))</f>
        <v>0</v>
      </c>
      <c r="Q279" s="16"/>
      <c r="S279" s="183"/>
      <c r="T279">
        <f ca="1">IF(I279=0,0,IF(GUINDASTE!C123=1,GUINDASTE!I77,IF(GUINDASTE!C125=1,GUINDASTE!I103*CÁLCULOS!U242,0)))</f>
        <v>88</v>
      </c>
      <c r="U279" s="4">
        <f ca="1">IF(I279=0,0,IF(F15=1,ROUNDUP((L531-J382-J412-J413-J414-J415-J362-J363-J364),0),ROUNDUP((L531-L141),0)))</f>
        <v>55</v>
      </c>
      <c r="Z279" s="2074"/>
      <c r="AA279" s="2074"/>
      <c r="AB279" s="2074"/>
      <c r="AC279" s="2074"/>
      <c r="AD279" s="2074"/>
      <c r="AE279" s="2" t="s">
        <v>145</v>
      </c>
      <c r="AF279" s="2070" t="s">
        <v>189</v>
      </c>
      <c r="AG279" s="2070"/>
      <c r="AH279" s="2070" t="s">
        <v>41</v>
      </c>
      <c r="AI279" s="2070" t="s">
        <v>41</v>
      </c>
      <c r="AJ279" s="2070"/>
      <c r="AK279" s="2070"/>
      <c r="AL279" s="2070" t="s">
        <v>42</v>
      </c>
      <c r="AM279" s="2070"/>
      <c r="AN279" s="2070"/>
    </row>
    <row r="280" spans="1:40" x14ac:dyDescent="0.35">
      <c r="A280" s="20"/>
      <c r="C280" s="633">
        <f>IF(I280=0,0,"TRABALHANDO------------------")</f>
        <v>0</v>
      </c>
      <c r="D280" s="10"/>
      <c r="E280" s="10">
        <f>IF(V283&gt;0,"GUINDASTE 2 - retirada P.T.A  CAP.= ---------------",IF(I280=0,0,"GUINDASTE 2 - montagem painéis  CAP. ="))</f>
        <v>0</v>
      </c>
      <c r="F280" s="10"/>
      <c r="G280" s="646"/>
      <c r="H280" s="646"/>
      <c r="I280" s="10">
        <f>IF(I135="X",0,V285+V286)</f>
        <v>0</v>
      </c>
      <c r="J280" s="10">
        <f>IF(I280=0,0,"toneladas")</f>
        <v>0</v>
      </c>
      <c r="K280" s="6"/>
      <c r="L280" s="31">
        <f>V283+V284</f>
        <v>0</v>
      </c>
      <c r="M280" s="627">
        <f>IF(I280=0,0,IF(L280&lt;=1,"dia","dias"))</f>
        <v>0</v>
      </c>
      <c r="O280" s="32">
        <f>IF(GUINDASTE!F19="x",0,IF(E11=0,0,IF(E134&lt;&gt;0,E134,IF(L122=1,P280,IF(L122=2,H130,IF(AND(L122=3,ENTRADAS!G66="x"),H130,IF(L122=3,AA204,0)))))))</f>
        <v>0</v>
      </c>
      <c r="P280" s="32">
        <f ca="1">IF(SUM(B118:B125)=0,0,VLOOKUP(BJ8,C118:I125,6,0))</f>
        <v>60</v>
      </c>
      <c r="Q280" s="16"/>
      <c r="Z280" s="152">
        <f>IF(ENTRADAS!$F$1261="X",4000,0)</f>
        <v>0</v>
      </c>
      <c r="AA280" s="730">
        <f>IF(ENTRADAS!$F$1261="X","M25 x 85",0)</f>
        <v>0</v>
      </c>
      <c r="AB280" s="152"/>
      <c r="AC280" s="152">
        <f>IF(ENTRADAS!$F$1261="X",4000,0)</f>
        <v>0</v>
      </c>
      <c r="AD280" s="155">
        <f>IF(ENTRADAS!$F$1261="X",2,0)</f>
        <v>0</v>
      </c>
      <c r="AE280" s="392">
        <f t="shared" ref="AE280:AN280" ca="1" si="32">AE648</f>
        <v>4336.7610342188573</v>
      </c>
      <c r="AF280" s="2114" t="str">
        <f t="shared" si="32"/>
        <v>painel normal</v>
      </c>
      <c r="AG280" s="2076"/>
      <c r="AH280" s="393">
        <f ca="1">AH648</f>
        <v>6000</v>
      </c>
      <c r="AI280" s="394">
        <f t="shared" ca="1" si="32"/>
        <v>6000</v>
      </c>
      <c r="AJ280" s="394">
        <f t="shared" ca="1" si="32"/>
        <v>0</v>
      </c>
      <c r="AK280" s="394">
        <f t="shared" ca="1" si="32"/>
        <v>0</v>
      </c>
      <c r="AL280" s="394">
        <f t="shared" ca="1" si="32"/>
        <v>6000</v>
      </c>
      <c r="AM280" s="394">
        <f t="shared" ca="1" si="32"/>
        <v>0</v>
      </c>
      <c r="AN280" s="394">
        <f t="shared" ca="1" si="32"/>
        <v>0</v>
      </c>
    </row>
    <row r="281" spans="1:40" x14ac:dyDescent="0.35">
      <c r="A281" s="20"/>
      <c r="C281" s="1213" t="s">
        <v>446</v>
      </c>
      <c r="D281" s="653"/>
      <c r="E281" s="653"/>
      <c r="F281" s="653"/>
      <c r="G281" s="1214"/>
      <c r="H281" s="1214"/>
      <c r="I281" s="653"/>
      <c r="J281" s="653"/>
      <c r="K281" s="656"/>
      <c r="L281" s="657">
        <f ca="1">U281+ENTRADAS!BP411</f>
        <v>1</v>
      </c>
      <c r="M281" s="627" t="s">
        <v>46</v>
      </c>
      <c r="Q281" s="16"/>
      <c r="S281" s="32" t="s">
        <v>1871</v>
      </c>
      <c r="T281" s="32"/>
      <c r="U281" s="644">
        <f ca="1">IF(CÁLCULOS!E11=0,0,IF(GUINDASTE!L31&gt;0,GUINDASTE!L31,IF(GUINDASTE!C123=1,GUINDASTE!I81,IF(GUINDASTE!C125=1,GUINDASTE!I81*U242,0))))</f>
        <v>1</v>
      </c>
      <c r="Z281" s="730">
        <v>6000</v>
      </c>
      <c r="AA281" s="730" t="s">
        <v>1872</v>
      </c>
      <c r="AB281" s="152"/>
      <c r="AC281" s="152">
        <v>6000</v>
      </c>
      <c r="AD281" s="155">
        <v>2</v>
      </c>
      <c r="AE281" s="396">
        <f t="shared" ref="AE281:AN281" ca="1" si="33">AE649</f>
        <v>5976.8750000000018</v>
      </c>
      <c r="AF281" s="2115" t="str">
        <f t="shared" si="33"/>
        <v>painel fecho</v>
      </c>
      <c r="AG281" s="2073"/>
      <c r="AH281" s="397">
        <f ca="1">AH649</f>
        <v>6000</v>
      </c>
      <c r="AI281" s="398">
        <f t="shared" ca="1" si="33"/>
        <v>6000</v>
      </c>
      <c r="AJ281" s="398">
        <f t="shared" ca="1" si="33"/>
        <v>0</v>
      </c>
      <c r="AK281" s="398">
        <f t="shared" ca="1" si="33"/>
        <v>0</v>
      </c>
      <c r="AL281" s="398">
        <f t="shared" ca="1" si="33"/>
        <v>6000</v>
      </c>
      <c r="AM281" s="398">
        <f t="shared" ca="1" si="33"/>
        <v>0</v>
      </c>
      <c r="AN281" s="398">
        <f t="shared" ca="1" si="33"/>
        <v>0</v>
      </c>
    </row>
    <row r="282" spans="1:40" x14ac:dyDescent="0.35">
      <c r="A282" s="20"/>
      <c r="C282" s="1213">
        <f>IF(I280=0,0,"MOBILIZAÇÃO DE GUINDASTE 2")</f>
        <v>0</v>
      </c>
      <c r="D282" s="653"/>
      <c r="E282" s="653"/>
      <c r="F282" s="653"/>
      <c r="G282" s="1214"/>
      <c r="H282" s="1214"/>
      <c r="I282" s="653"/>
      <c r="J282" s="653"/>
      <c r="K282" s="656"/>
      <c r="L282" s="657">
        <f>IF(L280=0,0,U282+ENTRADAS!BP411)</f>
        <v>0</v>
      </c>
      <c r="M282" s="627">
        <f>IF(C282&lt;&gt;0,"unid.",0)</f>
        <v>0</v>
      </c>
      <c r="Q282" s="16"/>
      <c r="S282" s="32" t="s">
        <v>1873</v>
      </c>
      <c r="T282" s="32"/>
      <c r="U282" s="644">
        <f ca="1">IF(V282&gt;0,V282,IF(GUINDASTE!L34&gt;0,GUINDASTE!L34,IF(AND(GUINDASTE!L37&gt;0,CÁLCULOS!L280&gt;0),1,IF(AND(GUINDASTE!L37&gt;0,CÁLCULOS!L280&lt;=0),0,IF(AND(L280&lt;=0,ENTRADAS!G448&lt;&gt;0),1,IF(AND(ENTRADAS!E15&lt;=6,ENTRADAS!G448&lt;&gt;0),1,IF(ENTRADAS!G448&lt;&gt;0,2,IF(L280&gt;0,1,0))))))))</f>
        <v>0</v>
      </c>
      <c r="V282" s="32">
        <f>IF(O280&gt;0,L281,0)</f>
        <v>0</v>
      </c>
      <c r="Z282" s="152">
        <v>10000</v>
      </c>
      <c r="AA282" s="730" t="s">
        <v>1874</v>
      </c>
      <c r="AB282" s="152"/>
      <c r="AC282" s="152">
        <v>10000</v>
      </c>
      <c r="AD282" s="155">
        <v>2</v>
      </c>
      <c r="AE282" s="392">
        <f t="shared" ref="AE282:AN282" ca="1" si="34">AE652</f>
        <v>4336.7610342188573</v>
      </c>
      <c r="AF282" s="2114" t="str">
        <f t="shared" si="34"/>
        <v>painel normal</v>
      </c>
      <c r="AG282" s="2076"/>
      <c r="AH282" s="393">
        <f t="shared" ca="1" si="34"/>
        <v>2</v>
      </c>
      <c r="AI282" s="394">
        <f t="shared" ca="1" si="34"/>
        <v>2</v>
      </c>
      <c r="AJ282" s="394">
        <f t="shared" ca="1" si="34"/>
        <v>0</v>
      </c>
      <c r="AK282" s="394">
        <f t="shared" ca="1" si="34"/>
        <v>0</v>
      </c>
      <c r="AL282" s="394">
        <f t="shared" ca="1" si="34"/>
        <v>2</v>
      </c>
      <c r="AM282" s="394">
        <f t="shared" ca="1" si="34"/>
        <v>0</v>
      </c>
      <c r="AN282" s="394">
        <f t="shared" ca="1" si="34"/>
        <v>0</v>
      </c>
    </row>
    <row r="283" spans="1:40" x14ac:dyDescent="0.35">
      <c r="A283" s="20"/>
      <c r="C283" s="633">
        <f>IF(L283=0,0,"À DISPOSIÇÃO ------------- GUINDASTE 1 SOBRE RODAS CAP.= ---------------------------")</f>
        <v>0</v>
      </c>
      <c r="D283" s="10"/>
      <c r="E283" s="10"/>
      <c r="F283" s="10"/>
      <c r="G283" s="646"/>
      <c r="H283" s="646"/>
      <c r="I283" s="10">
        <f>IF(L283=0,0,I279)</f>
        <v>0</v>
      </c>
      <c r="J283" s="646">
        <f>IF(L283=0,0,"toneladas")</f>
        <v>0</v>
      </c>
      <c r="K283" s="6"/>
      <c r="L283" s="395">
        <f>IF(I279=0,0,IF(GUINDASTE!C123=1,GUINDASTE!I79,IF(GUINDASTE!C125=1,ROUNDDOWN(GUINDASTE!I105*CÁLCULOS!U242,0),0)))</f>
        <v>0</v>
      </c>
      <c r="M283" s="627" t="str">
        <f>IF(L283&lt;=1,"dia","dias à disposição")</f>
        <v>dia</v>
      </c>
      <c r="Q283" s="16"/>
      <c r="S283" s="9" t="s">
        <v>1875</v>
      </c>
      <c r="T283" s="10"/>
      <c r="U283" s="6"/>
      <c r="V283" s="644">
        <f>IF(AND(V284&lt;=0,ENTRADAS!G448&lt;&gt;0,GUINDASTE!L40&lt;&gt;0),1,0)</f>
        <v>0</v>
      </c>
      <c r="W283" s="627" t="s">
        <v>1876</v>
      </c>
      <c r="Z283" s="152">
        <v>15000</v>
      </c>
      <c r="AA283" s="152" t="s">
        <v>1877</v>
      </c>
      <c r="AB283" s="152"/>
      <c r="AC283" s="152">
        <v>15000</v>
      </c>
      <c r="AD283" s="155">
        <v>2</v>
      </c>
      <c r="AE283" s="396">
        <f t="shared" ref="AE283:AN283" ca="1" si="35">AE653</f>
        <v>5976.8750000000018</v>
      </c>
      <c r="AF283" s="2115" t="str">
        <f t="shared" si="35"/>
        <v>painel fecho</v>
      </c>
      <c r="AG283" s="2073"/>
      <c r="AH283" s="397">
        <f t="shared" ca="1" si="35"/>
        <v>2</v>
      </c>
      <c r="AI283" s="398">
        <f t="shared" ca="1" si="35"/>
        <v>2</v>
      </c>
      <c r="AJ283" s="398">
        <f t="shared" ca="1" si="35"/>
        <v>0</v>
      </c>
      <c r="AK283" s="398">
        <f t="shared" ca="1" si="35"/>
        <v>0</v>
      </c>
      <c r="AL283" s="398">
        <f t="shared" ca="1" si="35"/>
        <v>2</v>
      </c>
      <c r="AM283" s="398">
        <f t="shared" ca="1" si="35"/>
        <v>0</v>
      </c>
      <c r="AN283" s="398">
        <f t="shared" ca="1" si="35"/>
        <v>0</v>
      </c>
    </row>
    <row r="284" spans="1:40" x14ac:dyDescent="0.35">
      <c r="A284" s="20"/>
      <c r="C284" s="1215">
        <f>IF(I280=0,0,"À DISPOSIÇÃO ------------- GUINDASTE 2 SOBRE RODAS CAP. = -------------------------")</f>
        <v>0</v>
      </c>
      <c r="D284" s="654"/>
      <c r="E284" s="654"/>
      <c r="F284" s="654"/>
      <c r="G284" s="1216"/>
      <c r="H284" s="1216"/>
      <c r="I284" s="654">
        <f>I280</f>
        <v>0</v>
      </c>
      <c r="J284" s="654">
        <f>IF(I284=0,0,"toneladas")</f>
        <v>0</v>
      </c>
      <c r="K284" s="540"/>
      <c r="L284" s="657">
        <f>IF(I280=0,0,L283)</f>
        <v>0</v>
      </c>
      <c r="M284" s="627" t="str">
        <f>IF(L284&lt;=1,"dia","dias à disposição")</f>
        <v>dia</v>
      </c>
      <c r="Q284" s="16"/>
      <c r="S284" s="9" t="s">
        <v>1878</v>
      </c>
      <c r="T284" s="10"/>
      <c r="U284" s="6"/>
      <c r="V284" s="644">
        <f>IF(GUINDASTE!I29="x",0,IF(GUINDASTE!F19="X",0,IF(V285=0,0,L279)))</f>
        <v>0</v>
      </c>
      <c r="Z284" s="152"/>
      <c r="AA284" s="152"/>
      <c r="AB284" s="152"/>
      <c r="AC284" s="152"/>
      <c r="AD284" s="155"/>
    </row>
    <row r="285" spans="1:40" x14ac:dyDescent="0.35">
      <c r="A285" s="20" t="str">
        <f ca="1">IF($I$11&gt;=12,"ALTURA DO PAINEL &gt; 12 m. VER TRANSPORTE ESPECÍFICO COM TRANSPORTADORAS.",IF(A176+A179+A182+A185+A188+A191+A194+A197+A200+A203+A206+A209+A212+A215+A218=0,"FRETE",IF(C286=0,0,"FRETE para "&amp;E172&amp;" km com "&amp;""&amp;VLOOKUP($BJ$8,C176:O220,2,0))))</f>
        <v xml:space="preserve">FRETE para 1000 km com CARRETA LS  capac.= 31 ton </v>
      </c>
      <c r="C285" s="13" t="str">
        <f ca="1">IF(A176+A179+A182+A185+A188+A191+A194+A197+A200+A203+A206+A209+A212+A215+A218=0,"FRETE",IF(C286=0,0,"FRETE para "&amp;E172&amp;" km com "&amp;""&amp;VLOOKUP($BJ$8,C176:O220,2,0)))</f>
        <v xml:space="preserve">FRETE para 1000 km com CARRETA LS  capac.= 31 ton </v>
      </c>
      <c r="D285" s="14"/>
      <c r="E285" s="14"/>
      <c r="F285" s="14"/>
      <c r="G285" s="14"/>
      <c r="H285" s="14"/>
      <c r="I285" s="14"/>
      <c r="J285" s="14"/>
      <c r="K285" s="15"/>
      <c r="L285" s="2083">
        <f ca="1">IF(C286=0,0,VLOOKUP($BJ$8,C176:O220,6,0))</f>
        <v>84</v>
      </c>
      <c r="M285" s="1351" t="s">
        <v>46</v>
      </c>
      <c r="Q285" s="16"/>
      <c r="S285" s="9" t="s">
        <v>1879</v>
      </c>
      <c r="T285" s="10"/>
      <c r="U285" s="6"/>
      <c r="V285" s="32">
        <f>IF(GUINDASTE!F19="x",0,IF(E11=0,0,IF(E134&lt;&gt;0,E134,IF(L122=1,P280,IF(L122=2,H130,IF(AND(L122=3,ENTRADAS!G66="x"),H130,IF(L122=3,AA204,0)))))))</f>
        <v>0</v>
      </c>
      <c r="Z285" s="152"/>
      <c r="AA285" s="152"/>
      <c r="AB285" s="152"/>
      <c r="AC285" s="152"/>
      <c r="AD285" s="155"/>
    </row>
    <row r="286" spans="1:40" x14ac:dyDescent="0.35">
      <c r="A286" s="20"/>
      <c r="C286" s="988" t="str">
        <f ca="1">IF(ENTRADAS!C60="X",IF(A176+A179+A182+A185+A188+A191+A194+A197+A200+A203+A206+A209+A212+A215+A218&lt;&gt;0,"CARGA c/ "&amp;VLOOKUP($BJ$9,$C$177:$N$220,3,0)&amp;"  "&amp;IF(E177=1,"painel","painéis ")&amp;"( larg.= 2,40m // "&amp;"espess.= "&amp;IF(ENTRADAS!C60="X","0,25 m",0)&amp;" // comp.= "&amp;VLOOKUP($BJ$9,$C$177:$N$220,12,0)&amp;" m )",0),IF(ENTRADAS!E60="X",IF(A176+A179+A182+A185+A188+A191+A194+A197+A200+A203+A206+A209+A212+A215+A218&lt;&gt;0,"CARGA c/ "&amp;VLOOKUP($BJ$9,$C$177:$N$220,3,0)&amp;"  "&amp;IF(E177=1,"painel","painéis ")&amp;"( larg.= 2,40m // "&amp;"espess.= "&amp;IF(ENTRADAS!E60="X","0,30 m",0)&amp;" // comp.= "&amp;VLOOKUP($BJ$9,$C$177:$N$220,12,0)&amp;" m )",0),IF(ENTRADAS!C65="X",IF(A176+A179+A182+A185+A188+A191+A194+A197+A200+A203+A206+A209+A212+A215+A218&lt;&gt;0,"CARGA c/ "&amp;VLOOKUP($BJ$9,$C$177:$N$220,3,0)&amp;"  "&amp;IF(E177=1,"painel","painéis ")&amp;"( larg.= 2,10m // "&amp;"espess.= "&amp;IF(ENTRADAS!C65="X","0,18 m",0)&amp;" // comp.= "&amp;VLOOKUP($BJ$9,$C$177:$N$220,12,0)&amp;" m )",0),0)))</f>
        <v>CARGA c/ 3  painéis ( larg.= 2,40m // espess.= 0,25 m // comp.= 7,3 m )</v>
      </c>
      <c r="E286" s="688"/>
      <c r="G286" s="627"/>
      <c r="H286" s="627"/>
      <c r="K286" s="16"/>
      <c r="L286" s="2084"/>
      <c r="M286" s="1351"/>
      <c r="O286" s="32">
        <f ca="1">IF(A176+A179+A182+A185+A188+A191+A194+A197+A200+A203+A206+A209+A212+A215+A218&lt;&gt;0,VLOOKUP($BJ$9,$C$177:$N$220,3,0),0)</f>
        <v>3</v>
      </c>
      <c r="P286" t="s">
        <v>1069</v>
      </c>
      <c r="Q286" s="16"/>
      <c r="S286" s="9" t="s">
        <v>1880</v>
      </c>
      <c r="T286" s="10"/>
      <c r="U286" s="6"/>
      <c r="V286" s="32">
        <f>IF(V283=1,30,0)</f>
        <v>0</v>
      </c>
    </row>
    <row r="287" spans="1:40" ht="13.15" thickBot="1" x14ac:dyDescent="0.4">
      <c r="A287" s="20"/>
      <c r="C287" s="740" t="str">
        <f ca="1">IF($I$11=0,0,"PESO TOTAL TRANSPORTADO")</f>
        <v>PESO TOTAL TRANSPORTADO</v>
      </c>
      <c r="D287" s="399"/>
      <c r="E287" s="1016"/>
      <c r="F287" s="325"/>
      <c r="G287" s="1015"/>
      <c r="H287" s="1015"/>
      <c r="I287" s="399"/>
      <c r="J287" s="400"/>
      <c r="K287" s="1019"/>
      <c r="L287" s="401">
        <f ca="1">IF(I11=0,0,IF(C19="x",((Z233+Z234)*(G50*F15)+(AA233+AA234)*((G44+G46)*F15)),IF(E19="x",((AB233+AB234)*(G50*F15)+(AC233+AC234)*((G44+G46)*F15)),0)))</f>
        <v>2177.2752964250517</v>
      </c>
      <c r="M287" s="627" t="s">
        <v>328</v>
      </c>
      <c r="O287" s="32">
        <f ca="1">IF(C286=0,0,VLOOKUP($BJ$8,C176:R220,16,0))</f>
        <v>31</v>
      </c>
      <c r="P287" t="s">
        <v>328</v>
      </c>
      <c r="Q287" s="16"/>
    </row>
    <row r="288" spans="1:40" ht="13.15" thickBot="1" x14ac:dyDescent="0.4">
      <c r="A288" s="20"/>
      <c r="C288" s="627"/>
      <c r="E288" t="s">
        <v>1881</v>
      </c>
      <c r="F288" s="585" t="str">
        <f>ENTRADAS!G849</f>
        <v>x</v>
      </c>
      <c r="J288" s="368"/>
      <c r="K288" s="627"/>
      <c r="L288" s="4"/>
      <c r="M288" s="627"/>
      <c r="Q288" s="16"/>
    </row>
    <row r="289" spans="1:17" x14ac:dyDescent="0.35">
      <c r="A289" s="20"/>
      <c r="C289" s="1338" t="s">
        <v>448</v>
      </c>
      <c r="D289" s="1441"/>
      <c r="E289" s="1441"/>
      <c r="F289" s="1413"/>
      <c r="G289" s="1441"/>
      <c r="H289" s="1441"/>
      <c r="I289" s="1441"/>
      <c r="J289" s="1339"/>
      <c r="Q289" s="16"/>
    </row>
    <row r="290" spans="1:17" x14ac:dyDescent="0.35">
      <c r="A290" s="20"/>
      <c r="C290" s="633" t="s">
        <v>449</v>
      </c>
      <c r="D290" s="10"/>
      <c r="E290" s="10"/>
      <c r="F290" s="10"/>
      <c r="G290" s="10"/>
      <c r="H290" s="10"/>
      <c r="I290" s="6"/>
      <c r="J290" s="7">
        <f ca="1">IF($F$288="X",N290,M290)</f>
        <v>7</v>
      </c>
      <c r="K290" s="627" t="str">
        <f ca="1">IF(J290&lt;=1,"dia","dias")</f>
        <v>dias</v>
      </c>
      <c r="M290" s="32">
        <f ca="1">(G44+G46+G50)*F15/J223</f>
        <v>6.2</v>
      </c>
      <c r="N290" s="32">
        <f ca="1">ROUNDUP((G44+G46+G50)*F15/J223,0)</f>
        <v>7</v>
      </c>
      <c r="Q290" s="16"/>
    </row>
    <row r="291" spans="1:17" x14ac:dyDescent="0.35">
      <c r="A291" s="20"/>
      <c r="C291" s="633" t="s">
        <v>450</v>
      </c>
      <c r="D291" s="10"/>
      <c r="E291" s="10"/>
      <c r="F291" s="10"/>
      <c r="G291" s="10"/>
      <c r="H291" s="10"/>
      <c r="I291" s="6"/>
      <c r="J291" s="7">
        <f ca="1">IF($F$288="X",N291,M291)</f>
        <v>7</v>
      </c>
      <c r="K291" s="627" t="str">
        <f ca="1">IF(J291&lt;=1,"dia","dias")</f>
        <v>dias</v>
      </c>
      <c r="M291" s="32">
        <f ca="1">(G44+G46+G50)*F15/J225/C423</f>
        <v>6.2</v>
      </c>
      <c r="N291" s="32">
        <f ca="1">ROUNDUP((G44+G46+G50)*F15/J225/C423,0)</f>
        <v>7</v>
      </c>
      <c r="Q291" s="16"/>
    </row>
    <row r="292" spans="1:17" x14ac:dyDescent="0.35">
      <c r="A292" s="20"/>
      <c r="C292" s="633" t="s">
        <v>451</v>
      </c>
      <c r="D292" s="10"/>
      <c r="E292" s="10"/>
      <c r="F292" s="10"/>
      <c r="G292" s="10"/>
      <c r="H292" s="10"/>
      <c r="I292" s="6"/>
      <c r="J292" s="7">
        <f ca="1">IF($F$288="X",N292,M292)</f>
        <v>10</v>
      </c>
      <c r="K292" s="627" t="str">
        <f ca="1">IF(J292&lt;=1,"dia","dias")</f>
        <v>dias</v>
      </c>
      <c r="M292" s="32">
        <f ca="1">L285*1/9*(C423)</f>
        <v>9.3333333333333339</v>
      </c>
      <c r="N292" s="32">
        <f ca="1">ROUNDUP(L285*1/9*(C423),0)</f>
        <v>10</v>
      </c>
      <c r="Q292" s="16"/>
    </row>
    <row r="293" spans="1:17" x14ac:dyDescent="0.35">
      <c r="A293" s="20"/>
      <c r="C293" s="633" t="s">
        <v>452</v>
      </c>
      <c r="D293" s="10"/>
      <c r="E293" s="10"/>
      <c r="F293" s="10"/>
      <c r="G293" s="10"/>
      <c r="H293" s="10"/>
      <c r="I293" s="6"/>
      <c r="J293" s="7">
        <f>IF(E11=0,0,J228)</f>
        <v>0</v>
      </c>
      <c r="K293" s="627" t="str">
        <f>IF(J293&lt;=1,"dia","dias")</f>
        <v>dia</v>
      </c>
      <c r="Q293" s="16"/>
    </row>
    <row r="294" spans="1:17" x14ac:dyDescent="0.35">
      <c r="A294" s="20"/>
      <c r="C294" s="633" t="s">
        <v>453</v>
      </c>
      <c r="D294" s="10"/>
      <c r="E294" s="10"/>
      <c r="F294" s="10"/>
      <c r="G294" s="10"/>
      <c r="H294" s="10"/>
      <c r="I294" s="6"/>
      <c r="J294" s="7">
        <f ca="1">IF($F$288="X",N294,N294)</f>
        <v>36</v>
      </c>
      <c r="K294" s="627" t="str">
        <f ca="1">IF(J294&lt;=1,"dia","dias")</f>
        <v>dias</v>
      </c>
      <c r="M294" s="32">
        <f ca="1">IF(E11=0,0,(G44+G46+G50)*F15/H102/C423)</f>
        <v>35.428571428571431</v>
      </c>
      <c r="N294" s="32">
        <f ca="1">ROUNDUP(IF(E11=0,0,(G44+G46+G50)*F15/H102/C423),0)</f>
        <v>36</v>
      </c>
      <c r="O294" t="s">
        <v>1882</v>
      </c>
      <c r="Q294" s="16"/>
    </row>
    <row r="295" spans="1:17" x14ac:dyDescent="0.35">
      <c r="A295" s="20"/>
      <c r="Q295" s="16"/>
    </row>
    <row r="296" spans="1:17" x14ac:dyDescent="0.35">
      <c r="A296" s="20"/>
      <c r="Q296" s="16"/>
    </row>
    <row r="297" spans="1:17" ht="13.15" thickBot="1" x14ac:dyDescent="0.4">
      <c r="A297" s="20"/>
      <c r="F297" s="4"/>
      <c r="G297">
        <f ca="1">L141</f>
        <v>46</v>
      </c>
      <c r="O297" s="4"/>
      <c r="Q297" s="16"/>
    </row>
    <row r="298" spans="1:17" ht="15.4" thickBot="1" x14ac:dyDescent="0.45">
      <c r="A298" s="20"/>
      <c r="B298" s="23"/>
      <c r="C298" s="24" t="s">
        <v>454</v>
      </c>
      <c r="D298" s="21"/>
      <c r="E298" s="21"/>
      <c r="F298" s="21"/>
      <c r="G298" s="21"/>
      <c r="H298" s="21"/>
      <c r="I298" s="21"/>
      <c r="J298" s="21"/>
      <c r="K298" s="21"/>
      <c r="L298" s="21"/>
      <c r="M298" s="21"/>
      <c r="N298" s="21"/>
      <c r="O298" s="21"/>
      <c r="P298" s="22"/>
      <c r="Q298" s="16"/>
    </row>
    <row r="299" spans="1:17" x14ac:dyDescent="0.35">
      <c r="A299" s="20"/>
      <c r="Q299" s="16"/>
    </row>
    <row r="300" spans="1:17" x14ac:dyDescent="0.35">
      <c r="A300" s="20"/>
      <c r="C300" s="627" t="s">
        <v>455</v>
      </c>
      <c r="Q300" s="16"/>
    </row>
    <row r="301" spans="1:17" x14ac:dyDescent="0.35">
      <c r="A301" s="20"/>
      <c r="C301" s="626" t="s">
        <v>35</v>
      </c>
      <c r="D301" t="s">
        <v>456</v>
      </c>
      <c r="H301" s="626"/>
      <c r="I301" s="627" t="s">
        <v>457</v>
      </c>
      <c r="Q301" s="16"/>
    </row>
    <row r="302" spans="1:17" x14ac:dyDescent="0.35">
      <c r="A302" s="20"/>
      <c r="Q302" s="16"/>
    </row>
    <row r="303" spans="1:17" ht="18" x14ac:dyDescent="0.55000000000000004">
      <c r="A303" s="20"/>
      <c r="C303" s="627" t="s">
        <v>458</v>
      </c>
      <c r="H303" s="31">
        <f>IF(O303=0,10,O303)</f>
        <v>10</v>
      </c>
      <c r="I303" s="627" t="s">
        <v>459</v>
      </c>
      <c r="J303" s="688" t="s">
        <v>460</v>
      </c>
      <c r="O303" s="7"/>
      <c r="Q303" s="16"/>
    </row>
    <row r="304" spans="1:17" x14ac:dyDescent="0.35">
      <c r="A304" s="20"/>
      <c r="Q304" s="16"/>
    </row>
    <row r="305" spans="1:30" x14ac:dyDescent="0.35">
      <c r="A305" s="20"/>
      <c r="C305" s="627" t="s">
        <v>461</v>
      </c>
      <c r="H305" s="31">
        <f>IF(O305=0,35,O305)</f>
        <v>35</v>
      </c>
      <c r="I305" s="627" t="str">
        <f>"% "&amp;"( A ="</f>
        <v>% ( A =</v>
      </c>
      <c r="J305" s="82" t="str">
        <f>H305/100+1&amp; " )"</f>
        <v>1,35 )</v>
      </c>
      <c r="L305" s="688" t="s">
        <v>462</v>
      </c>
      <c r="O305" s="7"/>
      <c r="Q305" s="16"/>
    </row>
    <row r="306" spans="1:30" x14ac:dyDescent="0.35">
      <c r="A306" s="20"/>
      <c r="Q306" s="16"/>
    </row>
    <row r="307" spans="1:30" x14ac:dyDescent="0.35">
      <c r="A307" s="20"/>
      <c r="C307" s="627" t="s">
        <v>463</v>
      </c>
      <c r="H307" s="31">
        <f>IF(O307=0,90,O307)</f>
        <v>90</v>
      </c>
      <c r="I307" s="627" t="str">
        <f>"% "&amp;"( U ="</f>
        <v>% ( U =</v>
      </c>
      <c r="J307" t="str">
        <f>H307/100&amp; " )"</f>
        <v>0,9 )</v>
      </c>
      <c r="L307" s="688" t="s">
        <v>464</v>
      </c>
      <c r="O307" s="7"/>
      <c r="Q307" s="16"/>
    </row>
    <row r="308" spans="1:30" x14ac:dyDescent="0.35">
      <c r="A308" s="20"/>
      <c r="Q308" s="16"/>
    </row>
    <row r="309" spans="1:30" x14ac:dyDescent="0.35">
      <c r="A309" s="20"/>
      <c r="C309" s="627" t="s">
        <v>1883</v>
      </c>
      <c r="H309" s="31">
        <f>IF(ENTRADAS!G66="X",180,200)</f>
        <v>200</v>
      </c>
      <c r="I309" t="s">
        <v>466</v>
      </c>
      <c r="J309" s="688" t="s">
        <v>460</v>
      </c>
      <c r="O309" s="7"/>
      <c r="Q309" s="16"/>
      <c r="T309" s="9"/>
      <c r="U309" s="10"/>
      <c r="V309" s="646" t="s">
        <v>1884</v>
      </c>
      <c r="W309" s="10"/>
      <c r="X309" s="10"/>
      <c r="Y309" s="6"/>
      <c r="Z309" s="13"/>
      <c r="AA309" s="14"/>
      <c r="AB309" s="652" t="s">
        <v>1885</v>
      </c>
      <c r="AC309" s="15"/>
    </row>
    <row r="310" spans="1:30" x14ac:dyDescent="0.35">
      <c r="A310" s="20"/>
      <c r="Q310" s="16"/>
      <c r="T310" s="750" t="s">
        <v>1886</v>
      </c>
      <c r="U310" s="639" t="s">
        <v>1887</v>
      </c>
      <c r="V310" s="639" t="s">
        <v>1888</v>
      </c>
      <c r="W310" s="1412" t="s">
        <v>1889</v>
      </c>
      <c r="X310" s="1413"/>
      <c r="Y310" s="1414"/>
      <c r="Z310" s="18"/>
      <c r="AA310" s="3"/>
      <c r="AB310" s="33">
        <v>10</v>
      </c>
      <c r="AC310" s="748" t="s">
        <v>130</v>
      </c>
    </row>
    <row r="311" spans="1:30" x14ac:dyDescent="0.35">
      <c r="A311" s="20"/>
      <c r="C311" s="627" t="s">
        <v>467</v>
      </c>
      <c r="H311" s="31">
        <f>IF(O311=0,5,O311)</f>
        <v>5</v>
      </c>
      <c r="I311" t="s">
        <v>130</v>
      </c>
      <c r="J311" s="688" t="s">
        <v>468</v>
      </c>
      <c r="O311" s="7"/>
      <c r="Q311" s="16"/>
      <c r="T311" s="386"/>
      <c r="U311" s="630"/>
      <c r="V311" s="630"/>
      <c r="W311" s="630" t="s">
        <v>1890</v>
      </c>
      <c r="X311" s="630" t="s">
        <v>1891</v>
      </c>
      <c r="Y311" s="630" t="s">
        <v>1892</v>
      </c>
      <c r="Z311" s="639" t="s">
        <v>1893</v>
      </c>
      <c r="AA311" s="639" t="s">
        <v>1894</v>
      </c>
      <c r="AB311" s="639" t="s">
        <v>1895</v>
      </c>
      <c r="AC311" s="630" t="s">
        <v>1896</v>
      </c>
    </row>
    <row r="312" spans="1:30" x14ac:dyDescent="0.35">
      <c r="A312" s="20"/>
      <c r="Q312" s="16"/>
      <c r="T312" s="630" t="s">
        <v>1897</v>
      </c>
      <c r="U312" s="32">
        <v>54.6</v>
      </c>
      <c r="V312" s="32">
        <v>13.15</v>
      </c>
      <c r="W312" s="32">
        <v>99</v>
      </c>
      <c r="X312" s="32"/>
      <c r="Y312" s="32"/>
      <c r="Z312" s="7">
        <f>W312*3*25*2.4*1.05*1.31+(4*(72+3)*2.4)*1.31</f>
        <v>25454.61</v>
      </c>
      <c r="AA312" s="32">
        <v>41480</v>
      </c>
      <c r="AB312" s="32">
        <f t="shared" ref="AB312:AB316" si="36">((Z312+Z312*$AB$310%)/AA312)</f>
        <v>0.67502581967213116</v>
      </c>
      <c r="AC312" s="7">
        <f>(1-AB312)*100</f>
        <v>32.497418032786882</v>
      </c>
      <c r="AD312" s="627" t="s">
        <v>130</v>
      </c>
    </row>
    <row r="313" spans="1:30" ht="13.15" x14ac:dyDescent="0.4">
      <c r="A313" s="20"/>
      <c r="C313" s="627" t="s">
        <v>469</v>
      </c>
      <c r="H313" s="31">
        <f ca="1">IF(E11=0,0,ROUNDUP((H303*(VLOOKUP(BJ8,D30:N38,11,0)/2)*E12*E12/2)*(H305/100+1)/(H309*(H307/100)),0))</f>
        <v>37</v>
      </c>
      <c r="I313" s="627" t="s">
        <v>470</v>
      </c>
      <c r="J313" s="688" t="s">
        <v>1898</v>
      </c>
      <c r="Q313" s="16"/>
      <c r="T313" s="630" t="s">
        <v>1897</v>
      </c>
      <c r="U313" s="32">
        <v>30.1</v>
      </c>
      <c r="V313" s="32">
        <v>13.15</v>
      </c>
      <c r="W313" s="32"/>
      <c r="X313" s="32"/>
      <c r="Y313" s="32">
        <v>87</v>
      </c>
      <c r="Z313" s="7">
        <f>Y313*2*21*2.4*1.05*1.31</f>
        <v>12062.584800000001</v>
      </c>
      <c r="AA313" s="32">
        <v>12901</v>
      </c>
      <c r="AB313" s="32">
        <f t="shared" si="36"/>
        <v>1.0285127726532828</v>
      </c>
      <c r="AC313" s="7">
        <f t="shared" ref="AC313:AC316" si="37">(1-AB313)*100</f>
        <v>-2.8512772653282781</v>
      </c>
      <c r="AD313" s="627" t="s">
        <v>130</v>
      </c>
    </row>
    <row r="314" spans="1:30" x14ac:dyDescent="0.35">
      <c r="A314" s="20"/>
      <c r="Q314" s="16"/>
      <c r="T314" s="630" t="s">
        <v>1899</v>
      </c>
      <c r="U314" s="32">
        <v>65.349999999999994</v>
      </c>
      <c r="V314" s="32">
        <v>10.15</v>
      </c>
      <c r="W314" s="32">
        <v>66</v>
      </c>
      <c r="X314" s="32"/>
      <c r="Y314" s="32"/>
      <c r="Z314" s="7">
        <f>W314*3*30*2.4*1.05*1.31</f>
        <v>19609.128000000001</v>
      </c>
      <c r="AA314" s="32">
        <f>25108</f>
        <v>25108</v>
      </c>
      <c r="AB314" s="32">
        <f t="shared" si="36"/>
        <v>0.85909036163772512</v>
      </c>
      <c r="AC314" s="7">
        <f t="shared" si="37"/>
        <v>14.090963836227488</v>
      </c>
      <c r="AD314" s="627" t="s">
        <v>130</v>
      </c>
    </row>
    <row r="315" spans="1:30" x14ac:dyDescent="0.35">
      <c r="A315" s="20"/>
      <c r="C315" s="627" t="s">
        <v>472</v>
      </c>
      <c r="H315" s="31">
        <f ca="1">ROUNDUP(H313/(1-(H311/100))-H313,0)</f>
        <v>2</v>
      </c>
      <c r="I315" t="s">
        <v>46</v>
      </c>
      <c r="Q315" s="16"/>
      <c r="T315" s="630" t="s">
        <v>1900</v>
      </c>
      <c r="U315" s="32">
        <v>69.95</v>
      </c>
      <c r="V315" s="32">
        <v>9.65</v>
      </c>
      <c r="W315" s="32">
        <v>75</v>
      </c>
      <c r="X315" s="32"/>
      <c r="Y315" s="32"/>
      <c r="Z315" s="7">
        <f>W315*3*32*2.4*1.05*1.31</f>
        <v>23768.639999999999</v>
      </c>
      <c r="AA315" s="32">
        <v>31060</v>
      </c>
      <c r="AB315" s="32">
        <f t="shared" si="36"/>
        <v>0.84177411461687057</v>
      </c>
      <c r="AC315" s="7">
        <f t="shared" si="37"/>
        <v>15.822588538312942</v>
      </c>
      <c r="AD315" s="627" t="s">
        <v>130</v>
      </c>
    </row>
    <row r="316" spans="1:30" x14ac:dyDescent="0.35">
      <c r="A316" s="20"/>
      <c r="J316" s="636" t="s">
        <v>473</v>
      </c>
      <c r="K316" s="14"/>
      <c r="L316" s="14"/>
      <c r="M316" s="14"/>
      <c r="N316" s="15"/>
      <c r="O316" s="13" t="s">
        <v>1901</v>
      </c>
      <c r="P316" s="14"/>
      <c r="Q316" s="15"/>
      <c r="T316" s="630" t="s">
        <v>1902</v>
      </c>
      <c r="U316" s="32">
        <v>33.869999999999997</v>
      </c>
      <c r="V316" s="32">
        <v>11.15</v>
      </c>
      <c r="W316" s="32"/>
      <c r="X316" s="32"/>
      <c r="Y316" s="32">
        <v>45</v>
      </c>
      <c r="Z316" s="7">
        <f>Y316*2*23*2.4*1.05*1.31</f>
        <v>6833.4840000000013</v>
      </c>
      <c r="AA316" s="32">
        <f>13854/2</f>
        <v>6927</v>
      </c>
      <c r="AB316" s="32">
        <f t="shared" si="36"/>
        <v>1.0851497618016459</v>
      </c>
      <c r="AC316" s="7">
        <f t="shared" si="37"/>
        <v>-8.5149761801645916</v>
      </c>
      <c r="AD316" s="627" t="s">
        <v>130</v>
      </c>
    </row>
    <row r="317" spans="1:30" ht="13.15" x14ac:dyDescent="0.4">
      <c r="A317" s="20"/>
      <c r="C317" s="627" t="s">
        <v>474</v>
      </c>
      <c r="H317" s="31">
        <f ca="1">IF(ENTRADAS!D1231&gt;0,3,IF(E11=0,0,IF(ENTRADAS!G66="x",1,IF(L323="X",3,IF(OR(G50&gt;20,I11&gt;6+G13),3,1)))))</f>
        <v>3</v>
      </c>
      <c r="I317" t="s">
        <v>46</v>
      </c>
      <c r="J317" s="637" t="s">
        <v>475</v>
      </c>
      <c r="K317" s="3"/>
      <c r="L317" s="3"/>
      <c r="M317" s="3"/>
      <c r="N317" s="381">
        <f ca="1">IF(E11=0,0,IF(L323="X",3,IF(E11/(H313+H315)&lt;0.35,3,1)))</f>
        <v>3</v>
      </c>
      <c r="O317" s="18"/>
      <c r="P317" s="3"/>
      <c r="Q317" s="17"/>
    </row>
    <row r="318" spans="1:30" ht="13.15" thickBot="1" x14ac:dyDescent="0.4">
      <c r="A318" s="20"/>
      <c r="J318" s="636" t="s">
        <v>476</v>
      </c>
      <c r="K318" s="14"/>
      <c r="L318" s="14"/>
      <c r="M318" s="14"/>
      <c r="N318" s="15"/>
      <c r="O318" s="13" t="s">
        <v>1903</v>
      </c>
      <c r="P318" s="14"/>
      <c r="Q318" s="15"/>
      <c r="T318" s="627" t="s">
        <v>1904</v>
      </c>
    </row>
    <row r="319" spans="1:30" ht="13.5" thickBot="1" x14ac:dyDescent="0.45">
      <c r="A319" s="20"/>
      <c r="C319" s="627" t="s">
        <v>477</v>
      </c>
      <c r="H319" s="31">
        <f ca="1">IF(ENTRADAS!D1231&gt;0,ENTRADAS!D1231,IF(E11=0,0,ROUNDUP((H313+H315)/H317,0)))</f>
        <v>13</v>
      </c>
      <c r="I319" t="s">
        <v>46</v>
      </c>
      <c r="J319" s="637" t="s">
        <v>478</v>
      </c>
      <c r="K319" s="3"/>
      <c r="L319" s="3"/>
      <c r="M319" s="3"/>
      <c r="N319" s="381">
        <f ca="1">IF(E11=0,0,IF(L323="X",3,IF(E11/(H313+H315)&lt;0.35,3,1)))</f>
        <v>3</v>
      </c>
      <c r="O319" s="18"/>
      <c r="P319" s="3"/>
      <c r="Q319" s="17"/>
      <c r="T319" s="647" t="s">
        <v>1905</v>
      </c>
      <c r="U319" s="728"/>
      <c r="V319" s="627" t="s">
        <v>130</v>
      </c>
    </row>
    <row r="320" spans="1:30" x14ac:dyDescent="0.35">
      <c r="A320" s="20"/>
      <c r="Q320" s="16"/>
      <c r="U320" s="386">
        <f ca="1">IF(U319&gt;0,U319,IF(AND(I11&gt;12,G23&gt;50),20,IF(AND(I11&gt;9,G23&gt;50),15,0)))</f>
        <v>0</v>
      </c>
    </row>
    <row r="321" spans="1:20" x14ac:dyDescent="0.35">
      <c r="A321" s="20"/>
      <c r="C321" s="627" t="s">
        <v>479</v>
      </c>
      <c r="H321" s="31">
        <f ca="1">IF(ENTRADAS!D1231&gt;0,H319*H317,IF(E11=0,0,H313+H315))</f>
        <v>39</v>
      </c>
      <c r="I321" t="s">
        <v>46</v>
      </c>
      <c r="Q321" s="16"/>
    </row>
    <row r="322" spans="1:20" x14ac:dyDescent="0.35">
      <c r="A322" s="20"/>
      <c r="C322" s="627"/>
      <c r="H322" s="368"/>
      <c r="Q322" s="16"/>
    </row>
    <row r="323" spans="1:20" x14ac:dyDescent="0.35">
      <c r="A323" s="20"/>
      <c r="C323" t="s">
        <v>480</v>
      </c>
      <c r="H323" s="368"/>
      <c r="L323" s="626"/>
      <c r="Q323" s="16"/>
    </row>
    <row r="324" spans="1:20" x14ac:dyDescent="0.35">
      <c r="A324" s="20"/>
      <c r="C324" s="627"/>
      <c r="H324" s="368"/>
      <c r="Q324" s="16"/>
    </row>
    <row r="325" spans="1:20" x14ac:dyDescent="0.35">
      <c r="A325" s="20"/>
      <c r="C325" s="627" t="s">
        <v>481</v>
      </c>
      <c r="F325" s="31">
        <f>IF(M325=0,IF(ENTRADAS!G66="X",S325,15.2),M325)</f>
        <v>15.2</v>
      </c>
      <c r="G325" s="627" t="s">
        <v>482</v>
      </c>
      <c r="H325" s="368"/>
      <c r="J325" s="31">
        <f>IF(O325=0,IF(ENTRADAS!G66="X",S326,1.26),O325)</f>
        <v>1.26</v>
      </c>
      <c r="L325" s="688" t="s">
        <v>483</v>
      </c>
      <c r="M325" s="2104"/>
      <c r="N325" s="2105"/>
      <c r="O325" s="250"/>
      <c r="Q325" s="16"/>
      <c r="S325" s="32">
        <f>IF(ENTRADAS!$G$66="X",IF(G44+G46+G50&lt;=20,12.7,15.2),0)</f>
        <v>0</v>
      </c>
      <c r="T325" s="627" t="s">
        <v>1906</v>
      </c>
    </row>
    <row r="326" spans="1:20" x14ac:dyDescent="0.35">
      <c r="A326" s="20"/>
      <c r="C326" s="627"/>
      <c r="Q326" s="16"/>
      <c r="S326" s="32">
        <f>IF(ENTRADAS!$G$66="X",IF(G44+G46+G50&lt;=20,0.89,1.24),0)</f>
        <v>0</v>
      </c>
      <c r="T326" s="627" t="s">
        <v>1907</v>
      </c>
    </row>
    <row r="327" spans="1:20" hidden="1" x14ac:dyDescent="0.35">
      <c r="A327" s="20"/>
      <c r="C327" s="627" t="s">
        <v>484</v>
      </c>
      <c r="E327" s="31"/>
      <c r="F327" s="627" t="s">
        <v>130</v>
      </c>
      <c r="G327" s="688" t="s">
        <v>485</v>
      </c>
      <c r="O327" s="7"/>
      <c r="Q327" s="16"/>
    </row>
    <row r="328" spans="1:20" hidden="1" x14ac:dyDescent="0.35">
      <c r="A328" s="20"/>
      <c r="C328" s="627"/>
      <c r="E328" s="627"/>
      <c r="F328" s="627"/>
      <c r="Q328" s="16"/>
    </row>
    <row r="329" spans="1:20" x14ac:dyDescent="0.35">
      <c r="A329" s="20"/>
      <c r="C329" s="627" t="s">
        <v>486</v>
      </c>
      <c r="Q329" s="16"/>
    </row>
    <row r="330" spans="1:20" x14ac:dyDescent="0.35">
      <c r="A330" s="20"/>
      <c r="G330" s="627" t="s">
        <v>487</v>
      </c>
      <c r="J330" s="31">
        <v>90</v>
      </c>
      <c r="K330" s="627" t="s">
        <v>297</v>
      </c>
      <c r="L330" s="627"/>
      <c r="N330" s="688" t="s">
        <v>488</v>
      </c>
      <c r="O330" s="7"/>
      <c r="Q330" s="16"/>
    </row>
    <row r="331" spans="1:20" x14ac:dyDescent="0.35">
      <c r="A331" s="20"/>
      <c r="G331" s="627"/>
      <c r="Q331" s="16"/>
    </row>
    <row r="332" spans="1:20" x14ac:dyDescent="0.35">
      <c r="A332" s="20"/>
      <c r="C332" s="627" t="s">
        <v>489</v>
      </c>
      <c r="I332" s="627"/>
      <c r="J332" s="31">
        <f>IF(O332=0,80,O332)</f>
        <v>80</v>
      </c>
      <c r="K332" s="627" t="s">
        <v>297</v>
      </c>
      <c r="L332" s="627"/>
      <c r="N332" s="688" t="s">
        <v>488</v>
      </c>
      <c r="O332" s="7"/>
      <c r="Q332" s="16"/>
    </row>
    <row r="333" spans="1:20" x14ac:dyDescent="0.35">
      <c r="A333" s="18"/>
      <c r="B333" s="3"/>
      <c r="C333" s="749"/>
      <c r="D333" s="3"/>
      <c r="E333" s="3"/>
      <c r="F333" s="3"/>
      <c r="G333" s="3"/>
      <c r="H333" s="3"/>
      <c r="I333" s="749"/>
      <c r="J333" s="749"/>
      <c r="K333" s="749"/>
      <c r="L333" s="749"/>
      <c r="M333" s="3"/>
      <c r="N333" s="3"/>
      <c r="O333" s="3"/>
      <c r="P333" s="3"/>
      <c r="Q333" s="17"/>
    </row>
    <row r="334" spans="1:20" x14ac:dyDescent="0.35">
      <c r="A334" s="13"/>
      <c r="B334" s="14"/>
      <c r="C334" s="652" t="s">
        <v>490</v>
      </c>
      <c r="D334" s="14"/>
      <c r="E334" s="14"/>
      <c r="F334" s="14"/>
      <c r="G334" s="14"/>
      <c r="H334" s="14"/>
      <c r="I334" s="652"/>
      <c r="J334" s="652"/>
      <c r="K334" s="652"/>
      <c r="L334" s="652"/>
      <c r="M334" s="14"/>
      <c r="N334" s="14"/>
      <c r="O334" s="14"/>
      <c r="P334" s="14"/>
      <c r="Q334" s="15"/>
    </row>
    <row r="335" spans="1:20" x14ac:dyDescent="0.35">
      <c r="A335" s="20"/>
      <c r="D335" s="626">
        <f>ENTRADAS!D647</f>
        <v>0</v>
      </c>
      <c r="E335" s="627" t="s">
        <v>52</v>
      </c>
      <c r="F335" s="626" t="str">
        <f>ENTRADAS!F647</f>
        <v>x</v>
      </c>
      <c r="G335" s="627" t="s">
        <v>53</v>
      </c>
      <c r="K335" s="627"/>
      <c r="L335" s="627"/>
      <c r="Q335" s="16"/>
    </row>
    <row r="336" spans="1:20" x14ac:dyDescent="0.35">
      <c r="A336" s="20"/>
      <c r="D336" t="str">
        <f>IF(F335="x","SERÁ CONSIDERADA ESCADA DE ACESSO SOBRE A PAREDE",IF(D335="x","AS PESSOAS PASSARÃO POR ESTA PASSAGEM",0))</f>
        <v>SERÁ CONSIDERADA ESCADA DE ACESSO SOBRE A PAREDE</v>
      </c>
      <c r="F336" s="627"/>
      <c r="K336" s="627"/>
      <c r="L336" s="627"/>
      <c r="M336" s="1107" t="s">
        <v>491</v>
      </c>
      <c r="N336" s="402"/>
      <c r="O336" s="403"/>
      <c r="Q336" s="16"/>
    </row>
    <row r="337" spans="1:26" x14ac:dyDescent="0.35">
      <c r="A337" s="20"/>
      <c r="C337" s="627"/>
      <c r="E337" s="627"/>
      <c r="F337" s="627"/>
      <c r="M337" s="2106" t="s">
        <v>492</v>
      </c>
      <c r="N337" s="2107"/>
      <c r="O337" s="2108"/>
      <c r="Q337" s="16"/>
    </row>
    <row r="338" spans="1:26" x14ac:dyDescent="0.35">
      <c r="A338" s="20"/>
      <c r="C338" s="1338" t="s">
        <v>493</v>
      </c>
      <c r="D338" s="1441"/>
      <c r="E338" s="1441"/>
      <c r="F338" s="1441"/>
      <c r="G338" s="1441"/>
      <c r="H338" s="1441"/>
      <c r="I338" s="1441"/>
      <c r="J338" s="1339"/>
      <c r="M338" s="1110" t="str">
        <f>IF(M352&gt;0,0,"para o tanque:")</f>
        <v>para o tanque:</v>
      </c>
      <c r="O338" s="404"/>
      <c r="Q338" s="16"/>
      <c r="S338" t="s">
        <v>1908</v>
      </c>
    </row>
    <row r="339" spans="1:26" x14ac:dyDescent="0.35">
      <c r="A339" s="20"/>
      <c r="C339" s="633" t="s">
        <v>495</v>
      </c>
      <c r="D339" s="10"/>
      <c r="E339" s="10"/>
      <c r="F339" s="10"/>
      <c r="G339" s="10"/>
      <c r="H339" s="10"/>
      <c r="I339" s="6" t="str">
        <f>F325&amp;" mm"</f>
        <v>15,2 mm</v>
      </c>
      <c r="J339" s="31">
        <f ca="1">IF(M352&gt;0,M352,M350-(M350*U320%))*F15</f>
        <v>30427.488000000001</v>
      </c>
      <c r="K339" s="627" t="s">
        <v>496</v>
      </c>
      <c r="M339" s="405" t="str">
        <f ca="1">IF(M352&gt;0,0,H321*(G44+G46)&amp;" pedaços com")</f>
        <v>78 pedaços com</v>
      </c>
      <c r="O339" s="404"/>
      <c r="Q339" s="16"/>
      <c r="S339" t="s">
        <v>1909</v>
      </c>
    </row>
    <row r="340" spans="1:26" x14ac:dyDescent="0.35">
      <c r="A340" s="20"/>
      <c r="C340" s="633" t="s">
        <v>1910</v>
      </c>
      <c r="D340" s="10"/>
      <c r="E340" s="10"/>
      <c r="F340" s="10"/>
      <c r="G340" s="10"/>
      <c r="H340" s="10"/>
      <c r="I340" s="6"/>
      <c r="J340" s="31">
        <f ca="1">IF(E11=0,0,IF(H317=3,(G44+G46)*F15*H319*2,0))</f>
        <v>208</v>
      </c>
      <c r="K340" s="627" t="s">
        <v>46</v>
      </c>
      <c r="M340" s="405" t="str">
        <f ca="1">IF(ENTRADAS!G66="x",IF(M352&gt;0,0,(G50*2.1+(G44+G46)*2.5*2)/(G44+G46)&amp;" m  cada e peso"),IF(M352&gt;0,0,(G50*2.4+(G44+G46)*2.7*2)/(G44+G46)&amp;" m  cada e peso"))</f>
        <v>77,4 m  cada e peso</v>
      </c>
      <c r="O340" s="404"/>
      <c r="Q340" s="16"/>
    </row>
    <row r="341" spans="1:26" x14ac:dyDescent="0.35">
      <c r="A341" s="20"/>
      <c r="C341" s="633" t="str">
        <f>"PLACA DE ANCORAGEM ( AÇO ) 80 x 80 x 20 mm  com 1 furos  "&amp;F325&amp;"  mm"</f>
        <v>PLACA DE ANCORAGEM ( AÇO ) 80 x 80 x 20 mm  com 1 furos  15,2  mm</v>
      </c>
      <c r="D341" s="10"/>
      <c r="E341" s="10"/>
      <c r="F341" s="10"/>
      <c r="G341" s="10"/>
      <c r="H341" s="10"/>
      <c r="I341" s="6"/>
      <c r="J341" s="31">
        <f ca="1">IF(E11=0,0,IF(H317=1,(G44+G46)*F15*H319*2,0))</f>
        <v>0</v>
      </c>
      <c r="K341" s="627" t="s">
        <v>46</v>
      </c>
      <c r="M341" s="406" t="str">
        <f>IF(M352&gt;0,0,"real=")</f>
        <v>real=</v>
      </c>
      <c r="N341">
        <f ca="1">IF(ENTRADAS!G66="x",IF(M352&gt;0,0,(G50*2.1+(G44+G46)*2.5*2)),IF(M352&gt;0,0,(G50*2.4+(G44+G46)*2.7*2)))*J325</f>
        <v>195.048</v>
      </c>
      <c r="O341" s="404" t="str">
        <f>IF(M352&gt;0,0,"kg/cabo rodado geral")</f>
        <v>kg/cabo rodado geral</v>
      </c>
      <c r="Q341" s="16"/>
    </row>
    <row r="342" spans="1:26" x14ac:dyDescent="0.35">
      <c r="A342" s="20"/>
      <c r="C342" s="633" t="str">
        <f>"CUNHA DE ANCORAGEM PARA CABO  "&amp;F325&amp;"  mm"</f>
        <v>CUNHA DE ANCORAGEM PARA CABO  15,2  mm</v>
      </c>
      <c r="D342" s="10"/>
      <c r="E342" s="10"/>
      <c r="F342" s="10"/>
      <c r="G342" s="10"/>
      <c r="H342" s="10"/>
      <c r="I342" s="6"/>
      <c r="J342" s="31">
        <f ca="1">IF(E11=0,0,(G44+G46)*F15*H321*2)</f>
        <v>624</v>
      </c>
      <c r="K342" s="627" t="s">
        <v>46</v>
      </c>
      <c r="M342" s="26" t="str">
        <f ca="1">IF(M352&gt;0,0,"Total real  = "&amp; N341*H321&amp;" kg")</f>
        <v>Total real  = 7606,872 kg</v>
      </c>
      <c r="N342" s="27"/>
      <c r="O342" s="28"/>
      <c r="Q342" s="16"/>
    </row>
    <row r="343" spans="1:26" x14ac:dyDescent="0.35">
      <c r="A343" s="20"/>
      <c r="C343" s="633" t="str">
        <f>"PORTA CUNHA ABERTA de ANCORAGEM para 1 CABO  "&amp;F325&amp;"  mm"</f>
        <v>PORTA CUNHA ABERTA de ANCORAGEM para 1 CABO  15,2  mm</v>
      </c>
      <c r="D343" s="10"/>
      <c r="E343" s="10"/>
      <c r="F343" s="10"/>
      <c r="G343" s="10"/>
      <c r="H343" s="10"/>
      <c r="I343" s="6"/>
      <c r="J343" s="31">
        <f ca="1">IF(E11=0,0,IF(H317=1,(G44+G46)*F15*H319*2,0))</f>
        <v>0</v>
      </c>
      <c r="K343" s="627" t="s">
        <v>46</v>
      </c>
      <c r="M343" s="1110">
        <f>IF(C301="X",0," para a confecção de ")</f>
        <v>0</v>
      </c>
      <c r="O343" s="404"/>
      <c r="Q343" s="16"/>
    </row>
    <row r="344" spans="1:26" x14ac:dyDescent="0.35">
      <c r="A344" s="20"/>
      <c r="C344" s="633" t="s">
        <v>498</v>
      </c>
      <c r="D344" s="10"/>
      <c r="E344" s="10"/>
      <c r="F344" s="10"/>
      <c r="G344" s="10"/>
      <c r="H344" s="10"/>
      <c r="I344" s="6"/>
      <c r="J344" s="31">
        <f ca="1">IF(E11=0,0,J340)</f>
        <v>208</v>
      </c>
      <c r="K344" s="627" t="s">
        <v>46</v>
      </c>
      <c r="M344" s="405">
        <f>IF(C301="X",0,(G44+G46)&amp;"  painel fecho:")</f>
        <v>0</v>
      </c>
      <c r="O344" s="404"/>
      <c r="Q344" s="16"/>
    </row>
    <row r="345" spans="1:26" x14ac:dyDescent="0.35">
      <c r="A345" s="20"/>
      <c r="C345" s="633" t="s">
        <v>499</v>
      </c>
      <c r="D345" s="10"/>
      <c r="E345" s="10"/>
      <c r="F345" s="10"/>
      <c r="G345" s="10"/>
      <c r="H345" s="10"/>
      <c r="I345" s="6"/>
      <c r="J345" s="31">
        <f ca="1">IF(E11=0,0,J341)</f>
        <v>0</v>
      </c>
      <c r="K345" s="627" t="s">
        <v>46</v>
      </c>
      <c r="M345" s="405">
        <f>IF(C301="X",0,20*(G44+G46)&amp;" pedaços com")</f>
        <v>0</v>
      </c>
      <c r="O345" s="404"/>
      <c r="Q345" s="16"/>
    </row>
    <row r="346" spans="1:26" x14ac:dyDescent="0.35">
      <c r="A346" s="20"/>
      <c r="C346" s="633" t="s">
        <v>500</v>
      </c>
      <c r="D346" s="10"/>
      <c r="E346" s="10"/>
      <c r="F346" s="10"/>
      <c r="G346" s="10"/>
      <c r="H346" s="10"/>
      <c r="I346" s="6"/>
      <c r="J346" s="31">
        <f ca="1">ROUNDUP(IF(E11=0,0,(G44+G46)*F15*2/33*H321),0)</f>
        <v>19</v>
      </c>
      <c r="K346" s="627" t="str">
        <f ca="1">IF(J346&gt;1,"litros","litro")</f>
        <v>litros</v>
      </c>
      <c r="M346" s="405">
        <f>IF(C301="X",0,(I11+(2))&amp;" m  cada e peso")</f>
        <v>0</v>
      </c>
      <c r="O346" s="404"/>
      <c r="Q346" s="16"/>
    </row>
    <row r="347" spans="1:26" x14ac:dyDescent="0.35">
      <c r="A347" s="20"/>
      <c r="C347" s="633" t="s">
        <v>501</v>
      </c>
      <c r="D347" s="10"/>
      <c r="E347" s="10"/>
      <c r="F347" s="10"/>
      <c r="G347" s="10"/>
      <c r="H347" s="10"/>
      <c r="I347" s="6"/>
      <c r="J347" s="31">
        <f ca="1">ROUNDUP(IF(E11=0,0,(G44+G46)*F15*5/33*H321),0)</f>
        <v>48</v>
      </c>
      <c r="K347" s="627" t="s">
        <v>64</v>
      </c>
      <c r="M347" s="406">
        <f>IF(C301="X",0,"real=")</f>
        <v>0</v>
      </c>
      <c r="N347">
        <f>IF(C301="X",0,(I11+(2*1))*J325)</f>
        <v>0</v>
      </c>
      <c r="O347" s="1111">
        <f>IF(C301="X",0,"kg")</f>
        <v>0</v>
      </c>
      <c r="Q347" s="16"/>
    </row>
    <row r="348" spans="1:26" x14ac:dyDescent="0.35">
      <c r="A348" s="20"/>
      <c r="C348" s="633" t="s">
        <v>502</v>
      </c>
      <c r="D348" s="10"/>
      <c r="E348" s="10"/>
      <c r="F348" s="10"/>
      <c r="G348" s="10"/>
      <c r="H348" s="10"/>
      <c r="I348" s="6"/>
      <c r="J348" s="31">
        <f ca="1">ROUNDUP(IF(E11=0,0,IF(H317=1,H319/6*F15,IF(H317=3,H319/6*3*F15,0))),0)</f>
        <v>26</v>
      </c>
      <c r="K348" s="627" t="s">
        <v>64</v>
      </c>
      <c r="M348" s="26">
        <f>IF(C301="X",0,"Total real = "&amp; N347*20*(G44+G46)&amp;" kg")</f>
        <v>0</v>
      </c>
      <c r="N348" s="27"/>
      <c r="O348" s="28"/>
      <c r="Q348" s="16"/>
    </row>
    <row r="349" spans="1:26" ht="13.15" x14ac:dyDescent="0.4">
      <c r="A349" s="20"/>
      <c r="C349" s="633" t="s">
        <v>1911</v>
      </c>
      <c r="D349" s="10"/>
      <c r="E349" s="10"/>
      <c r="F349" s="10"/>
      <c r="G349" s="10"/>
      <c r="H349" s="10"/>
      <c r="I349" s="6"/>
      <c r="J349" s="31">
        <f ca="1">ROUNDUP(IF(E11=0,0,H321*(G44+G46)*F15/1.5),0)</f>
        <v>208</v>
      </c>
      <c r="K349" s="627" t="s">
        <v>46</v>
      </c>
      <c r="M349" s="1477" t="s">
        <v>504</v>
      </c>
      <c r="N349" s="1478"/>
      <c r="O349" s="1479"/>
      <c r="Q349" s="16"/>
      <c r="T349" s="1776" t="s">
        <v>1912</v>
      </c>
      <c r="U349" s="14"/>
      <c r="V349" s="15"/>
    </row>
    <row r="350" spans="1:26" ht="12.95" customHeight="1" x14ac:dyDescent="0.4">
      <c r="A350" s="20"/>
      <c r="C350" s="633" t="s">
        <v>505</v>
      </c>
      <c r="D350" s="10"/>
      <c r="E350" s="10"/>
      <c r="F350" s="10"/>
      <c r="G350" s="10"/>
      <c r="H350" s="10"/>
      <c r="I350" s="6"/>
      <c r="J350" s="31">
        <f ca="1">ROUNDUP(IF(E11=0,0,H321*(G44+G46)*F15/20),0)</f>
        <v>16</v>
      </c>
      <c r="K350" s="627" t="s">
        <v>46</v>
      </c>
      <c r="M350" s="2109">
        <f ca="1">N341*H321</f>
        <v>7606.8720000000003</v>
      </c>
      <c r="N350" s="2110"/>
      <c r="O350" s="407" t="s">
        <v>64</v>
      </c>
      <c r="Q350" s="16"/>
      <c r="T350" s="2117"/>
      <c r="V350" s="16"/>
    </row>
    <row r="351" spans="1:26" x14ac:dyDescent="0.35">
      <c r="A351" s="20"/>
      <c r="C351" s="633" t="s">
        <v>506</v>
      </c>
      <c r="D351" s="10"/>
      <c r="E351" s="10"/>
      <c r="F351" s="10"/>
      <c r="G351" s="10"/>
      <c r="H351" s="10"/>
      <c r="I351" s="6"/>
      <c r="J351" s="31">
        <f ca="1">IF(E11=0,0,(G50+G44+G46+1)*2)</f>
        <v>126</v>
      </c>
      <c r="K351" s="627" t="s">
        <v>46</v>
      </c>
      <c r="M351" s="636" t="s">
        <v>1913</v>
      </c>
      <c r="N351" s="14"/>
      <c r="O351" s="14"/>
      <c r="P351" s="15"/>
      <c r="Q351" s="16"/>
      <c r="T351" s="2118"/>
      <c r="U351" s="33">
        <f ca="1">$L$534</f>
        <v>107</v>
      </c>
      <c r="V351" s="748" t="s">
        <v>101</v>
      </c>
    </row>
    <row r="352" spans="1:26" x14ac:dyDescent="0.35">
      <c r="A352" s="20"/>
      <c r="C352" s="633" t="str">
        <f ca="1">"ANDAIME Painel Fecho: "&amp;F15*(G44+G46)&amp;"  unid.  2,5 X 1,0 X H="&amp;IF(I11=0,0,ROUNDUP(E11+0.5,0)&amp; "  m (pisos a c/ 2 m)")&amp;" vol= "&amp;W352&amp;" m³"&amp;" durante "&amp;U351&amp;" dias"</f>
        <v>ANDAIME Painel Fecho: 8  unid.  2,5 X 1,0 X H=8  m (pisos a c/ 2 m) vol= 168 m³ durante 107 dias</v>
      </c>
      <c r="D352" s="10"/>
      <c r="E352" s="10"/>
      <c r="F352" s="10"/>
      <c r="G352" s="10"/>
      <c r="H352" s="10"/>
      <c r="I352" s="6"/>
      <c r="J352" s="7">
        <f ca="1">Y352</f>
        <v>143808</v>
      </c>
      <c r="K352" s="627" t="str">
        <f>Z352</f>
        <v>m³xdia</v>
      </c>
      <c r="M352" s="2081">
        <f>IF(ENTRADAS!F1219&gt;0,ENTRADAS!F1219,0)</f>
        <v>0</v>
      </c>
      <c r="N352" s="2081"/>
      <c r="O352" s="3" t="s">
        <v>64</v>
      </c>
      <c r="P352" s="17"/>
      <c r="Q352" s="16"/>
      <c r="T352" s="630" t="s">
        <v>1914</v>
      </c>
      <c r="U352" s="7">
        <f ca="1">IF(F15=0,0,$L$534*(G44+G46)*F15)</f>
        <v>856</v>
      </c>
      <c r="V352" s="630" t="s">
        <v>101</v>
      </c>
      <c r="W352" s="7">
        <f>ROUNDUP(E11+0.5,0)*2.5*1.05*(G44+G46)*F15</f>
        <v>168</v>
      </c>
      <c r="X352" s="630" t="s">
        <v>31</v>
      </c>
      <c r="Y352" s="32">
        <f ca="1">U352*W352</f>
        <v>143808</v>
      </c>
      <c r="Z352" s="630" t="s">
        <v>1915</v>
      </c>
    </row>
    <row r="353" spans="1:26" x14ac:dyDescent="0.35">
      <c r="A353" s="20"/>
      <c r="C353" s="633" t="str">
        <f ca="1">IF(D335="X","ESCADA de ACESSO","ESCADA de ACESSO: 2 unid. de  2,5 X 4,0 X H="&amp;IF(F335="x",I11+1,0)&amp;" m"&amp;" int/ext /// vol.= "&amp;IF(I11=0,0,W353)&amp;" m³"&amp;" durante "&amp;U351&amp;" dias")</f>
        <v>ESCADA de ACESSO: 2 unid. de  2,5 X 4,0 X H=8,3 m int/ext /// vol.= 637,44 m³ durante 107 dias</v>
      </c>
      <c r="D353" s="10"/>
      <c r="E353" s="10"/>
      <c r="F353" s="65"/>
      <c r="G353" s="646"/>
      <c r="H353" s="646"/>
      <c r="I353" s="6"/>
      <c r="J353" s="7">
        <f ca="1">Y353</f>
        <v>272824.32000000001</v>
      </c>
      <c r="K353" s="627" t="str">
        <f>Z353</f>
        <v>m³xdia</v>
      </c>
      <c r="Q353" s="16"/>
      <c r="T353" s="630" t="s">
        <v>1916</v>
      </c>
      <c r="U353" s="630">
        <f ca="1">IF(F15=0,0,IF(D335="x",0,$L$534*F15))</f>
        <v>428</v>
      </c>
      <c r="V353" s="630" t="s">
        <v>101</v>
      </c>
      <c r="W353" s="32">
        <f ca="1">IF(I11=0,0,2.4*4*(I11+1)*1)*2*F15</f>
        <v>637.44000000000005</v>
      </c>
      <c r="X353" s="630" t="s">
        <v>31</v>
      </c>
      <c r="Y353" s="32">
        <f t="shared" ref="Y353:Y359" ca="1" si="38">U353*W353</f>
        <v>272824.32000000001</v>
      </c>
      <c r="Z353" s="630" t="s">
        <v>1915</v>
      </c>
    </row>
    <row r="354" spans="1:26" hidden="1" x14ac:dyDescent="0.35">
      <c r="A354" s="20"/>
      <c r="C354" s="633" t="s">
        <v>508</v>
      </c>
      <c r="D354" s="10"/>
      <c r="E354" s="10"/>
      <c r="F354" s="10"/>
      <c r="G354" s="10"/>
      <c r="H354" s="10"/>
      <c r="I354" s="6"/>
      <c r="J354" s="7">
        <v>1</v>
      </c>
      <c r="K354" s="627" t="s">
        <v>46</v>
      </c>
      <c r="M354" s="2111" t="s">
        <v>509</v>
      </c>
      <c r="Q354" s="16"/>
      <c r="Y354">
        <f t="shared" si="38"/>
        <v>0</v>
      </c>
    </row>
    <row r="355" spans="1:26" hidden="1" x14ac:dyDescent="0.35">
      <c r="A355" s="20"/>
      <c r="C355" s="633" t="s">
        <v>510</v>
      </c>
      <c r="D355" s="10"/>
      <c r="E355" s="10"/>
      <c r="F355" s="10"/>
      <c r="G355" s="10"/>
      <c r="H355" s="10"/>
      <c r="I355" s="6"/>
      <c r="J355" s="7"/>
      <c r="K355" s="627" t="s">
        <v>46</v>
      </c>
      <c r="M355" s="2112"/>
      <c r="Q355" s="16"/>
      <c r="Y355">
        <f t="shared" si="38"/>
        <v>0</v>
      </c>
    </row>
    <row r="356" spans="1:26" hidden="1" x14ac:dyDescent="0.35">
      <c r="A356" s="20"/>
      <c r="C356" s="633" t="s">
        <v>511</v>
      </c>
      <c r="D356" s="10"/>
      <c r="E356" s="10"/>
      <c r="F356" s="10"/>
      <c r="G356" s="10"/>
      <c r="H356" s="10"/>
      <c r="I356" s="6"/>
      <c r="J356" s="7"/>
      <c r="K356" s="627" t="s">
        <v>46</v>
      </c>
      <c r="M356" s="2112"/>
      <c r="Q356" s="16"/>
      <c r="Y356">
        <f t="shared" si="38"/>
        <v>0</v>
      </c>
    </row>
    <row r="357" spans="1:26" hidden="1" x14ac:dyDescent="0.35">
      <c r="A357" s="20"/>
      <c r="C357" s="633" t="s">
        <v>512</v>
      </c>
      <c r="D357" s="10"/>
      <c r="E357" s="10"/>
      <c r="F357" s="10"/>
      <c r="G357" s="10"/>
      <c r="H357" s="10"/>
      <c r="I357" s="6"/>
      <c r="J357" s="7"/>
      <c r="K357" s="627" t="s">
        <v>46</v>
      </c>
      <c r="M357" s="2112"/>
      <c r="Q357" s="16"/>
      <c r="Y357">
        <f t="shared" si="38"/>
        <v>0</v>
      </c>
    </row>
    <row r="358" spans="1:26" hidden="1" x14ac:dyDescent="0.35">
      <c r="A358" s="20"/>
      <c r="C358" s="633" t="s">
        <v>513</v>
      </c>
      <c r="D358" s="10"/>
      <c r="E358" s="10"/>
      <c r="F358" s="10"/>
      <c r="G358" s="10"/>
      <c r="H358" s="10"/>
      <c r="I358" s="6"/>
      <c r="J358" s="7">
        <v>2</v>
      </c>
      <c r="K358" s="627" t="s">
        <v>46</v>
      </c>
      <c r="M358" s="2112"/>
      <c r="Q358" s="16"/>
      <c r="Y358">
        <f t="shared" si="38"/>
        <v>0</v>
      </c>
    </row>
    <row r="359" spans="1:26" hidden="1" x14ac:dyDescent="0.35">
      <c r="A359" s="20"/>
      <c r="C359" s="633" t="s">
        <v>514</v>
      </c>
      <c r="D359" s="10"/>
      <c r="E359" s="10"/>
      <c r="F359" s="10"/>
      <c r="G359" s="10"/>
      <c r="H359" s="10"/>
      <c r="I359" s="6"/>
      <c r="J359" s="7">
        <v>2</v>
      </c>
      <c r="K359" s="627" t="s">
        <v>46</v>
      </c>
      <c r="M359" s="2113"/>
      <c r="Q359" s="16"/>
      <c r="Y359">
        <f t="shared" si="38"/>
        <v>0</v>
      </c>
    </row>
    <row r="360" spans="1:26" x14ac:dyDescent="0.35">
      <c r="A360" s="20"/>
      <c r="Q360" s="16"/>
    </row>
    <row r="361" spans="1:26" x14ac:dyDescent="0.35">
      <c r="A361" s="20"/>
      <c r="C361" s="1338" t="s">
        <v>515</v>
      </c>
      <c r="D361" s="1441"/>
      <c r="E361" s="1441"/>
      <c r="F361" s="1441"/>
      <c r="G361" s="1441"/>
      <c r="H361" s="1441"/>
      <c r="I361" s="1441"/>
      <c r="J361" s="1339"/>
      <c r="Q361" s="16"/>
    </row>
    <row r="362" spans="1:26" x14ac:dyDescent="0.35">
      <c r="A362" s="20"/>
      <c r="C362" s="633" t="s">
        <v>516</v>
      </c>
      <c r="D362" s="10"/>
      <c r="E362" s="10"/>
      <c r="F362" s="10"/>
      <c r="G362" s="10"/>
      <c r="H362" s="10"/>
      <c r="I362" s="6"/>
      <c r="J362" s="7">
        <f ca="1">IF($F$288="X",N362,M362)</f>
        <v>3</v>
      </c>
      <c r="K362" s="627" t="str">
        <f ca="1">IF(J362&lt;=1,"dia","dias")</f>
        <v>dias</v>
      </c>
      <c r="M362" s="32">
        <f ca="1">IF(J330=0,0,(H321*F15*(G44+G46)/J330))</f>
        <v>3.4666666666666668</v>
      </c>
      <c r="N362" s="32">
        <f ca="1">IF(J330=0,0,ROUNDDOWN((H321*F15*(G44+G46)/J330),0))</f>
        <v>3</v>
      </c>
      <c r="Q362" s="16"/>
    </row>
    <row r="363" spans="1:26" x14ac:dyDescent="0.35">
      <c r="A363" s="20"/>
      <c r="C363" s="633" t="s">
        <v>517</v>
      </c>
      <c r="D363" s="10"/>
      <c r="E363" s="10"/>
      <c r="F363" s="10"/>
      <c r="G363" s="10"/>
      <c r="H363" s="10"/>
      <c r="I363" s="6"/>
      <c r="J363" s="7">
        <f ca="1">IF($F$288="X",N363,M363)</f>
        <v>3</v>
      </c>
      <c r="K363" s="627" t="str">
        <f ca="1">IF(J363&lt;=1,"dia","dias")</f>
        <v>dias</v>
      </c>
      <c r="M363" s="32">
        <f ca="1">IF(J330=0,0,(H321*F15*(G44+G46)/J330))</f>
        <v>3.4666666666666668</v>
      </c>
      <c r="N363" s="32">
        <f ca="1">IF(J330=0,0,ROUNDDOWN((H321*F15*(G44+G46)/J330),0))</f>
        <v>3</v>
      </c>
      <c r="Q363" s="16"/>
    </row>
    <row r="364" spans="1:26" x14ac:dyDescent="0.35">
      <c r="A364" s="20"/>
      <c r="C364" s="633" t="s">
        <v>518</v>
      </c>
      <c r="D364" s="10"/>
      <c r="E364" s="10"/>
      <c r="F364" s="10"/>
      <c r="G364" s="10"/>
      <c r="H364" s="10"/>
      <c r="I364" s="6"/>
      <c r="J364" s="7">
        <f ca="1">IF($F$288="X",N364,M364)</f>
        <v>4</v>
      </c>
      <c r="K364" s="627" t="str">
        <f ca="1">IF(J364&lt;=1,"dia","dias")</f>
        <v>dias</v>
      </c>
      <c r="M364" s="32">
        <f ca="1">IF(E11=0,0,((G44+G46+G50)*F15*VLOOKUP(BJ8,C108:I112,4,0))/J332/C423)</f>
        <v>3.1</v>
      </c>
      <c r="N364" s="32">
        <f ca="1">ROUNDUP(IF(E11=0,0,((G44+G46+G50)*F15*VLOOKUP(BJ8,C108:I112,4,0))/J332/C423),0)</f>
        <v>4</v>
      </c>
      <c r="Q364" s="16"/>
    </row>
    <row r="365" spans="1:26" ht="13.15" thickBot="1" x14ac:dyDescent="0.4">
      <c r="A365" s="20"/>
      <c r="Q365" s="16"/>
    </row>
    <row r="366" spans="1:26" ht="15.4" thickBot="1" x14ac:dyDescent="0.45">
      <c r="A366" s="20"/>
      <c r="B366" s="23"/>
      <c r="C366" s="24" t="s">
        <v>519</v>
      </c>
      <c r="D366" s="21"/>
      <c r="E366" s="21"/>
      <c r="F366" s="21"/>
      <c r="G366" s="21"/>
      <c r="H366" s="21"/>
      <c r="I366" s="21"/>
      <c r="J366" s="21"/>
      <c r="K366" s="21"/>
      <c r="L366" s="21"/>
      <c r="M366" s="21"/>
      <c r="N366" s="21"/>
      <c r="O366" s="21"/>
      <c r="P366" s="22"/>
      <c r="Q366" s="16"/>
    </row>
    <row r="367" spans="1:26" x14ac:dyDescent="0.35">
      <c r="A367" s="20"/>
      <c r="Q367" s="16"/>
    </row>
    <row r="368" spans="1:26" x14ac:dyDescent="0.35">
      <c r="A368" s="20"/>
      <c r="C368" s="1338" t="s">
        <v>520</v>
      </c>
      <c r="D368" s="1441"/>
      <c r="E368" s="1441"/>
      <c r="F368" s="1441"/>
      <c r="G368" s="1441"/>
      <c r="H368" s="1441"/>
      <c r="I368" s="1441"/>
      <c r="J368" s="1339"/>
      <c r="Q368" s="16"/>
    </row>
    <row r="369" spans="1:17" x14ac:dyDescent="0.35">
      <c r="A369" s="20"/>
      <c r="C369" s="9" t="s">
        <v>521</v>
      </c>
      <c r="D369" s="10"/>
      <c r="E369" s="10"/>
      <c r="F369" s="408" t="str">
        <f>IF(E11=0,0,G13+0.05+0.2 &amp; " m ( incluir material e m.o.)")</f>
        <v>0,4 m ( incluir material e m.o.)</v>
      </c>
      <c r="G369" s="10"/>
      <c r="H369" s="10"/>
      <c r="I369" s="6"/>
      <c r="J369" s="31">
        <f ca="1">IF(E11=0,0,PI()*((F77+1)*(G13+0.05)*F15))</f>
        <v>61.70367206828071</v>
      </c>
      <c r="K369" t="s">
        <v>78</v>
      </c>
      <c r="O369" s="716"/>
      <c r="Q369" s="16"/>
    </row>
    <row r="370" spans="1:17" ht="13.15" x14ac:dyDescent="0.4">
      <c r="A370" s="20"/>
      <c r="C370" s="633" t="s">
        <v>522</v>
      </c>
      <c r="D370" s="10"/>
      <c r="E370" s="10"/>
      <c r="F370" s="10"/>
      <c r="G370" s="10"/>
      <c r="H370" s="10"/>
      <c r="I370" s="6"/>
      <c r="J370" s="7">
        <f ca="1">IF(ENTRADAS!G66="X",M370,N370)</f>
        <v>119</v>
      </c>
      <c r="K370" s="627" t="s">
        <v>31</v>
      </c>
      <c r="M370" s="32">
        <f>ROUNDUP(IF(E11=0,0,IF(ENTRADAS!G66="X",(PI()*((F77+0.5)^2-(F77-0.2)^2)*(G13+0.1)-((G50+G44+G46)*(0.18*2.1*G13)))*F15,0)),0)</f>
        <v>0</v>
      </c>
      <c r="N370" s="32">
        <f ca="1">ROUNDUP(IF(E11=0,0,IF(C19="X",(PI()*((F77+0.7)^2-(F77-0.2)^2)*(G13+0.1)-((G50+G44+G46)*(0.185*2.4*G13)))*F15,IF(E19="X",(PI()*((F77+0.8)^2-(F77-0.2)^2)*(G13+0.1)-((G50+G44+G46)*(0.245*2.4*G13)))*F15,0))),0)</f>
        <v>119</v>
      </c>
      <c r="Q370" s="16"/>
    </row>
    <row r="371" spans="1:17" x14ac:dyDescent="0.35">
      <c r="A371" s="20"/>
      <c r="C371" s="633" t="s">
        <v>523</v>
      </c>
      <c r="D371" s="10"/>
      <c r="E371" s="10"/>
      <c r="F371" s="10"/>
      <c r="G371" s="10"/>
      <c r="H371" s="10"/>
      <c r="I371" s="6"/>
      <c r="J371" s="7">
        <f ca="1">J370</f>
        <v>119</v>
      </c>
      <c r="K371" s="627" t="s">
        <v>31</v>
      </c>
      <c r="Q371" s="16"/>
    </row>
    <row r="372" spans="1:17" x14ac:dyDescent="0.35">
      <c r="A372" s="20"/>
      <c r="C372" s="633" t="s">
        <v>1917</v>
      </c>
      <c r="D372" s="10"/>
      <c r="E372" s="10"/>
      <c r="F372" s="10"/>
      <c r="G372" s="10"/>
      <c r="H372" s="10"/>
      <c r="I372" s="6"/>
      <c r="J372" s="7">
        <f ca="1">ROUNDUP(IF(E11=0,0,360*(G44+G46+G50)*F15/300),0)</f>
        <v>298</v>
      </c>
      <c r="K372" s="627" t="s">
        <v>46</v>
      </c>
      <c r="Q372" s="16"/>
    </row>
    <row r="373" spans="1:17" x14ac:dyDescent="0.35">
      <c r="A373" s="20"/>
      <c r="C373" s="633" t="s">
        <v>1918</v>
      </c>
      <c r="D373" s="10"/>
      <c r="E373" s="10"/>
      <c r="F373" s="10"/>
      <c r="G373" s="10"/>
      <c r="H373" s="10"/>
      <c r="I373" s="6"/>
      <c r="J373" s="7">
        <f ca="1">ROUNDUP(IF(E11=0,0,(PI()*((F77+1)^2-(F77-0.25)^2)+(PI()*((F77-0.25)*(G13+0.05)))+((G44+G46+G50)*2.4*G13))*F15*(36/145/18)),0)</f>
        <v>13</v>
      </c>
      <c r="K373" s="627" t="s">
        <v>46</v>
      </c>
      <c r="Q373" s="16"/>
    </row>
    <row r="374" spans="1:17" hidden="1" x14ac:dyDescent="0.35">
      <c r="A374" s="20"/>
      <c r="C374" s="633" t="s">
        <v>526</v>
      </c>
      <c r="D374" s="10"/>
      <c r="E374" s="10"/>
      <c r="F374" s="10"/>
      <c r="G374" s="10"/>
      <c r="H374" s="10"/>
      <c r="I374" s="6"/>
      <c r="J374" s="7">
        <v>3</v>
      </c>
      <c r="K374" s="627" t="s">
        <v>46</v>
      </c>
      <c r="M374" s="2082" t="s">
        <v>509</v>
      </c>
      <c r="Q374" s="16"/>
    </row>
    <row r="375" spans="1:17" hidden="1" x14ac:dyDescent="0.35">
      <c r="A375" s="20"/>
      <c r="C375" s="633" t="s">
        <v>527</v>
      </c>
      <c r="D375" s="10"/>
      <c r="E375" s="10"/>
      <c r="F375" s="10"/>
      <c r="G375" s="10"/>
      <c r="H375" s="10"/>
      <c r="I375" s="6"/>
      <c r="J375" s="7">
        <v>3</v>
      </c>
      <c r="K375" s="627" t="s">
        <v>46</v>
      </c>
      <c r="M375" s="2082"/>
      <c r="Q375" s="16"/>
    </row>
    <row r="376" spans="1:17" hidden="1" x14ac:dyDescent="0.35">
      <c r="A376" s="20"/>
      <c r="C376" s="633" t="s">
        <v>528</v>
      </c>
      <c r="D376" s="10"/>
      <c r="E376" s="10"/>
      <c r="F376" s="10"/>
      <c r="G376" s="10"/>
      <c r="H376" s="10"/>
      <c r="I376" s="6"/>
      <c r="J376" s="7">
        <v>3</v>
      </c>
      <c r="K376" s="627" t="s">
        <v>46</v>
      </c>
      <c r="M376" s="2082"/>
      <c r="Q376" s="16"/>
    </row>
    <row r="377" spans="1:17" hidden="1" x14ac:dyDescent="0.35">
      <c r="A377" s="20"/>
      <c r="C377" s="633" t="s">
        <v>529</v>
      </c>
      <c r="D377" s="10"/>
      <c r="E377" s="10"/>
      <c r="F377" s="10"/>
      <c r="G377" s="10"/>
      <c r="H377" s="10"/>
      <c r="I377" s="6"/>
      <c r="J377" s="7">
        <v>10</v>
      </c>
      <c r="K377" s="627" t="s">
        <v>46</v>
      </c>
      <c r="M377" s="2082"/>
      <c r="Q377" s="16"/>
    </row>
    <row r="378" spans="1:17" hidden="1" x14ac:dyDescent="0.35">
      <c r="A378" s="20"/>
      <c r="C378" s="633" t="s">
        <v>530</v>
      </c>
      <c r="D378" s="10"/>
      <c r="E378" s="10"/>
      <c r="F378" s="10"/>
      <c r="G378" s="10"/>
      <c r="H378" s="10"/>
      <c r="I378" s="6"/>
      <c r="J378" s="7">
        <v>2</v>
      </c>
      <c r="K378" s="627" t="s">
        <v>46</v>
      </c>
      <c r="M378" s="2082"/>
      <c r="Q378" s="16"/>
    </row>
    <row r="379" spans="1:17" hidden="1" x14ac:dyDescent="0.35">
      <c r="A379" s="20"/>
      <c r="C379" s="633" t="s">
        <v>531</v>
      </c>
      <c r="D379" s="10"/>
      <c r="E379" s="10"/>
      <c r="F379" s="10"/>
      <c r="G379" s="10"/>
      <c r="H379" s="10"/>
      <c r="I379" s="6"/>
      <c r="J379" s="7">
        <v>2</v>
      </c>
      <c r="K379" s="627" t="s">
        <v>46</v>
      </c>
      <c r="M379" s="2082"/>
      <c r="Q379" s="16"/>
    </row>
    <row r="380" spans="1:17" x14ac:dyDescent="0.35">
      <c r="A380" s="20"/>
      <c r="Q380" s="16"/>
    </row>
    <row r="381" spans="1:17" x14ac:dyDescent="0.35">
      <c r="A381" s="20"/>
      <c r="C381" s="1338" t="s">
        <v>532</v>
      </c>
      <c r="D381" s="1441"/>
      <c r="E381" s="1441"/>
      <c r="F381" s="1441"/>
      <c r="G381" s="1441"/>
      <c r="H381" s="1441"/>
      <c r="I381" s="1441"/>
      <c r="J381" s="1339"/>
      <c r="M381" s="32">
        <f ca="1">IF(I11=0,0,IF(M382=0,J369/(C430*C423/3*9)+1,M382))</f>
        <v>3.5709863361783629</v>
      </c>
      <c r="N381" s="32">
        <f ca="1">IF(I11=0,0,IF(M382=0,ROUNDUP(J369/(C430*C423/3*9)+1,0),M382))</f>
        <v>4</v>
      </c>
      <c r="O381" t="s">
        <v>1919</v>
      </c>
      <c r="Q381" s="16"/>
    </row>
    <row r="382" spans="1:17" x14ac:dyDescent="0.35">
      <c r="A382" s="20"/>
      <c r="C382" s="633" t="s">
        <v>533</v>
      </c>
      <c r="D382" s="10"/>
      <c r="E382" s="10"/>
      <c r="F382" s="10"/>
      <c r="G382" s="10"/>
      <c r="H382" s="10"/>
      <c r="I382" s="6"/>
      <c r="J382" s="7">
        <f ca="1">IF(I11=0,0,IF(M382=0,IF(F288="X",N381,N381),M382))</f>
        <v>4</v>
      </c>
      <c r="K382" s="627" t="str">
        <f ca="1">IF(J382&lt;=1,"dia","dias -----------")</f>
        <v>dias -----------</v>
      </c>
      <c r="M382" s="595"/>
      <c r="Q382" s="16"/>
    </row>
    <row r="383" spans="1:17" x14ac:dyDescent="0.35">
      <c r="A383" s="20"/>
      <c r="Q383" s="16"/>
    </row>
    <row r="384" spans="1:17" ht="13.15" thickBot="1" x14ac:dyDescent="0.4">
      <c r="A384" s="20"/>
      <c r="Q384" s="16"/>
    </row>
    <row r="385" spans="1:17" ht="15.4" thickBot="1" x14ac:dyDescent="0.45">
      <c r="A385" s="20"/>
      <c r="B385" s="23"/>
      <c r="C385" s="24" t="s">
        <v>534</v>
      </c>
      <c r="D385" s="21"/>
      <c r="E385" s="21"/>
      <c r="F385" s="21"/>
      <c r="G385" s="21"/>
      <c r="H385" s="21"/>
      <c r="I385" s="21"/>
      <c r="J385" s="21"/>
      <c r="K385" s="21"/>
      <c r="L385" s="21"/>
      <c r="M385" s="21"/>
      <c r="N385" s="21"/>
      <c r="O385" s="21"/>
      <c r="P385" s="22"/>
      <c r="Q385" s="16"/>
    </row>
    <row r="386" spans="1:17" x14ac:dyDescent="0.35">
      <c r="A386" s="20"/>
      <c r="Q386" s="16"/>
    </row>
    <row r="387" spans="1:17" x14ac:dyDescent="0.35">
      <c r="A387" s="20"/>
      <c r="C387" s="627" t="s">
        <v>535</v>
      </c>
      <c r="Q387" s="16"/>
    </row>
    <row r="388" spans="1:17" x14ac:dyDescent="0.35">
      <c r="A388" s="20"/>
      <c r="C388" s="627"/>
      <c r="E388" s="627"/>
      <c r="F388" s="627" t="s">
        <v>536</v>
      </c>
      <c r="G388" s="627"/>
      <c r="H388" s="627"/>
      <c r="J388" s="31">
        <f>IF(O388=0,1,O388)</f>
        <v>1</v>
      </c>
      <c r="K388" s="627" t="s">
        <v>537</v>
      </c>
      <c r="M388" s="627"/>
      <c r="O388" s="7"/>
      <c r="Q388" s="16"/>
    </row>
    <row r="389" spans="1:17" x14ac:dyDescent="0.35">
      <c r="A389" s="20"/>
      <c r="Q389" s="16"/>
    </row>
    <row r="390" spans="1:17" x14ac:dyDescent="0.35">
      <c r="A390" s="20"/>
      <c r="C390" s="627" t="s">
        <v>538</v>
      </c>
      <c r="Q390" s="16"/>
    </row>
    <row r="391" spans="1:17" x14ac:dyDescent="0.35">
      <c r="A391" s="20"/>
      <c r="F391" s="627" t="s">
        <v>539</v>
      </c>
      <c r="J391" s="31">
        <f>IF(O391=0,40,O391)</f>
        <v>40</v>
      </c>
      <c r="K391" s="627" t="s">
        <v>540</v>
      </c>
      <c r="M391" s="627"/>
      <c r="O391" s="7"/>
      <c r="Q391" s="16"/>
    </row>
    <row r="392" spans="1:17" x14ac:dyDescent="0.35">
      <c r="A392" s="20"/>
      <c r="Q392" s="16"/>
    </row>
    <row r="393" spans="1:17" x14ac:dyDescent="0.35">
      <c r="A393" s="20"/>
      <c r="C393" s="627" t="s">
        <v>541</v>
      </c>
      <c r="Q393" s="16"/>
    </row>
    <row r="394" spans="1:17" x14ac:dyDescent="0.35">
      <c r="A394" s="20"/>
      <c r="F394" s="627" t="s">
        <v>542</v>
      </c>
      <c r="J394" s="31">
        <f>IF(O394=0,0.3,O394)</f>
        <v>0.3</v>
      </c>
      <c r="K394" s="627" t="s">
        <v>537</v>
      </c>
      <c r="M394" s="627"/>
      <c r="O394" s="7"/>
      <c r="Q394" s="16"/>
    </row>
    <row r="395" spans="1:17" x14ac:dyDescent="0.35">
      <c r="A395" s="20"/>
      <c r="Q395" s="16"/>
    </row>
    <row r="396" spans="1:17" x14ac:dyDescent="0.35">
      <c r="A396" s="20"/>
      <c r="C396" s="1338" t="s">
        <v>543</v>
      </c>
      <c r="D396" s="1441"/>
      <c r="E396" s="1441"/>
      <c r="F396" s="1441"/>
      <c r="G396" s="1441"/>
      <c r="H396" s="1441"/>
      <c r="I396" s="1441"/>
      <c r="J396" s="1441"/>
      <c r="K396" s="1441"/>
      <c r="L396" s="1339"/>
      <c r="Q396" s="16"/>
    </row>
    <row r="397" spans="1:17" hidden="1" x14ac:dyDescent="0.35">
      <c r="A397" s="20"/>
      <c r="C397" s="633" t="s">
        <v>544</v>
      </c>
      <c r="D397" s="10"/>
      <c r="E397" s="10"/>
      <c r="F397" s="10"/>
      <c r="G397" s="10"/>
      <c r="H397" s="10"/>
      <c r="I397" s="10"/>
      <c r="J397" s="10"/>
      <c r="K397" s="6"/>
      <c r="L397" s="7"/>
      <c r="M397" s="627" t="s">
        <v>46</v>
      </c>
      <c r="N397" s="1531" t="s">
        <v>509</v>
      </c>
      <c r="Q397" s="16"/>
    </row>
    <row r="398" spans="1:17" hidden="1" x14ac:dyDescent="0.35">
      <c r="A398" s="20"/>
      <c r="C398" s="633" t="s">
        <v>545</v>
      </c>
      <c r="D398" s="10"/>
      <c r="E398" s="409" t="str">
        <f ca="1">(G44+G46+G50)&amp;" unidades durante "&amp;L534&amp; " dias"</f>
        <v>62 unidades durante 107 dias</v>
      </c>
      <c r="F398" s="10"/>
      <c r="G398" s="10"/>
      <c r="H398" s="409"/>
      <c r="I398" s="10"/>
      <c r="J398" s="10"/>
      <c r="K398" s="6"/>
      <c r="L398" s="7"/>
      <c r="M398" s="627" t="s">
        <v>46</v>
      </c>
      <c r="N398" s="1531"/>
      <c r="Q398" s="16"/>
    </row>
    <row r="399" spans="1:17" x14ac:dyDescent="0.35">
      <c r="A399" s="20"/>
      <c r="C399" s="633" t="s">
        <v>546</v>
      </c>
      <c r="D399" s="10"/>
      <c r="E399" s="10"/>
      <c r="F399" s="10"/>
      <c r="G399" s="10"/>
      <c r="H399" s="10"/>
      <c r="I399" s="10"/>
      <c r="J399" s="10"/>
      <c r="K399" s="6"/>
      <c r="L399" s="7">
        <f ca="1">IF(ENTRADAS!G66="x",0,IF(I11&gt;11,CEILING((G44+G46+G50)/3,1),CEILING((G44+G46+G50)/2/3,1)))</f>
        <v>11</v>
      </c>
      <c r="M399" t="s">
        <v>46</v>
      </c>
      <c r="Q399" s="16"/>
    </row>
    <row r="400" spans="1:17" x14ac:dyDescent="0.35">
      <c r="A400" s="20"/>
      <c r="C400" s="633" t="s">
        <v>547</v>
      </c>
      <c r="D400" s="10"/>
      <c r="E400" s="10"/>
      <c r="F400" s="10"/>
      <c r="G400" s="10"/>
      <c r="H400" s="10"/>
      <c r="I400" s="10"/>
      <c r="J400" s="10"/>
      <c r="K400" s="6"/>
      <c r="L400" s="7">
        <f ca="1">L399</f>
        <v>11</v>
      </c>
      <c r="M400" t="s">
        <v>46</v>
      </c>
      <c r="Q400" s="16"/>
    </row>
    <row r="401" spans="1:17" x14ac:dyDescent="0.35">
      <c r="A401" s="20"/>
      <c r="C401" s="633" t="s">
        <v>548</v>
      </c>
      <c r="D401" s="10"/>
      <c r="E401" s="10"/>
      <c r="F401" s="10"/>
      <c r="G401" s="10"/>
      <c r="H401" s="10"/>
      <c r="I401" s="10"/>
      <c r="J401" s="10"/>
      <c r="K401" s="6"/>
      <c r="L401" s="7">
        <f ca="1">L400</f>
        <v>11</v>
      </c>
      <c r="M401" t="s">
        <v>46</v>
      </c>
      <c r="Q401" s="16"/>
    </row>
    <row r="402" spans="1:17" ht="13.15" thickBot="1" x14ac:dyDescent="0.4">
      <c r="A402" s="20"/>
      <c r="C402" s="633" t="s">
        <v>549</v>
      </c>
      <c r="D402" s="10"/>
      <c r="E402" s="10"/>
      <c r="F402" s="10"/>
      <c r="G402" s="10"/>
      <c r="H402" s="10"/>
      <c r="I402" s="10"/>
      <c r="J402" s="10"/>
      <c r="K402" s="6"/>
      <c r="L402" s="7">
        <f ca="1">IF(ENTRADAS!G66="x",0,CEILING((G44+G46+G50)/20*F15,1))</f>
        <v>13</v>
      </c>
      <c r="M402" t="s">
        <v>46</v>
      </c>
      <c r="O402" s="627" t="s">
        <v>1920</v>
      </c>
      <c r="Q402" s="16"/>
    </row>
    <row r="403" spans="1:17" ht="13.15" thickBot="1" x14ac:dyDescent="0.4">
      <c r="A403" s="20"/>
      <c r="C403" s="633" t="s">
        <v>550</v>
      </c>
      <c r="D403" s="10"/>
      <c r="E403" s="10"/>
      <c r="F403" s="10"/>
      <c r="G403" s="10"/>
      <c r="H403" s="10"/>
      <c r="I403" s="10"/>
      <c r="J403" s="10"/>
      <c r="K403" s="6"/>
      <c r="L403" s="7">
        <f ca="1">IF(ENTRADAS!G66="x",0,IF(C19="X",ROUNDUP(((G44+G46+G50)*I11*2.6+H319*((G44+G46+G50)+0.5)*2.375*(IF(H317=1,0.8,1.25)))*F15*O403,0),IF(E19="X",ROUNDUP(((G44+G46+G50)*I11*3.5+H319*((G44+G46+G50)+0.5)*2.375*(IF(H317=1,0.8,1.25)))*F15*O403,0),0)))</f>
        <v>33018</v>
      </c>
      <c r="M403" t="s">
        <v>64</v>
      </c>
      <c r="O403" s="585">
        <v>2.2999999999999998</v>
      </c>
      <c r="Q403" s="16"/>
    </row>
    <row r="404" spans="1:17" x14ac:dyDescent="0.35">
      <c r="A404" s="20"/>
      <c r="C404" s="633" t="s">
        <v>551</v>
      </c>
      <c r="D404" s="10"/>
      <c r="E404" s="10"/>
      <c r="F404" s="10"/>
      <c r="G404" s="10"/>
      <c r="H404" s="10"/>
      <c r="I404" s="10"/>
      <c r="J404" s="10"/>
      <c r="K404" s="6"/>
      <c r="L404" s="7">
        <f ca="1">ROUNDUP((G44+G46+G50)*F15*3.6 /18,0)</f>
        <v>50</v>
      </c>
      <c r="M404" t="s">
        <v>552</v>
      </c>
      <c r="Q404" s="16"/>
    </row>
    <row r="405" spans="1:17" x14ac:dyDescent="0.35">
      <c r="A405" s="20"/>
      <c r="C405" s="633" t="s">
        <v>1921</v>
      </c>
      <c r="D405" s="10"/>
      <c r="E405" s="10"/>
      <c r="F405" s="10"/>
      <c r="G405" s="10"/>
      <c r="H405" s="10"/>
      <c r="I405" s="10"/>
      <c r="J405" s="10"/>
      <c r="K405" s="6"/>
      <c r="L405" s="7">
        <f ca="1">ROUNDUP(7/8/900*(L608+L609),0)</f>
        <v>1</v>
      </c>
      <c r="M405" s="627" t="s">
        <v>46</v>
      </c>
      <c r="Q405" s="16"/>
    </row>
    <row r="406" spans="1:17" x14ac:dyDescent="0.35">
      <c r="A406" s="20"/>
      <c r="C406" s="633" t="s">
        <v>1922</v>
      </c>
      <c r="D406" s="10"/>
      <c r="E406" s="10"/>
      <c r="F406" s="10"/>
      <c r="G406" s="10"/>
      <c r="H406" s="10"/>
      <c r="I406" s="10"/>
      <c r="J406" s="10"/>
      <c r="K406" s="6"/>
      <c r="L406" s="7">
        <f ca="1">ROUNDUP(71*(PI()*0.05^2)*0.015*(L606+L607+L608+L609+L614),0)</f>
        <v>15</v>
      </c>
      <c r="M406" s="627" t="s">
        <v>395</v>
      </c>
      <c r="Q406" s="16"/>
    </row>
    <row r="407" spans="1:17" hidden="1" x14ac:dyDescent="0.35">
      <c r="A407" s="20"/>
      <c r="C407" s="633" t="s">
        <v>1923</v>
      </c>
      <c r="D407" s="10"/>
      <c r="E407" s="10"/>
      <c r="F407" s="10"/>
      <c r="G407" s="10"/>
      <c r="H407" s="10"/>
      <c r="I407" s="10"/>
      <c r="J407" s="10"/>
      <c r="K407" s="6"/>
      <c r="L407" s="7">
        <v>3</v>
      </c>
      <c r="M407" t="s">
        <v>46</v>
      </c>
      <c r="N407" s="1531" t="s">
        <v>509</v>
      </c>
      <c r="Q407" s="16"/>
    </row>
    <row r="408" spans="1:17" hidden="1" x14ac:dyDescent="0.35">
      <c r="A408" s="20"/>
      <c r="C408" s="633" t="s">
        <v>554</v>
      </c>
      <c r="D408" s="10"/>
      <c r="E408" s="10"/>
      <c r="F408" s="10"/>
      <c r="G408" s="10"/>
      <c r="H408" s="10"/>
      <c r="I408" s="10"/>
      <c r="J408" s="10"/>
      <c r="K408" s="6"/>
      <c r="L408" s="7">
        <v>10</v>
      </c>
      <c r="M408" t="s">
        <v>46</v>
      </c>
      <c r="N408" s="1531"/>
      <c r="Q408" s="16"/>
    </row>
    <row r="409" spans="1:17" hidden="1" x14ac:dyDescent="0.35">
      <c r="A409" s="20"/>
      <c r="C409" s="633" t="s">
        <v>555</v>
      </c>
      <c r="D409" s="10"/>
      <c r="E409" s="10"/>
      <c r="F409" s="10"/>
      <c r="G409" s="10"/>
      <c r="H409" s="10"/>
      <c r="I409" s="10"/>
      <c r="J409" s="10"/>
      <c r="K409" s="6"/>
      <c r="L409" s="7">
        <v>5</v>
      </c>
      <c r="M409" t="s">
        <v>46</v>
      </c>
      <c r="N409" s="1531"/>
      <c r="Q409" s="16"/>
    </row>
    <row r="410" spans="1:17" x14ac:dyDescent="0.35">
      <c r="A410" s="20"/>
      <c r="Q410" s="16"/>
    </row>
    <row r="411" spans="1:17" x14ac:dyDescent="0.35">
      <c r="A411" s="20"/>
      <c r="C411" s="1338" t="s">
        <v>556</v>
      </c>
      <c r="D411" s="1441"/>
      <c r="E411" s="1441"/>
      <c r="F411" s="1441"/>
      <c r="G411" s="1441"/>
      <c r="H411" s="1441"/>
      <c r="I411" s="1441"/>
      <c r="J411" s="1339"/>
      <c r="Q411" s="16"/>
    </row>
    <row r="412" spans="1:17" x14ac:dyDescent="0.35">
      <c r="A412" s="20"/>
      <c r="C412" s="633" t="s">
        <v>557</v>
      </c>
      <c r="D412" s="10"/>
      <c r="E412" s="10"/>
      <c r="F412" s="10"/>
      <c r="G412" s="10"/>
      <c r="H412" s="10"/>
      <c r="I412" s="6"/>
      <c r="J412" s="7">
        <f>IF($F$288="X",N412,N412)</f>
        <v>8</v>
      </c>
      <c r="K412" s="627" t="str">
        <f>IF(J412&lt;=1,"dia","dias")</f>
        <v>dias</v>
      </c>
      <c r="M412" s="32">
        <f>(G44+G46)*F15*J388</f>
        <v>8</v>
      </c>
      <c r="N412" s="32">
        <f>IF(ENTRADAS!G66&lt;&gt;0,0,ROUNDUP((G44+G46)*F15*J388,0))</f>
        <v>8</v>
      </c>
      <c r="O412" t="s">
        <v>1882</v>
      </c>
      <c r="Q412" s="16"/>
    </row>
    <row r="413" spans="1:17" x14ac:dyDescent="0.35">
      <c r="A413" s="20"/>
      <c r="C413" s="633" t="s">
        <v>558</v>
      </c>
      <c r="D413" s="10"/>
      <c r="E413" s="10"/>
      <c r="F413" s="10"/>
      <c r="G413" s="10"/>
      <c r="H413" s="10"/>
      <c r="I413" s="6"/>
      <c r="J413" s="7">
        <f ca="1">IF($F$288="X",N413,M413)</f>
        <v>7</v>
      </c>
      <c r="K413" s="627" t="str">
        <f ca="1">IF(J413&lt;=1,"dia","dias")</f>
        <v>dias</v>
      </c>
      <c r="M413" s="32">
        <f ca="1">(G44+G46+G50)*F15/J391/C423</f>
        <v>6.2</v>
      </c>
      <c r="N413" s="32">
        <f ca="1">ROUNDUP((G44+G46+G50)*F15/J391/C423,0)</f>
        <v>7</v>
      </c>
      <c r="Q413" s="16"/>
    </row>
    <row r="414" spans="1:17" x14ac:dyDescent="0.35">
      <c r="A414" s="20"/>
      <c r="C414" s="633" t="s">
        <v>559</v>
      </c>
      <c r="D414" s="10"/>
      <c r="E414" s="10"/>
      <c r="F414" s="10"/>
      <c r="G414" s="10"/>
      <c r="H414" s="10"/>
      <c r="I414" s="6"/>
      <c r="J414" s="7">
        <f>IF($F$288="X",N414,M414)</f>
        <v>3</v>
      </c>
      <c r="K414" s="627" t="str">
        <f>IF(J414&lt;=1,"dia","dias")</f>
        <v>dias</v>
      </c>
      <c r="M414" s="32">
        <f>(G44+G46)*F15*J394/C423</f>
        <v>2.4</v>
      </c>
      <c r="N414" s="32">
        <f>ROUNDUP((G44+G46)*F15*J394/C423,0)</f>
        <v>3</v>
      </c>
      <c r="Q414" s="16"/>
    </row>
    <row r="415" spans="1:17" x14ac:dyDescent="0.35">
      <c r="A415" s="20"/>
      <c r="C415" s="633" t="str">
        <f>IF(ENTRADAS!G66="X","CURA ( solidarização )","CURA ( injeção )")</f>
        <v>CURA ( injeção )</v>
      </c>
      <c r="D415" s="10"/>
      <c r="E415" s="10"/>
      <c r="F415" s="10"/>
      <c r="G415" s="10"/>
      <c r="H415" s="10"/>
      <c r="I415" s="6"/>
      <c r="J415" s="7">
        <f>IF($F$288="X",N415,M415)</f>
        <v>9</v>
      </c>
      <c r="K415" s="627" t="str">
        <f>IF(J415&lt;=1,"dia","dias")</f>
        <v>dias</v>
      </c>
      <c r="M415" s="32">
        <f>IF(ENTRADAS!F1267&lt;&gt;0,ENTRADAS!F1267,9)</f>
        <v>9</v>
      </c>
      <c r="N415" s="32">
        <f>IF(ENTRADAS!F1267&lt;&gt;0,ENTRADAS!F1267,9)</f>
        <v>9</v>
      </c>
      <c r="O415">
        <f>(G44+G46)*F15</f>
        <v>8</v>
      </c>
      <c r="P415">
        <f>IF(ENTRADAS!G66&lt;&gt;0,ROUNDUP((G44+G46)*F15,0),ROUNDUP((G44+G46)*F15,0))</f>
        <v>8</v>
      </c>
      <c r="Q415" s="16" t="s">
        <v>1924</v>
      </c>
    </row>
    <row r="416" spans="1:17" x14ac:dyDescent="0.35">
      <c r="A416" s="20"/>
      <c r="Q416" s="16"/>
    </row>
    <row r="417" spans="1:17" x14ac:dyDescent="0.35">
      <c r="A417" s="18"/>
      <c r="B417" s="3"/>
      <c r="C417" s="3"/>
      <c r="D417" s="3"/>
      <c r="E417" s="3"/>
      <c r="F417" s="3"/>
      <c r="G417" s="3"/>
      <c r="H417" s="3"/>
      <c r="I417" s="3"/>
      <c r="J417" s="3"/>
      <c r="K417" s="3"/>
      <c r="L417" s="3"/>
      <c r="M417" s="3"/>
      <c r="N417" s="3"/>
      <c r="O417" s="3"/>
      <c r="P417" s="3"/>
      <c r="Q417" s="17"/>
    </row>
    <row r="418" spans="1:17" ht="13.5" thickBot="1" x14ac:dyDescent="0.45">
      <c r="A418" s="13"/>
      <c r="B418" s="14"/>
      <c r="C418" s="14"/>
      <c r="D418" s="14"/>
      <c r="E418" s="14"/>
      <c r="F418" s="202"/>
      <c r="G418" s="14"/>
      <c r="H418" s="14"/>
      <c r="I418" s="14"/>
      <c r="J418" s="14"/>
      <c r="K418" s="14"/>
      <c r="L418" s="14"/>
      <c r="M418" s="14"/>
      <c r="N418" s="14"/>
      <c r="O418" s="14"/>
      <c r="P418" s="14"/>
      <c r="Q418" s="15"/>
    </row>
    <row r="419" spans="1:17" ht="15.4" thickBot="1" x14ac:dyDescent="0.45">
      <c r="A419" s="20"/>
      <c r="B419" s="23"/>
      <c r="C419" s="24" t="s">
        <v>560</v>
      </c>
      <c r="D419" s="21"/>
      <c r="E419" s="21"/>
      <c r="F419" s="21"/>
      <c r="G419" s="21"/>
      <c r="H419" s="21"/>
      <c r="I419" s="21"/>
      <c r="J419" s="21"/>
      <c r="K419" s="21"/>
      <c r="L419" s="21"/>
      <c r="M419" s="21"/>
      <c r="N419" s="21"/>
      <c r="O419" s="21"/>
      <c r="P419" s="22"/>
      <c r="Q419" s="16"/>
    </row>
    <row r="420" spans="1:17" x14ac:dyDescent="0.35">
      <c r="A420" s="20"/>
      <c r="Q420" s="16"/>
    </row>
    <row r="421" spans="1:17" x14ac:dyDescent="0.35">
      <c r="A421" s="20"/>
      <c r="M421" s="627"/>
      <c r="Q421" s="16"/>
    </row>
    <row r="422" spans="1:17" x14ac:dyDescent="0.35">
      <c r="A422" s="20"/>
      <c r="C422" s="627" t="s">
        <v>562</v>
      </c>
      <c r="Q422" s="16"/>
    </row>
    <row r="423" spans="1:17" x14ac:dyDescent="0.35">
      <c r="A423" s="20"/>
      <c r="C423" s="7">
        <f>ENTRADAS!C734</f>
        <v>1</v>
      </c>
      <c r="D423" s="627" t="str">
        <f>IF(C423&gt;1,"EQUIPES","EQUIPE")</f>
        <v>EQUIPE</v>
      </c>
      <c r="E423" s="183" t="s">
        <v>563</v>
      </c>
      <c r="Q423" s="16"/>
    </row>
    <row r="424" spans="1:17" x14ac:dyDescent="0.35">
      <c r="A424" s="20"/>
      <c r="F424" t="s">
        <v>200</v>
      </c>
      <c r="Q424" s="16"/>
    </row>
    <row r="425" spans="1:17" x14ac:dyDescent="0.35">
      <c r="A425" s="20"/>
      <c r="C425" t="s">
        <v>201</v>
      </c>
      <c r="F425" t="s">
        <v>202</v>
      </c>
      <c r="Q425" s="16"/>
    </row>
    <row r="426" spans="1:17" x14ac:dyDescent="0.35">
      <c r="A426" s="20"/>
      <c r="C426" s="31">
        <f>ENTRADAS!C737</f>
        <v>1</v>
      </c>
      <c r="D426" s="627" t="s">
        <v>714</v>
      </c>
      <c r="F426" s="250">
        <f>ENTRADAS!F737</f>
        <v>0</v>
      </c>
      <c r="G426" t="s">
        <v>203</v>
      </c>
      <c r="Q426" s="16"/>
    </row>
    <row r="427" spans="1:17" x14ac:dyDescent="0.35">
      <c r="A427" s="20"/>
      <c r="C427" s="31">
        <f>ENTRADAS!C738</f>
        <v>1.7</v>
      </c>
      <c r="D427" t="s">
        <v>91</v>
      </c>
      <c r="F427" s="250">
        <f>ENTRADAS!F738</f>
        <v>0</v>
      </c>
      <c r="G427" t="s">
        <v>203</v>
      </c>
      <c r="Q427" s="16"/>
    </row>
    <row r="428" spans="1:17" x14ac:dyDescent="0.35">
      <c r="A428" s="20"/>
      <c r="C428" s="31">
        <f>ENTRADAS!C739</f>
        <v>1</v>
      </c>
      <c r="D428" s="204" t="s">
        <v>715</v>
      </c>
      <c r="F428" s="250">
        <f>ENTRADAS!F739</f>
        <v>0</v>
      </c>
      <c r="G428" t="s">
        <v>203</v>
      </c>
      <c r="Q428" s="16"/>
    </row>
    <row r="429" spans="1:17" x14ac:dyDescent="0.35">
      <c r="A429" s="20"/>
      <c r="C429" s="31">
        <f>ENTRADAS!C740</f>
        <v>0</v>
      </c>
      <c r="D429" s="204" t="s">
        <v>566</v>
      </c>
      <c r="F429" s="250" t="str">
        <f>ENTRADAS!F740</f>
        <v>x</v>
      </c>
      <c r="G429" t="s">
        <v>203</v>
      </c>
      <c r="Q429" s="16"/>
    </row>
    <row r="430" spans="1:17" x14ac:dyDescent="0.35">
      <c r="A430" s="20"/>
      <c r="C430" s="31">
        <f>ENTRADAS!C741</f>
        <v>8</v>
      </c>
      <c r="D430" t="s">
        <v>95</v>
      </c>
      <c r="F430" s="250">
        <f>ENTRADAS!F741</f>
        <v>0</v>
      </c>
      <c r="G430" t="s">
        <v>203</v>
      </c>
      <c r="Q430" s="16"/>
    </row>
    <row r="431" spans="1:17" x14ac:dyDescent="0.35">
      <c r="A431" s="20"/>
      <c r="C431" s="31">
        <f>ENTRADAS!C742</f>
        <v>1</v>
      </c>
      <c r="D431" t="s">
        <v>204</v>
      </c>
      <c r="F431" s="250">
        <f>ENTRADAS!F742</f>
        <v>0</v>
      </c>
      <c r="G431" t="s">
        <v>203</v>
      </c>
      <c r="Q431" s="16"/>
    </row>
    <row r="432" spans="1:17" x14ac:dyDescent="0.35">
      <c r="A432" s="20"/>
      <c r="Q432" s="16"/>
    </row>
    <row r="433" spans="1:19" x14ac:dyDescent="0.35">
      <c r="A433" s="20"/>
      <c r="C433" t="s">
        <v>567</v>
      </c>
      <c r="F433" s="661">
        <f>ENTRADAS!F744</f>
        <v>0</v>
      </c>
      <c r="G433" t="s">
        <v>46</v>
      </c>
      <c r="Q433" s="16"/>
    </row>
    <row r="434" spans="1:19" x14ac:dyDescent="0.35">
      <c r="A434" s="20"/>
      <c r="Q434" s="16"/>
    </row>
    <row r="435" spans="1:19" x14ac:dyDescent="0.35">
      <c r="A435" s="20"/>
      <c r="C435" s="633" t="s">
        <v>569</v>
      </c>
      <c r="D435" s="10"/>
      <c r="E435" s="6"/>
      <c r="F435" s="2077">
        <f>ENTRADAS!F749</f>
        <v>1500</v>
      </c>
      <c r="G435" s="2078"/>
      <c r="H435" s="6" t="s">
        <v>570</v>
      </c>
      <c r="Q435" s="16"/>
    </row>
    <row r="436" spans="1:19" x14ac:dyDescent="0.35">
      <c r="A436" s="20"/>
      <c r="C436" s="633" t="s">
        <v>1925</v>
      </c>
      <c r="D436" s="10"/>
      <c r="E436" s="6"/>
      <c r="F436" s="2077">
        <f>ENTRADAS!F750</f>
        <v>2429</v>
      </c>
      <c r="G436" s="2078"/>
      <c r="H436" s="6" t="s">
        <v>570</v>
      </c>
      <c r="Q436" s="16"/>
    </row>
    <row r="437" spans="1:19" x14ac:dyDescent="0.35">
      <c r="A437" s="20"/>
      <c r="C437" s="633" t="s">
        <v>573</v>
      </c>
      <c r="D437" s="10"/>
      <c r="E437" s="6"/>
      <c r="F437" s="2077">
        <f>ENTRADAS!F751</f>
        <v>2429</v>
      </c>
      <c r="G437" s="2078"/>
      <c r="H437" s="6" t="s">
        <v>570</v>
      </c>
      <c r="Q437" s="16"/>
    </row>
    <row r="438" spans="1:19" x14ac:dyDescent="0.35">
      <c r="A438" s="20"/>
      <c r="C438" s="633" t="s">
        <v>574</v>
      </c>
      <c r="D438" s="10"/>
      <c r="E438" s="6"/>
      <c r="F438" s="2077">
        <f>ENTRADAS!F752</f>
        <v>5700</v>
      </c>
      <c r="G438" s="2078"/>
      <c r="H438" s="6" t="s">
        <v>570</v>
      </c>
      <c r="Q438" s="16"/>
    </row>
    <row r="439" spans="1:19" x14ac:dyDescent="0.35">
      <c r="A439" s="20"/>
      <c r="C439" s="633" t="s">
        <v>575</v>
      </c>
      <c r="D439" s="10"/>
      <c r="E439" s="6"/>
      <c r="F439" s="2077">
        <f>ENTRADAS!F753</f>
        <v>4240</v>
      </c>
      <c r="G439" s="2078"/>
      <c r="H439" s="6" t="s">
        <v>570</v>
      </c>
      <c r="Q439" s="16"/>
    </row>
    <row r="440" spans="1:19" x14ac:dyDescent="0.35">
      <c r="A440" s="20"/>
      <c r="C440" s="633" t="s">
        <v>576</v>
      </c>
      <c r="D440" s="10"/>
      <c r="E440" s="6"/>
      <c r="F440" s="2077">
        <f>ENTRADAS!F754</f>
        <v>6471</v>
      </c>
      <c r="G440" s="2078"/>
      <c r="H440" s="6" t="s">
        <v>570</v>
      </c>
      <c r="Q440" s="16"/>
    </row>
    <row r="441" spans="1:19" x14ac:dyDescent="0.35">
      <c r="A441" s="20"/>
      <c r="C441" s="633" t="s">
        <v>1926</v>
      </c>
      <c r="D441" s="10"/>
      <c r="E441" s="6"/>
      <c r="F441" s="2077">
        <f>ENTRADAS!F755</f>
        <v>13500</v>
      </c>
      <c r="G441" s="2078"/>
      <c r="H441" s="6" t="s">
        <v>570</v>
      </c>
      <c r="Q441" s="16"/>
    </row>
    <row r="442" spans="1:19" x14ac:dyDescent="0.35">
      <c r="A442" s="20"/>
      <c r="C442" s="633" t="s">
        <v>578</v>
      </c>
      <c r="D442" s="10"/>
      <c r="E442" s="6"/>
      <c r="F442" s="2077">
        <f>ENTRADAS!F756</f>
        <v>3300</v>
      </c>
      <c r="G442" s="2078"/>
      <c r="H442" s="6" t="s">
        <v>570</v>
      </c>
      <c r="Q442" s="16"/>
    </row>
    <row r="443" spans="1:19" x14ac:dyDescent="0.35">
      <c r="A443" s="20"/>
      <c r="Q443" s="16"/>
    </row>
    <row r="444" spans="1:19" x14ac:dyDescent="0.35">
      <c r="A444" s="20"/>
      <c r="C444" s="627" t="s">
        <v>579</v>
      </c>
      <c r="F444" s="626" t="str">
        <f>ENTRADAS!F758</f>
        <v>x</v>
      </c>
      <c r="G444" s="627" t="s">
        <v>52</v>
      </c>
      <c r="H444" s="626">
        <f>ENTRADAS!H758</f>
        <v>0</v>
      </c>
      <c r="I444" s="627" t="s">
        <v>53</v>
      </c>
      <c r="Q444" s="16"/>
    </row>
    <row r="445" spans="1:19" x14ac:dyDescent="0.35">
      <c r="A445" s="20"/>
      <c r="C445" s="627"/>
      <c r="D445" s="183" t="str">
        <f>IF(F444="x","será considerado 25% para ajuda de custo",IF(H444="X","não será considerado % para ajuda de custo",0))</f>
        <v>será considerado 25% para ajuda de custo</v>
      </c>
      <c r="Q445" s="16"/>
    </row>
    <row r="446" spans="1:19" x14ac:dyDescent="0.35">
      <c r="A446" s="20"/>
      <c r="Q446" s="16"/>
    </row>
    <row r="447" spans="1:19" ht="13.15" x14ac:dyDescent="0.4">
      <c r="A447" s="20"/>
      <c r="C447" s="410" t="s">
        <v>580</v>
      </c>
      <c r="D447" s="411"/>
      <c r="E447" s="411"/>
      <c r="F447" s="411"/>
      <c r="G447" s="411"/>
      <c r="H447" s="411"/>
      <c r="I447" s="411"/>
      <c r="J447" s="10"/>
      <c r="K447" s="10"/>
      <c r="L447" s="409">
        <f>ENTRADAS!L761</f>
        <v>0</v>
      </c>
      <c r="M447" s="412" t="s">
        <v>101</v>
      </c>
      <c r="Q447" s="16"/>
    </row>
    <row r="448" spans="1:19" x14ac:dyDescent="0.35">
      <c r="A448" s="20"/>
      <c r="C448" s="627"/>
      <c r="D448" s="627"/>
      <c r="E448" s="183">
        <f>IF(L447&gt;0,"O prazo acima não incide nos dias produtivos, só na viagem, refeição e estadia",0)</f>
        <v>0</v>
      </c>
      <c r="F448" s="627"/>
      <c r="G448" s="627"/>
      <c r="H448" s="627"/>
      <c r="I448" s="627"/>
      <c r="J448" s="627"/>
      <c r="K448" s="627"/>
      <c r="L448" s="627"/>
      <c r="M448" s="627"/>
      <c r="N448" s="627"/>
      <c r="Q448" s="16"/>
      <c r="S448" s="4"/>
    </row>
    <row r="449" spans="1:17" ht="6.75" customHeight="1" x14ac:dyDescent="0.35">
      <c r="A449" s="20"/>
      <c r="C449" s="627"/>
      <c r="D449" s="627"/>
      <c r="E449" s="183"/>
      <c r="F449" s="627"/>
      <c r="G449" s="627"/>
      <c r="H449" s="627"/>
      <c r="I449" s="627"/>
      <c r="J449" s="627"/>
      <c r="K449" s="627"/>
      <c r="L449" s="627"/>
      <c r="M449" s="627"/>
      <c r="N449" s="761"/>
      <c r="Q449" s="16"/>
    </row>
    <row r="450" spans="1:17" ht="13.15" x14ac:dyDescent="0.4">
      <c r="A450" s="20"/>
      <c r="C450" s="410" t="s">
        <v>581</v>
      </c>
      <c r="D450" s="411"/>
      <c r="E450" s="411"/>
      <c r="F450" s="411"/>
      <c r="G450" s="411"/>
      <c r="H450" s="411"/>
      <c r="I450" s="411"/>
      <c r="J450" s="10"/>
      <c r="K450" s="10"/>
      <c r="L450" s="409">
        <f>ENTRADAS!L764</f>
        <v>0</v>
      </c>
      <c r="M450" s="412" t="s">
        <v>130</v>
      </c>
      <c r="N450" s="761">
        <f ca="1">ROUNDUP(IF(J292&gt;0,(J290+J291+J292+J293+J294+J412+J413+J414+J415+J362+J363+J364)*L450/100,(J290+J291+J292+J293+J294+J412+J413+J414+J415+J362+J363+J364)*L450/100),0)</f>
        <v>0</v>
      </c>
      <c r="O450">
        <f ca="1">IF(N450=0,0,"dias a mais")</f>
        <v>0</v>
      </c>
      <c r="Q450" s="16"/>
    </row>
    <row r="451" spans="1:17" ht="3.75" customHeight="1" x14ac:dyDescent="0.35">
      <c r="A451" s="20"/>
      <c r="Q451" s="16"/>
    </row>
    <row r="452" spans="1:17" x14ac:dyDescent="0.35">
      <c r="A452" s="20"/>
      <c r="C452" t="s">
        <v>1927</v>
      </c>
      <c r="G452" s="626">
        <f>ENTRADAS!G766</f>
        <v>0</v>
      </c>
      <c r="H452" s="627" t="s">
        <v>52</v>
      </c>
      <c r="I452" s="626">
        <f>ENTRADAS!I766</f>
        <v>0</v>
      </c>
      <c r="J452" s="627" t="s">
        <v>53</v>
      </c>
      <c r="Q452" s="16"/>
    </row>
    <row r="453" spans="1:17" x14ac:dyDescent="0.35">
      <c r="A453" s="20"/>
      <c r="C453">
        <f>IF(G452="X","GRANDE VITÓRIA ( considerar carro de apoio ?)",0)</f>
        <v>0</v>
      </c>
      <c r="G453" s="626">
        <f>ENTRADAS!G767</f>
        <v>0</v>
      </c>
      <c r="H453" s="627">
        <f>IF(G452="X","SIM",0)</f>
        <v>0</v>
      </c>
      <c r="I453" s="626">
        <f>ENTRADAS!I767</f>
        <v>0</v>
      </c>
      <c r="J453" s="627">
        <f>IF(G452="X","NÃO",0)</f>
        <v>0</v>
      </c>
      <c r="Q453" s="16"/>
    </row>
    <row r="454" spans="1:17" ht="4.5" customHeight="1" x14ac:dyDescent="0.35">
      <c r="A454" s="20"/>
      <c r="Q454" s="16"/>
    </row>
    <row r="455" spans="1:17" x14ac:dyDescent="0.35">
      <c r="A455" s="20"/>
      <c r="C455" s="627" t="str">
        <f>IF(G452="X",0,"PERCURSO DA  EQUIPE ( km ) casa x alojamento")</f>
        <v>PERCURSO DA  EQUIPE ( km ) casa x alojamento</v>
      </c>
      <c r="G455" s="7">
        <f>ENTRADAS!G769</f>
        <v>1000</v>
      </c>
      <c r="H455" t="str">
        <f>IF(G452="X",0,"km")</f>
        <v>km</v>
      </c>
      <c r="Q455" s="16"/>
    </row>
    <row r="456" spans="1:17" x14ac:dyDescent="0.35">
      <c r="A456" s="20"/>
      <c r="C456" s="627" t="str">
        <f>IF(G452="X",0,"PERCURSO DA  EQUIPE ( km ) alojamento x obra")</f>
        <v>PERCURSO DA  EQUIPE ( km ) alojamento x obra</v>
      </c>
      <c r="F456" s="16"/>
      <c r="G456" s="7">
        <f>ENTRADAS!G770</f>
        <v>20</v>
      </c>
      <c r="H456" t="str">
        <f>IF(G452="X",0,"km")</f>
        <v>km</v>
      </c>
      <c r="Q456" s="16"/>
    </row>
    <row r="457" spans="1:17" ht="6.75" customHeight="1" x14ac:dyDescent="0.35">
      <c r="A457" s="20"/>
      <c r="C457" s="627"/>
      <c r="Q457" s="16"/>
    </row>
    <row r="458" spans="1:17" x14ac:dyDescent="0.35">
      <c r="A458" s="20"/>
      <c r="C458" s="627" t="str">
        <f>IF(G452="X",0,"CONSIDERAR ALOJAMENTO nos DIAS de FOLGA ?")</f>
        <v>CONSIDERAR ALOJAMENTO nos DIAS de FOLGA ?</v>
      </c>
      <c r="G458" s="626" t="str">
        <f>ENTRADAS!G772</f>
        <v>x</v>
      </c>
      <c r="H458" s="627" t="str">
        <f>IF(G452="X",0,"SIM")</f>
        <v>SIM</v>
      </c>
      <c r="I458" s="626">
        <f>ENTRADAS!I772</f>
        <v>0</v>
      </c>
      <c r="J458" s="627" t="str">
        <f>IF(G452="X",0,"NÃO")</f>
        <v>NÃO</v>
      </c>
      <c r="Q458" s="16"/>
    </row>
    <row r="459" spans="1:17" ht="5.25" customHeight="1" x14ac:dyDescent="0.35">
      <c r="A459" s="20"/>
      <c r="C459" s="627"/>
      <c r="Q459" s="16"/>
    </row>
    <row r="460" spans="1:17" x14ac:dyDescent="0.35">
      <c r="A460" s="20"/>
      <c r="C460" s="1337" t="str">
        <f>IF(G452="X",0,"TIPO DA VIAGEM DA EQUIPE:")</f>
        <v>TIPO DA VIAGEM DA EQUIPE:</v>
      </c>
      <c r="D460" s="2070"/>
      <c r="E460" s="2070"/>
      <c r="F460" s="1428" t="s">
        <v>583</v>
      </c>
      <c r="G460" s="1427"/>
      <c r="H460" s="1427" t="s">
        <v>584</v>
      </c>
      <c r="I460" s="1427"/>
      <c r="Q460" s="16"/>
    </row>
    <row r="461" spans="1:17" x14ac:dyDescent="0.35">
      <c r="A461" s="20"/>
      <c r="C461" s="633" t="str">
        <f>IF(G452="X",0,"CARRO")</f>
        <v>CARRO</v>
      </c>
      <c r="D461" s="413">
        <v>7</v>
      </c>
      <c r="E461" s="629" t="str">
        <f>IF(G452="X",0,"lugares")</f>
        <v>lugares</v>
      </c>
      <c r="F461" s="1428" t="s">
        <v>35</v>
      </c>
      <c r="G461" s="1427"/>
      <c r="H461" s="1427" t="s">
        <v>10</v>
      </c>
      <c r="I461" s="1427"/>
      <c r="K461">
        <f>IF(G461="x",1,0)</f>
        <v>0</v>
      </c>
      <c r="Q461" s="16"/>
    </row>
    <row r="462" spans="1:17" x14ac:dyDescent="0.35">
      <c r="A462" s="20"/>
      <c r="C462" s="633" t="str">
        <f>IF(G452="X",0,"VAN")</f>
        <v>VAN</v>
      </c>
      <c r="D462" s="413">
        <v>12</v>
      </c>
      <c r="E462" s="629" t="str">
        <f>IF(G452="X",0,"lugares")</f>
        <v>lugares</v>
      </c>
      <c r="F462" s="1428" t="s">
        <v>10</v>
      </c>
      <c r="G462" s="1427"/>
      <c r="H462" s="1427" t="s">
        <v>10</v>
      </c>
      <c r="I462" s="1427"/>
      <c r="Q462" s="16"/>
    </row>
    <row r="463" spans="1:17" x14ac:dyDescent="0.35">
      <c r="A463" s="20"/>
      <c r="C463" s="9" t="str">
        <f>IF(G452="X",0,"ÔNIBUS")</f>
        <v>ÔNIBUS</v>
      </c>
      <c r="D463" s="10"/>
      <c r="E463" s="6"/>
      <c r="F463" s="1428" t="s">
        <v>10</v>
      </c>
      <c r="G463" s="1427"/>
      <c r="H463" s="1427" t="s">
        <v>10</v>
      </c>
      <c r="I463" s="1427"/>
      <c r="Q463" s="16"/>
    </row>
    <row r="464" spans="1:17" x14ac:dyDescent="0.35">
      <c r="A464" s="20"/>
      <c r="C464" s="9" t="str">
        <f>IF(G452="X",0,"AVIÃO")</f>
        <v>AVIÃO</v>
      </c>
      <c r="D464" s="10"/>
      <c r="E464" s="6"/>
      <c r="F464" s="1428" t="s">
        <v>10</v>
      </c>
      <c r="G464" s="1427"/>
      <c r="H464" s="1427" t="s">
        <v>10</v>
      </c>
      <c r="I464" s="1427"/>
      <c r="Q464" s="16"/>
    </row>
    <row r="465" spans="1:19" x14ac:dyDescent="0.35">
      <c r="A465" s="20"/>
      <c r="G465" s="627"/>
      <c r="Q465" s="16"/>
      <c r="S465" s="627"/>
    </row>
    <row r="466" spans="1:19" x14ac:dyDescent="0.35">
      <c r="A466" s="20"/>
      <c r="C466" s="627" t="str">
        <f>IF(G452="X",0,"CICLO DA VIAGEM CASA x ALOJAMENTO ----------------------------")</f>
        <v>CICLO DA VIAGEM CASA x ALOJAMENTO ----------------------------</v>
      </c>
      <c r="H466" s="7">
        <f>ENTRADAS!H780</f>
        <v>60</v>
      </c>
      <c r="I466" t="str">
        <f>IF(G452="X",0,"dias")</f>
        <v>dias</v>
      </c>
      <c r="Q466" s="16"/>
      <c r="S466" s="627"/>
    </row>
    <row r="467" spans="1:19" ht="9" customHeight="1" x14ac:dyDescent="0.35">
      <c r="A467" s="20"/>
      <c r="C467" s="627"/>
      <c r="Q467" s="16"/>
      <c r="S467" s="627"/>
    </row>
    <row r="468" spans="1:19" x14ac:dyDescent="0.35">
      <c r="A468" s="20"/>
      <c r="C468" s="627" t="str">
        <f>IF(G452="X",0,"FOLGA ( marcar 'X' na opção desejada ):")</f>
        <v>FOLGA ( marcar 'X' na opção desejada ):</v>
      </c>
      <c r="Q468" s="16"/>
      <c r="S468" s="627"/>
    </row>
    <row r="469" spans="1:19" ht="3.75" customHeight="1" x14ac:dyDescent="0.35">
      <c r="A469" s="20"/>
      <c r="C469" s="627"/>
      <c r="Q469" s="16"/>
      <c r="S469" s="627"/>
    </row>
    <row r="470" spans="1:19" x14ac:dyDescent="0.35">
      <c r="A470" s="20"/>
      <c r="C470" s="626">
        <f>ENTRADAS!C784</f>
        <v>0</v>
      </c>
      <c r="D470" s="627" t="str">
        <f>IF(G452="X",0,"sem folga ( acabar e ir embora )")</f>
        <v>sem folga ( acabar e ir embora )</v>
      </c>
      <c r="G470" s="626">
        <f>ENTRADAS!G784</f>
        <v>0</v>
      </c>
      <c r="H470" s="627" t="str">
        <f>IF(G452="X",0,"1 útil + sábado/domingo")</f>
        <v>1 útil + sábado/domingo</v>
      </c>
      <c r="M470" s="627"/>
      <c r="Q470" s="16"/>
      <c r="S470" s="627"/>
    </row>
    <row r="471" spans="1:19" ht="4.5" customHeight="1" x14ac:dyDescent="0.35">
      <c r="A471" s="20"/>
      <c r="C471" s="627"/>
      <c r="Q471" s="16"/>
      <c r="S471" s="627"/>
    </row>
    <row r="472" spans="1:19" x14ac:dyDescent="0.35">
      <c r="A472" s="20"/>
      <c r="C472" s="626">
        <f>ENTRADAS!C786</f>
        <v>0</v>
      </c>
      <c r="D472" s="627" t="str">
        <f>IF(G452="X",0,"2 dias úteis + sábado/domingo")</f>
        <v>2 dias úteis + sábado/domingo</v>
      </c>
      <c r="G472" s="626" t="str">
        <f>ENTRADAS!G786</f>
        <v>x</v>
      </c>
      <c r="H472" s="627" t="str">
        <f>IF(G452="X",0,"3 dias úteis + sábado/domingo ")</f>
        <v xml:space="preserve">3 dias úteis + sábado/domingo </v>
      </c>
      <c r="Q472" s="16"/>
      <c r="S472" s="627"/>
    </row>
    <row r="473" spans="1:19" hidden="1" x14ac:dyDescent="0.35">
      <c r="A473" s="20"/>
      <c r="C473" s="627"/>
      <c r="Q473" s="16"/>
      <c r="S473" s="627"/>
    </row>
    <row r="474" spans="1:19" ht="18" customHeight="1" x14ac:dyDescent="0.35">
      <c r="A474" s="20"/>
      <c r="C474" s="627" t="s">
        <v>590</v>
      </c>
      <c r="H474" s="31">
        <f>IF(C470="X",0,IF(G470="X",3,IF(C472="X",4,IF(G472="X",5,0))))</f>
        <v>5</v>
      </c>
      <c r="Q474" s="16"/>
    </row>
    <row r="475" spans="1:19" x14ac:dyDescent="0.35">
      <c r="A475" s="20"/>
      <c r="C475" s="627"/>
      <c r="Q475" s="16"/>
    </row>
    <row r="476" spans="1:19" x14ac:dyDescent="0.35">
      <c r="A476" s="20"/>
      <c r="C476" s="627" t="str">
        <f>IF(G452="X",0,"Percurso MÁX. a rodar por dia  e descansar ( CARRO E VAN )---")</f>
        <v>Percurso MÁX. a rodar por dia  e descansar ( CARRO E VAN )---</v>
      </c>
      <c r="H476" s="7">
        <f>IF(G452="X",0,ENTRADAS!H790)</f>
        <v>1000</v>
      </c>
      <c r="I476" s="627" t="str">
        <f>IF(G452="X",0,"km rodados")</f>
        <v>km rodados</v>
      </c>
      <c r="Q476" s="16"/>
    </row>
    <row r="477" spans="1:19" x14ac:dyDescent="0.35">
      <c r="A477" s="20"/>
      <c r="C477" s="627"/>
      <c r="L477" s="627" t="s">
        <v>1928</v>
      </c>
      <c r="N477" s="627" t="s">
        <v>1929</v>
      </c>
      <c r="Q477" s="16"/>
    </row>
    <row r="478" spans="1:19" x14ac:dyDescent="0.35">
      <c r="A478" s="20"/>
      <c r="C478" s="627" t="s">
        <v>213</v>
      </c>
      <c r="L478" s="7">
        <f>IF(ENTRADAS!L797&gt;0,ENTRADAS!L797,ENTRADAS!N797)</f>
        <v>25</v>
      </c>
      <c r="M478" s="627" t="s">
        <v>130</v>
      </c>
      <c r="N478" s="7">
        <f>IF(ENTRADAS!N797="X",0,ENTRADAS!N797)</f>
        <v>0</v>
      </c>
      <c r="O478" s="627" t="s">
        <v>130</v>
      </c>
      <c r="Q478" s="16"/>
      <c r="S478" s="627"/>
    </row>
    <row r="479" spans="1:19" x14ac:dyDescent="0.35">
      <c r="A479" s="20"/>
      <c r="C479" s="627"/>
      <c r="Q479" s="16"/>
      <c r="S479" s="627" t="str">
        <f>IF(AND(F433&gt;0,ENTRADAS!C838=1),IF(G452="X",0,IF(F461="x","Carro comum   ( viagem casa x alojamento x casa)"&amp;"     "&amp;ROUNDUP(((SUM(C426:C431)-F433)*C423/D461),0)&amp;"   veículos",0)),IF(G452="X",0,IF(F461="x","Carro comum   ( viagem casa x alojamento x casa)"&amp;"     "&amp;ROUNDUP((SUM(C426:C431)*C423/D461),0)&amp;"   veículos",0)))</f>
        <v>Carro comum   ( viagem casa x alojamento x casa)     2   veículos</v>
      </c>
    </row>
    <row r="480" spans="1:19" x14ac:dyDescent="0.35">
      <c r="A480" s="20"/>
      <c r="C480" s="627" t="s">
        <v>216</v>
      </c>
      <c r="L480" s="7">
        <f>ENTRADAS!L799</f>
        <v>60</v>
      </c>
      <c r="M480" s="627" t="s">
        <v>130</v>
      </c>
      <c r="Q480" s="16"/>
      <c r="S480" s="627"/>
    </row>
    <row r="481" spans="1:21" ht="6.75" customHeight="1" x14ac:dyDescent="0.35">
      <c r="A481" s="20"/>
      <c r="C481" s="627"/>
      <c r="Q481" s="16"/>
      <c r="S481" s="627"/>
    </row>
    <row r="482" spans="1:21" x14ac:dyDescent="0.35">
      <c r="A482" s="20"/>
      <c r="C482" s="627"/>
      <c r="D482" s="633">
        <f>IF(N482=0,0,"PASSAGEM DE ÔNIBUS NA GRANDE VITÓRIA")</f>
        <v>0</v>
      </c>
      <c r="E482" s="10"/>
      <c r="F482" s="10"/>
      <c r="G482" s="10"/>
      <c r="H482" s="10"/>
      <c r="I482" s="10"/>
      <c r="J482" s="10"/>
      <c r="K482" s="10"/>
      <c r="L482" s="10"/>
      <c r="M482" s="6"/>
      <c r="N482" s="414">
        <f>IF(G452="X",L531*2*SUM(C426:C431)*C423,0)</f>
        <v>0</v>
      </c>
      <c r="O482" s="6">
        <f>IF(G452="X","passagens",0)</f>
        <v>0</v>
      </c>
      <c r="Q482" s="16"/>
      <c r="S482" s="627"/>
    </row>
    <row r="483" spans="1:21" ht="8.25" customHeight="1" x14ac:dyDescent="0.35">
      <c r="A483" s="20"/>
      <c r="C483" s="627"/>
      <c r="Q483" s="16"/>
      <c r="S483" s="627"/>
    </row>
    <row r="484" spans="1:21" x14ac:dyDescent="0.35">
      <c r="A484" s="20"/>
      <c r="C484" s="627"/>
      <c r="D484" s="633">
        <f>IF(N484=0,0,"CARRO DE APOIO À OBRA, na grande Vitória")</f>
        <v>0</v>
      </c>
      <c r="E484" s="10"/>
      <c r="F484" s="10"/>
      <c r="G484" s="10"/>
      <c r="H484" s="10"/>
      <c r="I484" s="10"/>
      <c r="J484" s="10"/>
      <c r="K484" s="10"/>
      <c r="L484" s="10"/>
      <c r="M484" s="6"/>
      <c r="N484" s="9">
        <f>IF(G453="X",L536,0)</f>
        <v>0</v>
      </c>
      <c r="O484" s="6">
        <f>IF(G453="X","dias",0)</f>
        <v>0</v>
      </c>
      <c r="Q484" s="16"/>
      <c r="S484" s="627"/>
    </row>
    <row r="485" spans="1:21" ht="8.25" customHeight="1" x14ac:dyDescent="0.35">
      <c r="A485" s="20"/>
      <c r="C485" s="627"/>
      <c r="Q485" s="16"/>
      <c r="S485" s="627"/>
    </row>
    <row r="486" spans="1:21" x14ac:dyDescent="0.35">
      <c r="A486" s="20"/>
      <c r="C486" s="633"/>
      <c r="D486" s="646" t="str">
        <f>IF(G452="X",0,"VIAGEM DE CASA X ALOJAMENTO ( IDA E VOLTA )")</f>
        <v>VIAGEM DE CASA X ALOJAMENTO ( IDA E VOLTA )</v>
      </c>
      <c r="E486" s="10"/>
      <c r="F486" s="10"/>
      <c r="G486" s="10"/>
      <c r="H486" s="10"/>
      <c r="I486" s="409">
        <f>G455*2</f>
        <v>2000</v>
      </c>
      <c r="J486" s="646" t="str">
        <f>IF(G452="X",0,"km")</f>
        <v>km</v>
      </c>
      <c r="K486" s="10"/>
      <c r="L486" s="646" t="str">
        <f>IF(G452="X",0,"MARCAR 'X'")</f>
        <v>MARCAR 'X'</v>
      </c>
      <c r="M486" s="10"/>
      <c r="N486" s="10"/>
      <c r="O486" s="6"/>
      <c r="Q486" s="16"/>
      <c r="S486" s="627"/>
    </row>
    <row r="487" spans="1:21" ht="12.75" customHeight="1" x14ac:dyDescent="0.35">
      <c r="A487" s="20"/>
      <c r="B487" s="1538">
        <f>IF(C487="x",1,0)</f>
        <v>1</v>
      </c>
      <c r="C487" s="1421" t="str">
        <f>ENTRADAS!C808</f>
        <v>x</v>
      </c>
      <c r="D487" s="636" t="str">
        <f>IF(G452="X",0,IF(F461="x","Carro comum   ( viagem casa x alojamento x casa)"&amp;"     "&amp;ROUNDUP((SUM(C426:C431)*C423/D461),0)&amp;"   veículos",0))</f>
        <v>Carro comum   ( viagem casa x alojamento x casa)     2   veículos</v>
      </c>
      <c r="E487" s="652"/>
      <c r="F487" s="1122"/>
      <c r="G487" s="14"/>
      <c r="H487" s="652"/>
      <c r="I487" s="652"/>
      <c r="J487" s="14" t="str">
        <f ca="1">IF(H466=0,0,IF(F461="x","( percorrendo total= "&amp;IF(F461="x",G455*2*ROUNDUP((SUM(C426:C431)*C423/D461),0)*ROUNDUP((O531)/H466,0),0)&amp;" km)",0))</f>
        <v>( percorrendo total= 8000 km)</v>
      </c>
      <c r="K487" s="415"/>
      <c r="L487" s="652"/>
      <c r="M487" s="1123"/>
      <c r="N487" s="1423">
        <f ca="1">IF(I11=0,0,IF(H466/(O531+L447)&gt;=1,P487,Q487))</f>
        <v>18</v>
      </c>
      <c r="O487" s="1124" t="str">
        <f>IF(G452="X",0,IF(G455&lt;=H476,"dias (sem","dias (c/"))</f>
        <v>dias (sem</v>
      </c>
      <c r="P487" s="627">
        <f ca="1">IF(H466=0,0,IF(F433=0,(IF(F461="x",(ROUNDDOWN((O531+L447)/H466,0)*H474*ROUNDUP((SUM(C426:C431)*C423/D461),0))+(ROUNDUP(ROUNDUP((SUM(C426:C431)*C423/D461),0),0))*(ROUNDUP(ROUNDUP(G455/H476,0)*1,0))*2,0)),(IF(F461="x",(ROUNDDOWN((O531+L447)/H466,0)*H474*ROUNDUP(((SUM(C426:C431)-C431)*C423/D461),0))+(ROUNDUP(ROUNDUP(((SUM(C426:C431)-C431)*C423/D461),0),0))*(ROUNDUP(ROUNDUP(G455/H476,0)*1,0))*2,0))))</f>
        <v>14</v>
      </c>
      <c r="Q487" s="719">
        <f ca="1">IF(H466=0,0,IF(F433=0,(IF(F461="x",(ROUNDUP(ROUNDUP(G455/H476,0)*ROUNDUP((SUM(C426:C431)*C423/D461),0)*ROUNDDOWN((O531+L447)/H466,0),0))*2+(ROUNDDOWN((O531+L447)/H466,0)*H474*ROUNDUP((SUM(C426:C431)*C423/D461),0))+(ROUNDUP(ROUNDUP((SUM(C426:C431)*C423/D461),0),0))*(ROUNDUP(ROUNDUP(G455/H476,0)*1,0))*2,0)),(IF(F461="x",(ROUNDUP(ROUNDUP(G455/H476,0)*ROUNDUP(((SUM(C426:C431)-C431)*C423/D461),0)*ROUNDDOWN((O531+L447)/H466,0),0))*2+(ROUNDDOWN((O531+L447)/H466,0)*H474*ROUNDUP(((SUM(C426:C431)-C431)*C423/D461),0))+(ROUNDUP(ROUNDUP(((SUM(C426:C431)-C431)*C423/D461),0),0))*(ROUNDUP(ROUNDUP(G455/H476,0)*1,0))*2,0))))</f>
        <v>18</v>
      </c>
      <c r="S487" s="627"/>
    </row>
    <row r="488" spans="1:21" x14ac:dyDescent="0.35">
      <c r="A488" s="20"/>
      <c r="B488" s="1538"/>
      <c r="C488" s="1422"/>
      <c r="D488" s="637" t="str">
        <f ca="1">IF(I486=0,0,IF(H466/(O531+L447)&gt;=1,P488,Q488))</f>
        <v>2 veículos fazem 2 viagens de ida com 1000 km   e 2 viagens de volta 1000 km   mais 1 folgas de 5 dias</v>
      </c>
      <c r="E488" s="749"/>
      <c r="F488" s="1125"/>
      <c r="G488" s="3"/>
      <c r="H488" s="749"/>
      <c r="I488" s="749"/>
      <c r="J488" s="3"/>
      <c r="K488" s="416"/>
      <c r="L488" s="749"/>
      <c r="M488" s="1127"/>
      <c r="N488" s="1424"/>
      <c r="O488" s="994" t="str">
        <f>IF(G452="X",0,IF(G455&lt;=H476,"descanso)","descanso"))</f>
        <v>descanso)</v>
      </c>
      <c r="P488" s="627" t="str">
        <f ca="1">IF(H466=0,0,IF(F461="x",ROUNDUP((SUM(C426:C431)*C423/D461),0)&amp;" veículos fazem "&amp;ROUNDUP((O531)/H466,0)&amp;" "&amp;"viagens de ida com "&amp;G455&amp;" km   e "&amp;ROUNDUP((O531)/H466,0)&amp;" "&amp;"viagens de volta "&amp;G455&amp;" km "&amp;"  somente mob. e desmob. ",0))</f>
        <v xml:space="preserve">2 veículos fazem 2 viagens de ida com 1000 km   e 2 viagens de volta 1000 km   somente mob. e desmob. </v>
      </c>
      <c r="Q488" s="719" t="str">
        <f ca="1">IF(H466=0,0,IF(F461="x",ROUNDUP((SUM(C426:C431)*C423/D461),0)&amp;" veículos fazem "&amp;ROUNDUP((O531)/H466,0)&amp;" "&amp;"viagens de ida com "&amp;G455&amp;" km   e "&amp;ROUNDUP((O531)/H466,0)&amp;" "&amp;"viagens de volta "&amp;G455&amp;" km "&amp;"  mais "&amp;J523&amp;" folgas de "&amp;H474&amp;" dias",0))</f>
        <v>2 veículos fazem 2 viagens de ida com 1000 km   e 2 viagens de volta 1000 km   mais 1 folgas de 5 dias</v>
      </c>
    </row>
    <row r="489" spans="1:21" ht="12.75" customHeight="1" x14ac:dyDescent="0.35">
      <c r="A489" s="20"/>
      <c r="B489" s="1538">
        <f>IF(C489="x",1,0)</f>
        <v>0</v>
      </c>
      <c r="C489" s="1421">
        <f>ENTRADAS!C810</f>
        <v>0</v>
      </c>
      <c r="D489" s="636" t="str">
        <f>IF(G452="X",0,IF(F462="x",IF(F462="x","    VAN   "&amp;D462&amp;" lugares ( viagem casa x alojamento x casa)"&amp;"   "&amp;ROUNDUP((SUM(C426:C431)*C423/D462),0)&amp;" veículo",0),0))</f>
        <v xml:space="preserve">    VAN   12 lugares ( viagem casa x alojamento x casa)   2 veículo</v>
      </c>
      <c r="E489" s="652"/>
      <c r="F489" s="1122"/>
      <c r="G489" s="14"/>
      <c r="H489" s="652"/>
      <c r="I489" s="652"/>
      <c r="J489" s="14" t="str">
        <f ca="1">IF(H466=0,0,IF(F462="x","( percorrendo total= "&amp;IF(F462="x",G455*2*ROUNDUP((SUM(C426:C431)*C423/12),0)*ROUNDUP((O531)/H466,0),0)&amp;" km)",0))</f>
        <v>( percorrendo total= 8000 km)</v>
      </c>
      <c r="K489" s="415"/>
      <c r="L489" s="652"/>
      <c r="M489" s="1123"/>
      <c r="N489" s="1423">
        <f ca="1">IF(I11=0,0,IF(H466/(O531+L447)&gt;=1,P489,Q489))</f>
        <v>18</v>
      </c>
      <c r="O489" s="1124" t="str">
        <f>IF(G452="X",0,IF(G455&lt;=H476,"dias (sem","dias (c/"))</f>
        <v>dias (sem</v>
      </c>
      <c r="P489" s="195">
        <f ca="1">IF(H466=0,0,IF(F433=0,(IF(F461="x",(ROUNDDOWN((O531+L447)/H466,0)*H474*ROUNDUP((SUM(C426:C431)*C423/D462),0))+(ROUNDUP(ROUNDUP((SUM(C426:C431)*C423/D462),0),0))*(ROUNDUP(ROUNDUP(G455/H476,0)*1,0))*2,0)),(IF(F461="x",(ROUNDDOWN((O531+L447)/H466,0)*H474*ROUNDUP(((SUM(C426:C431)-C431)*C423/D462),0))+(ROUNDUP(ROUNDUP(((SUM(C426:C431)-C431)*C423/D462),0),0))*(ROUNDUP(ROUNDUP(G455/H476,0)*1,0))*2,0))))</f>
        <v>14</v>
      </c>
      <c r="Q489" s="205">
        <f ca="1">IF(H466=0,0,IF(F433=0,(IF(F461="x",(ROUNDUP(ROUNDUP(G455/H476,0)*ROUNDUP((SUM(C426:C431)*C423/D462),0)*ROUNDDOWN((O531+L447)/H466,0),0))*2+(ROUNDDOWN((O531+L447)/H466,0)*H474*ROUNDUP((SUM(C426:C431)*C423/D462),0))+(ROUNDUP(ROUNDUP((SUM(C426:C431)*C423/D462),0),0))*(ROUNDUP(ROUNDUP(G455/H476,0)*1,0))*2,0)),(IF(F461="x",(ROUNDUP(ROUNDUP(G455/H476,0)*ROUNDUP(((SUM(C426:C431)-C431)*C423/D462),0)*ROUNDDOWN((O531+L447)/H466,0),0))*2+(ROUNDDOWN((O531+L447)/H466,0)*H474*ROUNDUP(((SUM(C426:C431)-C431)*C423/D462),0))+(ROUNDUP(ROUNDUP(((SUM(C426:C431)-C431)*C423/D462),0),0))*(ROUNDUP(ROUNDUP(G455/H476,0)*1,0))*2,0))))</f>
        <v>18</v>
      </c>
    </row>
    <row r="490" spans="1:21" x14ac:dyDescent="0.35">
      <c r="A490" s="20"/>
      <c r="B490" s="1538"/>
      <c r="C490" s="1422"/>
      <c r="D490" s="637" t="str">
        <f ca="1">IF(I486=0,0,IF(H466/(O531+L447)&gt;=1,P490,Q490))</f>
        <v>2 veículos fazem 2 viagens de ida com 1000 km   e 2 viagens de volta 1000 km   mais 1 folgas de 5 dias</v>
      </c>
      <c r="E490" s="749"/>
      <c r="F490" s="1125"/>
      <c r="G490" s="3"/>
      <c r="H490" s="749"/>
      <c r="I490" s="749"/>
      <c r="J490" s="3"/>
      <c r="K490" s="416"/>
      <c r="L490" s="749"/>
      <c r="M490" s="1127"/>
      <c r="N490" s="1424"/>
      <c r="O490" s="994" t="str">
        <f>IF(G452="X",0,IF(G455&lt;=H476,"descanso)","descanso"))</f>
        <v>descanso)</v>
      </c>
      <c r="P490" s="195" t="str">
        <f ca="1">IF(H466=0,0,IF(F461="x",ROUNDUP((SUM(C426:C431)*C423/D462),0)&amp;" veículos fazem "&amp;ROUNDUP((O531)/H466,0)&amp;" "&amp;"viagens de ida com "&amp;G455&amp;" km   e "&amp;ROUNDUP((O531)/H466,0)&amp;" "&amp;"viagens de volta "&amp;G455&amp;" km "&amp;"  somente mob. e desmob. ",0))</f>
        <v xml:space="preserve">2 veículos fazem 2 viagens de ida com 1000 km   e 2 viagens de volta 1000 km   somente mob. e desmob. </v>
      </c>
      <c r="Q490" s="205" t="str">
        <f ca="1">IF(H466=0,0,IF(F461="x",ROUNDUP((SUM(C426:C431)*C423/D462),0)&amp;" veículos fazem "&amp;ROUNDUP((O531)/H466,0)&amp;" "&amp;"viagens de ida com "&amp;G455&amp;" km   e "&amp;ROUNDUP((O531)/H466,0)&amp;" "&amp;"viagens de volta "&amp;G455&amp;" km "&amp;"  mais "&amp;J523&amp;" folgas de "&amp;H474&amp;" dias",0))</f>
        <v>2 veículos fazem 2 viagens de ida com 1000 km   e 2 viagens de volta 1000 km   mais 1 folgas de 5 dias</v>
      </c>
    </row>
    <row r="491" spans="1:21" x14ac:dyDescent="0.35">
      <c r="A491" s="20"/>
      <c r="B491">
        <f>IF(C491="x",1,0)</f>
        <v>0</v>
      </c>
      <c r="C491" s="626">
        <f>ENTRADAS!C812</f>
        <v>0</v>
      </c>
      <c r="D491" s="727" t="str">
        <f>IF(G452="X",0,IF(F463="x",IF(F463="x","ÔNIBUS comercial ( casa x alojamento x casa - ida e volta )",0),0))</f>
        <v>ÔNIBUS comercial ( casa x alojamento x casa - ida e volta )</v>
      </c>
      <c r="E491" s="995"/>
      <c r="F491" s="1128"/>
      <c r="G491" s="35"/>
      <c r="H491" s="995"/>
      <c r="I491" s="995"/>
      <c r="J491" s="35" t="str">
        <f ca="1">IF(H466=0,0,IF(D491=0,0,"( percorrendo total= "&amp;IF(F463="x",G455*2*ROUNDUP((SUM(C426:C431)*C423/40),0)*ROUNDUP((O531)/H466,0),0)&amp;" km)"))</f>
        <v>( percorrendo total= 4000 km)</v>
      </c>
      <c r="K491" s="417"/>
      <c r="L491" s="995"/>
      <c r="M491" s="1130"/>
      <c r="N491" s="1131">
        <f ca="1">IF(G452="X",0,IF(I11=0,0,IF(J523=0,P491,Q491)))</f>
        <v>26</v>
      </c>
      <c r="O491" s="1132" t="str">
        <f>IF(G452="X",0,"passagens")</f>
        <v>passagens</v>
      </c>
      <c r="P491" s="195">
        <f ca="1">IF(I11=0,0,IF(F433=0,IF(F463="x",ROUNDUP((SUM(C426:C431)*C423*1),0),0),IF(F463="x",ROUNDUP(((SUM(C426:C431)-C431)*C423*1),0),0)))</f>
        <v>13</v>
      </c>
      <c r="Q491" s="205">
        <f ca="1">IF(I11=0,0,IF(F433=0,IF(F463="x",ROUNDUP((SUM(C426:C431)*C423*1),0)+ROUNDUP((SUM(C426:C431)*C423*J523),0),0),IF(F463="x",ROUNDUP(((SUM(C426:C431)-C431)*C423*1),0)+ROUNDUP((SUM(C426:C431)*C423*J523),0),0)))</f>
        <v>26</v>
      </c>
    </row>
    <row r="492" spans="1:21" x14ac:dyDescent="0.35">
      <c r="A492" s="20"/>
      <c r="B492">
        <f>IF(C492="x",1,0)</f>
        <v>0</v>
      </c>
      <c r="C492" s="626">
        <f>ENTRADAS!C813</f>
        <v>0</v>
      </c>
      <c r="D492" s="727" t="str">
        <f>IF(G452="X",0,IF(F464="x",IF(F464="x","AVIÃO comercial ( casa x alojamento x casa - ida e volta )",0),0))</f>
        <v>AVIÃO comercial ( casa x alojamento x casa - ida e volta )</v>
      </c>
      <c r="E492" s="995"/>
      <c r="F492" s="1128"/>
      <c r="G492" s="35"/>
      <c r="H492" s="995"/>
      <c r="I492" s="995"/>
      <c r="J492" s="35"/>
      <c r="K492" s="417"/>
      <c r="L492" s="995"/>
      <c r="M492" s="1130"/>
      <c r="N492" s="1131">
        <f ca="1">IF(G452="X",0,IF(I11=0,0,IF(J523=0,P492,Q492)))</f>
        <v>26</v>
      </c>
      <c r="O492" s="1132" t="str">
        <f>IF(G452="X",0,"passagens")</f>
        <v>passagens</v>
      </c>
      <c r="P492" s="195">
        <f ca="1">IF(I11=0,0,IF(F433=0,IF(F464="x",ROUNDUP((SUM(C426:C431)*C423*1),0),0),IF(F464="x",ROUNDUP(((SUM(C426:C431)-C431)*C423*1),0),0)))</f>
        <v>13</v>
      </c>
      <c r="Q492" s="205">
        <f ca="1">IF(I11=0,0,IF(F433=0,IF(F464="x",ROUNDUP((SUM(C426:C431)*C423*1),0)+ROUNDUP((SUM(C426:C431)*C423*J523),0),0),IF(F464="x",ROUNDUP(((SUM(C426:C431)-C431)*C423*1),0)+ROUNDUP((SUM(C426:C431)*C423*J523),0),0)))</f>
        <v>26</v>
      </c>
    </row>
    <row r="493" spans="1:21" x14ac:dyDescent="0.35">
      <c r="A493" s="20"/>
      <c r="C493" s="627"/>
      <c r="Q493" s="16"/>
    </row>
    <row r="494" spans="1:21" x14ac:dyDescent="0.35">
      <c r="A494" s="20"/>
      <c r="C494" s="633"/>
      <c r="D494" s="646" t="str">
        <f>IF(G452="X",0,"VIAGEM DE ALOJAMENTO X OBRA X ALOJAMENTO ( IDA E VOLTA )")</f>
        <v>VIAGEM DE ALOJAMENTO X OBRA X ALOJAMENTO ( IDA E VOLTA )</v>
      </c>
      <c r="E494" s="10"/>
      <c r="F494" s="10"/>
      <c r="G494" s="10"/>
      <c r="H494" s="10"/>
      <c r="I494" s="10"/>
      <c r="J494" s="409">
        <f>G456*2</f>
        <v>40</v>
      </c>
      <c r="K494" s="646" t="str">
        <f>IF(G452="X",0,"km")</f>
        <v>km</v>
      </c>
      <c r="L494" s="10"/>
      <c r="M494" s="646" t="str">
        <f>IF(G452="X",0,"MARCAR 'X'")</f>
        <v>MARCAR 'X'</v>
      </c>
      <c r="N494" s="10"/>
      <c r="O494" s="6"/>
      <c r="Q494" s="16"/>
    </row>
    <row r="495" spans="1:21" x14ac:dyDescent="0.35">
      <c r="A495" s="20"/>
      <c r="B495" s="1538">
        <f>IF(C495="x",1,0)</f>
        <v>1</v>
      </c>
      <c r="C495" s="1421" t="str">
        <f>ENTRADAS!C817</f>
        <v>x</v>
      </c>
      <c r="D495" s="636" t="str">
        <f>T503</f>
        <v>Carro comum ( viagem alojam. x obra x alojam. )   2 carros</v>
      </c>
      <c r="E495" s="652"/>
      <c r="F495" s="1122"/>
      <c r="G495" s="14"/>
      <c r="H495" s="652"/>
      <c r="I495" s="652"/>
      <c r="J495" s="14" t="str">
        <f ca="1">S505</f>
        <v>( percorrendo total= 6000 km)</v>
      </c>
      <c r="K495" s="415"/>
      <c r="L495" s="652"/>
      <c r="M495" s="1123"/>
      <c r="N495" s="1423">
        <f ca="1">IF(ENTRADAS!G833="X",IF(G452="X",0,1*(L531+L447)),IF(AND(F433&gt;0,ENTRADAS!C838=1),IF(G452="X",0,ROUNDUP(((SUM(C426:C431)-F433)*C423/D461),0)*(L531+L447)),IF(G452="X",0,ROUNDUP((SUM(C426:C431)*C423/D461),0)*(L531+L447))))</f>
        <v>202</v>
      </c>
      <c r="O495" s="1425" t="str">
        <f>IF(G452="X",0,IF(G452="X",0,"dias "))</f>
        <v xml:space="preserve">dias </v>
      </c>
      <c r="Q495" s="16"/>
      <c r="S495" s="627" t="s">
        <v>1930</v>
      </c>
    </row>
    <row r="496" spans="1:21" x14ac:dyDescent="0.35">
      <c r="A496" s="20"/>
      <c r="B496" s="1538"/>
      <c r="C496" s="1422"/>
      <c r="D496" s="637" t="str">
        <f ca="1">S504</f>
        <v xml:space="preserve">2 veículos fazem 75 viagens de ida com 20 km   e 75 viagens de volta 20 km </v>
      </c>
      <c r="E496" s="749"/>
      <c r="F496" s="1125"/>
      <c r="G496" s="3"/>
      <c r="H496" s="749"/>
      <c r="I496" s="749"/>
      <c r="J496" s="3"/>
      <c r="K496" s="416"/>
      <c r="L496" s="749"/>
      <c r="M496" s="1127"/>
      <c r="N496" s="1424" t="s">
        <v>596</v>
      </c>
      <c r="O496" s="1426" t="s">
        <v>597</v>
      </c>
      <c r="Q496" s="16"/>
      <c r="S496" s="630" t="s">
        <v>1931</v>
      </c>
      <c r="T496" s="630" t="s">
        <v>1932</v>
      </c>
      <c r="U496" s="630" t="s">
        <v>1933</v>
      </c>
    </row>
    <row r="497" spans="1:21" x14ac:dyDescent="0.35">
      <c r="A497" s="20"/>
      <c r="B497" s="1538">
        <f>IF(C497="x",1,0)</f>
        <v>0</v>
      </c>
      <c r="C497" s="1421">
        <f>ENTRADAS!C819</f>
        <v>0</v>
      </c>
      <c r="D497" s="636" t="str">
        <f>T506</f>
        <v>Carro comum   ( viagem casa x alojamento x casa)     2   veículos</v>
      </c>
      <c r="E497" s="652"/>
      <c r="F497" s="1122"/>
      <c r="G497" s="14"/>
      <c r="H497" s="652"/>
      <c r="I497" s="652"/>
      <c r="J497" s="14"/>
      <c r="K497" s="415"/>
      <c r="L497" s="652"/>
      <c r="M497" s="1123"/>
      <c r="N497" s="1423">
        <f ca="1">IF(ENTRADAS!G833="X",IF(G452="X",0,L534*1),IF(AND(F433&gt;0,ENTRADAS!C838=1),IF(G452="X",0,L534*ROUNDUP(((SUM(C426:C431)-F433)*C423/D461),0)),IF(G452="X",0,L534*ROUNDUP((SUM(C426:C431)*C423/D461),0))))</f>
        <v>214</v>
      </c>
      <c r="O497" s="1425" t="str">
        <f>IF(G452="X",0,"dias")</f>
        <v>dias</v>
      </c>
      <c r="Q497" s="16"/>
      <c r="S497" s="660">
        <f>SUM(C426:C431)-F433</f>
        <v>12.7</v>
      </c>
      <c r="T497" s="7">
        <f>SUM(C426:C431)</f>
        <v>12.7</v>
      </c>
      <c r="U497" s="7">
        <f>D461-S497</f>
        <v>-5.6999999999999993</v>
      </c>
    </row>
    <row r="498" spans="1:21" x14ac:dyDescent="0.35">
      <c r="A498" s="20"/>
      <c r="B498" s="1538"/>
      <c r="C498" s="1422"/>
      <c r="D498" s="637"/>
      <c r="E498" s="749"/>
      <c r="F498" s="1125" t="str">
        <f>IF(G452="X",0,IF(H461="x","locado em todo o tempo da obra",0))</f>
        <v>locado em todo o tempo da obra</v>
      </c>
      <c r="G498" s="3"/>
      <c r="H498" s="749"/>
      <c r="I498" s="749"/>
      <c r="J498" s="3"/>
      <c r="K498" s="416"/>
      <c r="L498" s="749"/>
      <c r="M498" s="1127"/>
      <c r="N498" s="1424"/>
      <c r="O498" s="1426"/>
      <c r="Q498" s="16"/>
      <c r="S498" s="627" t="s">
        <v>1934</v>
      </c>
      <c r="U498" s="32">
        <f>ROUNDUP(S497*C423/D461,0)</f>
        <v>2</v>
      </c>
    </row>
    <row r="499" spans="1:21" x14ac:dyDescent="0.35">
      <c r="A499" s="20"/>
      <c r="B499" s="1538">
        <f>IF(C499="x",1,0)</f>
        <v>0</v>
      </c>
      <c r="C499" s="1421">
        <f>ENTRADAS!C821</f>
        <v>0</v>
      </c>
      <c r="D499" s="636" t="str">
        <f>IF(G452="X",0,IF(H462="x","    VAN   "&amp;D462&amp;" lugares ( viagem alojam. x obra x alojam. )"&amp;"  "&amp;ROUNDUP((SUM(C426:C431)*C423/D462),0)&amp;" veículo",0))</f>
        <v xml:space="preserve">    VAN   12 lugares ( viagem alojam. x obra x alojam. )  2 veículo</v>
      </c>
      <c r="E499" s="652"/>
      <c r="F499" s="1122"/>
      <c r="G499" s="14"/>
      <c r="H499" s="652"/>
      <c r="I499" s="652"/>
      <c r="J499" s="14" t="str">
        <f ca="1">IF(G452="X",0,"( percorrendo total= "&amp;IF(H462="x",G456*2*ROUNDUP((SUM(C426:C431)*C423/D462),0)*ROUNDUP((O531),0),0)&amp;" km)")</f>
        <v>( percorrendo total= 6000 km)</v>
      </c>
      <c r="K499" s="415"/>
      <c r="L499" s="652"/>
      <c r="M499" s="1123"/>
      <c r="N499" s="1423">
        <f ca="1">IF(G452="X",0,ROUNDUP((SUM(C426:C431)*C423/D462),0)*(L531+L447))</f>
        <v>202</v>
      </c>
      <c r="O499" s="1425" t="str">
        <f>IF(G452="X",0,"dias ")</f>
        <v xml:space="preserve">dias </v>
      </c>
      <c r="Q499" s="16"/>
      <c r="S499" s="627" t="s">
        <v>1935</v>
      </c>
      <c r="U499" s="32">
        <f>U498*D461-S497</f>
        <v>1.3000000000000007</v>
      </c>
    </row>
    <row r="500" spans="1:21" x14ac:dyDescent="0.35">
      <c r="A500" s="20"/>
      <c r="B500" s="1538"/>
      <c r="C500" s="1422"/>
      <c r="D500" s="637" t="str">
        <f ca="1">IF(G452="X",0,ROUNDUP((SUM(C426:C431)*C423/D462),0)&amp;" veículo faz "&amp;ROUNDUP((O531),0)&amp;" "&amp;"viagens de ida com "&amp;G456&amp;" km   e "&amp;ROUNDUP((O531),0)&amp;" "&amp;"viagens de volta "&amp;G456&amp;" km ")</f>
        <v xml:space="preserve">2 veículo faz 75 viagens de ida com 20 km   e 75 viagens de volta 20 km </v>
      </c>
      <c r="E500" s="749"/>
      <c r="F500" s="1125"/>
      <c r="G500" s="3"/>
      <c r="H500" s="749"/>
      <c r="I500" s="749"/>
      <c r="J500" s="3"/>
      <c r="K500" s="416"/>
      <c r="L500" s="749"/>
      <c r="M500" s="1127"/>
      <c r="N500" s="1424"/>
      <c r="O500" s="1426" t="s">
        <v>597</v>
      </c>
      <c r="Q500" s="16"/>
      <c r="S500" s="627" t="s">
        <v>1936</v>
      </c>
      <c r="U500" s="7">
        <f>U499-F433</f>
        <v>1.3000000000000007</v>
      </c>
    </row>
    <row r="501" spans="1:21" x14ac:dyDescent="0.35">
      <c r="A501" s="20"/>
      <c r="B501" s="1538">
        <f>IF(C501="x",1,0)</f>
        <v>0</v>
      </c>
      <c r="C501" s="1421">
        <f>ENTRADAS!C823</f>
        <v>0</v>
      </c>
      <c r="D501" s="636" t="str">
        <f>IF(G452="X",0,IF(H462="x","    VAN   "&amp;D462&amp;" lugares ( viagem alojam. x obra x alojam. )"&amp;"  "&amp;ROUNDUP((SUM(C426:C431)*C423/D462),0)&amp;" veículo",0))</f>
        <v xml:space="preserve">    VAN   12 lugares ( viagem alojam. x obra x alojam. )  2 veículo</v>
      </c>
      <c r="E501" s="652"/>
      <c r="F501" s="1122"/>
      <c r="G501" s="14"/>
      <c r="H501" s="652"/>
      <c r="I501" s="652"/>
      <c r="J501" s="14"/>
      <c r="K501" s="415"/>
      <c r="L501" s="652"/>
      <c r="M501" s="1123"/>
      <c r="N501" s="1423">
        <f ca="1">IF(G452="X",0,L534*ROUNDUP((SUM(C426:C431)*C423/D462),0))</f>
        <v>214</v>
      </c>
      <c r="O501" s="1425" t="str">
        <f>IF(G452="X",0,"dias ")</f>
        <v xml:space="preserve">dias </v>
      </c>
      <c r="Q501" s="16"/>
      <c r="S501" s="627" t="s">
        <v>1844</v>
      </c>
      <c r="U501" s="32" t="str">
        <f>IF(U500&gt;=0,"sim","não")</f>
        <v>sim</v>
      </c>
    </row>
    <row r="502" spans="1:21" x14ac:dyDescent="0.35">
      <c r="A502" s="20"/>
      <c r="B502" s="1538"/>
      <c r="C502" s="1422"/>
      <c r="D502" s="637"/>
      <c r="E502" s="749"/>
      <c r="F502" s="1125" t="str">
        <f>IF(G452="X",0,IF(H462="x","locado em todo o tempo da obra",0))</f>
        <v>locado em todo o tempo da obra</v>
      </c>
      <c r="G502" s="3"/>
      <c r="H502" s="749"/>
      <c r="I502" s="749"/>
      <c r="J502" s="3"/>
      <c r="K502" s="416"/>
      <c r="L502" s="749"/>
      <c r="M502" s="1127"/>
      <c r="N502" s="1424"/>
      <c r="O502" s="1426" t="s">
        <v>597</v>
      </c>
      <c r="Q502" s="16"/>
    </row>
    <row r="503" spans="1:21" x14ac:dyDescent="0.35">
      <c r="A503" s="20"/>
      <c r="B503" s="1538">
        <f>IF(C503="x",1,0)</f>
        <v>0</v>
      </c>
      <c r="C503" s="1421">
        <f>ENTRADAS!C825</f>
        <v>0</v>
      </c>
      <c r="D503" s="636" t="str">
        <f>IF(G452="X",0,IF(H463="x","Ônibus comercial "&amp;"  ( viagem alojam. x obra x alojam. )"&amp;"    "&amp;ROUNDUP((SUM(C426:C431)*C423/40),0)&amp;" veículo",0))</f>
        <v>Ônibus comercial   ( viagem alojam. x obra x alojam. )    1 veículo</v>
      </c>
      <c r="E503" s="652"/>
      <c r="F503" s="1122"/>
      <c r="G503" s="14"/>
      <c r="H503" s="652"/>
      <c r="I503" s="652"/>
      <c r="J503" s="14" t="str">
        <f ca="1">IF(G452="X",0,"( percorrendo total= "&amp;IF(H463="x",G456*2*ROUNDUP((SUM(C426:C431)*C423/40),0)*ROUNDUP((O531),0),0)&amp;" km)")</f>
        <v>( percorrendo total= 3000 km)</v>
      </c>
      <c r="K503" s="415"/>
      <c r="L503" s="652"/>
      <c r="M503" s="1123"/>
      <c r="N503" s="1423">
        <f ca="1">IF(G452="X",0,ROUNDUP((SUM(C426:C431)*C423/D462),0)*(L531+L447))</f>
        <v>202</v>
      </c>
      <c r="O503" s="1425" t="str">
        <f>IF(G452="X",0,"dias")</f>
        <v>dias</v>
      </c>
      <c r="Q503" s="16"/>
      <c r="S503" s="32">
        <f ca="1">IF(AND(U501="não",ENTRADAS!D839="X"),IF(G452="X",0,ROUNDUP((SUM(C426:C431)*C423/D461),0)*(L531+L447)),IF(ENTRADAS!G833="X",IF(G452="X",0,1*(L531+L447)),IF(AND(F433&gt;0,ENTRADAS!C838=1),IF(G452="X",0,ROUNDUP(((SUM(C426:C431)-F433)*C423/D461),0)*(L531+L447)),IF(G452="X",0,ROUNDUP((SUM(C426:C431)*C423/D461),0)*(L531+L447)))))</f>
        <v>202</v>
      </c>
      <c r="T503" t="str">
        <f>IF(AND(U501="não",ENTRADAS!D839="X"),U503,IF(ENTRADAS!G833="X","Carro comum ( viagem alojam. x obra x alojam. )"&amp;"   "&amp;1&amp;" carro",IF(AND(F433&gt;0,ENTRADAS!C838=1),IF(G452="X",0,IF(H461="x","Carro comum ( viagem alojam. x obra x alojam. )"&amp;"   "&amp;ROUNDUP(((SUM(C426:C431)-F433)*C423/D461),0)&amp;" carros",0)),IF(G452="X",0,IF(H461="x","Carro comum ( viagem alojam. x obra x alojam. )"&amp;"   "&amp;ROUNDUP((SUM(C426:C431)*C423/D461),0)&amp;" carros",0)))))</f>
        <v>Carro comum ( viagem alojam. x obra x alojam. )   2 carros</v>
      </c>
      <c r="U503" t="str">
        <f>IF(G452="X",0,IF(H461="x","Carro comum ( viagem alojam. x obra x alojam. )"&amp;"   "&amp;ROUNDUP((SUM(C426:C431)*C423/D461),0)&amp;" carros",0))</f>
        <v>Carro comum ( viagem alojam. x obra x alojam. )   2 carros</v>
      </c>
    </row>
    <row r="504" spans="1:21" x14ac:dyDescent="0.35">
      <c r="A504" s="20"/>
      <c r="B504" s="1538"/>
      <c r="C504" s="1422"/>
      <c r="D504" s="637" t="str">
        <f ca="1">IF(G452="X",0,ROUNDUP((SUM(C426:C431)*C423/40),0)&amp;" veículo faz "&amp;ROUNDUP((O531),0)&amp;" "&amp;"viagens de ida com "&amp;G456&amp;" km   e "&amp;ROUNDUP((O531),0)&amp;" "&amp;"viagens de volta "&amp;G456&amp;" km ")</f>
        <v xml:space="preserve">1 veículo faz 75 viagens de ida com 20 km   e 75 viagens de volta 20 km </v>
      </c>
      <c r="E504" s="749"/>
      <c r="F504" s="1125"/>
      <c r="G504" s="3"/>
      <c r="H504" s="749"/>
      <c r="I504" s="749"/>
      <c r="J504" s="3"/>
      <c r="K504" s="416"/>
      <c r="L504" s="749"/>
      <c r="M504" s="1127"/>
      <c r="N504" s="1424"/>
      <c r="O504" s="1426" t="s">
        <v>597</v>
      </c>
      <c r="Q504" s="16"/>
      <c r="S504" s="32" t="str">
        <f ca="1">IF(AND(U501="não",ENTRADAS!D839="X"),T504,IF(ENTRADAS!G833="X",IF(G452="X",0,1&amp;" veículos fazem "&amp;ROUNDUP((O531),0)&amp;" "&amp;"viagens de ida com "&amp;G456&amp;" km   e "&amp;ROUNDUP((O531),0)&amp;" "&amp;"viagens de volta "&amp;G456&amp;" km "),IF(AND(F433&gt;0,ENTRADAS!C838=1),IF(G452="X",0,ROUNDUP(((SUM(C426:C431)-F433)*C423/D461),0)&amp;" veículos fazem "&amp;ROUNDUP((O531),0)&amp;" "&amp;"viagens de ida com "&amp;G456&amp;" km   e "&amp;ROUNDUP((O531),0)&amp;" "&amp;"viagens de volta "&amp;G456&amp;" km "),IF(G452="X",0,ROUNDUP((SUM(C426:C431)*C423/D461),0)&amp;" veículos fazem "&amp;ROUNDUP((O531),0)&amp;" "&amp;"viagens de ida com "&amp;G456&amp;" km   e "&amp;ROUNDUP((O531),0)&amp;" "&amp;"viagens de volta "&amp;G456&amp;" km "))))</f>
        <v xml:space="preserve">2 veículos fazem 75 viagens de ida com 20 km   e 75 viagens de volta 20 km </v>
      </c>
      <c r="T504" t="str">
        <f ca="1">IF(G452="X",0,ROUNDUP((SUM(C426:C431)*C423/D461),0)&amp;" veículos fazem "&amp;ROUNDUP((O531),0)&amp;" "&amp;"viagens de ida com "&amp;G456&amp;" km   e "&amp;ROUNDUP((O531),0)&amp;" "&amp;"viagens de volta "&amp;G456&amp;" km ")</f>
        <v xml:space="preserve">2 veículos fazem 75 viagens de ida com 20 km   e 75 viagens de volta 20 km </v>
      </c>
    </row>
    <row r="505" spans="1:21" x14ac:dyDescent="0.35">
      <c r="A505" s="18"/>
      <c r="B505" s="3"/>
      <c r="C505" s="749"/>
      <c r="D505" s="3"/>
      <c r="E505" s="3"/>
      <c r="F505" s="3"/>
      <c r="G505" s="3"/>
      <c r="H505" s="3"/>
      <c r="I505" s="3"/>
      <c r="J505" s="3"/>
      <c r="K505" s="3"/>
      <c r="L505" s="3"/>
      <c r="M505" s="3"/>
      <c r="N505" s="3"/>
      <c r="O505" s="3"/>
      <c r="P505" s="3"/>
      <c r="Q505" s="17"/>
      <c r="S505" s="32" t="str">
        <f ca="1">IF(AND(U501="não",ENTRADAS!D839="X"),T505,IF(ENTRADAS!G833="X","( percorrendo total= "&amp;IF(H461="x",G456*2*1*ROUNDUP((O531),0),0)&amp;" km)",IF(AND(F433&gt;0,ENTRADAS!C838=1),IF(G452="X",0,"( percorrendo total= "&amp;IF(H461="x",G456*2*ROUNDUP(((SUM(C426:C431)-F433)*C423/D461),0)*ROUNDUP((O531),0),0)&amp;" km)"),IF(G452="X",0,"( percorrendo total= "&amp;IF(H461="x",G456*2*ROUNDUP((SUM(C426:C431)*C423/D461),0)*ROUNDUP((O531),0),0)&amp;" km)"))))</f>
        <v>( percorrendo total= 6000 km)</v>
      </c>
      <c r="T505" t="str">
        <f ca="1">IF(G452="X",0,"( percorrendo total= "&amp;IF(H461="x",G456*2*ROUNDUP((SUM(C426:C431)*C423/D461),0)*ROUNDUP((O531),0),0)&amp;" km)")</f>
        <v>( percorrendo total= 6000 km)</v>
      </c>
    </row>
    <row r="506" spans="1:21" x14ac:dyDescent="0.35">
      <c r="A506" s="13"/>
      <c r="B506" s="14"/>
      <c r="C506" s="14"/>
      <c r="D506" s="14"/>
      <c r="E506" s="14"/>
      <c r="F506" s="14"/>
      <c r="G506" s="14"/>
      <c r="H506" s="14"/>
      <c r="I506" s="14"/>
      <c r="J506" s="14"/>
      <c r="K506" s="14"/>
      <c r="L506" s="14"/>
      <c r="M506" s="14"/>
      <c r="N506" s="14"/>
      <c r="O506" s="14"/>
      <c r="P506" s="14"/>
      <c r="Q506" s="15"/>
      <c r="S506" s="32">
        <f ca="1">IF(AND(U501="não",ENTRADAS!D839="X"),IF(G452="X",0,L534*ROUNDUP((SUM(C426:C431)*C423/D461),0)),IF(ENTRADAS!G833="X",IF(G452="X",0,L534*1),IF(AND(F433&gt;0,ENTRADAS!C838=1),IF(G452="X",0,L534*ROUNDUP(((SUM(C426:C431)-F433)*C423/D461),0)),IF(G452="X",0,L534*ROUNDUP((SUM(C426:C431)*C423/D461),0)))))</f>
        <v>214</v>
      </c>
      <c r="T506" t="str">
        <f>IF(AND(U501="não",ENTRADAS!D839="X"),U506,IF(ENTRADAS!G833="X",IF(G452="X",0,IF(F461="x","Carro comum   ( viagem casa x alojamento x casa)"&amp;"     "&amp;1&amp;"   veículos",0)),IF(AND(F433&gt;0,ENTRADAS!C838=1),IF(G452="X",0,IF(F461="x","Carro comum   ( viagem casa x alojamento x casa)"&amp;"     "&amp;ROUNDUP(((SUM(C426:C431)-F433)*C423/D461),0)&amp;"   veículos",0)),IF(G452="X",0,IF(F461="x","Carro comum   ( viagem casa x alojamento x casa)"&amp;"     "&amp;ROUNDUP((SUM(C426:C431)*C423/D461),0)&amp;"   veículos",0)))))</f>
        <v>Carro comum   ( viagem casa x alojamento x casa)     2   veículos</v>
      </c>
      <c r="U506" t="str">
        <f>IF(G452="X",0,IF(F461="x","Carro comum   ( viagem casa x alojamento x casa)"&amp;"     "&amp;ROUNDUP((SUM(C426:C431)*C423/D461),0)&amp;"   veículos",0))</f>
        <v>Carro comum   ( viagem casa x alojamento x casa)     2   veículos</v>
      </c>
    </row>
    <row r="507" spans="1:21" x14ac:dyDescent="0.35">
      <c r="A507" s="20"/>
      <c r="C507" s="1338" t="s">
        <v>607</v>
      </c>
      <c r="D507" s="1441"/>
      <c r="E507" s="1441"/>
      <c r="F507" s="1441"/>
      <c r="G507" s="1441"/>
      <c r="H507" s="1441"/>
      <c r="I507" s="1441"/>
      <c r="J507" s="1441"/>
      <c r="K507" s="1441"/>
      <c r="L507" s="1339"/>
      <c r="Q507" s="16"/>
    </row>
    <row r="508" spans="1:21" x14ac:dyDescent="0.35">
      <c r="A508" s="20"/>
      <c r="C508" s="13" t="str">
        <f>IF(G452="X",0,IF(C423=0,0,IF(C509=0,0,"VIAGEM DE CASA X ALOJAMENTO X CASA ( IDA E VOLTA )")))</f>
        <v>VIAGEM DE CASA X ALOJAMENTO X CASA ( IDA E VOLTA )</v>
      </c>
      <c r="D508" s="14"/>
      <c r="E508" s="14"/>
      <c r="F508" s="14"/>
      <c r="G508" s="14"/>
      <c r="H508" s="14"/>
      <c r="I508" s="14"/>
      <c r="J508" s="14"/>
      <c r="K508" s="15"/>
      <c r="L508" s="1349">
        <f ca="1">IF(B487+B489+B491+B492=0,0,VLOOKUP($BJ$8,C487:O492,12,0))</f>
        <v>18</v>
      </c>
      <c r="M508" s="1134" t="str">
        <f>IF(C487="X",O487,IF(C489="X",O489,IF(C491="X",O491,IF(C492="X",O492,0))))</f>
        <v>dias (sem</v>
      </c>
      <c r="N508" s="1010"/>
      <c r="O508" s="1010"/>
      <c r="Q508" s="16"/>
    </row>
    <row r="509" spans="1:21" x14ac:dyDescent="0.35">
      <c r="A509" s="20"/>
      <c r="C509" s="637" t="str">
        <f>IF(G452="X",0,IF(B487+B489+B491+B492=0,"VIAGEM CASA X ALOJAMENTO ",VLOOKUP($BJ$8,C487:O492,2,0)))</f>
        <v>Carro comum   ( viagem casa x alojamento x casa)     2   veículos</v>
      </c>
      <c r="D509" s="3"/>
      <c r="E509" s="1125"/>
      <c r="F509" s="3"/>
      <c r="G509" s="749"/>
      <c r="H509" s="749" t="str">
        <f ca="1">IF(B487+B489+B491+B492=0,0,VLOOKUP($BJ$8,C487:O492,8,0))</f>
        <v>( percorrendo total= 8000 km)</v>
      </c>
      <c r="I509" s="3"/>
      <c r="J509" s="416"/>
      <c r="K509" s="748"/>
      <c r="L509" s="1509"/>
      <c r="M509" s="1134" t="str">
        <f>IF(C487="X",O488,IF(C489="X",O490,IF(C491="X","ida e volta juntas",IF(C492="X","ida e volta juntas",0))))</f>
        <v>descanso)</v>
      </c>
      <c r="N509" s="1010"/>
      <c r="O509" s="1010"/>
      <c r="Q509" s="16"/>
    </row>
    <row r="510" spans="1:21" x14ac:dyDescent="0.35">
      <c r="A510" s="20"/>
      <c r="C510" s="13" t="str">
        <f>IF(B497=1,D497,IF(B495=1,D495,IF(B499=1,D499,IF(B501=1,D501,IF(B503=1,D503,0)))))</f>
        <v>Carro comum ( viagem alojam. x obra x alojam. )   2 carros</v>
      </c>
      <c r="D510" s="14"/>
      <c r="E510" s="14"/>
      <c r="F510" s="14"/>
      <c r="G510" s="14"/>
      <c r="H510" s="14"/>
      <c r="I510" s="14"/>
      <c r="J510" s="14"/>
      <c r="K510" s="15"/>
      <c r="L510" s="1349">
        <f ca="1">IF(B495+B497+B499+B501+B503=0,0,IF(B495=1,N495,IF(B497=1,N497,IF(B499=1,N499,IF(B501=1,N501,IF(B503=1,N503,0))))))</f>
        <v>202</v>
      </c>
      <c r="M510" s="1351" t="str">
        <f>IF(C495="X",O495,IF(C497="X",O497,IF(C499="X",O499,IF(C501="X",O501,IF(C503="X",O503,0)))))</f>
        <v xml:space="preserve">dias </v>
      </c>
      <c r="N510" s="1460"/>
      <c r="O510" s="1460"/>
      <c r="Q510" s="16"/>
    </row>
    <row r="511" spans="1:21" x14ac:dyDescent="0.35">
      <c r="A511" s="20"/>
      <c r="C511" s="637" t="str">
        <f ca="1">IF(B495+B497+B499+B501+B503=0,0,IF(B495=1,D496,IF(B497=1,F498,IF(B499=1,D500,IF(B501=1,F502,IF(B503=1,D504,0))))))</f>
        <v xml:space="preserve">2 veículos fazem 75 viagens de ida com 20 km   e 75 viagens de volta 20 km </v>
      </c>
      <c r="D511" s="3"/>
      <c r="E511" s="1125"/>
      <c r="F511" s="3"/>
      <c r="G511" s="749"/>
      <c r="H511" s="749"/>
      <c r="I511" s="3"/>
      <c r="J511" s="416"/>
      <c r="K511" s="748"/>
      <c r="L511" s="1509"/>
      <c r="M511" s="1351"/>
      <c r="N511" s="1460"/>
      <c r="O511" s="1460"/>
      <c r="Q511" s="16"/>
    </row>
    <row r="512" spans="1:21" x14ac:dyDescent="0.35">
      <c r="A512" s="20"/>
      <c r="C512" s="633" t="s">
        <v>608</v>
      </c>
      <c r="D512" s="10"/>
      <c r="E512" s="10"/>
      <c r="F512" s="10"/>
      <c r="G512" s="10"/>
      <c r="H512" s="10"/>
      <c r="I512" s="10"/>
      <c r="J512" s="371"/>
      <c r="K512" s="629"/>
      <c r="L512" s="660">
        <f ca="1">SUM(C426:C431)*C423*(X549+L447-X535-X536-X537)</f>
        <v>1054.0999999999999</v>
      </c>
      <c r="M512" s="627" t="s">
        <v>46</v>
      </c>
      <c r="Q512" s="16"/>
    </row>
    <row r="513" spans="1:23" x14ac:dyDescent="0.35">
      <c r="A513" s="20"/>
      <c r="C513" s="633" t="s">
        <v>609</v>
      </c>
      <c r="D513" s="10"/>
      <c r="E513" s="10"/>
      <c r="F513" s="10"/>
      <c r="G513" s="10"/>
      <c r="H513" s="10"/>
      <c r="I513" s="10"/>
      <c r="J513" s="371"/>
      <c r="K513" s="629"/>
      <c r="L513" s="660">
        <f ca="1">ROUNDUP(IF(G452="X",0,IF(I11=0,0,IF(F433=0,(SUM(C426:C431)*C423*(X542*4))+((X549-X535-X536-X537)*SUM(C426:C431)*C423),((SUM(C426:C431)-C431)*C423*(X542*4))+((X549-X535-X536-X537)*(SUM(C426:C431)-C431)*C423)))),)</f>
        <v>1831</v>
      </c>
      <c r="M513" s="627" t="s">
        <v>46</v>
      </c>
      <c r="N513">
        <f ca="1">ROUNDUP(IF(G452="X",0,IF(I11=0,0,IF(F433=0,(SUM(C426:C431)*C423*(X542*4))+(X549*SUM(C426:C431)*C423),((SUM(C426:C431)-C431)*C423*(X542*4))+(X542*(SUM(C426:C431)-C431)*C423)))),)</f>
        <v>1945</v>
      </c>
      <c r="Q513" s="16"/>
    </row>
    <row r="514" spans="1:23" x14ac:dyDescent="0.35">
      <c r="A514" s="20"/>
      <c r="C514" s="633" t="s">
        <v>610</v>
      </c>
      <c r="D514" s="10"/>
      <c r="E514" s="10"/>
      <c r="F514" s="10"/>
      <c r="G514" s="10"/>
      <c r="H514" s="10"/>
      <c r="I514" s="10"/>
      <c r="J514" s="371"/>
      <c r="K514" s="629"/>
      <c r="L514" s="660">
        <f>IF(G452="X",0,IF(F433=0,IF(B487=1,ROUNDUP((G455*2*SUM(C426:C431)*C423)/500,0),IF(B489=1,ROUNDUP((G455*2*SUM(C426:C431)*C423)/500,0),IF(B491=1,L508*ROUNDUP((G455*2*ROUNDUP((SUM(C426:C431)*C423/40),0)*ROUNDUP((O531+L447)/H466,0))/500,0),IF(B492=1,L508,0)))),IF(B487=1,ROUNDUP((G455*2*(SUM(C426:C431)-C431)*C423)/500,0),IF(B489=1,ROUNDUP((G455*2*(SUM(C426:C431)-C431)*C423)/500,0),IF(B491=1,L508*ROUNDUP((G455*2*ROUNDUP(((SUM(C426:C431)-C431)*C423/40),0)*ROUNDUP((O531+L447)/H466,0))/500,0),IF(B492=1,L508,0))))))</f>
        <v>51</v>
      </c>
      <c r="M514" s="627" t="s">
        <v>46</v>
      </c>
      <c r="Q514" s="16"/>
    </row>
    <row r="515" spans="1:23" x14ac:dyDescent="0.35">
      <c r="A515" s="20"/>
      <c r="C515" s="633" t="s">
        <v>611</v>
      </c>
      <c r="D515" s="10"/>
      <c r="E515" s="10"/>
      <c r="F515" s="10"/>
      <c r="G515" s="10"/>
      <c r="H515" s="10"/>
      <c r="I515" s="10"/>
      <c r="J515" s="371"/>
      <c r="K515" s="629"/>
      <c r="L515" s="660">
        <f ca="1">SUM(C426:C431)*C423*(X549+L447-X535-X536-X537)</f>
        <v>1054.0999999999999</v>
      </c>
      <c r="M515" s="627" t="s">
        <v>46</v>
      </c>
      <c r="Q515" s="16"/>
    </row>
    <row r="516" spans="1:23" x14ac:dyDescent="0.35">
      <c r="A516" s="20"/>
      <c r="C516" s="633" t="s">
        <v>612</v>
      </c>
      <c r="D516" s="10"/>
      <c r="E516" s="10"/>
      <c r="F516" s="10"/>
      <c r="G516" s="10"/>
      <c r="H516" s="10"/>
      <c r="I516" s="10"/>
      <c r="J516" s="371"/>
      <c r="K516" s="629"/>
      <c r="L516" s="660">
        <f ca="1">ROUNDUP(IF(G452="X",0,IF(F433=0,SUM(C426:C431)*C423*1*2*X542,(SUM(C427:C431)-C431)*C423*1*2)),0)</f>
        <v>389</v>
      </c>
      <c r="M516" s="627" t="s">
        <v>46</v>
      </c>
      <c r="Q516" s="16"/>
    </row>
    <row r="517" spans="1:23" x14ac:dyDescent="0.35">
      <c r="A517" s="20"/>
      <c r="C517" s="633" t="s">
        <v>1937</v>
      </c>
      <c r="D517" s="10"/>
      <c r="E517" s="10"/>
      <c r="F517" s="10"/>
      <c r="G517" s="10"/>
      <c r="H517" s="10"/>
      <c r="I517" s="10"/>
      <c r="J517" s="371"/>
      <c r="K517" s="629"/>
      <c r="L517" s="660">
        <f ca="1">(L515+L516)</f>
        <v>1443.1</v>
      </c>
      <c r="M517" s="627" t="s">
        <v>46</v>
      </c>
      <c r="Q517" s="16"/>
    </row>
    <row r="518" spans="1:23" x14ac:dyDescent="0.35">
      <c r="A518" s="20"/>
      <c r="C518" s="633" t="s">
        <v>613</v>
      </c>
      <c r="D518" s="10"/>
      <c r="E518" s="413">
        <f>IF(F433=0,SUM(C426:C431)*C423,(SUM(C426:C431)-C431)*C423)</f>
        <v>12.7</v>
      </c>
      <c r="F518" s="10" t="s">
        <v>614</v>
      </c>
      <c r="G518" s="10"/>
      <c r="H518" s="10"/>
      <c r="I518" s="10"/>
      <c r="J518" s="10"/>
      <c r="K518" s="6"/>
      <c r="L518" s="7">
        <f ca="1">ROUNDUP(IF(G452="X",0,IF(C470="X",L534,(X549-X535-X536-X537)+(X542*2))),0)</f>
        <v>114</v>
      </c>
      <c r="M518" s="627" t="s">
        <v>101</v>
      </c>
      <c r="O518" s="747">
        <f>IF(B491+B492&gt;0,0,IF(G455&lt;=H476,0,IF(J524&lt;=2,0,((J524/2)-1)*2*SUM(C426:C431)*C423)))</f>
        <v>0</v>
      </c>
      <c r="P518" s="195"/>
      <c r="Q518" s="205"/>
    </row>
    <row r="519" spans="1:23" x14ac:dyDescent="0.35">
      <c r="A519" s="20"/>
      <c r="C519" s="633" t="s">
        <v>1938</v>
      </c>
      <c r="D519" s="10"/>
      <c r="E519" s="413">
        <f>IF(G519=0,0,IF(F433=0,IF(B491+B492&gt;0,0,SUM(C426:C431)*C423),IF(B491+B492&gt;0,0,(SUM(C426:C431)-C431)*C423)))</f>
        <v>0</v>
      </c>
      <c r="F519" s="10">
        <f>IF(G519=0,0,"PESSOAS")</f>
        <v>0</v>
      </c>
      <c r="G519" s="10"/>
      <c r="H519" s="10"/>
      <c r="I519" s="10"/>
      <c r="J519" s="10"/>
      <c r="K519" s="6"/>
      <c r="L519" s="7">
        <f ca="1">IF(G452="X",0,O519)</f>
        <v>0</v>
      </c>
      <c r="M519" s="627" t="s">
        <v>1939</v>
      </c>
      <c r="O519" s="747">
        <f ca="1">IF(P519+Q519=2,((J522/2)-1)*2*SUM(C426:C431)*C423,O518)</f>
        <v>0</v>
      </c>
      <c r="P519" s="747">
        <f>IF(J522&gt;0,1,0)</f>
        <v>1</v>
      </c>
      <c r="Q519" s="747">
        <f ca="1">IF(J523=0,1,0)</f>
        <v>0</v>
      </c>
    </row>
    <row r="520" spans="1:23" x14ac:dyDescent="0.35">
      <c r="A520" s="20"/>
      <c r="C520" s="633" t="s">
        <v>1940</v>
      </c>
      <c r="D520" s="10"/>
      <c r="E520" s="413"/>
      <c r="F520" s="10"/>
      <c r="G520" s="10"/>
      <c r="H520" s="10"/>
      <c r="I520" s="10"/>
      <c r="J520" s="10"/>
      <c r="K520" s="6"/>
      <c r="L520" s="7">
        <f>IF(ENTRADAS!D841="x",X549*F433*2,0)</f>
        <v>0</v>
      </c>
      <c r="M520" s="627" t="s">
        <v>46</v>
      </c>
      <c r="O520" s="195"/>
      <c r="P520" s="195"/>
      <c r="Q520" s="205"/>
    </row>
    <row r="521" spans="1:23" x14ac:dyDescent="0.35">
      <c r="A521" s="20"/>
      <c r="C521" s="627"/>
      <c r="E521" s="418"/>
      <c r="L521" s="4"/>
      <c r="M521" s="627"/>
      <c r="Q521" s="16"/>
    </row>
    <row r="522" spans="1:23" x14ac:dyDescent="0.35">
      <c r="A522" s="20"/>
      <c r="C522" s="627" t="s">
        <v>616</v>
      </c>
      <c r="E522" s="418"/>
      <c r="J522" s="4">
        <f>IF(G455&lt;100,0,IF(C487="X",(ROUNDUP(ROUNDUP(G455/H476,0)*1,0))*2,IF(C489="X",(ROUNDUP(ROUNDUP(G455/H476,0)*1,0))*2,IF(C491="X",IF(ROUNDUP(I486/1500,0)&lt;=1,2,ROUNDUP(I486/1500,0)),IF(C492="X",IF(ROUNDUP(I486/5000,0)&lt;=1,2,ROUNDUP(I486/5000,0)),0)))))</f>
        <v>2</v>
      </c>
      <c r="L522" s="419" t="str">
        <f>IF(G455&lt;100,"dias -- distância menor que 100 km","dias -- distância maior que 100 km")</f>
        <v>dias -- distância maior que 100 km</v>
      </c>
      <c r="M522" s="627"/>
      <c r="Q522" s="16"/>
    </row>
    <row r="523" spans="1:23" x14ac:dyDescent="0.35">
      <c r="A523" s="20"/>
      <c r="C523" s="627" t="str">
        <f>IF(H474&lt;=2,"QUANT. DE FOLGAS DE CAMPO COM  "&amp;H474&amp;" dia "&amp;IF(H474=1," dias"&amp;IF(H474=1," (só o domingo)"," (só sábado e domingo)")&amp;"------------------------------------------------------------","-----------------------------------------------------------"),"QUANT. DE FOLGAS DE CAMPO COM  "&amp;H474&amp;" dia "&amp;" sendo "&amp;H474-2&amp; " dia útil + sábado e domingo------------------------------------------------------------")</f>
        <v>QUANT. DE FOLGAS DE CAMPO COM  5 dia  sendo 3 dia útil + sábado e domingo------------------------------------------------------------</v>
      </c>
      <c r="E523" s="418"/>
      <c r="F523" s="4"/>
      <c r="J523" s="4">
        <f ca="1">IF(AND(P523&gt;0,P523&lt;=1),1,Q523)</f>
        <v>1</v>
      </c>
      <c r="L523" s="627" t="str">
        <f ca="1">IF(J523&gt;0,"folga","sem folga, acabar a obra e ir embora")</f>
        <v>folga</v>
      </c>
      <c r="P523" s="7">
        <f ca="1">IF(L478&gt;0,IF(C470="X",0,IF(H466=0,0,IF((O531+L447)/6*7&lt;=H466,0,(((O531+L447)/6*7/H466)-1)))),IF(C470="X",0,IF(H466=0,0,IF((O531+L447)/5*7&lt;=H466,0,(((O531+L447)/5*7/H466)-1)))))</f>
        <v>0.45833333333333326</v>
      </c>
      <c r="Q523" s="32">
        <f ca="1">IF(L478&gt;0,IF(C470="X",0,IF(H466=0,0,IF((O531+L447)/6*7&lt;=H466,0,(ROUNDDOWN(((O531+L447)/6*7/H466)-1,0))))),IF(C470="X",0,IF(H466=0,0,IF((O531+L447)/5*7&lt;=H466,0,(ROUNDDOWN(((O531+L447)/5*7/H466)-1,0))))))</f>
        <v>0</v>
      </c>
    </row>
    <row r="524" spans="1:23" x14ac:dyDescent="0.35">
      <c r="A524" s="20"/>
      <c r="C524" s="627" t="s">
        <v>617</v>
      </c>
      <c r="E524" s="418"/>
      <c r="J524" s="4">
        <f ca="1">IF(C470="X",0,IF(G455&lt;100,0,IF(C487="X",(ROUNDUP(ROUNDUP(G455/H476,0)*ROUNDDOWN((O531+L447)/H466,0),0))*2,IF(C489="X",(ROUNDUP(ROUNDUP(G455/H476,0)*ROUNDDOWN((O531+L447)/H466,0),0))*2,IF(C491="X",IF(ROUNDUP(I486/1500,0)&lt;=1,2,ROUNDUP(I486/1500,0)),IF(C492="X",IF(ROUNDUP(I486/5000,0)&lt;=1,2,ROUNDUP(I486/5000,0)),0))))))</f>
        <v>2</v>
      </c>
      <c r="L524" s="627" t="str">
        <f>IF(G455&lt;100,"dia -- distância menor que 100 km","distância maior que 100 km")</f>
        <v>distância maior que 100 km</v>
      </c>
      <c r="Q524" s="16"/>
    </row>
    <row r="525" spans="1:23" x14ac:dyDescent="0.35">
      <c r="A525" s="20"/>
      <c r="C525" s="627" t="s">
        <v>618</v>
      </c>
      <c r="J525" s="4">
        <f ca="1">IF(L478&gt;0,(O531+L447)/(5+(L478/100*5)),(O531+L447)/5)</f>
        <v>12</v>
      </c>
      <c r="L525" s="627" t="s">
        <v>619</v>
      </c>
      <c r="Q525" s="16"/>
      <c r="S525" t="s">
        <v>1941</v>
      </c>
      <c r="V525">
        <v>7</v>
      </c>
    </row>
    <row r="526" spans="1:23" x14ac:dyDescent="0.35">
      <c r="A526" s="20"/>
      <c r="C526" s="627" t="s">
        <v>620</v>
      </c>
      <c r="E526" s="418"/>
      <c r="J526" s="4">
        <f ca="1">IF(L478&gt;0,IF(I11=0,0,(O531+L447)/(5+(L478/100*5))-J527),IF(I11=0,0,(O531+L447)/5-J527))</f>
        <v>12</v>
      </c>
      <c r="L526" s="627" t="s">
        <v>619</v>
      </c>
      <c r="Q526" s="16"/>
      <c r="S526" t="s">
        <v>1942</v>
      </c>
      <c r="V526">
        <f>(5+(L478/100*5))</f>
        <v>6.25</v>
      </c>
    </row>
    <row r="527" spans="1:23" x14ac:dyDescent="0.35">
      <c r="A527" s="20"/>
      <c r="C527" s="627" t="s">
        <v>621</v>
      </c>
      <c r="E527" s="418"/>
      <c r="J527" s="4">
        <f ca="1">IF(L478&gt;0,IF(H466=0,0,IF(H466&gt;L534,0,(ROUNDDOWN(((O531+L447)/(5+(L478/100*5))*7/H466)-1,0)))),IF(H466=0,0,IF(H466&gt;L534,0,(ROUNDDOWN(((O531+L447)/5*7/H466)-1,0)))))</f>
        <v>0</v>
      </c>
      <c r="L527" s="627" t="str">
        <f ca="1">IF(J527&gt;0,"finais de semana","sem folga, acabar a obra e ir embora")</f>
        <v>sem folga, acabar a obra e ir embora</v>
      </c>
      <c r="Q527" s="16"/>
      <c r="S527" t="s">
        <v>1943</v>
      </c>
      <c r="V527">
        <f>V526-5</f>
        <v>1.25</v>
      </c>
      <c r="W527" t="s">
        <v>101</v>
      </c>
    </row>
    <row r="528" spans="1:23" x14ac:dyDescent="0.35">
      <c r="A528" s="20"/>
      <c r="C528" s="627" t="s">
        <v>622</v>
      </c>
      <c r="E528" s="418"/>
      <c r="J528" s="761">
        <f ca="1">(J523*H474)+(J525*V528*2)+L447</f>
        <v>14</v>
      </c>
      <c r="L528" t="str">
        <f ca="1">IF(J528&lt;=1,"dia","dias-------------------")</f>
        <v>dias-------------------</v>
      </c>
      <c r="M528" t="str">
        <f ca="1">IF(J523&gt;0,IF(L478&gt;0,J525*1&amp;" domingos + "&amp;(J523*H474)&amp;" dias de viagem de folga",J525*2&amp;" (sábados + domingos) + "&amp;(J523*H474)&amp;" dias de viagem de folga"),IF(L478&gt;0,J528&amp;" domingos",J528&amp;" sábados / domingos"))</f>
        <v>12 domingos + 5 dias de viagem de folga</v>
      </c>
      <c r="Q528" s="16"/>
      <c r="S528" t="s">
        <v>1944</v>
      </c>
      <c r="V528">
        <f>1-V527/2</f>
        <v>0.375</v>
      </c>
      <c r="W528" t="s">
        <v>1945</v>
      </c>
    </row>
    <row r="529" spans="1:26" x14ac:dyDescent="0.35">
      <c r="A529" s="20"/>
      <c r="C529" s="627" t="s">
        <v>623</v>
      </c>
      <c r="E529" s="418"/>
      <c r="J529" s="761">
        <f ca="1">(J523*H474)+(J525*V528*2)+L447+J522</f>
        <v>16</v>
      </c>
      <c r="L529" t="str">
        <f ca="1">IF(J529&lt;=1,"dia","dias")</f>
        <v>dias</v>
      </c>
      <c r="Q529" s="16"/>
    </row>
    <row r="530" spans="1:26" x14ac:dyDescent="0.35">
      <c r="A530" s="20"/>
      <c r="C530" s="627"/>
      <c r="D530" s="627"/>
      <c r="E530" s="627"/>
      <c r="F530" s="627"/>
      <c r="G530" s="627"/>
      <c r="H530" s="627"/>
      <c r="I530" s="627"/>
      <c r="J530" s="627"/>
      <c r="K530" s="627"/>
      <c r="L530" s="627"/>
      <c r="M530" s="627"/>
      <c r="N530" s="627"/>
      <c r="Q530" s="16"/>
      <c r="T530" s="772" t="s">
        <v>1946</v>
      </c>
      <c r="U530" s="773"/>
      <c r="V530" s="773"/>
      <c r="W530" s="774"/>
      <c r="X530" s="470">
        <f>ENTRADAS!G792</f>
        <v>3</v>
      </c>
      <c r="Y530" s="775" t="s">
        <v>1947</v>
      </c>
    </row>
    <row r="531" spans="1:26" ht="13.15" x14ac:dyDescent="0.4">
      <c r="A531" s="20"/>
      <c r="C531" s="410" t="s">
        <v>624</v>
      </c>
      <c r="D531" s="411"/>
      <c r="E531" s="411"/>
      <c r="F531" s="411"/>
      <c r="G531" s="411"/>
      <c r="H531" s="411"/>
      <c r="I531" s="411"/>
      <c r="J531" s="10"/>
      <c r="K531" s="10"/>
      <c r="L531" s="36">
        <f ca="1">X539-X535-X536-X537</f>
        <v>101</v>
      </c>
      <c r="M531" s="412" t="str">
        <f ca="1">IF(O531&lt;=1,"dia","dias")</f>
        <v>dias</v>
      </c>
      <c r="N531" s="761"/>
      <c r="O531">
        <f ca="1">ROUNDUP((J290+J291+J292+J293+J294+J382+J412+J413+J414+J415+J362+J363+J364+N450),0)-ROUNDUP((J290+J291+J292+J293+J294+J382+J412+J413+J414+J415+J362+J363+J364+N450)*L478/100,0)</f>
        <v>75</v>
      </c>
      <c r="Q531" s="16"/>
      <c r="T531" s="772" t="s">
        <v>1948</v>
      </c>
      <c r="U531" s="773"/>
      <c r="V531" s="773"/>
      <c r="W531" s="774"/>
      <c r="X531" s="470">
        <f>ENTRADAS!O792</f>
        <v>60</v>
      </c>
      <c r="Y531" s="775" t="s">
        <v>130</v>
      </c>
    </row>
    <row r="532" spans="1:26" ht="14.25" customHeight="1" x14ac:dyDescent="0.4">
      <c r="A532" s="20"/>
      <c r="C532" s="627" t="str">
        <f ca="1">IF(L478=0,0,"REDUÇÃO do PRAZO DEVIDO aos TRABALHOS em HORAS EXTRAS= "&amp;X539-X549&amp;" dias: "&amp;" ( COM HORAS EXTRAS= "&amp;X549&amp;" dias )")</f>
        <v>REDUÇÃO do PRAZO DEVIDO aos TRABALHOS em HORAS EXTRAS= 18 dias:  ( COM HORAS EXTRAS= 92 dias )</v>
      </c>
      <c r="D532" s="420"/>
      <c r="E532" s="420"/>
      <c r="F532" s="420"/>
      <c r="G532" s="420"/>
      <c r="H532" s="420"/>
      <c r="I532" s="420"/>
      <c r="L532" s="421"/>
      <c r="M532" s="420"/>
      <c r="Q532" s="16"/>
      <c r="T532" s="772" t="s">
        <v>1949</v>
      </c>
      <c r="U532" s="773"/>
      <c r="V532" s="773"/>
      <c r="W532" s="774"/>
      <c r="X532" s="470">
        <f>ENTRADAS!G794</f>
        <v>8</v>
      </c>
      <c r="Y532" s="775" t="s">
        <v>187</v>
      </c>
    </row>
    <row r="533" spans="1:26" x14ac:dyDescent="0.35">
      <c r="A533" s="20"/>
      <c r="C533" s="627"/>
      <c r="E533" s="418"/>
      <c r="L533" s="4"/>
      <c r="M533" s="627"/>
      <c r="O533" s="4"/>
      <c r="Q533" s="16"/>
      <c r="S533" s="4"/>
      <c r="T533" s="772" t="s">
        <v>1950</v>
      </c>
      <c r="U533" s="773"/>
      <c r="V533" s="773"/>
      <c r="W533" s="774"/>
      <c r="X533" s="470">
        <f>ENTRADAS!O794</f>
        <v>60</v>
      </c>
      <c r="Y533" s="775" t="s">
        <v>130</v>
      </c>
    </row>
    <row r="534" spans="1:26" ht="13.15" x14ac:dyDescent="0.4">
      <c r="A534" s="20"/>
      <c r="C534" s="410" t="s">
        <v>1951</v>
      </c>
      <c r="D534" s="411"/>
      <c r="E534" s="411"/>
      <c r="F534" s="411"/>
      <c r="G534" s="411"/>
      <c r="H534" s="411"/>
      <c r="I534" s="411"/>
      <c r="J534" s="10"/>
      <c r="K534" s="10"/>
      <c r="L534" s="36">
        <f ca="1">ROUNDUP(X548,0)</f>
        <v>107</v>
      </c>
      <c r="M534" s="412" t="str">
        <f ca="1">IF(L534&lt;=1,"dia","dias")</f>
        <v>dias</v>
      </c>
      <c r="Q534" s="16"/>
      <c r="T534" s="776" t="s">
        <v>1952</v>
      </c>
      <c r="U534" s="293"/>
      <c r="V534" s="293"/>
      <c r="W534" s="777"/>
      <c r="X534" s="778">
        <f ca="1">ROUNDUP((J290+J291+J292+J293+J294+J382+J412+J413+J414+J415+J362+J363+J364+N450),0)</f>
        <v>101</v>
      </c>
      <c r="Y534" s="779" t="s">
        <v>101</v>
      </c>
      <c r="Z534" s="4"/>
    </row>
    <row r="535" spans="1:26" ht="13.15" x14ac:dyDescent="0.4">
      <c r="A535" s="20"/>
      <c r="C535" s="420"/>
      <c r="D535" s="420"/>
      <c r="E535" s="420"/>
      <c r="F535" s="420"/>
      <c r="G535" s="420"/>
      <c r="H535" s="420"/>
      <c r="I535" s="420"/>
      <c r="L535" s="421"/>
      <c r="M535" s="420"/>
      <c r="Q535" s="16"/>
      <c r="T535" s="809" t="s">
        <v>1953</v>
      </c>
      <c r="U535" s="810"/>
      <c r="V535" s="810"/>
      <c r="W535" s="811"/>
      <c r="X535" s="812">
        <f>J522</f>
        <v>2</v>
      </c>
      <c r="Y535" s="813"/>
    </row>
    <row r="536" spans="1:26" ht="13.15" x14ac:dyDescent="0.4">
      <c r="A536" s="20"/>
      <c r="C536" s="410" t="s">
        <v>627</v>
      </c>
      <c r="D536" s="411"/>
      <c r="E536" s="411"/>
      <c r="F536" s="411"/>
      <c r="G536" s="411"/>
      <c r="H536" s="411"/>
      <c r="I536" s="411"/>
      <c r="J536" s="10"/>
      <c r="K536" s="10"/>
      <c r="L536" s="36">
        <f ca="1">ROUNDUP(X548+J522+(J523*H474),0)</f>
        <v>114</v>
      </c>
      <c r="M536" s="412" t="str">
        <f ca="1">IF(L536&lt;=1,"dia","dias")</f>
        <v>dias</v>
      </c>
      <c r="O536" s="422"/>
      <c r="Q536" s="16"/>
      <c r="T536" s="809" t="s">
        <v>1954</v>
      </c>
      <c r="U536" s="810"/>
      <c r="V536" s="810"/>
      <c r="W536" s="811"/>
      <c r="X536" s="812">
        <f ca="1">(J523*H474)</f>
        <v>5</v>
      </c>
      <c r="Y536" s="813"/>
    </row>
    <row r="537" spans="1:26" x14ac:dyDescent="0.35">
      <c r="A537" s="20"/>
      <c r="C537" s="627"/>
      <c r="E537" s="418"/>
      <c r="L537" s="4"/>
      <c r="M537" s="627"/>
      <c r="Q537" s="16"/>
      <c r="T537" s="809" t="s">
        <v>1955</v>
      </c>
      <c r="U537" s="810"/>
      <c r="V537" s="810"/>
      <c r="W537" s="811"/>
      <c r="X537" s="812">
        <f ca="1">J524</f>
        <v>2</v>
      </c>
      <c r="Y537" s="813"/>
    </row>
    <row r="538" spans="1:26" x14ac:dyDescent="0.35">
      <c r="A538" s="20"/>
      <c r="J538" s="1458" t="s">
        <v>1956</v>
      </c>
      <c r="K538" s="1459"/>
      <c r="L538" s="739" t="s">
        <v>87</v>
      </c>
      <c r="Q538" s="16"/>
      <c r="T538" s="776" t="s">
        <v>1957</v>
      </c>
      <c r="U538" s="293"/>
      <c r="V538" s="293"/>
      <c r="W538" s="777"/>
      <c r="X538" s="778">
        <v>1</v>
      </c>
      <c r="Y538" s="779"/>
      <c r="Z538" s="81">
        <v>30</v>
      </c>
    </row>
    <row r="539" spans="1:26" x14ac:dyDescent="0.35">
      <c r="A539" s="20"/>
      <c r="C539" s="1338" t="s">
        <v>88</v>
      </c>
      <c r="D539" s="1441"/>
      <c r="E539" s="1441"/>
      <c r="F539" s="1441"/>
      <c r="G539" s="1441"/>
      <c r="H539" s="1441"/>
      <c r="I539" s="1339"/>
      <c r="J539" s="1412" t="s">
        <v>1958</v>
      </c>
      <c r="K539" s="1414"/>
      <c r="L539" s="975" t="s">
        <v>90</v>
      </c>
      <c r="Q539" s="16"/>
      <c r="T539" s="776" t="s">
        <v>1959</v>
      </c>
      <c r="U539" s="293"/>
      <c r="V539" s="293"/>
      <c r="W539" s="777"/>
      <c r="X539" s="778">
        <f ca="1">IF(I11=0,0,IF(Z539&lt;Z538,Z538,Z539))</f>
        <v>110</v>
      </c>
      <c r="Y539" s="779" t="s">
        <v>101</v>
      </c>
      <c r="Z539" s="32">
        <f ca="1">IF(ENTRADAS!L731="X",ROUNDUP((J290+J291+J292+J293+J294+J382+J412+J413+J414+J415+J362+J363+J364+N450+X535+X536+X537)*X538,0),ROUNDUP((J290+J291+J292+J293+J294+J382+J412+J413+J414+J415+J362+J363+J364+N450),0))</f>
        <v>110</v>
      </c>
    </row>
    <row r="540" spans="1:26" x14ac:dyDescent="0.35">
      <c r="A540" s="20"/>
      <c r="C540" s="740" t="s">
        <v>714</v>
      </c>
      <c r="D540" s="983"/>
      <c r="E540" s="983"/>
      <c r="F540" s="983"/>
      <c r="G540" s="983"/>
      <c r="H540" s="983"/>
      <c r="I540" s="983"/>
      <c r="J540" s="982">
        <f ca="1">C426*9*((J290+J291+J292+J293+J294+J382+J412+J413+J414+J415+J362+J363+J364+N450))</f>
        <v>909</v>
      </c>
      <c r="K540" s="984"/>
      <c r="L540" s="975">
        <f ca="1">J540+0</f>
        <v>909</v>
      </c>
      <c r="M540" s="627" t="s">
        <v>92</v>
      </c>
      <c r="Q540" s="16"/>
      <c r="T540" s="776" t="s">
        <v>1960</v>
      </c>
      <c r="U540" s="293"/>
      <c r="V540" s="293"/>
      <c r="W540" s="777"/>
      <c r="X540" s="778">
        <f ca="1">IF(X532&gt;0,X539/6,0)</f>
        <v>18.333333333333332</v>
      </c>
      <c r="Y540" s="779" t="s">
        <v>1961</v>
      </c>
    </row>
    <row r="541" spans="1:26" x14ac:dyDescent="0.35">
      <c r="A541" s="20"/>
      <c r="C541" s="740" t="s">
        <v>91</v>
      </c>
      <c r="D541" s="399"/>
      <c r="E541" s="1016"/>
      <c r="F541" s="399"/>
      <c r="G541" s="1015"/>
      <c r="H541" s="1015"/>
      <c r="I541" s="399"/>
      <c r="J541" s="423">
        <f ca="1">C427*9*((J290+J291+J292+J293+J294+J382+J412+J413+J414+J415+J362+J363+J364+N450))</f>
        <v>1545.3</v>
      </c>
      <c r="K541" s="629"/>
      <c r="L541" s="250">
        <f ca="1">J541+J541*$L$478/100</f>
        <v>1931.625</v>
      </c>
      <c r="M541" s="627" t="s">
        <v>92</v>
      </c>
      <c r="N541" s="4"/>
      <c r="O541" s="4"/>
      <c r="Q541" s="16"/>
      <c r="T541" s="776" t="s">
        <v>1962</v>
      </c>
      <c r="U541" s="293"/>
      <c r="V541" s="293"/>
      <c r="W541" s="777"/>
      <c r="X541" s="778">
        <f ca="1">IF(I11=0,0,IF(Z541&lt;Z538,Z538,Z541))</f>
        <v>91.666666666666671</v>
      </c>
      <c r="Y541" s="779" t="s">
        <v>101</v>
      </c>
      <c r="Z541" s="385">
        <f ca="1">X539-X540</f>
        <v>91.666666666666671</v>
      </c>
    </row>
    <row r="542" spans="1:26" x14ac:dyDescent="0.35">
      <c r="A542" s="20"/>
      <c r="C542" s="740" t="s">
        <v>93</v>
      </c>
      <c r="D542" s="399"/>
      <c r="E542" s="1016"/>
      <c r="F542" s="399"/>
      <c r="G542" s="1015"/>
      <c r="H542" s="1015"/>
      <c r="I542" s="399"/>
      <c r="J542" s="423">
        <f ca="1">C428*9*((J290+J291+J292+J293+J294+J382+J412+J413+J414+J415+J362+J363+J364+N450))</f>
        <v>909</v>
      </c>
      <c r="K542" s="748"/>
      <c r="L542" s="250">
        <f ca="1">J542+J542*$L$478/100</f>
        <v>1136.25</v>
      </c>
      <c r="M542" s="627" t="s">
        <v>92</v>
      </c>
      <c r="O542" s="4"/>
      <c r="Q542" s="16"/>
      <c r="T542" s="776" t="s">
        <v>1963</v>
      </c>
      <c r="U542" s="293"/>
      <c r="V542" s="293"/>
      <c r="W542" s="777"/>
      <c r="X542" s="778">
        <f ca="1">IF(X532&gt;0,X541/6,X541/5)</f>
        <v>15.277777777777779</v>
      </c>
      <c r="Y542" s="779" t="s">
        <v>1964</v>
      </c>
    </row>
    <row r="543" spans="1:26" x14ac:dyDescent="0.35">
      <c r="A543" s="20"/>
      <c r="C543" s="740" t="s">
        <v>94</v>
      </c>
      <c r="D543" s="399"/>
      <c r="E543" s="1016"/>
      <c r="F543" s="399"/>
      <c r="G543" s="1015"/>
      <c r="H543" s="1015"/>
      <c r="I543" s="399"/>
      <c r="J543" s="423">
        <f ca="1">C429*9*((J290+J291+J292+J293+J294+J382+J412+J413+J414+J415+J362+J363+J364+N450))</f>
        <v>0</v>
      </c>
      <c r="K543" s="748"/>
      <c r="L543" s="250">
        <f ca="1">J543+J543*$L$478/100</f>
        <v>0</v>
      </c>
      <c r="M543" s="627" t="s">
        <v>92</v>
      </c>
      <c r="O543" s="4"/>
      <c r="Q543" s="16"/>
      <c r="T543" s="776" t="s">
        <v>1965</v>
      </c>
      <c r="U543" s="293"/>
      <c r="V543" s="293"/>
      <c r="W543" s="777"/>
      <c r="X543" s="778">
        <f ca="1">X541+X540+X542</f>
        <v>125.27777777777777</v>
      </c>
      <c r="Y543" s="779" t="s">
        <v>101</v>
      </c>
      <c r="Z543" s="627"/>
    </row>
    <row r="544" spans="1:26" x14ac:dyDescent="0.35">
      <c r="A544" s="20"/>
      <c r="C544" s="740" t="s">
        <v>95</v>
      </c>
      <c r="D544" s="399"/>
      <c r="E544" s="1016"/>
      <c r="F544" s="399"/>
      <c r="G544" s="1015"/>
      <c r="H544" s="1015"/>
      <c r="I544" s="399"/>
      <c r="J544" s="424">
        <f ca="1">C430*9*C423*((J290+J291+J292+J293+J294+J382+J412+J413+J414+J415+J362+J363+J364+N450))</f>
        <v>7272</v>
      </c>
      <c r="K544" s="1019"/>
      <c r="L544" s="250">
        <f ca="1">J544+J544*$L$478/100</f>
        <v>9090</v>
      </c>
      <c r="M544" s="627" t="s">
        <v>92</v>
      </c>
      <c r="N544" s="4"/>
      <c r="Q544" s="16"/>
      <c r="T544" s="780" t="s">
        <v>1966</v>
      </c>
      <c r="U544" s="781"/>
      <c r="V544" s="781"/>
      <c r="W544" s="782"/>
      <c r="X544" s="783">
        <f>IF(X532&gt;0,0,X539/5)</f>
        <v>0</v>
      </c>
      <c r="Y544" s="784" t="s">
        <v>1967</v>
      </c>
    </row>
    <row r="545" spans="1:25" x14ac:dyDescent="0.35">
      <c r="A545" s="20"/>
      <c r="C545" s="740" t="s">
        <v>96</v>
      </c>
      <c r="D545" s="399"/>
      <c r="E545" s="1016"/>
      <c r="F545" s="399"/>
      <c r="G545" s="1015"/>
      <c r="H545" s="1015"/>
      <c r="I545" s="399"/>
      <c r="J545" s="424">
        <f ca="1">C431*C423*9*C423*((J290+J291+J292+J293+J294+J382+J412+J413+J414+J415+J362+J363+J364+N450))</f>
        <v>909</v>
      </c>
      <c r="K545" s="1019"/>
      <c r="L545" s="250">
        <f ca="1">J545+J545*$L$478/100</f>
        <v>1136.25</v>
      </c>
      <c r="M545" s="627" t="s">
        <v>92</v>
      </c>
      <c r="Q545" s="16"/>
      <c r="T545" s="780" t="s">
        <v>1968</v>
      </c>
      <c r="U545" s="781"/>
      <c r="V545" s="781"/>
      <c r="W545" s="782"/>
      <c r="X545" s="783">
        <f ca="1">IF(X532&gt;0,X541/6,0)</f>
        <v>15.277777777777779</v>
      </c>
      <c r="Y545" s="784" t="s">
        <v>1967</v>
      </c>
    </row>
    <row r="546" spans="1:25" x14ac:dyDescent="0.35">
      <c r="A546" s="20"/>
      <c r="C546" s="627"/>
      <c r="E546" s="688"/>
      <c r="G546" s="627"/>
      <c r="H546" s="627"/>
      <c r="J546" s="368"/>
      <c r="K546" s="627"/>
      <c r="L546" s="4"/>
      <c r="M546" s="627"/>
      <c r="Q546" s="16"/>
      <c r="T546" s="785" t="s">
        <v>1969</v>
      </c>
      <c r="U546" s="786"/>
      <c r="V546" s="786"/>
      <c r="W546" s="787"/>
      <c r="X546" s="788">
        <f ca="1">IF(X532&gt;0,(X545*X530*(1+X531/100)/8),(X544*X530*(1+X531/100)/8))</f>
        <v>9.1666666666666679</v>
      </c>
      <c r="Y546" s="789" t="s">
        <v>101</v>
      </c>
    </row>
    <row r="547" spans="1:25" x14ac:dyDescent="0.35">
      <c r="A547" s="20"/>
      <c r="C547" s="1318" t="s">
        <v>97</v>
      </c>
      <c r="D547" s="1319"/>
      <c r="E547" s="1319"/>
      <c r="F547" s="1319"/>
      <c r="G547" s="1319"/>
      <c r="H547" s="1319"/>
      <c r="I547" s="1400"/>
      <c r="J547" s="948" t="s">
        <v>86</v>
      </c>
      <c r="K547" s="15"/>
      <c r="L547" s="739" t="s">
        <v>86</v>
      </c>
      <c r="Q547" s="16"/>
      <c r="T547" s="785" t="s">
        <v>1970</v>
      </c>
      <c r="U547" s="786"/>
      <c r="V547" s="786"/>
      <c r="W547" s="787"/>
      <c r="X547" s="788">
        <f ca="1">IF(X532&gt;0,(X545*X532*(X533/100)/8),0)</f>
        <v>9.1666666666666661</v>
      </c>
      <c r="Y547" s="789" t="s">
        <v>101</v>
      </c>
    </row>
    <row r="548" spans="1:25" x14ac:dyDescent="0.35">
      <c r="A548" s="20"/>
      <c r="C548" s="1471"/>
      <c r="D548" s="1472"/>
      <c r="E548" s="1472"/>
      <c r="F548" s="1472"/>
      <c r="G548" s="1472"/>
      <c r="H548" s="1472"/>
      <c r="I548" s="1473"/>
      <c r="J548" s="949" t="s">
        <v>89</v>
      </c>
      <c r="K548" s="17"/>
      <c r="L548" s="975" t="s">
        <v>89</v>
      </c>
      <c r="Q548" s="16"/>
      <c r="T548" s="633" t="s">
        <v>1971</v>
      </c>
      <c r="U548" s="10"/>
      <c r="V548" s="10"/>
      <c r="W548" s="6"/>
      <c r="X548" s="7">
        <f ca="1">ROUNDUP((X544+X545)*7,0)</f>
        <v>107</v>
      </c>
      <c r="Y548" s="630" t="s">
        <v>1972</v>
      </c>
    </row>
    <row r="549" spans="1:25" x14ac:dyDescent="0.35">
      <c r="A549" s="20"/>
      <c r="C549" s="740" t="s">
        <v>91</v>
      </c>
      <c r="D549" s="399"/>
      <c r="E549" s="1016"/>
      <c r="F549" s="399"/>
      <c r="G549" s="1015"/>
      <c r="H549" s="1015"/>
      <c r="I549" s="399"/>
      <c r="J549" s="425">
        <f ca="1">IF(I11=0,0,J541/($F$83))</f>
        <v>0.35565344675209898</v>
      </c>
      <c r="K549" s="973"/>
      <c r="L549" s="426">
        <f ca="1">IF($I$11=0,0,L541/$F$83)</f>
        <v>0.44456680844012375</v>
      </c>
      <c r="M549" s="627" t="s">
        <v>98</v>
      </c>
      <c r="Q549" s="16"/>
      <c r="T549" s="633" t="s">
        <v>1973</v>
      </c>
      <c r="U549" s="10"/>
      <c r="V549" s="10"/>
      <c r="W549" s="6"/>
      <c r="X549" s="7">
        <f ca="1">ROUNDUP(X541,0)</f>
        <v>92</v>
      </c>
      <c r="Y549" s="630" t="s">
        <v>1972</v>
      </c>
    </row>
    <row r="550" spans="1:25" x14ac:dyDescent="0.35">
      <c r="A550" s="20"/>
      <c r="C550" s="740" t="s">
        <v>93</v>
      </c>
      <c r="D550" s="399"/>
      <c r="E550" s="1016"/>
      <c r="F550" s="399"/>
      <c r="G550" s="1015"/>
      <c r="H550" s="1015"/>
      <c r="I550" s="399"/>
      <c r="J550" s="425">
        <f ca="1">J542/($F$83)</f>
        <v>0.20920790985417587</v>
      </c>
      <c r="K550" s="984"/>
      <c r="L550" s="426">
        <f ca="1">IF($I$11=0,0,L542/$F$83)</f>
        <v>0.26150988731771985</v>
      </c>
      <c r="M550" s="627" t="s">
        <v>98</v>
      </c>
      <c r="Q550" s="16"/>
      <c r="T550" s="633" t="s">
        <v>1974</v>
      </c>
      <c r="U550" s="10"/>
      <c r="V550" s="10"/>
      <c r="W550" s="6"/>
      <c r="X550" s="7">
        <f ca="1">X548-X549</f>
        <v>15</v>
      </c>
      <c r="Y550" s="630" t="s">
        <v>1972</v>
      </c>
    </row>
    <row r="551" spans="1:25" x14ac:dyDescent="0.35">
      <c r="A551" s="20"/>
      <c r="C551" s="740" t="s">
        <v>94</v>
      </c>
      <c r="D551" s="399"/>
      <c r="E551" s="1016"/>
      <c r="F551" s="399"/>
      <c r="G551" s="1015"/>
      <c r="H551" s="1015"/>
      <c r="I551" s="399"/>
      <c r="J551" s="425">
        <f ca="1">J543/($F$83)</f>
        <v>0</v>
      </c>
      <c r="K551" s="984"/>
      <c r="L551" s="426">
        <f ca="1">IF($I$11=0,0,L543/$F$83)</f>
        <v>0</v>
      </c>
      <c r="M551" s="627" t="s">
        <v>98</v>
      </c>
      <c r="Q551" s="16"/>
      <c r="T551" s="633" t="s">
        <v>1975</v>
      </c>
      <c r="U551" s="10"/>
      <c r="V551" s="10"/>
      <c r="W551" s="6"/>
      <c r="X551" s="7">
        <f ca="1">ROUNDUP((X544+X545)*7+X546+X547,0)</f>
        <v>126</v>
      </c>
      <c r="Y551" s="630" t="s">
        <v>1972</v>
      </c>
    </row>
    <row r="552" spans="1:25" x14ac:dyDescent="0.35">
      <c r="A552" s="20"/>
      <c r="C552" s="740" t="s">
        <v>95</v>
      </c>
      <c r="D552" s="399"/>
      <c r="E552" s="1016"/>
      <c r="F552" s="399"/>
      <c r="G552" s="1015"/>
      <c r="H552" s="1015"/>
      <c r="I552" s="399"/>
      <c r="J552" s="425">
        <f ca="1">IF(I11=0,0,J544/($F$83))</f>
        <v>1.6736632788334069</v>
      </c>
      <c r="K552" s="1019"/>
      <c r="L552" s="426">
        <f ca="1">IF($I$11=0,0,L544/$F$83)</f>
        <v>2.0920790985417588</v>
      </c>
      <c r="M552" s="627" t="s">
        <v>98</v>
      </c>
      <c r="Q552" s="16"/>
    </row>
    <row r="553" spans="1:25" x14ac:dyDescent="0.35">
      <c r="A553" s="20"/>
      <c r="C553" s="740" t="s">
        <v>96</v>
      </c>
      <c r="D553" s="399"/>
      <c r="E553" s="1016"/>
      <c r="F553" s="399"/>
      <c r="G553" s="1015"/>
      <c r="H553" s="1015"/>
      <c r="I553" s="399"/>
      <c r="J553" s="425">
        <f ca="1">IF(I11=0,0,J545/($F$83))</f>
        <v>0.20920790985417587</v>
      </c>
      <c r="K553" s="1019"/>
      <c r="L553" s="426">
        <f ca="1">IF($I$11=0,0,L545/$F$83)</f>
        <v>0.26150988731771985</v>
      </c>
      <c r="M553" s="627" t="s">
        <v>98</v>
      </c>
      <c r="Q553" s="16"/>
    </row>
    <row r="554" spans="1:25" x14ac:dyDescent="0.35">
      <c r="A554" s="20"/>
      <c r="C554" s="627"/>
      <c r="E554" s="418"/>
      <c r="I554" s="427" t="s">
        <v>99</v>
      </c>
      <c r="J554" s="428">
        <f ca="1">IF($I$11=0,0,J552+J553)</f>
        <v>1.8828711886875829</v>
      </c>
      <c r="K554" s="629"/>
      <c r="L554" s="428">
        <f ca="1">IF($I$11=0,0,L552+L553)</f>
        <v>2.3535889858594787</v>
      </c>
      <c r="M554" s="627" t="s">
        <v>98</v>
      </c>
      <c r="Q554" s="16"/>
    </row>
    <row r="555" spans="1:25" x14ac:dyDescent="0.35">
      <c r="A555" s="20"/>
      <c r="C555" s="627"/>
      <c r="E555" s="418"/>
      <c r="L555" s="4"/>
      <c r="M555" s="627"/>
      <c r="Q555" s="16"/>
    </row>
    <row r="556" spans="1:25" x14ac:dyDescent="0.35">
      <c r="A556" s="20"/>
      <c r="C556" s="1318" t="s">
        <v>100</v>
      </c>
      <c r="D556" s="1319"/>
      <c r="E556" s="1319"/>
      <c r="F556" s="1319"/>
      <c r="G556" s="1319"/>
      <c r="H556" s="1319"/>
      <c r="I556" s="1319"/>
      <c r="J556" s="1319"/>
      <c r="K556" s="1400"/>
      <c r="L556" s="739" t="s">
        <v>101</v>
      </c>
      <c r="Q556" s="16"/>
    </row>
    <row r="557" spans="1:25" x14ac:dyDescent="0.35">
      <c r="A557" s="20"/>
      <c r="C557" s="1471"/>
      <c r="D557" s="1472"/>
      <c r="E557" s="1472"/>
      <c r="F557" s="1472"/>
      <c r="G557" s="1472"/>
      <c r="H557" s="1472"/>
      <c r="I557" s="1472"/>
      <c r="J557" s="1472"/>
      <c r="K557" s="1473"/>
      <c r="L557" s="975" t="s">
        <v>102</v>
      </c>
      <c r="O557" s="627" t="s">
        <v>1976</v>
      </c>
      <c r="P557" s="627" t="s">
        <v>841</v>
      </c>
      <c r="Q557" s="16"/>
    </row>
    <row r="558" spans="1:25" x14ac:dyDescent="0.35">
      <c r="A558" s="20"/>
      <c r="C558" s="740" t="s">
        <v>1977</v>
      </c>
      <c r="D558" s="1093"/>
      <c r="E558" s="1093"/>
      <c r="F558" s="1093"/>
      <c r="G558" s="1093"/>
      <c r="H558" s="1093"/>
      <c r="I558" s="1093"/>
      <c r="J558" s="1093"/>
      <c r="K558" s="1094"/>
      <c r="L558" s="1135">
        <f ca="1">O558</f>
        <v>114</v>
      </c>
      <c r="M558" s="627" t="s">
        <v>103</v>
      </c>
      <c r="O558">
        <f ca="1">$C$423*C426*(X548+J522+J523*H474)</f>
        <v>114</v>
      </c>
      <c r="P558">
        <f ca="1">$L$536*$C$423*C426+((L540-J540)*($L$480/100))/8</f>
        <v>114</v>
      </c>
      <c r="Q558" s="16"/>
    </row>
    <row r="559" spans="1:25" x14ac:dyDescent="0.35">
      <c r="A559" s="20"/>
      <c r="C559" s="740" t="s">
        <v>1978</v>
      </c>
      <c r="D559" s="399"/>
      <c r="E559" s="1016"/>
      <c r="F559" s="399"/>
      <c r="G559" s="1015"/>
      <c r="H559" s="1015"/>
      <c r="I559" s="10"/>
      <c r="J559" s="371"/>
      <c r="K559" s="629"/>
      <c r="L559" s="1135">
        <f t="shared" ref="L559:L563" ca="1" si="39">O559</f>
        <v>214.2</v>
      </c>
      <c r="M559" s="627" t="s">
        <v>103</v>
      </c>
      <c r="O559">
        <f ca="1">$C$423*C427*X551</f>
        <v>214.2</v>
      </c>
      <c r="P559">
        <f t="shared" ref="P559:P563" ca="1" si="40">$L$536*$C$423*C427+((L541-J541)*($L$480/100))/8</f>
        <v>222.77437499999999</v>
      </c>
      <c r="Q559" s="16"/>
    </row>
    <row r="560" spans="1:25" x14ac:dyDescent="0.35">
      <c r="A560" s="20"/>
      <c r="C560" s="740" t="s">
        <v>1979</v>
      </c>
      <c r="D560" s="399"/>
      <c r="E560" s="1016"/>
      <c r="F560" s="399"/>
      <c r="G560" s="1015"/>
      <c r="H560" s="1015"/>
      <c r="I560" s="3"/>
      <c r="J560" s="371"/>
      <c r="K560" s="748"/>
      <c r="L560" s="1135">
        <f t="shared" ca="1" si="39"/>
        <v>126</v>
      </c>
      <c r="M560" s="627" t="s">
        <v>103</v>
      </c>
      <c r="O560">
        <f ca="1">$C$423*C428*X551</f>
        <v>126</v>
      </c>
      <c r="P560">
        <f t="shared" ca="1" si="40"/>
        <v>131.04374999999999</v>
      </c>
      <c r="Q560" s="16"/>
    </row>
    <row r="561" spans="1:17" x14ac:dyDescent="0.35">
      <c r="A561" s="20"/>
      <c r="C561" s="740" t="s">
        <v>1980</v>
      </c>
      <c r="D561" s="399"/>
      <c r="E561" s="1016"/>
      <c r="F561" s="399"/>
      <c r="G561" s="1015"/>
      <c r="H561" s="1015"/>
      <c r="I561" s="3"/>
      <c r="J561" s="371"/>
      <c r="K561" s="748"/>
      <c r="L561" s="1135">
        <f t="shared" ca="1" si="39"/>
        <v>0</v>
      </c>
      <c r="M561" s="627" t="s">
        <v>103</v>
      </c>
      <c r="O561">
        <f ca="1">$C$423*C429*X551</f>
        <v>0</v>
      </c>
      <c r="P561">
        <f t="shared" ca="1" si="40"/>
        <v>0</v>
      </c>
      <c r="Q561" s="16"/>
    </row>
    <row r="562" spans="1:17" x14ac:dyDescent="0.35">
      <c r="A562" s="20"/>
      <c r="C562" s="740" t="s">
        <v>1981</v>
      </c>
      <c r="D562" s="399"/>
      <c r="E562" s="1016"/>
      <c r="F562" s="399"/>
      <c r="G562" s="1015"/>
      <c r="H562" s="1015"/>
      <c r="I562" s="399"/>
      <c r="J562" s="371"/>
      <c r="K562" s="1019"/>
      <c r="L562" s="1135">
        <f t="shared" ca="1" si="39"/>
        <v>1008</v>
      </c>
      <c r="M562" s="627" t="s">
        <v>103</v>
      </c>
      <c r="O562">
        <f ca="1">$C$423*C430*X551</f>
        <v>1008</v>
      </c>
      <c r="P562">
        <f t="shared" ca="1" si="40"/>
        <v>1048.3499999999999</v>
      </c>
      <c r="Q562" s="16"/>
    </row>
    <row r="563" spans="1:17" x14ac:dyDescent="0.35">
      <c r="A563" s="20"/>
      <c r="C563" s="740" t="s">
        <v>1982</v>
      </c>
      <c r="D563" s="399"/>
      <c r="E563" s="1016"/>
      <c r="F563" s="399"/>
      <c r="G563" s="1015"/>
      <c r="H563" s="1015"/>
      <c r="I563" s="399"/>
      <c r="J563" s="371"/>
      <c r="K563" s="1019"/>
      <c r="L563" s="1135">
        <f t="shared" ca="1" si="39"/>
        <v>126</v>
      </c>
      <c r="M563" s="627" t="s">
        <v>103</v>
      </c>
      <c r="O563">
        <f ca="1">$C$423*C431*X551</f>
        <v>126</v>
      </c>
      <c r="P563">
        <f t="shared" ca="1" si="40"/>
        <v>131.04374999999999</v>
      </c>
      <c r="Q563" s="16"/>
    </row>
    <row r="564" spans="1:17" x14ac:dyDescent="0.35">
      <c r="A564" s="20"/>
      <c r="Q564" s="16"/>
    </row>
    <row r="565" spans="1:17" x14ac:dyDescent="0.35">
      <c r="A565" s="20"/>
      <c r="C565" s="1338" t="s">
        <v>104</v>
      </c>
      <c r="D565" s="1441"/>
      <c r="E565" s="1441"/>
      <c r="F565" s="1441"/>
      <c r="G565" s="1441"/>
      <c r="H565" s="1441"/>
      <c r="I565" s="1441"/>
      <c r="J565" s="1441"/>
      <c r="K565" s="1441"/>
      <c r="L565" s="1339"/>
      <c r="Q565" s="16"/>
    </row>
    <row r="566" spans="1:17" x14ac:dyDescent="0.35">
      <c r="A566" s="20"/>
      <c r="C566" s="633" t="s">
        <v>1983</v>
      </c>
      <c r="D566" s="10"/>
      <c r="E566" s="10"/>
      <c r="F566" s="10"/>
      <c r="G566" s="10"/>
      <c r="H566" s="10"/>
      <c r="I566" s="10"/>
      <c r="J566" s="371"/>
      <c r="K566" s="6"/>
      <c r="L566" s="660">
        <f ca="1">ROUND(SUM($C$426:$C$431)*$C$423/200*($G$44+$G$46+$G$50*F15),0)</f>
        <v>15</v>
      </c>
      <c r="M566" s="627" t="s">
        <v>46</v>
      </c>
      <c r="Q566" s="16"/>
    </row>
    <row r="567" spans="1:17" x14ac:dyDescent="0.35">
      <c r="A567" s="20"/>
      <c r="C567" s="633" t="s">
        <v>1984</v>
      </c>
      <c r="D567" s="10"/>
      <c r="E567" s="10"/>
      <c r="F567" s="10"/>
      <c r="G567" s="10"/>
      <c r="H567" s="10"/>
      <c r="I567" s="10"/>
      <c r="J567" s="371"/>
      <c r="K567" s="6"/>
      <c r="L567" s="660">
        <f ca="1">ROUND(SUM($C$426:$C$431)*$C$423/200*($G$44+$G$46+$G$50)*F15,0)</f>
        <v>16</v>
      </c>
      <c r="M567" s="627" t="s">
        <v>46</v>
      </c>
      <c r="Q567" s="16"/>
    </row>
    <row r="568" spans="1:17" x14ac:dyDescent="0.35">
      <c r="A568" s="20"/>
      <c r="C568" s="633" t="s">
        <v>1985</v>
      </c>
      <c r="D568" s="10"/>
      <c r="E568" s="10"/>
      <c r="F568" s="10"/>
      <c r="G568" s="10"/>
      <c r="H568" s="10"/>
      <c r="I568" s="10"/>
      <c r="J568" s="371"/>
      <c r="K568" s="6"/>
      <c r="L568" s="660">
        <f ca="1">ROUND(SUM($C$426:$C$431)*$C$423/150*($G$44+$G$46+$G$50)*F15,0)</f>
        <v>21</v>
      </c>
      <c r="M568" s="627" t="s">
        <v>46</v>
      </c>
      <c r="Q568" s="16"/>
    </row>
    <row r="569" spans="1:17" x14ac:dyDescent="0.35">
      <c r="A569" s="20"/>
      <c r="C569" s="633" t="s">
        <v>1986</v>
      </c>
      <c r="D569" s="10"/>
      <c r="E569" s="10"/>
      <c r="F569" s="10"/>
      <c r="G569" s="10"/>
      <c r="H569" s="10"/>
      <c r="I569" s="10"/>
      <c r="J569" s="371"/>
      <c r="K569" s="6"/>
      <c r="L569" s="660">
        <f ca="1">ROUND(SUM($C$426:$C$431)*$C$423/100*($G$44+$G$46+$G$50)*F15,0)</f>
        <v>31</v>
      </c>
      <c r="M569" s="627" t="s">
        <v>46</v>
      </c>
      <c r="Q569" s="16"/>
    </row>
    <row r="570" spans="1:17" x14ac:dyDescent="0.35">
      <c r="A570" s="20"/>
      <c r="C570" s="633" t="s">
        <v>1987</v>
      </c>
      <c r="D570" s="10"/>
      <c r="E570" s="10"/>
      <c r="F570" s="10"/>
      <c r="G570" s="10"/>
      <c r="H570" s="10"/>
      <c r="I570" s="10"/>
      <c r="J570" s="371"/>
      <c r="K570" s="6"/>
      <c r="L570" s="660">
        <f ca="1">ROUND(SUM($C$426:$C$431)*$C$423/400*($G$44+$G$46+$G$50)*F15,0)</f>
        <v>8</v>
      </c>
      <c r="M570" s="627" t="s">
        <v>46</v>
      </c>
      <c r="Q570" s="16"/>
    </row>
    <row r="571" spans="1:17" x14ac:dyDescent="0.35">
      <c r="A571" s="20"/>
      <c r="C571" s="633" t="s">
        <v>1988</v>
      </c>
      <c r="D571" s="10"/>
      <c r="E571" s="10"/>
      <c r="F571" s="10"/>
      <c r="G571" s="10"/>
      <c r="H571" s="10"/>
      <c r="I571" s="10"/>
      <c r="J571" s="371"/>
      <c r="K571" s="6"/>
      <c r="L571" s="660">
        <f ca="1">ROUND(SUM($C$426:$C$431)*$C$423/60*($G$44+$G$46+$G$50)*F15,0)</f>
        <v>52</v>
      </c>
      <c r="M571" s="627" t="s">
        <v>46</v>
      </c>
      <c r="Q571" s="16"/>
    </row>
    <row r="572" spans="1:17" x14ac:dyDescent="0.35">
      <c r="A572" s="20"/>
      <c r="C572" s="633" t="s">
        <v>1989</v>
      </c>
      <c r="D572" s="10"/>
      <c r="E572" s="10"/>
      <c r="F572" s="10"/>
      <c r="G572" s="10"/>
      <c r="H572" s="10"/>
      <c r="I572" s="10"/>
      <c r="J572" s="371"/>
      <c r="K572" s="6"/>
      <c r="L572" s="660">
        <f ca="1">ROUND(SUM($C$426:$C$431)*$C$423/60*($G$44+$G$46+$G$50)*F15,0)</f>
        <v>52</v>
      </c>
      <c r="M572" s="627" t="s">
        <v>46</v>
      </c>
      <c r="Q572" s="16"/>
    </row>
    <row r="573" spans="1:17" x14ac:dyDescent="0.35">
      <c r="A573" s="20"/>
      <c r="C573" s="633" t="s">
        <v>1990</v>
      </c>
      <c r="D573" s="10"/>
      <c r="E573" s="10"/>
      <c r="F573" s="10"/>
      <c r="G573" s="10"/>
      <c r="H573" s="10"/>
      <c r="I573" s="10"/>
      <c r="J573" s="371"/>
      <c r="K573" s="6"/>
      <c r="L573" s="660">
        <f ca="1">ROUND(SUM($C$426:$C$431)*$C$423/100*($G$44+$G$46+$G$50)*F15,0)</f>
        <v>31</v>
      </c>
      <c r="M573" s="627" t="s">
        <v>46</v>
      </c>
      <c r="Q573" s="16"/>
    </row>
    <row r="574" spans="1:17" x14ac:dyDescent="0.35">
      <c r="A574" s="20"/>
      <c r="C574" s="633" t="s">
        <v>1991</v>
      </c>
      <c r="D574" s="10"/>
      <c r="E574" s="10"/>
      <c r="F574" s="10"/>
      <c r="G574" s="10"/>
      <c r="H574" s="10"/>
      <c r="I574" s="10"/>
      <c r="J574" s="371"/>
      <c r="K574" s="6"/>
      <c r="L574" s="660">
        <f ca="1">ROUND(SUM($C$426:$C$431)*$C$423/100*($G$44+$G$46+$G$50)*F15,0)</f>
        <v>31</v>
      </c>
      <c r="M574" s="627" t="s">
        <v>46</v>
      </c>
      <c r="Q574" s="16"/>
    </row>
    <row r="575" spans="1:17" x14ac:dyDescent="0.35">
      <c r="A575" s="20"/>
      <c r="C575" s="633" t="s">
        <v>1992</v>
      </c>
      <c r="D575" s="10"/>
      <c r="E575" s="10"/>
      <c r="F575" s="10"/>
      <c r="G575" s="10"/>
      <c r="H575" s="10"/>
      <c r="I575" s="10"/>
      <c r="J575" s="371"/>
      <c r="K575" s="6"/>
      <c r="L575" s="660">
        <f ca="1">ROUND(SUM($C$426:$C$431)*$C$423/100*($G$44+$G$46+$G$50)*F15,0)</f>
        <v>31</v>
      </c>
      <c r="M575" s="627" t="s">
        <v>46</v>
      </c>
      <c r="Q575" s="16"/>
    </row>
    <row r="576" spans="1:17" x14ac:dyDescent="0.35">
      <c r="A576" s="20"/>
      <c r="C576" s="633" t="s">
        <v>1993</v>
      </c>
      <c r="D576" s="10"/>
      <c r="E576" s="10"/>
      <c r="F576" s="10"/>
      <c r="G576" s="10"/>
      <c r="H576" s="10"/>
      <c r="I576" s="10"/>
      <c r="J576" s="371"/>
      <c r="K576" s="6"/>
      <c r="L576" s="660">
        <f ca="1">ROUND(SUM($C$426:$C$431)*$C$423/200*($G$44+$G$46+$G$50)*F15,0)</f>
        <v>16</v>
      </c>
      <c r="M576" s="627" t="s">
        <v>46</v>
      </c>
      <c r="Q576" s="16"/>
    </row>
    <row r="577" spans="1:17" x14ac:dyDescent="0.35">
      <c r="A577" s="20"/>
      <c r="C577" s="633" t="s">
        <v>1994</v>
      </c>
      <c r="D577" s="10"/>
      <c r="E577" s="10"/>
      <c r="F577" s="10"/>
      <c r="G577" s="10"/>
      <c r="H577" s="10"/>
      <c r="I577" s="10"/>
      <c r="J577" s="371"/>
      <c r="K577" s="6"/>
      <c r="L577" s="660">
        <f ca="1">ROUND(SUM($C$426:$C$431)*$C$423/30*($G$44+$G$46+$G$50)*F15,0)</f>
        <v>105</v>
      </c>
      <c r="M577" s="627" t="s">
        <v>46</v>
      </c>
      <c r="Q577" s="16"/>
    </row>
    <row r="578" spans="1:17" x14ac:dyDescent="0.35">
      <c r="A578" s="20"/>
      <c r="C578" s="633" t="s">
        <v>1995</v>
      </c>
      <c r="D578" s="10"/>
      <c r="E578" s="10"/>
      <c r="F578" s="10"/>
      <c r="G578" s="10"/>
      <c r="H578" s="10"/>
      <c r="I578" s="10"/>
      <c r="J578" s="371"/>
      <c r="K578" s="6"/>
      <c r="L578" s="660">
        <f ca="1">ROUND(SUM($C$426:$C$431)*$C$423/200*($G$44+$G$46+$G$50)*F15,0)</f>
        <v>16</v>
      </c>
      <c r="M578" s="627" t="s">
        <v>46</v>
      </c>
      <c r="Q578" s="16"/>
    </row>
    <row r="579" spans="1:17" x14ac:dyDescent="0.35">
      <c r="A579" s="20"/>
      <c r="C579" s="633" t="s">
        <v>1996</v>
      </c>
      <c r="D579" s="10"/>
      <c r="E579" s="10"/>
      <c r="F579" s="10"/>
      <c r="G579" s="10"/>
      <c r="H579" s="10"/>
      <c r="I579" s="10"/>
      <c r="J579" s="371"/>
      <c r="K579" s="6"/>
      <c r="L579" s="660">
        <f ca="1">ROUND(SUM($C$426:$C$431)*$C$423/400*($G$44+$G$46+$G$50)*F15,0)</f>
        <v>8</v>
      </c>
      <c r="M579" s="627" t="s">
        <v>46</v>
      </c>
      <c r="Q579" s="16"/>
    </row>
    <row r="580" spans="1:17" x14ac:dyDescent="0.35">
      <c r="A580" s="20"/>
      <c r="C580" s="633" t="s">
        <v>1997</v>
      </c>
      <c r="D580" s="10"/>
      <c r="E580" s="10"/>
      <c r="F580" s="10"/>
      <c r="G580" s="10"/>
      <c r="H580" s="10"/>
      <c r="I580" s="10"/>
      <c r="J580" s="371"/>
      <c r="K580" s="6"/>
      <c r="L580" s="660">
        <f ca="1">ROUND(SUM($C$426:$C$431)*$C$423/800*($G$44+$G$46+$G$50)*F15,0)</f>
        <v>4</v>
      </c>
      <c r="M580" s="627" t="s">
        <v>46</v>
      </c>
      <c r="Q580" s="16"/>
    </row>
    <row r="581" spans="1:17" x14ac:dyDescent="0.35">
      <c r="A581" s="20"/>
      <c r="C581" s="633" t="s">
        <v>1998</v>
      </c>
      <c r="D581" s="10"/>
      <c r="E581" s="10"/>
      <c r="F581" s="10"/>
      <c r="G581" s="10"/>
      <c r="H581" s="10"/>
      <c r="I581" s="10"/>
      <c r="J581" s="10"/>
      <c r="K581" s="6"/>
      <c r="L581" s="7">
        <f ca="1">(G44+G46+G50)*F15*2.4*2</f>
        <v>1190.3999999999999</v>
      </c>
      <c r="M581" t="s">
        <v>78</v>
      </c>
      <c r="Q581" s="16"/>
    </row>
    <row r="582" spans="1:17" x14ac:dyDescent="0.35">
      <c r="A582" s="20"/>
      <c r="Q582" s="16"/>
    </row>
    <row r="583" spans="1:17" x14ac:dyDescent="0.35">
      <c r="A583" s="18"/>
      <c r="B583" s="3"/>
      <c r="C583" s="3"/>
      <c r="D583" s="3"/>
      <c r="E583" s="3"/>
      <c r="F583" s="3"/>
      <c r="G583" s="3"/>
      <c r="H583" s="3"/>
      <c r="I583" s="3"/>
      <c r="J583" s="3"/>
      <c r="K583" s="3"/>
      <c r="L583" s="3"/>
      <c r="M583" s="3"/>
      <c r="N583" s="3"/>
      <c r="O583" s="3"/>
      <c r="P583" s="3"/>
      <c r="Q583" s="17"/>
    </row>
    <row r="584" spans="1:17" ht="13.15" thickBot="1" x14ac:dyDescent="0.4">
      <c r="A584" s="13"/>
      <c r="B584" s="14"/>
      <c r="C584" s="14"/>
      <c r="D584" s="14"/>
      <c r="E584" s="14"/>
      <c r="F584" s="14"/>
      <c r="G584" s="14"/>
      <c r="H584" s="14"/>
      <c r="I584" s="14"/>
      <c r="J584" s="14"/>
      <c r="K584" s="14"/>
      <c r="L584" s="14"/>
      <c r="M584" s="14"/>
      <c r="N584" s="14"/>
      <c r="O584" s="14"/>
      <c r="P584" s="14"/>
      <c r="Q584" s="15"/>
    </row>
    <row r="585" spans="1:17" ht="15.4" thickBot="1" x14ac:dyDescent="0.45">
      <c r="A585" s="20"/>
      <c r="B585" s="23"/>
      <c r="C585" s="24" t="s">
        <v>1999</v>
      </c>
      <c r="D585" s="21"/>
      <c r="E585" s="21"/>
      <c r="F585" s="21"/>
      <c r="G585" s="21"/>
      <c r="H585" s="21"/>
      <c r="I585" s="21"/>
      <c r="J585" s="21"/>
      <c r="K585" s="21"/>
      <c r="L585" s="21"/>
      <c r="M585" s="21"/>
      <c r="N585" s="21"/>
      <c r="O585" s="21"/>
      <c r="P585" s="22"/>
      <c r="Q585" s="16"/>
    </row>
    <row r="586" spans="1:17" x14ac:dyDescent="0.35">
      <c r="A586" s="20"/>
      <c r="Q586" s="16"/>
    </row>
    <row r="587" spans="1:17" x14ac:dyDescent="0.35">
      <c r="A587" s="20"/>
      <c r="C587" s="627" t="s">
        <v>122</v>
      </c>
      <c r="H587" t="str">
        <f ca="1">IF(I11=0,0,IF(ENTRADAS!G66="X","SC6",IF(C19="x",D19,IF(E19="x",F19))))</f>
        <v>SC-10</v>
      </c>
      <c r="J587" s="387">
        <f ca="1">IF(ENTRADAS!F1237&gt;0,ENTRADAS!F1237,IF(ENTRADAS!G66="X",Z225,IF(I11=0,0,IF(H587="SC-10",VLOOKUP(O23,'TABELA SC-10 e 14'!A5:T126,20,0),IF(H587="SC-14",O587)))))</f>
        <v>0.47526148320206651</v>
      </c>
      <c r="K587" s="627" t="s">
        <v>123</v>
      </c>
      <c r="N587" s="627" t="s">
        <v>2000</v>
      </c>
      <c r="O587" s="37">
        <f ca="1">IF(I11=0,0,IF(ENTRADAS!G66="X",Z225,IF(H587="SC-10",VLOOKUP(O23,'TABELA SC-10 e 14'!A5:T126,20,0),IF(H587="SC-14",AB222))))</f>
        <v>0.47526148320206651</v>
      </c>
      <c r="P587" s="627" t="s">
        <v>31</v>
      </c>
      <c r="Q587" s="16"/>
    </row>
    <row r="588" spans="1:17" x14ac:dyDescent="0.35">
      <c r="A588" s="20"/>
      <c r="C588" s="627"/>
      <c r="Q588" s="16"/>
    </row>
    <row r="589" spans="1:17" x14ac:dyDescent="0.35">
      <c r="A589" s="20"/>
      <c r="C589" s="627" t="s">
        <v>124</v>
      </c>
      <c r="H589" t="str">
        <f ca="1">IF(I11=0,0,IF(ENTRADAS!G66="X","SC6",IF(C19="x",D19,IF(E19="x",F19))))</f>
        <v>SC-10</v>
      </c>
      <c r="J589" s="387">
        <f ca="1">IF(I11=0,0,IF(ENTRADAS!G66="X",AA225,IF(H587="SC-10",AA225,IF(H587="SC-14",AC225))))</f>
        <v>0.65500000000000003</v>
      </c>
      <c r="K589" s="627" t="s">
        <v>123</v>
      </c>
      <c r="Q589" s="16"/>
    </row>
    <row r="590" spans="1:17" x14ac:dyDescent="0.35">
      <c r="A590" s="20"/>
      <c r="Q590" s="16"/>
    </row>
    <row r="591" spans="1:17" x14ac:dyDescent="0.35">
      <c r="A591" s="20"/>
      <c r="C591" s="627" t="s">
        <v>125</v>
      </c>
      <c r="J591" s="7">
        <f ca="1">F66/2500</f>
        <v>0</v>
      </c>
      <c r="K591" s="627" t="s">
        <v>126</v>
      </c>
      <c r="Q591" s="16"/>
    </row>
    <row r="592" spans="1:17" x14ac:dyDescent="0.35">
      <c r="A592" s="20"/>
      <c r="Q592" s="16"/>
    </row>
    <row r="593" spans="1:35" x14ac:dyDescent="0.35">
      <c r="A593" s="20"/>
      <c r="C593" s="627" t="s">
        <v>127</v>
      </c>
      <c r="J593" s="7">
        <f>F68/2500</f>
        <v>0</v>
      </c>
      <c r="K593" s="627" t="s">
        <v>128</v>
      </c>
      <c r="Q593" s="16"/>
    </row>
    <row r="594" spans="1:35" x14ac:dyDescent="0.35">
      <c r="A594" s="20"/>
      <c r="C594" s="627"/>
      <c r="J594" s="4"/>
      <c r="K594" s="627"/>
      <c r="Q594" s="16"/>
    </row>
    <row r="595" spans="1:35" x14ac:dyDescent="0.35">
      <c r="A595" s="20"/>
      <c r="C595" s="627" t="s">
        <v>129</v>
      </c>
      <c r="J595" s="7">
        <v>2.5</v>
      </c>
      <c r="K595" s="627" t="s">
        <v>130</v>
      </c>
      <c r="Q595" s="16"/>
    </row>
    <row r="596" spans="1:35" x14ac:dyDescent="0.35">
      <c r="A596" s="20"/>
      <c r="Q596" s="16"/>
    </row>
    <row r="597" spans="1:35" x14ac:dyDescent="0.35">
      <c r="A597" s="20"/>
      <c r="C597" s="627" t="s">
        <v>131</v>
      </c>
      <c r="J597" s="7">
        <v>80</v>
      </c>
      <c r="K597" s="627" t="s">
        <v>132</v>
      </c>
      <c r="Q597" s="16"/>
    </row>
    <row r="598" spans="1:35" x14ac:dyDescent="0.35">
      <c r="A598" s="20"/>
      <c r="C598" s="627" t="s">
        <v>133</v>
      </c>
      <c r="J598" s="7">
        <v>80</v>
      </c>
      <c r="K598" s="627" t="s">
        <v>132</v>
      </c>
      <c r="Q598" s="16"/>
      <c r="Y598" s="633" t="s">
        <v>134</v>
      </c>
      <c r="Z598" s="6"/>
      <c r="AA598" s="626" t="s">
        <v>135</v>
      </c>
    </row>
    <row r="599" spans="1:35" x14ac:dyDescent="0.35">
      <c r="A599" s="20"/>
      <c r="C599" s="627" t="s">
        <v>136</v>
      </c>
      <c r="J599" s="7">
        <v>60</v>
      </c>
      <c r="K599" s="627" t="s">
        <v>132</v>
      </c>
      <c r="Q599" s="16"/>
      <c r="Y599" s="633" t="s">
        <v>137</v>
      </c>
      <c r="Z599" s="10"/>
      <c r="AA599" s="626" t="s">
        <v>35</v>
      </c>
    </row>
    <row r="600" spans="1:35" hidden="1" x14ac:dyDescent="0.35">
      <c r="A600" s="20"/>
      <c r="C600" s="627" t="s">
        <v>138</v>
      </c>
      <c r="J600" s="7">
        <v>30</v>
      </c>
      <c r="K600" s="627" t="s">
        <v>132</v>
      </c>
      <c r="Q600" s="16"/>
      <c r="AA600" s="626"/>
    </row>
    <row r="601" spans="1:35" hidden="1" x14ac:dyDescent="0.35">
      <c r="A601" s="20"/>
      <c r="C601" s="627" t="s">
        <v>139</v>
      </c>
      <c r="J601" s="7">
        <v>35</v>
      </c>
      <c r="K601" s="627" t="s">
        <v>132</v>
      </c>
      <c r="Q601" s="16"/>
      <c r="AA601" s="626"/>
    </row>
    <row r="602" spans="1:35" x14ac:dyDescent="0.35">
      <c r="A602" s="20"/>
      <c r="C602" s="627" t="s">
        <v>140</v>
      </c>
      <c r="J602" s="7">
        <v>3</v>
      </c>
      <c r="K602" s="627" t="s">
        <v>141</v>
      </c>
      <c r="Q602" s="16"/>
      <c r="Y602" s="633" t="s">
        <v>142</v>
      </c>
      <c r="Z602" s="10"/>
      <c r="AA602" s="626"/>
      <c r="AC602" s="1323" t="s">
        <v>143</v>
      </c>
      <c r="AD602" s="1323"/>
    </row>
    <row r="603" spans="1:35" x14ac:dyDescent="0.35">
      <c r="A603" s="20"/>
      <c r="Q603" s="16"/>
      <c r="Y603" s="627"/>
    </row>
    <row r="604" spans="1:35" x14ac:dyDescent="0.35">
      <c r="A604" s="20"/>
      <c r="Q604" s="16"/>
      <c r="Y604" s="627"/>
    </row>
    <row r="605" spans="1:35" x14ac:dyDescent="0.35">
      <c r="A605" s="20"/>
      <c r="C605" s="1338" t="s">
        <v>144</v>
      </c>
      <c r="D605" s="1441"/>
      <c r="E605" s="1441"/>
      <c r="F605" s="1441"/>
      <c r="G605" s="1441"/>
      <c r="H605" s="1441"/>
      <c r="I605" s="1441"/>
      <c r="J605" s="1441"/>
      <c r="K605" s="1441"/>
      <c r="L605" s="1339"/>
      <c r="Q605" s="16"/>
      <c r="Y605" s="2" t="s">
        <v>145</v>
      </c>
      <c r="Z605" s="2070" t="s">
        <v>146</v>
      </c>
      <c r="AA605" s="2070"/>
      <c r="AB605" s="2070"/>
      <c r="AC605" s="2069" t="s">
        <v>41</v>
      </c>
      <c r="AD605" s="1542"/>
      <c r="AE605" s="1545"/>
      <c r="AF605" s="2069" t="s">
        <v>42</v>
      </c>
      <c r="AG605" s="1542"/>
      <c r="AH605" s="1542"/>
      <c r="AI605" s="1545"/>
    </row>
    <row r="606" spans="1:35" x14ac:dyDescent="0.35">
      <c r="A606" s="20"/>
      <c r="C606" s="633" t="s">
        <v>2001</v>
      </c>
      <c r="D606" s="10"/>
      <c r="E606" s="10"/>
      <c r="F606" s="10"/>
      <c r="G606" s="2066" t="str">
        <f ca="1">IF(I11=0,0,VLOOKUP(AH637,PINOS!X18:Y23,2,0))</f>
        <v>TIPO: TES 7,5 tf /300</v>
      </c>
      <c r="H606" s="2066"/>
      <c r="I606" s="10" t="str">
        <f ca="1">IF(G606=0,0,"para PN")</f>
        <v>para PN</v>
      </c>
      <c r="J606" s="371"/>
      <c r="K606" s="6"/>
      <c r="L606" s="660">
        <f ca="1">IF(G606=0,0,AH639*(G50*F15))</f>
        <v>480</v>
      </c>
      <c r="M606" s="627" t="s">
        <v>46</v>
      </c>
      <c r="Q606" s="16"/>
      <c r="Y606" s="7">
        <f ca="1">IF(AA599="X",(IF(C19="x",Z229,IF(E19="x",AB229,0)))/2,IF(C19="x",Z229,IF(E19="x",AB229,0)))</f>
        <v>4.3367610342188572</v>
      </c>
      <c r="Z606" s="2069" t="s">
        <v>148</v>
      </c>
      <c r="AA606" s="1545"/>
      <c r="AB606" s="32">
        <f ca="1">IF(C19="x",LARGE(AC606:AE606,1),IF(E19="x",LARGE(AF606:AH606,1),0))</f>
        <v>5</v>
      </c>
      <c r="AC606" s="32">
        <f ca="1">IF(AND(Y606&gt;0,Y606&lt;=5),5,IF(C19="x",IF(AND(Y606&gt;5,Y606&lt;=7.5),7.5,IF(AND(Y606&gt;5,Y606&lt;=10),10,AD606)),0))</f>
        <v>5</v>
      </c>
      <c r="AD606" s="32">
        <f ca="1">IF(C19="x",IF(AND(Y606&gt;10,Y606&lt;=12.5),12.5,IF(C19="x",IF(AND(Y606&gt;12.5,Y606&lt;=15),15,IF(AND(Y606&gt;15,Y606/2&lt;=17.5),17.5,AE606)),0)),0)</f>
        <v>0</v>
      </c>
      <c r="AE606" s="32">
        <f ca="1">IF(C19="x",IF(AND(Y606&gt;17.5,Y606&lt;=20),20,0),0)</f>
        <v>0</v>
      </c>
      <c r="AF606" s="32">
        <f>IF(E19="x",IF(AND(Y606&gt;0,Y606&lt;=5),5,IF(E19="x",IF(AND(Y606&gt;5,Y606&lt;=7.5),7.5,IF(AND(Y606&gt;5,Y606&lt;=10),10,AG606)))),0)</f>
        <v>0</v>
      </c>
      <c r="AG606" s="32">
        <f>IF(E19="x",IF(AND(Y606&gt;10,Y606&lt;=12.5),12.5,IF(E19="x",IF(AND(Y606&gt;12.5,Y606&lt;=15),15,IF(AND(Y606&gt;15,Y606/2&lt;=17.5),17.5,AH606)))),0)</f>
        <v>0</v>
      </c>
      <c r="AH606" s="32">
        <f>IF(E19="x",IF(AND(Y606&gt;17.5,Y606&lt;=20),20,IF(AND(Y606&gt;20,Y606&lt;=22.5),22.5,IF(AND(Y606&gt;22.5,Y606&lt;=25),25,IF(AND(Y606&gt;25,Y606&lt;=27.5),27.5,IF(AND(Y606&gt;27.5,Y606&lt;=30),30,IF(AND(Y606&gt;30,Y606&lt;=32.5),32.5,AI606)))))),0)</f>
        <v>0</v>
      </c>
      <c r="AI606" s="32">
        <f>IF(E19="x",IF(AND(Y606&gt;32.5,Y606&lt;=35),35,IF(AND(Y606&gt;35,Y606&lt;=37.5),37.5,IF(AND(Y606&gt;37.5,Y606&lt;=40),40,0))),0)</f>
        <v>0</v>
      </c>
    </row>
    <row r="607" spans="1:35" x14ac:dyDescent="0.35">
      <c r="A607" s="20"/>
      <c r="C607" s="633" t="s">
        <v>2002</v>
      </c>
      <c r="D607" s="10"/>
      <c r="E607" s="10"/>
      <c r="F607" s="10"/>
      <c r="G607" s="2066" t="str">
        <f ca="1">IF(I11=0,0,VLOOKUP(AH638,PINOS!X18:Y23,2,0))</f>
        <v>TIPO: TES 10 tf /340</v>
      </c>
      <c r="H607" s="2066"/>
      <c r="I607" s="10" t="str">
        <f ca="1">IF(G607=0,0,"para PF")</f>
        <v>para PF</v>
      </c>
      <c r="J607" s="371"/>
      <c r="K607" s="6"/>
      <c r="L607" s="660">
        <f ca="1">IF(G607=0,0,AH640*(G44+G46)*F15)</f>
        <v>16</v>
      </c>
      <c r="M607" s="627" t="s">
        <v>46</v>
      </c>
      <c r="Q607" s="16"/>
      <c r="Y607" s="7">
        <f ca="1">IF(AA599="X",IF(C19="x",AA161,IF(E19="x",AC161,0))/2,IF(C19="x",AA161,IF(E19="x",AC161,0)))</f>
        <v>5.9768750000000015</v>
      </c>
      <c r="Z607" s="2069" t="s">
        <v>150</v>
      </c>
      <c r="AA607" s="1545"/>
      <c r="AB607" s="32">
        <f ca="1">IF(C19="x",LARGE(AC607:AE607,1),IF(E19="x",LARGE(AF607:AH607,1),0))</f>
        <v>7.5</v>
      </c>
      <c r="AC607" s="32">
        <f ca="1">IF(AND(Y607&gt;0,Y607&lt;=5),5,IF(C19="x",IF(AND(Y607&gt;5,Y607&lt;=7.5),7.5,IF(AND(Y607&gt;5,Y607&lt;=10),10,AD607)),0))</f>
        <v>7.5</v>
      </c>
      <c r="AD607" s="32">
        <f ca="1">IF(C19="x",IF(AND(Y607&gt;10,Y607&lt;=12.5),12.5,IF(C19="x",IF(AND(Y607&gt;12.5,Y607&lt;=15),15,IF(AND(Y607&gt;15,Y607/2&lt;=17.5),17.5,AE607)),0)),0)</f>
        <v>0</v>
      </c>
      <c r="AE607" s="32">
        <f ca="1">IF(C19="x",IF(AND(Y607&gt;17.5,Y607&lt;=20),20,0),0)</f>
        <v>0</v>
      </c>
      <c r="AF607" s="32">
        <f>IF(E19="x",IF(AND(Y607&gt;0,Y607&lt;=5),5,IF(E19="x",IF(AND(Y607&gt;5,Y607&lt;=7.5),7.5,IF(AND(Y607&gt;5,Y607&lt;=10),10,AG607)))),0)</f>
        <v>0</v>
      </c>
      <c r="AG607" s="32">
        <f>IF(E19="x",IF(AND(Y607&gt;10,Y607&lt;=12.5),12.5,IF(E19="x",IF(AND(Y607&gt;12.5,Y607&lt;=15),15,IF(AND(Y607&gt;15,Y607/2&lt;=17.5),17.5,AH607)))),0)</f>
        <v>0</v>
      </c>
      <c r="AH607" s="32">
        <f>IF(E19="x",IF(AND(Y607&gt;17.5,Y607&lt;=20),20,IF(AND(Y607&gt;20,Y607&lt;=22.5),22.5,IF(AND(Y607&gt;22.5,Y607&lt;=25),25,IF(AND(Y607&gt;25,Y607&lt;=27.5),27.5,IF(AND(Y607&gt;27.5,Y607&lt;=30),30,IF(AND(Y607&gt;30,Y607&lt;=32.5),32.5,AI607)))))),0)</f>
        <v>0</v>
      </c>
      <c r="AI607" s="32">
        <f>IF(E19="x",IF(AND(AC161&gt;32.5,AC161&lt;=35),35,IF(AND(AC161&gt;35,AC161&lt;=37.5),37.5,IF(AND(AC161&gt;37.5,AC161&lt;=40),40,0))),0)</f>
        <v>0</v>
      </c>
    </row>
    <row r="608" spans="1:35" x14ac:dyDescent="0.35">
      <c r="A608" s="20"/>
      <c r="C608" s="633" t="s">
        <v>2003</v>
      </c>
      <c r="D608" s="10"/>
      <c r="E608" s="10"/>
      <c r="F608" s="10"/>
      <c r="G608" s="2066" t="str">
        <f ca="1">IF(I11=0,0,VLOOKUP(AH619,PINOS!X6:Y13,2,0))</f>
        <v>TIPO: TES 5 tf cb/125</v>
      </c>
      <c r="H608" s="2066"/>
      <c r="I608" s="10" t="str">
        <f ca="1">IF(G608=0,0,"   para PN")</f>
        <v xml:space="preserve">   para PN</v>
      </c>
      <c r="J608" s="371"/>
      <c r="K608" s="6"/>
      <c r="L608" s="660">
        <f ca="1">IF(G608=0,0,AH622*G50*F15)</f>
        <v>960</v>
      </c>
      <c r="M608" s="627" t="s">
        <v>46</v>
      </c>
      <c r="Q608" s="16"/>
      <c r="Y608" s="32"/>
      <c r="Z608" s="2070" t="s">
        <v>152</v>
      </c>
      <c r="AA608" s="2070"/>
      <c r="AB608" s="2070"/>
      <c r="AC608" s="2069" t="s">
        <v>41</v>
      </c>
      <c r="AD608" s="1542"/>
      <c r="AE608" s="1545"/>
      <c r="AF608" s="2069" t="s">
        <v>42</v>
      </c>
      <c r="AG608" s="1542"/>
      <c r="AH608" s="1542"/>
      <c r="AI608" s="1545"/>
    </row>
    <row r="609" spans="1:46" x14ac:dyDescent="0.35">
      <c r="A609" s="20"/>
      <c r="C609" s="633" t="s">
        <v>2004</v>
      </c>
      <c r="D609" s="10"/>
      <c r="E609" s="10"/>
      <c r="F609" s="10"/>
      <c r="G609" s="2066" t="str">
        <f ca="1">IF(I11=0,0,VLOOKUP(AH621,PINOS!X6:Y13,2,0))</f>
        <v>TIPO: TES 7,5 tf cb/125</v>
      </c>
      <c r="H609" s="2066"/>
      <c r="I609" s="10" t="str">
        <f ca="1">IF(G609=0,0,"    para PF")</f>
        <v xml:space="preserve">    para PF</v>
      </c>
      <c r="J609" s="371"/>
      <c r="K609" s="6"/>
      <c r="L609" s="660">
        <f ca="1">IF(G608=0,0,AH623*(G44+G46)*F15)</f>
        <v>32</v>
      </c>
      <c r="M609" s="627" t="s">
        <v>46</v>
      </c>
      <c r="Q609" s="16"/>
      <c r="Y609" s="7">
        <f ca="1">(IF(C19="x",Z229,IF(E19="x",AB229,0)))*0.6</f>
        <v>5.2041132410626281</v>
      </c>
      <c r="Z609" s="2069" t="s">
        <v>148</v>
      </c>
      <c r="AA609" s="1545"/>
      <c r="AB609" s="32">
        <f ca="1">IF(C19="x",LARGE(AC609:AE609,1),IF(E19="x",LARGE(AF609:AH609,1),0))</f>
        <v>7.5</v>
      </c>
      <c r="AC609" s="32">
        <f ca="1">IF(AND(Y609&gt;0,Y609&lt;=5),5,IF(C19="x",IF(AND(Y609&gt;5,Y609&lt;=7.5),7.5,IF(AND(Y609&gt;5,Y609&lt;=10),10,AD609)),0))</f>
        <v>7.5</v>
      </c>
      <c r="AD609" s="32">
        <f ca="1">IF(C19="x",IF(AND(Y609&gt;10,Y609&lt;=12.5),12.5,IF(C19="x",IF(AND(Y609&gt;12.5,Y609&lt;=15),15,IF(AND(Y609&gt;15,Y609/2&lt;=17.5),17.5,AE609)),0)),0)</f>
        <v>0</v>
      </c>
      <c r="AE609" s="32">
        <f ca="1">IF(C19="x",IF(AND(Y609&gt;17.5,Y609&lt;=20),20,0),0)</f>
        <v>0</v>
      </c>
      <c r="AF609" s="32">
        <f>IF(E19="x",IF(AND(Y609&gt;0,Y609&lt;=5),5,IF(E19="x",IF(AND(Y609&gt;5,Y609&lt;=7.5),7.5,IF(AND(Y609&gt;5,Y609&lt;=10),10,AG609)))),0)</f>
        <v>0</v>
      </c>
      <c r="AG609" s="32">
        <f>IF(E19="x",IF(AND(Y609&gt;10,Y609&lt;=12.5),12.5,IF(E19="x",IF(AND(Y609&gt;12.5,Y609&lt;=15),15,IF(AND(Y609&gt;15,Y609/2&lt;=17.5),17.5,AH609)))),0)</f>
        <v>0</v>
      </c>
      <c r="AH609" s="32">
        <f>IF(E19="x",IF(AND(Y609&gt;17.5,Y609&lt;=20),20,IF(AND(Y609&gt;20,Y609&lt;=22.5),22.5,IF(AND(Y609&gt;22.5,Y609&lt;=25),25,IF(AND(Y609&gt;25,Y609&lt;=27.5),27.5,IF(AND(Y609&gt;27.5,Y609&lt;=30),30,IF(AND(Y609&gt;30,Y609&lt;=32.5),32.5,AI609)))))),0)</f>
        <v>0</v>
      </c>
      <c r="AI609" s="32">
        <f>IF(E19="x",IF(AND(Y609&gt;32.5,Y609&lt;=35),35,IF(AND(Y609&gt;35,Y609&lt;=37.5),37.5,IF(AND(Y609&gt;37.5,Y609&lt;=40),40,0))),0)</f>
        <v>0</v>
      </c>
    </row>
    <row r="610" spans="1:46" x14ac:dyDescent="0.35">
      <c r="A610" s="20"/>
      <c r="C610" s="633" t="str">
        <f ca="1">"LUVA de Nivelamento "&amp;IF(G610*1000=0,0,VLOOKUP(J610*1000,Z648:AA653,2,0)&amp;" ( no pé do painel ) -----------")</f>
        <v>LUVA de Nivelamento M30 x 70 ( no pé do painel ) -----------</v>
      </c>
      <c r="D610" s="10"/>
      <c r="E610" s="10"/>
      <c r="F610" s="10"/>
      <c r="G610" s="10">
        <f ca="1">IF(I11=0,0,AH648/1000)</f>
        <v>6</v>
      </c>
      <c r="H610" s="10" t="str">
        <f ca="1">IF(G610=0,0,"ton p/ PN")</f>
        <v>ton p/ PN</v>
      </c>
      <c r="I610" s="10"/>
      <c r="J610" s="371">
        <f ca="1">IF(ENTRADAS!$F$1261="X",IF(G610=15,10,IF(G610=10,6,IF(G610=6,4,IF(G610=4,4,0)))),G610)</f>
        <v>6</v>
      </c>
      <c r="K610" s="6"/>
      <c r="L610" s="660">
        <f ca="1">IF(G610=0,0,AH652*(G50)*F15)</f>
        <v>480</v>
      </c>
      <c r="M610" s="627" t="s">
        <v>46</v>
      </c>
      <c r="Q610" s="16"/>
      <c r="Y610" s="7">
        <f ca="1">(IF(C19="x",AA161,IF(E19="x",AC161,0)))*0.6</f>
        <v>7.1722500000000018</v>
      </c>
      <c r="Z610" s="2069" t="s">
        <v>150</v>
      </c>
      <c r="AA610" s="1545"/>
      <c r="AB610" s="32">
        <f ca="1">IF(C19="x",LARGE(AC610:AE610,1),IF(E19="x",LARGE(AF610:AH610,1),0))</f>
        <v>7.5</v>
      </c>
      <c r="AC610" s="32">
        <f ca="1">IF(AND(Y610&gt;0,Y610&lt;=5),5,IF(C19="x",IF(AND(Y610&gt;5,Y610&lt;=7.5),7.5,IF(AND(Y610&gt;5,Y610&lt;=10),10,AD610)),0))</f>
        <v>7.5</v>
      </c>
      <c r="AD610" s="32">
        <f ca="1">IF(C19="x",IF(AND(Y610&gt;10,Y610&lt;=12.5),12.5,IF(C19="x",IF(AND(Y610&gt;12.5,Y610&lt;=15),15,IF(AND(Y610&gt;15,Y610/2&lt;=17.5),17.5,AE610)),0)),0)</f>
        <v>0</v>
      </c>
      <c r="AE610" s="32">
        <f ca="1">IF(C19="x",IF(AND(Y610&gt;17.5,Y610&lt;=20),20,0),0)</f>
        <v>0</v>
      </c>
      <c r="AF610" s="32">
        <f>IF(E19="x",IF(AND(Y610&gt;0,Y610&lt;=5),5,IF(E19="x",IF(AND(Y610&gt;5,Y610&lt;=7.5),7.5,IF(AND(Y610&gt;5,Y610&lt;=10),10,AG610)))),0)</f>
        <v>0</v>
      </c>
      <c r="AG610" s="32">
        <f>IF(E19="x",IF(AND(Y610&gt;10,Y610&lt;=12.5),12.5,IF(E19="x",IF(AND(Y610&gt;12.5,Y610&lt;=15),15,IF(AND(Y610&gt;15,Y610/2&lt;=17.5),17.5,AH610)))),0)</f>
        <v>0</v>
      </c>
      <c r="AH610" s="32">
        <f>IF(E19="x",IF(AND(Y610&gt;17.5,Y610&lt;=20),20,IF(AND(Y610&gt;20,Y610&lt;=22.5),22.5,IF(AND(Y610&gt;22.5,Y610&lt;=25),25,IF(AND(Y610&gt;25,Y610&lt;=27.5),27.5,IF(AND(Y610&gt;27.5,Y610&lt;=30),30,IF(AND(Y610&gt;30,Y610&lt;=32.5),32.5,AI610)))))),0)</f>
        <v>0</v>
      </c>
      <c r="AI610" s="32">
        <f>IF(E19="x",IF(AND(Y610&gt;32.5,Y610&lt;=35),35,IF(AND(Y610&gt;35,Y610&lt;=37.5),37.5,IF(AND(Y610&gt;37.5,Y610&lt;=40),40,0))),0)</f>
        <v>0</v>
      </c>
    </row>
    <row r="611" spans="1:46" x14ac:dyDescent="0.35">
      <c r="A611" s="20"/>
      <c r="C611" s="633" t="str">
        <f ca="1">"LUVA de Nivelamento "&amp;IF(G610*1000=0,0,VLOOKUP(J611*1000,Z648:AA653,2,0)&amp;" ( no pé do painel ) -----------")</f>
        <v>LUVA de Nivelamento M30 x 70 ( no pé do painel ) -----------</v>
      </c>
      <c r="D611" s="10"/>
      <c r="E611" s="10"/>
      <c r="F611" s="10"/>
      <c r="G611" s="10">
        <f ca="1">IF(I11=0,0,AH649/1000)</f>
        <v>6</v>
      </c>
      <c r="H611" s="10" t="str">
        <f ca="1">IF(G611=0,0,"ton p/ PF")</f>
        <v>ton p/ PF</v>
      </c>
      <c r="I611" s="10"/>
      <c r="J611" s="371">
        <f ca="1">IF(ENTRADAS!$F$1261="X",IF(G611=15,10,IF(G611=10,6,IF(G611=6,4,IF(G611=4,4,0)))),G611)</f>
        <v>6</v>
      </c>
      <c r="K611" s="6"/>
      <c r="L611" s="660">
        <f>(G44+G46)*2*F15</f>
        <v>16</v>
      </c>
      <c r="M611" s="627" t="s">
        <v>46</v>
      </c>
      <c r="Q611" s="16"/>
      <c r="Y611" s="4"/>
      <c r="Z611" s="1"/>
      <c r="AA611" s="1"/>
    </row>
    <row r="612" spans="1:46" x14ac:dyDescent="0.35">
      <c r="A612" s="20"/>
      <c r="C612" s="633" t="s">
        <v>2005</v>
      </c>
      <c r="D612" s="10"/>
      <c r="E612" s="10"/>
      <c r="F612" s="10"/>
      <c r="G612" s="10"/>
      <c r="H612" s="10"/>
      <c r="I612" s="10"/>
      <c r="J612" s="371"/>
      <c r="K612" s="6"/>
      <c r="L612" s="660">
        <f ca="1">(G44+G46+G50)*2*F15</f>
        <v>496</v>
      </c>
      <c r="M612" s="627" t="s">
        <v>46</v>
      </c>
      <c r="Q612" s="16"/>
      <c r="R612" s="13"/>
      <c r="S612" s="14"/>
      <c r="T612" s="14"/>
      <c r="U612" s="14"/>
      <c r="V612" s="14"/>
      <c r="W612" s="15"/>
    </row>
    <row r="613" spans="1:46" x14ac:dyDescent="0.35">
      <c r="A613" s="20"/>
      <c r="C613" s="633" t="str">
        <f ca="1">IF(G610=0,0,IF(G610&gt;10,"LUVA p/ escora  TSB-M16 x 100","LUVA p/ escora  TSB-M16 x 100"))</f>
        <v>LUVA p/ escora  TSB-M16 x 100</v>
      </c>
      <c r="D613" s="10"/>
      <c r="E613" s="10"/>
      <c r="F613" s="10"/>
      <c r="G613" s="10"/>
      <c r="H613" s="10"/>
      <c r="I613" s="10"/>
      <c r="J613" s="371"/>
      <c r="K613" s="6"/>
      <c r="L613" s="660">
        <f ca="1">(G44+G46+G50)*2*F15</f>
        <v>496</v>
      </c>
      <c r="M613" s="627" t="s">
        <v>46</v>
      </c>
      <c r="O613" s="627"/>
      <c r="Q613" s="16"/>
      <c r="R613" s="20"/>
      <c r="S613" s="627" t="s">
        <v>2006</v>
      </c>
      <c r="W613" s="16"/>
    </row>
    <row r="614" spans="1:46" x14ac:dyDescent="0.35">
      <c r="A614" s="20"/>
      <c r="C614" s="633" t="s">
        <v>156</v>
      </c>
      <c r="D614" s="10"/>
      <c r="E614" s="10"/>
      <c r="F614" s="10"/>
      <c r="G614" s="10"/>
      <c r="H614" s="10"/>
      <c r="I614" s="10"/>
      <c r="J614" s="371"/>
      <c r="K614" s="6"/>
      <c r="L614" s="660">
        <f ca="1">IF(ENTRADAS!G66="x",0,(G44+G46+G50)*F15)</f>
        <v>248</v>
      </c>
      <c r="M614" s="627" t="s">
        <v>46</v>
      </c>
      <c r="O614" s="627"/>
      <c r="Q614" s="16"/>
      <c r="R614" s="20"/>
      <c r="T614" s="627" t="s">
        <v>2007</v>
      </c>
      <c r="U614" s="1"/>
      <c r="W614" s="16"/>
    </row>
    <row r="615" spans="1:46" x14ac:dyDescent="0.35">
      <c r="A615" s="20"/>
      <c r="C615" s="633" t="s">
        <v>157</v>
      </c>
      <c r="D615" s="10"/>
      <c r="E615" s="10"/>
      <c r="F615" s="10"/>
      <c r="G615" s="10"/>
      <c r="H615" s="10"/>
      <c r="I615" s="10"/>
      <c r="J615" s="371"/>
      <c r="K615" s="6"/>
      <c r="L615" s="660">
        <f ca="1">ROUNDUP(IF(H317=3,(((G44+G46)*2)+G50)*F15*H319,0),0)</f>
        <v>3328</v>
      </c>
      <c r="M615" s="627" t="s">
        <v>46</v>
      </c>
      <c r="O615" s="627"/>
      <c r="Q615" s="16"/>
      <c r="R615" s="20"/>
      <c r="S615" s="626" t="s">
        <v>10</v>
      </c>
      <c r="T615" s="627" t="s">
        <v>847</v>
      </c>
      <c r="W615" s="16"/>
    </row>
    <row r="616" spans="1:46" x14ac:dyDescent="0.35">
      <c r="A616" s="20"/>
      <c r="C616" s="633" t="s">
        <v>158</v>
      </c>
      <c r="D616" s="10"/>
      <c r="E616" s="10"/>
      <c r="F616" s="10"/>
      <c r="G616" s="10"/>
      <c r="H616" s="10"/>
      <c r="I616" s="10"/>
      <c r="J616" s="371"/>
      <c r="K616" s="6"/>
      <c r="L616" s="660">
        <f ca="1">ROUNDUP(IF(H317=1,(((G44+G46)*2)+G50)*F15*H319,0),0)</f>
        <v>0</v>
      </c>
      <c r="M616" s="627" t="s">
        <v>46</v>
      </c>
      <c r="O616" s="627"/>
      <c r="Q616" s="16"/>
      <c r="R616" s="20"/>
      <c r="W616" s="16"/>
      <c r="Z616" s="1338" t="s">
        <v>159</v>
      </c>
      <c r="AA616" s="1441"/>
      <c r="AB616" s="1441"/>
      <c r="AC616" s="1441"/>
      <c r="AD616" s="1339"/>
    </row>
    <row r="617" spans="1:46" ht="12.75" customHeight="1" x14ac:dyDescent="0.35">
      <c r="A617" s="20"/>
      <c r="C617" s="633" t="s">
        <v>160</v>
      </c>
      <c r="D617" s="10"/>
      <c r="E617" s="10"/>
      <c r="F617" s="10"/>
      <c r="G617" s="10"/>
      <c r="H617" s="10"/>
      <c r="I617" s="10"/>
      <c r="J617" s="371"/>
      <c r="K617" s="6"/>
      <c r="L617" s="660">
        <f ca="1">ROUNDUP(IF(H317=3,(G44+G46+G50)*F15*H319,0)*1.02,0)</f>
        <v>3289</v>
      </c>
      <c r="M617" s="627" t="s">
        <v>46</v>
      </c>
      <c r="O617" s="627"/>
      <c r="Q617" s="16"/>
      <c r="R617" s="20"/>
      <c r="S617" s="627" t="s">
        <v>2008</v>
      </c>
      <c r="W617" s="16"/>
      <c r="Z617" s="2067" t="s">
        <v>161</v>
      </c>
      <c r="AA617" s="2067" t="s">
        <v>162</v>
      </c>
      <c r="AB617" s="2067" t="s">
        <v>163</v>
      </c>
      <c r="AC617" s="2067" t="s">
        <v>164</v>
      </c>
      <c r="AD617" s="2067" t="s">
        <v>165</v>
      </c>
    </row>
    <row r="618" spans="1:46" x14ac:dyDescent="0.35">
      <c r="A618" s="20"/>
      <c r="C618" s="633" t="s">
        <v>166</v>
      </c>
      <c r="D618" s="10"/>
      <c r="E618" s="10"/>
      <c r="F618" s="10"/>
      <c r="G618" s="10"/>
      <c r="H618" s="10"/>
      <c r="I618" s="10"/>
      <c r="J618" s="371"/>
      <c r="K618" s="6"/>
      <c r="L618" s="660">
        <f ca="1">ROUNDUP(IF(H317=1,(G44+G46+G50)*F15*H319,0)*1.02,0)</f>
        <v>0</v>
      </c>
      <c r="M618" s="627" t="s">
        <v>46</v>
      </c>
      <c r="O618" s="640">
        <f>IF(ENTRADAS!G66="X",J721*65.05*(O621+O622+O623+O624+O625+O626)+12*21.05*(ENTRADAS!J292)-AL704*21.05-AO708,0)</f>
        <v>0</v>
      </c>
      <c r="Q618" s="16"/>
      <c r="R618" s="20"/>
      <c r="S618" s="633" t="s">
        <v>2009</v>
      </c>
      <c r="T618" s="646" t="s">
        <v>2010</v>
      </c>
      <c r="U618" s="646">
        <f>29.41*1.03</f>
        <v>30.292300000000001</v>
      </c>
      <c r="V618" s="646" t="s">
        <v>2011</v>
      </c>
      <c r="W618" s="6"/>
      <c r="Z618" s="2068"/>
      <c r="AA618" s="2068"/>
      <c r="AB618" s="2068"/>
      <c r="AC618" s="2068"/>
      <c r="AD618" s="2068"/>
      <c r="AE618" s="2" t="s">
        <v>145</v>
      </c>
      <c r="AF618" s="2070" t="s">
        <v>2012</v>
      </c>
      <c r="AG618" s="2070"/>
      <c r="AH618" s="2070"/>
      <c r="AI618" s="1539" t="s">
        <v>41</v>
      </c>
      <c r="AJ618" s="1540"/>
      <c r="AK618" s="1540"/>
      <c r="AL618" s="1540"/>
      <c r="AM618" s="1540"/>
      <c r="AN618" s="1541"/>
      <c r="AO618" s="1539" t="s">
        <v>42</v>
      </c>
      <c r="AP618" s="1540"/>
      <c r="AQ618" s="1540"/>
      <c r="AR618" s="1540"/>
      <c r="AS618" s="1540"/>
      <c r="AT618" s="1540"/>
    </row>
    <row r="619" spans="1:46" x14ac:dyDescent="0.35">
      <c r="A619" s="20"/>
      <c r="C619" s="633" t="s">
        <v>167</v>
      </c>
      <c r="D619" s="10"/>
      <c r="E619" s="10"/>
      <c r="F619" s="10"/>
      <c r="G619" s="10"/>
      <c r="H619" s="10"/>
      <c r="I619" s="10"/>
      <c r="J619" s="371"/>
      <c r="K619" s="6"/>
      <c r="L619" s="660">
        <f ca="1">N619*(1+(J595/100))</f>
        <v>892.68287153427104</v>
      </c>
      <c r="M619" s="633" t="s">
        <v>31</v>
      </c>
      <c r="N619" s="6">
        <f ca="1">(((G50*J587*I11)+((J589*(G44+G46)*I11)))+((G44+G46+G50)*Z159/2.5+(G44+G46+G50)*Z160/2.5))*F15</f>
        <v>870.91011857002059</v>
      </c>
      <c r="O619" s="1217">
        <f ca="1">IF(ENTRADAS!G66="X",0,J721*65.05*(O621+O622+O623+O624+O625+O626)+22*21.05*(ENTRADAS!J292)-AL704*21.05-AO708)</f>
        <v>39375.000000000007</v>
      </c>
      <c r="Q619" s="16"/>
      <c r="R619" s="20"/>
      <c r="S619" s="633" t="s">
        <v>2013</v>
      </c>
      <c r="T619" s="646" t="s">
        <v>2014</v>
      </c>
      <c r="U619" s="10">
        <f>30.05*1.03</f>
        <v>30.951500000000003</v>
      </c>
      <c r="V619" s="646" t="s">
        <v>2011</v>
      </c>
      <c r="W619" s="6"/>
      <c r="Z619" s="152">
        <f>PINOS!S6</f>
        <v>7689.9999999999991</v>
      </c>
      <c r="AA619" s="152">
        <f>PINOS!T6</f>
        <v>2675.5813953488373</v>
      </c>
      <c r="AB619" s="152">
        <f>PINOS!U6</f>
        <v>4359.1569767441852</v>
      </c>
      <c r="AC619" s="429">
        <f>PINOS!V6</f>
        <v>1</v>
      </c>
      <c r="AD619" s="155">
        <f>PINOS!W6</f>
        <v>4</v>
      </c>
      <c r="AE619" s="392">
        <f ca="1">((IF(OR(C19="x",ENTRADAS!G66="X"),Z229,IF(E19="x",AB229,0)))*1000)</f>
        <v>8673.5220684377146</v>
      </c>
      <c r="AF619" s="2075" t="s">
        <v>148</v>
      </c>
      <c r="AG619" s="2076"/>
      <c r="AH619" s="394">
        <f ca="1">IF(OR(C19="x",ENTRADAS!G66="X"),LARGE(AI619:AN619,1),IF(E19="x",LARGE(AO619:AT619,1),0))</f>
        <v>2</v>
      </c>
      <c r="AI619" s="393">
        <f ca="1">IF(AND(AE619&gt;0,AE619&lt;=Z619),AC619,IF(AND(AE619&gt;Z619,AE619&lt;=Z621),AC621,AJ619))</f>
        <v>2</v>
      </c>
      <c r="AJ619" s="393">
        <f ca="1">IF(AND(AE619&gt;Z621,AE619&lt;=Z622),AC622,IF(AND(AE619&gt;Z622,AE619&lt;=Z623),AC623,AK619))</f>
        <v>0</v>
      </c>
      <c r="AK619" s="393">
        <f ca="1">IF(AND(AE619&gt;Z623,AE619&lt;=Z624),AC624,AL619)</f>
        <v>0</v>
      </c>
      <c r="AL619" s="393">
        <f ca="1">IF(AND(AE619&gt;Z624,AE619&lt;=Z625),AC625,AM619)</f>
        <v>0</v>
      </c>
      <c r="AM619" s="393">
        <f ca="1">IF(AND(AE619&gt;Z625,AE619&lt;=Z626),AC626,AN619)</f>
        <v>0</v>
      </c>
      <c r="AN619" s="393">
        <f ca="1">IF(AND(AE619&gt;Z626,AE619&lt;=Z627),AC627,0)</f>
        <v>0</v>
      </c>
      <c r="AO619" s="393">
        <f ca="1">IF(AND(AE619&gt;0,AE619&lt;=Z619),AC619,IF(AND(AE619&gt;Z619,AE619&lt;=Z621),AC621,AP619))</f>
        <v>2</v>
      </c>
      <c r="AP619" s="393">
        <f ca="1">IF(AND(AE619&gt;Z621,AE619&lt;=Z622),AC622,IF(AND(AE619&gt;Z622,AE619&lt;=Z623),AC623,AQ619))</f>
        <v>0</v>
      </c>
      <c r="AQ619" s="393">
        <f ca="1">IF(AND(AE619&gt;Z623,AE619&lt;=Z624),AC624,0)</f>
        <v>0</v>
      </c>
      <c r="AR619" s="393">
        <f ca="1">IF(AND(AE619&gt;Z624,AE619&lt;=Z625),AC625,AS619)</f>
        <v>0</v>
      </c>
      <c r="AS619" s="393">
        <f ca="1">IF(AND(AE619&gt;Z625,AE619&lt;=Z626),AC626,AT619)</f>
        <v>0</v>
      </c>
      <c r="AT619" s="393">
        <f ca="1">IF(AND(AE619&gt;Z626,AE619&lt;=Z627),AC627,0)</f>
        <v>0</v>
      </c>
    </row>
    <row r="620" spans="1:46" x14ac:dyDescent="0.35">
      <c r="A620" s="20"/>
      <c r="C620" s="633" t="s">
        <v>168</v>
      </c>
      <c r="D620" s="10"/>
      <c r="E620" s="10"/>
      <c r="F620" s="10"/>
      <c r="G620" s="10"/>
      <c r="H620" s="10"/>
      <c r="I620" s="10"/>
      <c r="J620" s="371"/>
      <c r="K620" s="6"/>
      <c r="L620" s="660">
        <f>IF(ENTRADAS!G66="X",ARMAÇÃO!F115*F15-(15/100*ARMAÇÃO!F115*F15),ARMAÇÃO!F115*F15)</f>
        <v>0</v>
      </c>
      <c r="M620" s="627" t="s">
        <v>64</v>
      </c>
      <c r="O620" s="775">
        <f ca="1">O618+O619</f>
        <v>39375.000000000007</v>
      </c>
      <c r="Q620" s="16"/>
      <c r="R620" s="18"/>
      <c r="S620" s="633" t="s">
        <v>2015</v>
      </c>
      <c r="T620" s="646" t="s">
        <v>2016</v>
      </c>
      <c r="U620" s="10">
        <f>30.72*1.03</f>
        <v>31.6416</v>
      </c>
      <c r="V620" s="646" t="s">
        <v>2011</v>
      </c>
      <c r="W620" s="6"/>
      <c r="Z620" s="152"/>
      <c r="AA620" s="152"/>
      <c r="AB620" s="152"/>
      <c r="AC620" s="429"/>
      <c r="AD620" s="155"/>
      <c r="AE620" s="392"/>
      <c r="AF620" s="430"/>
      <c r="AG620" s="431"/>
      <c r="AH620" s="393"/>
      <c r="AI620" s="393"/>
      <c r="AJ620" s="393"/>
      <c r="AK620" s="393"/>
      <c r="AL620" s="393"/>
      <c r="AM620" s="393"/>
      <c r="AN620" s="393"/>
      <c r="AO620" s="393"/>
      <c r="AP620" s="393"/>
      <c r="AQ620" s="393"/>
      <c r="AR620" s="393"/>
      <c r="AS620" s="393"/>
      <c r="AT620" s="393"/>
    </row>
    <row r="621" spans="1:46" ht="17.25" x14ac:dyDescent="0.35">
      <c r="A621" s="20"/>
      <c r="C621" s="633" t="s">
        <v>169</v>
      </c>
      <c r="D621" s="646"/>
      <c r="E621" s="10"/>
      <c r="F621" s="10"/>
      <c r="G621" s="10"/>
      <c r="H621" s="10"/>
      <c r="I621" s="10"/>
      <c r="J621" s="371"/>
      <c r="K621" s="6"/>
      <c r="L621" s="660">
        <f ca="1">ARMAÇÃO!F116*1.02*F15+ARMAÇÃO!H168*F15</f>
        <v>71066.265675313669</v>
      </c>
      <c r="M621" s="627" t="s">
        <v>64</v>
      </c>
      <c r="O621" s="32">
        <f ca="1">IF(ENTRADAS!D1227&gt;0,0,IF(I11=0,0,IF(I11&lt;=5,IF(OR(ENTRADAS!G66="X",C19="X",E19="X"),12,0),0)))</f>
        <v>0</v>
      </c>
      <c r="Q621" s="16"/>
      <c r="R621" s="683" t="str">
        <f ca="1">IF(OR(R622&lt;&gt;0,R623&lt;&gt;0),"********")</f>
        <v>********</v>
      </c>
      <c r="S621" s="14"/>
      <c r="T621" s="14"/>
      <c r="U621" s="14"/>
      <c r="V621" s="14"/>
      <c r="W621" s="15"/>
      <c r="Z621" s="152">
        <f>PINOS!S7</f>
        <v>8870</v>
      </c>
      <c r="AA621" s="152">
        <f>PINOS!T7</f>
        <v>4563.2267441860477</v>
      </c>
      <c r="AB621" s="152">
        <f>PINOS!U7</f>
        <v>5028.0523255813951</v>
      </c>
      <c r="AC621" s="429">
        <f>PINOS!V7</f>
        <v>2</v>
      </c>
      <c r="AD621" s="155">
        <f>PINOS!W7</f>
        <v>4</v>
      </c>
      <c r="AE621" s="396">
        <f ca="1">(IF(OR(C19="x",ENTRADAS!G66="X"),AA161,IF(E19="x",AC161,0))*1000)</f>
        <v>11953.750000000004</v>
      </c>
      <c r="AF621" s="2072" t="s">
        <v>150</v>
      </c>
      <c r="AG621" s="2073"/>
      <c r="AH621" s="397">
        <f ca="1">IF(OR(C19="x",ENTRADAS!G66="X"),LARGE(AI621:AN621,1),IF(E19="x",LARGE(AO621:AT621,1),0))</f>
        <v>3</v>
      </c>
      <c r="AI621" s="397">
        <f ca="1">IF(AND(AE621&gt;0,AE621&lt;=Z619),AC619,IF(AND(AE621&gt;Z619,AE621&lt;=Z621),AC621,AJ621))</f>
        <v>3</v>
      </c>
      <c r="AJ621" s="397">
        <f ca="1">IF(AND(AE621&gt;Z621,AE621&lt;=Z622),AC622,IF(AND(AE621&gt;Z622,AE621&lt;=Z623),AC623,AK621))</f>
        <v>3</v>
      </c>
      <c r="AK621" s="397">
        <f ca="1">IF(AND(AE621&gt;Z623,AE621&lt;=Z624),AC624,AL621)</f>
        <v>0</v>
      </c>
      <c r="AL621" s="393">
        <f ca="1">IF(AND(AE621&gt;Z624,AE621&lt;=Z625),AC625,AM621)</f>
        <v>0</v>
      </c>
      <c r="AM621" s="393">
        <f ca="1">IF(AND(AE621&gt;Z625,AE621&lt;=Z626),AC626,AN621)</f>
        <v>0</v>
      </c>
      <c r="AN621" s="393">
        <f ca="1">IF(AND(AE621&gt;Z626,AE621&lt;=Z627),AC627,0)</f>
        <v>0</v>
      </c>
      <c r="AO621" s="397">
        <f ca="1">IF(AND(AE621&gt;0,AE621&lt;=Z619),AC619,IF(AND(AE621&gt;Z619,AE621&lt;=Z621),AC621,AP621))</f>
        <v>3</v>
      </c>
      <c r="AP621" s="397">
        <f ca="1">IF(AND(AE621&gt;Z621,AE621&lt;=Z622),AC622,IF(AND(AE621&gt;Z622,AE621&lt;=Z623),AC623,AQ621))</f>
        <v>3</v>
      </c>
      <c r="AQ621" s="397">
        <f ca="1">IF(AND(AE621&gt;Z623,AE621&lt;=Z624),AC624,AR621)</f>
        <v>0</v>
      </c>
      <c r="AR621" s="393">
        <f ca="1">IF(AND(AE621&gt;Z624,AE621&lt;=Z625),AC625,AS621)</f>
        <v>0</v>
      </c>
      <c r="AS621" s="393">
        <f ca="1">IF(AND(AE621&gt;Z625,AE621&lt;=Z626),AC626,AT621)</f>
        <v>0</v>
      </c>
      <c r="AT621" s="393">
        <f ca="1">IF(AND(AE621&gt;Z626,AE621&lt;=Z627),AC627,0)</f>
        <v>0</v>
      </c>
    </row>
    <row r="622" spans="1:46" ht="20.65" x14ac:dyDescent="0.6">
      <c r="A622" s="20"/>
      <c r="C622" s="633" t="s">
        <v>170</v>
      </c>
      <c r="D622" s="10"/>
      <c r="E622" s="10"/>
      <c r="F622" s="10"/>
      <c r="G622" s="10"/>
      <c r="H622" s="682" t="str">
        <f ca="1">IF(OR(R622&lt;&gt;0,R623&lt;&gt;0),"********")</f>
        <v>********</v>
      </c>
      <c r="I622" s="10"/>
      <c r="J622" s="371"/>
      <c r="K622" s="6"/>
      <c r="L622" s="660">
        <f ca="1">IF(AND(H587="sc6",S615="x"),U618*N619,IF(AND(H587="sc-10",S615="x"),U619*N619,IF(AND(H587="sc-14",S615="x"),U620*N619,O620*0.792)))</f>
        <v>26955.974534919995</v>
      </c>
      <c r="M622" s="627" t="s">
        <v>64</v>
      </c>
      <c r="O622" s="32">
        <f ca="1">IF(ENTRADAS!D1227&gt;0,0,IF(ENTRADAS!G66="X",(IF(AND(I11&gt;5,I11&lt;=6+G13),12,0)),IF(I11=0,0,(IF(AND(I11&lt;=6+G13,I11&gt;5),IF(OR(C19="X",E19="X"),14,IF(ENTRADAS!G66="X",12,0)),0)))))</f>
        <v>0</v>
      </c>
      <c r="Q622" s="16"/>
      <c r="R622" s="20" t="str">
        <f ca="1">IF(AL704&gt;0,"há sobras de cabos reaproveitadas para fecho",0)</f>
        <v>há sobras de cabos reaproveitadas para fecho</v>
      </c>
      <c r="W622" s="16"/>
      <c r="Z622" s="152">
        <f>PINOS!S8</f>
        <v>13685</v>
      </c>
      <c r="AA622" s="152">
        <f>PINOS!T8</f>
        <v>5243.459302325582</v>
      </c>
      <c r="AB622" s="152">
        <f>PINOS!U8</f>
        <v>7757.4854651162796</v>
      </c>
      <c r="AC622" s="429">
        <f>PINOS!V8</f>
        <v>3</v>
      </c>
      <c r="AD622" s="155">
        <f>PINOS!W8</f>
        <v>4</v>
      </c>
      <c r="AE622" s="392">
        <f ca="1">AE619</f>
        <v>8673.5220684377146</v>
      </c>
      <c r="AF622" s="2075" t="s">
        <v>148</v>
      </c>
      <c r="AG622" s="2076"/>
      <c r="AH622" s="393">
        <f ca="1">IF(OR(C19="x",ENTRADAS!G66="X"),LARGE(AI622:AN622,1),IF(E19="x",LARGE(AO622:AT622,1),0))</f>
        <v>4</v>
      </c>
      <c r="AI622" s="393">
        <f ca="1">IF(AND(AE619&gt;0,AE619&lt;=Z619),AD619,IF(AND(AE619&gt;Z619,AE619&lt;=Z621),AD621,AJ622))</f>
        <v>4</v>
      </c>
      <c r="AJ622" s="393">
        <f ca="1">IF(AND(AE619&gt;Z621,AE619&lt;=Z622),AD622,IF(AND(AE619&gt;Z622,AE619&lt;=Z623),AD623,AK622))</f>
        <v>0</v>
      </c>
      <c r="AK622" s="393">
        <f ca="1">IF(AND(AE619&gt;Z623,AE619&lt;=Z624),AD624,AL622)</f>
        <v>0</v>
      </c>
      <c r="AL622" s="393">
        <f ca="1">IF(AND(AE619&gt;Z624,AE619&lt;=Z625),AD625,AM622)</f>
        <v>0</v>
      </c>
      <c r="AM622" s="393">
        <f ca="1">IF(AND(AE619&gt;Z625,AE619&lt;=Z626),AD626,AN622)</f>
        <v>0</v>
      </c>
      <c r="AN622" s="393">
        <f ca="1">IF(AND(AE619&gt;Z626,AE619&lt;=Z627),AD627,0)</f>
        <v>0</v>
      </c>
      <c r="AO622" s="393">
        <f ca="1">IF(AND(AE619&gt;0,AE619&lt;=Z619),AD619,IF(AND(AE619&gt;Z619,AE619&lt;=Z621),AD621,AP622))</f>
        <v>4</v>
      </c>
      <c r="AP622" s="393">
        <f ca="1">IF(AND(AE619&gt;Z621,AE619&lt;=Z622),AD622,IF(AND(AE619&gt;Z622,AE619&lt;=Z623),AD623,AQ622))</f>
        <v>0</v>
      </c>
      <c r="AQ622" s="393">
        <f ca="1">IF(AND(AE619&gt;Z623,AE619&lt;=Z624),AD624,AR622)</f>
        <v>0</v>
      </c>
      <c r="AR622" s="393">
        <f ca="1">IF(AND(AE619&gt;Z624,AE619&lt;=Z625),AD625,AS622)</f>
        <v>0</v>
      </c>
      <c r="AS622" s="393">
        <f ca="1">IF(AND(AE619&gt;Z625,AE619&lt;=Z626),AD626,AT622)</f>
        <v>0</v>
      </c>
      <c r="AT622" s="393">
        <f ca="1">IF(AND(AE619&gt;Z626,AE619&lt;=Z627),AD627,0)</f>
        <v>0</v>
      </c>
    </row>
    <row r="623" spans="1:46" x14ac:dyDescent="0.35">
      <c r="A623" s="20"/>
      <c r="C623" s="633" t="s">
        <v>2017</v>
      </c>
      <c r="D623" s="10"/>
      <c r="E623" s="10"/>
      <c r="F623" s="646"/>
      <c r="G623" s="646" t="s">
        <v>172</v>
      </c>
      <c r="H623" s="10"/>
      <c r="I623" s="413">
        <f>ENTRADAS!I219</f>
        <v>4.5</v>
      </c>
      <c r="J623" s="371" t="s">
        <v>173</v>
      </c>
      <c r="K623" s="6"/>
      <c r="L623" s="660">
        <f ca="1">(G44+G46+G50)*I11*2.4*J602*F15</f>
        <v>13034.880000000001</v>
      </c>
      <c r="M623" s="627" t="s">
        <v>46</v>
      </c>
      <c r="O623" s="630">
        <f ca="1">IF(ENTRADAS!D1227&gt;0,0,IF(I11=0,0,IF(AND(I11&lt;=10,I11&gt;6+G13),IF(C19="X",16,IF(E19="X",16)),0)))</f>
        <v>16</v>
      </c>
      <c r="Q623" s="16"/>
      <c r="R623" s="18" t="str">
        <f ca="1">IF(AO708&gt;0,"há sobras de cabos reaproveitadas para outro(s) tanques",0)</f>
        <v>há sobras de cabos reaproveitadas para outro(s) tanques</v>
      </c>
      <c r="S623" s="3"/>
      <c r="T623" s="3"/>
      <c r="U623" s="3"/>
      <c r="V623" s="3"/>
      <c r="W623" s="17"/>
      <c r="Z623" s="152">
        <f>PINOS!S9</f>
        <v>17300</v>
      </c>
      <c r="AA623" s="152">
        <f>PINOS!T9</f>
        <v>7981.3953488372099</v>
      </c>
      <c r="AB623" s="152">
        <f>PINOS!U9</f>
        <v>9806.6860465116279</v>
      </c>
      <c r="AC623" s="429">
        <f>PINOS!V9</f>
        <v>4</v>
      </c>
      <c r="AD623" s="155">
        <f>PINOS!W9</f>
        <v>4</v>
      </c>
      <c r="AE623" s="396">
        <f ca="1">AE621</f>
        <v>11953.750000000004</v>
      </c>
      <c r="AF623" s="2072" t="s">
        <v>150</v>
      </c>
      <c r="AG623" s="2073"/>
      <c r="AH623" s="397">
        <f ca="1">IF(OR(C19="x",ENTRADAS!G66="X"),LARGE(AI623:AN623,1),IF(E19="x",LARGE(AO623:AT623,1),0))</f>
        <v>4</v>
      </c>
      <c r="AI623" s="397">
        <f ca="1">IF(AND(AE621&gt;0,AE621&lt;=Z619),AD619,IF(AND(AE621&gt;Z619,AE621&lt;=Z621),AD621,AJ623))</f>
        <v>4</v>
      </c>
      <c r="AJ623" s="397">
        <f ca="1">IF(AND(AE621&gt;Z621,AE621&lt;=Z622),AD622,IF(AND(AE621&gt;Z622,AE621&lt;=Z623),AD623,AK623))</f>
        <v>4</v>
      </c>
      <c r="AK623" s="397">
        <f ca="1">IF(AND(AE621&gt;Z623,AE621&lt;=Z624),AD624,AL623)</f>
        <v>0</v>
      </c>
      <c r="AL623" s="393">
        <f ca="1">IF(AND(AE621&gt;Z624,AE621&lt;=Z625),AD625,AM623)</f>
        <v>0</v>
      </c>
      <c r="AM623" s="393">
        <f ca="1">IF(AND(AE621&gt;Z625,AE621&lt;=Z626),AD626,AN623)</f>
        <v>0</v>
      </c>
      <c r="AN623" s="393">
        <f ca="1">IF(AND(AE621&gt;Z626,AE621&lt;=Z627),AD627,0)</f>
        <v>0</v>
      </c>
      <c r="AO623" s="397">
        <f ca="1">IF(AND(AE621&gt;0,AE621&lt;=Z619),AD619,IF(AND(AE621&gt;Z619,AE621&lt;=Z621),AD621,AP623))</f>
        <v>4</v>
      </c>
      <c r="AP623" s="397">
        <f ca="1">IF(AND(AE621&gt;Z621,AE621&lt;=Z622),AD622,IF(AND(AE621&gt;Z622,AE621&lt;=Z623),AD623,AQ623))</f>
        <v>4</v>
      </c>
      <c r="AQ623" s="397">
        <f ca="1">IF(AND(AE621&gt;Z623,AE621&lt;=Z624),AD624,AR623)</f>
        <v>0</v>
      </c>
      <c r="AR623" s="393">
        <f ca="1">IF(AND(AE621&gt;Z624,AE621&lt;=Z625),AD625,AS623)</f>
        <v>0</v>
      </c>
      <c r="AS623" s="393">
        <f ca="1">IF(AND(AE621&gt;Z625,AE621&lt;=Z626),AD626,AT623)</f>
        <v>0</v>
      </c>
      <c r="AT623" s="393">
        <f ca="1">IF(AND(AE621&gt;Z626,AE621&lt;=Z627),AD627,0)</f>
        <v>0</v>
      </c>
    </row>
    <row r="624" spans="1:46" x14ac:dyDescent="0.35">
      <c r="A624" s="20"/>
      <c r="C624" s="633" t="s">
        <v>2018</v>
      </c>
      <c r="D624" s="10"/>
      <c r="E624" s="10"/>
      <c r="F624" s="10"/>
      <c r="G624" s="10"/>
      <c r="H624" s="10"/>
      <c r="I624" s="10"/>
      <c r="J624" s="371"/>
      <c r="K624" s="6"/>
      <c r="L624" s="660">
        <f ca="1">L621*0.015</f>
        <v>1065.9939851297049</v>
      </c>
      <c r="M624" s="627" t="s">
        <v>64</v>
      </c>
      <c r="O624" s="630">
        <f ca="1">IF(ENTRADAS!D1227&gt;0,0,IF(AND(I11&gt;10,I11&lt;=12),22,0))</f>
        <v>0</v>
      </c>
      <c r="Q624" s="16"/>
      <c r="Z624" s="152">
        <f>PINOS!S10</f>
        <v>18140</v>
      </c>
      <c r="AA624" s="152">
        <f>PINOS!T10</f>
        <v>9166.1337209302346</v>
      </c>
      <c r="AB624" s="152">
        <f>PINOS!U10</f>
        <v>10282.848837209303</v>
      </c>
      <c r="AC624" s="429">
        <f>PINOS!V10</f>
        <v>5</v>
      </c>
      <c r="AD624" s="155">
        <f>PINOS!W10</f>
        <v>4</v>
      </c>
    </row>
    <row r="625" spans="1:40" x14ac:dyDescent="0.35">
      <c r="A625" s="20"/>
      <c r="C625" s="633" t="s">
        <v>175</v>
      </c>
      <c r="D625" s="10"/>
      <c r="E625" s="10"/>
      <c r="F625" s="10"/>
      <c r="G625" s="10"/>
      <c r="H625" s="10"/>
      <c r="I625" s="10"/>
      <c r="J625" s="371"/>
      <c r="K625" s="6"/>
      <c r="L625" s="660">
        <f ca="1">ROUNDUP(H319/2*(G44+G46)*F15,0)</f>
        <v>52</v>
      </c>
      <c r="M625" s="627" t="s">
        <v>46</v>
      </c>
      <c r="O625" s="630">
        <f ca="1">IF(ENTRADAS!D1227&gt;0,0,IF(AND(I11&gt;12,I11&lt;=14+G13),22,0))</f>
        <v>0</v>
      </c>
      <c r="Q625" s="16"/>
      <c r="Z625" s="152">
        <f>PINOS!S11</f>
        <v>22869.999999999996</v>
      </c>
      <c r="AA625" s="152">
        <f>PINOS!T11</f>
        <v>5237.7906976744189</v>
      </c>
      <c r="AB625" s="152">
        <f>PINOS!U11</f>
        <v>6482.0494186046508</v>
      </c>
      <c r="AC625" s="429">
        <f>PINOS!V11</f>
        <v>6</v>
      </c>
      <c r="AD625" s="155">
        <f>PINOS!W11</f>
        <v>8</v>
      </c>
    </row>
    <row r="626" spans="1:40" x14ac:dyDescent="0.35">
      <c r="A626" s="20"/>
      <c r="C626" s="633" t="s">
        <v>176</v>
      </c>
      <c r="D626" s="10"/>
      <c r="E626" s="10"/>
      <c r="F626" s="10"/>
      <c r="G626" s="10"/>
      <c r="H626" s="10"/>
      <c r="I626" s="10"/>
      <c r="J626" s="371"/>
      <c r="K626" s="6"/>
      <c r="L626" s="660">
        <f ca="1">ROUNDUP(0.2*((G44+G46+G50))*I11*2.4*F15,0)</f>
        <v>869</v>
      </c>
      <c r="M626" s="627" t="s">
        <v>177</v>
      </c>
      <c r="O626" s="630">
        <f>IF(ENTRADAS!D1227&gt;0,ENTRADAS!D1227,0)</f>
        <v>0</v>
      </c>
      <c r="Q626" s="16"/>
      <c r="Z626" s="152">
        <f>PINOS!S12</f>
        <v>25610</v>
      </c>
      <c r="AA626" s="152">
        <f>PINOS!T12</f>
        <v>6700.2906976744189</v>
      </c>
      <c r="AB626" s="152">
        <f>PINOS!U12</f>
        <v>7258.6482558139542</v>
      </c>
      <c r="AC626" s="429">
        <f>PINOS!V12</f>
        <v>7</v>
      </c>
      <c r="AD626" s="155">
        <f>PINOS!W12</f>
        <v>8</v>
      </c>
    </row>
    <row r="627" spans="1:40" x14ac:dyDescent="0.35">
      <c r="A627" s="20"/>
      <c r="C627" s="633" t="s">
        <v>2019</v>
      </c>
      <c r="D627" s="10"/>
      <c r="E627" s="10"/>
      <c r="F627" s="10"/>
      <c r="G627" s="10"/>
      <c r="H627" s="10"/>
      <c r="I627" s="10"/>
      <c r="J627" s="371"/>
      <c r="K627" s="6"/>
      <c r="L627" s="660">
        <f ca="1">ROUNDUP(0.2*((G44+G46+G50))*I11*2.4*F15,0)</f>
        <v>869</v>
      </c>
      <c r="M627" s="627" t="s">
        <v>177</v>
      </c>
      <c r="O627" s="627"/>
      <c r="Q627" s="16"/>
      <c r="Z627" s="152">
        <f>PINOS!S13</f>
        <v>28779.999999999996</v>
      </c>
      <c r="AA627" s="152">
        <f>PINOS!T13</f>
        <v>7319.5857558139542</v>
      </c>
      <c r="AB627" s="152">
        <f>PINOS!U13</f>
        <v>8157.1220930232548</v>
      </c>
      <c r="AC627" s="429">
        <f>PINOS!V13</f>
        <v>8</v>
      </c>
      <c r="AD627" s="155">
        <f>PINOS!W13</f>
        <v>8</v>
      </c>
    </row>
    <row r="628" spans="1:40" x14ac:dyDescent="0.35">
      <c r="A628" s="20"/>
      <c r="C628" s="633" t="s">
        <v>1866</v>
      </c>
      <c r="D628" s="10"/>
      <c r="E628" s="10"/>
      <c r="F628" s="10"/>
      <c r="G628" s="10"/>
      <c r="H628" s="10"/>
      <c r="I628" s="10"/>
      <c r="J628" s="371"/>
      <c r="K628" s="6"/>
      <c r="L628" s="660">
        <f ca="1">ROUNDUP(0.04/4*((G44+G46+G50))*I11*F15,0)</f>
        <v>19</v>
      </c>
      <c r="M628" s="627" t="s">
        <v>1867</v>
      </c>
      <c r="O628" s="627"/>
      <c r="Q628" s="16"/>
      <c r="Z628" s="277"/>
      <c r="AA628" s="277"/>
      <c r="AB628" s="277"/>
      <c r="AC628" s="717"/>
      <c r="AD628" s="718"/>
    </row>
    <row r="629" spans="1:40" x14ac:dyDescent="0.35">
      <c r="A629" s="20"/>
      <c r="C629" s="633" t="s">
        <v>2020</v>
      </c>
      <c r="D629" s="10"/>
      <c r="E629" s="10"/>
      <c r="F629" s="10"/>
      <c r="G629" s="10"/>
      <c r="H629" s="10"/>
      <c r="I629" s="10"/>
      <c r="J629" s="371"/>
      <c r="K629" s="6"/>
      <c r="L629" s="660">
        <f ca="1">RELATÓRIO!W177/30</f>
        <v>3.3333333333333335</v>
      </c>
      <c r="M629" s="627" t="s">
        <v>1324</v>
      </c>
      <c r="O629" s="627"/>
      <c r="Q629" s="16"/>
      <c r="Z629" s="277"/>
      <c r="AA629" s="277"/>
      <c r="AB629" s="277"/>
      <c r="AC629" s="717"/>
      <c r="AD629" s="718"/>
    </row>
    <row r="630" spans="1:40" x14ac:dyDescent="0.35">
      <c r="A630" s="20"/>
      <c r="C630" s="633" t="s">
        <v>2021</v>
      </c>
      <c r="D630" s="10"/>
      <c r="E630" s="10"/>
      <c r="F630" s="10"/>
      <c r="G630" s="10"/>
      <c r="H630" s="10"/>
      <c r="I630" s="10"/>
      <c r="J630" s="371"/>
      <c r="K630" s="6"/>
      <c r="L630" s="660">
        <f ca="1">ROUNDUP(0.09*I11*(G44+G46+G50)*F15,0)</f>
        <v>163</v>
      </c>
      <c r="M630" s="627" t="s">
        <v>64</v>
      </c>
      <c r="O630" s="627"/>
      <c r="Q630" s="16"/>
      <c r="Z630" s="277"/>
      <c r="AA630" s="277"/>
      <c r="AB630" s="277"/>
      <c r="AC630" s="717"/>
      <c r="AD630" s="718"/>
    </row>
    <row r="631" spans="1:40" x14ac:dyDescent="0.35">
      <c r="A631" s="20"/>
      <c r="C631" s="633" t="s">
        <v>2022</v>
      </c>
      <c r="D631" s="10"/>
      <c r="E631" s="10"/>
      <c r="F631" s="10"/>
      <c r="G631" s="10"/>
      <c r="H631" s="10"/>
      <c r="I631" s="10"/>
      <c r="J631" s="371"/>
      <c r="K631" s="6"/>
      <c r="L631" s="660">
        <f ca="1">ROUNDUP((0.048*I11/6)*(G44+G46+G50)*F15,0)</f>
        <v>15</v>
      </c>
      <c r="M631" s="627" t="s">
        <v>2023</v>
      </c>
      <c r="O631" s="627"/>
      <c r="Q631" s="16"/>
      <c r="Z631" s="277"/>
      <c r="AA631" s="277"/>
      <c r="AB631" s="277"/>
      <c r="AC631" s="717"/>
      <c r="AD631" s="718"/>
    </row>
    <row r="632" spans="1:40" x14ac:dyDescent="0.35">
      <c r="A632" s="20"/>
      <c r="C632" s="633" t="s">
        <v>2024</v>
      </c>
      <c r="D632" s="10"/>
      <c r="E632" s="10"/>
      <c r="F632" s="10"/>
      <c r="G632" s="10"/>
      <c r="H632" s="10"/>
      <c r="I632" s="10"/>
      <c r="J632" s="371"/>
      <c r="K632" s="6"/>
      <c r="L632" s="660">
        <f ca="1">RELATÓRIO!W177/30</f>
        <v>3.3333333333333335</v>
      </c>
      <c r="M632" s="627" t="s">
        <v>1324</v>
      </c>
      <c r="O632" s="627"/>
      <c r="Q632" s="16"/>
      <c r="Z632" s="277"/>
      <c r="AA632" s="277"/>
      <c r="AB632" s="277"/>
      <c r="AC632" s="717"/>
      <c r="AD632" s="718"/>
    </row>
    <row r="633" spans="1:40" hidden="1" x14ac:dyDescent="0.35">
      <c r="A633" s="20"/>
      <c r="C633" s="633" t="s">
        <v>179</v>
      </c>
      <c r="D633" s="10"/>
      <c r="E633" s="10"/>
      <c r="F633" s="10"/>
      <c r="G633" s="10"/>
      <c r="H633" s="10"/>
      <c r="I633" s="10"/>
      <c r="J633" s="371"/>
      <c r="K633" s="6"/>
      <c r="L633" s="7">
        <f>ENTRADAS!L224</f>
        <v>0</v>
      </c>
      <c r="M633" s="627" t="s">
        <v>64</v>
      </c>
      <c r="Q633" s="16"/>
    </row>
    <row r="634" spans="1:40" hidden="1" x14ac:dyDescent="0.35">
      <c r="A634" s="20"/>
      <c r="C634" s="633" t="s">
        <v>180</v>
      </c>
      <c r="D634" s="10"/>
      <c r="E634" s="10"/>
      <c r="F634" s="10"/>
      <c r="G634" s="10"/>
      <c r="H634" s="10"/>
      <c r="I634" s="10"/>
      <c r="J634" s="371"/>
      <c r="K634" s="6"/>
      <c r="L634" s="7">
        <f>ENTRADAS!L225</f>
        <v>0</v>
      </c>
      <c r="M634" s="627" t="s">
        <v>64</v>
      </c>
      <c r="N634" s="627"/>
      <c r="Q634" s="16"/>
      <c r="Z634" s="1338" t="s">
        <v>181</v>
      </c>
      <c r="AA634" s="1441"/>
      <c r="AB634" s="1441"/>
      <c r="AC634" s="1441"/>
      <c r="AD634" s="1339"/>
    </row>
    <row r="635" spans="1:40" hidden="1" x14ac:dyDescent="0.35">
      <c r="A635" s="20"/>
      <c r="C635" s="633" t="s">
        <v>182</v>
      </c>
      <c r="D635" s="10"/>
      <c r="E635" s="10"/>
      <c r="F635" s="10"/>
      <c r="G635" s="10"/>
      <c r="H635" s="10"/>
      <c r="I635" s="10"/>
      <c r="J635" s="371"/>
      <c r="K635" s="6"/>
      <c r="L635" s="7">
        <f>ENTRADAS!L226</f>
        <v>0</v>
      </c>
      <c r="M635" s="627" t="s">
        <v>78</v>
      </c>
      <c r="N635" s="627"/>
      <c r="Q635" s="16"/>
      <c r="Z635" s="2074" t="s">
        <v>161</v>
      </c>
      <c r="AA635" s="1446" t="s">
        <v>183</v>
      </c>
      <c r="AB635" s="1446" t="s">
        <v>184</v>
      </c>
      <c r="AC635" s="1446" t="s">
        <v>185</v>
      </c>
      <c r="AD635" s="2074" t="s">
        <v>165</v>
      </c>
    </row>
    <row r="636" spans="1:40" x14ac:dyDescent="0.35">
      <c r="A636" s="20"/>
      <c r="N636" s="626"/>
      <c r="Q636" s="16"/>
      <c r="Z636" s="2074"/>
      <c r="AA636" s="2074"/>
      <c r="AB636" s="2074"/>
      <c r="AC636" s="2074"/>
      <c r="AD636" s="2074"/>
      <c r="AE636" s="2" t="s">
        <v>145</v>
      </c>
      <c r="AF636" s="2070" t="s">
        <v>189</v>
      </c>
      <c r="AG636" s="2070"/>
      <c r="AH636" s="2070" t="s">
        <v>41</v>
      </c>
      <c r="AI636" s="2070" t="s">
        <v>41</v>
      </c>
      <c r="AJ636" s="2070"/>
      <c r="AK636" s="2070"/>
      <c r="AL636" s="2070" t="s">
        <v>42</v>
      </c>
      <c r="AM636" s="2070"/>
      <c r="AN636" s="2070"/>
    </row>
    <row r="637" spans="1:40" x14ac:dyDescent="0.35">
      <c r="A637" s="20"/>
      <c r="C637" s="627" t="s">
        <v>190</v>
      </c>
      <c r="G637" s="626">
        <f>ENTRADAS!G231</f>
        <v>0</v>
      </c>
      <c r="H637" s="627" t="s">
        <v>52</v>
      </c>
      <c r="I637" s="626" t="str">
        <f>ENTRADAS!I231</f>
        <v>x</v>
      </c>
      <c r="J637" s="627" t="s">
        <v>53</v>
      </c>
      <c r="Q637" s="16"/>
      <c r="Z637" s="152">
        <f>PINOS!S18</f>
        <v>5899.9999999999991</v>
      </c>
      <c r="AA637" s="152">
        <f>PINOS!T18</f>
        <v>4116.2790697674418</v>
      </c>
      <c r="AB637" s="152">
        <f>PINOS!U18</f>
        <v>5145.3488372093016</v>
      </c>
      <c r="AC637" s="429">
        <f>PINOS!V18</f>
        <v>1</v>
      </c>
      <c r="AD637" s="155">
        <f>PINOS!W18</f>
        <v>2</v>
      </c>
      <c r="AE637" s="392">
        <f ca="1">((IF(OR(C19="x",ENTRADAS!G66="X"),Z229,IF(E19="x",AB229,0)))*1000)</f>
        <v>8673.5220684377146</v>
      </c>
      <c r="AF637" s="2075" t="s">
        <v>148</v>
      </c>
      <c r="AG637" s="2076"/>
      <c r="AH637" s="393">
        <f ca="1">IF(OR(C19="x",ENTRADAS!G66="X"),LARGE(AI637:AK637,1),IF(E19="x",LARGE(AL637:AN637,1),0))</f>
        <v>2</v>
      </c>
      <c r="AI637" s="394">
        <f ca="1">IF(AND(AE637&gt;0,AE637&lt;=Z637),AC637,IF(AND(AE637&gt;Z637,AE637&lt;=Z638),AC638,AJ637))</f>
        <v>2</v>
      </c>
      <c r="AJ637" s="394">
        <f ca="1">IF(AND(AE637&gt;Z638,AE637&lt;=Z639),AC639,IF(AND(AE637&gt;Z639,AE637&lt;=Z640),AC640,AK637))</f>
        <v>0</v>
      </c>
      <c r="AK637" s="394">
        <f ca="1">IF(AND(AE637&gt;Z640,AE637&lt;=Z641),AC641,IF(AND(AE637&gt;Z641,AE637&lt;=Z642),AC642,0))</f>
        <v>0</v>
      </c>
      <c r="AL637" s="394">
        <f ca="1">IF(AND(AE637&gt;0,AE637&lt;=Z637),AC637,IF(AND(AE637&gt;Z637,AE637&lt;=Z638),AC638,AM637))</f>
        <v>2</v>
      </c>
      <c r="AM637" s="394">
        <f ca="1">IF(AND(AE637&gt;Z638,AE637&lt;=Z639),AC639,IF(AND(AE637&gt;Z639,AE637&lt;=Z640),AC640,AN637))</f>
        <v>0</v>
      </c>
      <c r="AN637" s="394">
        <f ca="1">IF(AND(AE637&gt;Z640,AE637&lt;=Z641),AC641,IF(AND(AE637&gt;Z641,AE637&lt;=Z642),AC642,0))</f>
        <v>0</v>
      </c>
    </row>
    <row r="638" spans="1:40" x14ac:dyDescent="0.35">
      <c r="A638" s="20"/>
      <c r="Q638" s="16"/>
      <c r="Z638" s="152">
        <f>PINOS!S19</f>
        <v>8870</v>
      </c>
      <c r="AA638" s="152">
        <f>PINOS!T19</f>
        <v>5162.7906976744189</v>
      </c>
      <c r="AB638" s="152">
        <f>PINOS!U19</f>
        <v>7735.4651162790697</v>
      </c>
      <c r="AC638" s="429">
        <f>PINOS!V19</f>
        <v>2</v>
      </c>
      <c r="AD638" s="155">
        <f>PINOS!W19</f>
        <v>2</v>
      </c>
      <c r="AE638" s="396">
        <f ca="1">(IF(OR(C19="x",ENTRADAS!G66="X"),AA161,IF(E19="x",AC161,0))*1000)</f>
        <v>11953.750000000004</v>
      </c>
      <c r="AF638" s="2072" t="s">
        <v>150</v>
      </c>
      <c r="AG638" s="2073"/>
      <c r="AH638" s="397">
        <f ca="1">IF(OR(C19="x",ENTRADAS!G66="X"),LARGE(AI638:AK638,1),IF(E19="x",LARGE(AL638:AN638,1),0))</f>
        <v>3</v>
      </c>
      <c r="AI638" s="398">
        <f ca="1">IF(AND(AE638&gt;0,AE638&lt;=Z637),AC637,IF(AND(AE638&gt;Z637,AE638&lt;=Z638),AC638,AJ638))</f>
        <v>3</v>
      </c>
      <c r="AJ638" s="398">
        <f ca="1">IF(AND(AE638&gt;Z638,AE638&lt;=Z639),AC639,IF(AND(AE638&gt;Z639,AE638&lt;=Z640),AC640,AK638))</f>
        <v>3</v>
      </c>
      <c r="AK638" s="398">
        <f ca="1">IF(AND(AE638&gt;Z640,AE638&lt;=Z641),AC641,IF(AND(AE638&gt;Z641,AE638&lt;=Z642),AC642,0))</f>
        <v>0</v>
      </c>
      <c r="AL638" s="398">
        <f ca="1">IF(AND(AE638&gt;0,AE638&lt;=Z637),AC637,IF(AND(AE638&gt;Z637,AE638&lt;=Z638),AC638,AM638))</f>
        <v>3</v>
      </c>
      <c r="AM638" s="398">
        <f ca="1">IF(AND(AE638&gt;Z638,AE638&lt;=Z639),AC639,IF(AND(AE638&gt;Z639,AE638&lt;=Z640),AC640,AN638))</f>
        <v>3</v>
      </c>
      <c r="AN638" s="398">
        <f ca="1">IF(AND(AE638&gt;Z640,AE638&lt;=Z641),AC641,IF(AND(AE638&gt;Z641,AE638&lt;=Z642),AC642,0))</f>
        <v>0</v>
      </c>
    </row>
    <row r="639" spans="1:40" x14ac:dyDescent="0.35">
      <c r="A639" s="20"/>
      <c r="C639" s="627" t="s">
        <v>2025</v>
      </c>
      <c r="Q639" s="16"/>
      <c r="Z639" s="152">
        <f>PINOS!S20</f>
        <v>12075.000000000002</v>
      </c>
      <c r="AA639" s="152">
        <f>PINOS!T20</f>
        <v>8066.8604651162796</v>
      </c>
      <c r="AB639" s="152">
        <f>PINOS!U20</f>
        <v>10530.523255813956</v>
      </c>
      <c r="AC639" s="429">
        <f>PINOS!V20</f>
        <v>3</v>
      </c>
      <c r="AD639" s="155">
        <f>PINOS!W20</f>
        <v>2</v>
      </c>
      <c r="AE639" s="392">
        <f ca="1">AE637</f>
        <v>8673.5220684377146</v>
      </c>
      <c r="AF639" s="2075" t="s">
        <v>148</v>
      </c>
      <c r="AG639" s="2076"/>
      <c r="AH639" s="393">
        <f ca="1">IF(OR(C19="x",ENTRADAS!G66="X"),LARGE(AI639:AK639,1),IF(E19="x",LARGE(AL639:AN639,1),0))</f>
        <v>2</v>
      </c>
      <c r="AI639" s="394">
        <f ca="1">IF(AND(AE637&gt;0,AE637&lt;=Z637),AD637,IF(AND(AE637&gt;Z637,AE637&lt;=Z638),AD638,AJ639))</f>
        <v>2</v>
      </c>
      <c r="AJ639" s="394">
        <f ca="1">IF(AND(AE637&gt;Z638,AE637&lt;=Z639),AD639,IF(AND(AE637&gt;Z639,AE637&lt;=Z640),AD640,AK639))</f>
        <v>0</v>
      </c>
      <c r="AK639" s="394">
        <f ca="1">IF(AND(AE637&gt;Z640,AE637&lt;=Z641),AD641,IF(AND(AE637&gt;Z641,AE637&lt;=Z642),AD642,0))</f>
        <v>0</v>
      </c>
      <c r="AL639" s="394">
        <f ca="1">IF(AND(AE637&gt;0,AE637&lt;=Z637),AD637,IF(AND(AE637&gt;Z637,AE637&lt;=Z638),AD638,AM639))</f>
        <v>2</v>
      </c>
      <c r="AM639" s="394">
        <f ca="1">IF(AND(AE637&gt;Z638,AE637&lt;=Z639),AD639,IF(AND(AE637&gt;Z639,AE637&lt;=Z640),AD640,AN639))</f>
        <v>0</v>
      </c>
      <c r="AN639" s="394">
        <f ca="1">IF(AND(AE637&gt;Z640,AE637&lt;=Z641),AD641,IF(AND(AE637&gt;Z641,AE637&lt;=Z642),AD642,0))</f>
        <v>0</v>
      </c>
    </row>
    <row r="640" spans="1:40" x14ac:dyDescent="0.35">
      <c r="A640" s="20"/>
      <c r="C640" s="7">
        <f>ENTRADAS!C249</f>
        <v>1</v>
      </c>
      <c r="D640" s="627" t="str">
        <f>IF(C640&gt;1,"EQUIPES","EQUIPE")</f>
        <v>EQUIPE</v>
      </c>
      <c r="E640" s="183"/>
      <c r="Q640" s="16"/>
      <c r="Z640" s="152">
        <f>PINOS!S21</f>
        <v>17370</v>
      </c>
      <c r="AA640" s="152">
        <f>PINOS!T21</f>
        <v>5154.0697674418598</v>
      </c>
      <c r="AB640" s="152">
        <f>PINOS!U21</f>
        <v>7574.1279069767443</v>
      </c>
      <c r="AC640" s="429">
        <f>PINOS!V21</f>
        <v>4</v>
      </c>
      <c r="AD640" s="155">
        <f>PINOS!W21</f>
        <v>4</v>
      </c>
      <c r="AE640" s="396">
        <f ca="1">AE638</f>
        <v>11953.750000000004</v>
      </c>
      <c r="AF640" s="2072" t="s">
        <v>150</v>
      </c>
      <c r="AG640" s="2073"/>
      <c r="AH640" s="397">
        <f ca="1">IF(OR(C19="x",ENTRADAS!G66="X"),LARGE(AI640:AK640,1),IF(E19="x",LARGE(AL640:AN640,1),0))</f>
        <v>2</v>
      </c>
      <c r="AI640" s="398">
        <f ca="1">IF(AND(AE638&gt;0,AE638&lt;=Z637),AD637,IF(AND(AE638&gt;Z637,AE638&lt;=Z638),AD638,AJ640))</f>
        <v>2</v>
      </c>
      <c r="AJ640" s="398">
        <f ca="1">IF(AND(AE638&gt;Z638,AE638&lt;=Z639),AD639,IF(AND(AE638&gt;Z639,AE638&lt;=Z640),AD640,AK640))</f>
        <v>2</v>
      </c>
      <c r="AK640" s="398">
        <f ca="1">IF(AND(AE638&gt;Z640,AE638&lt;=Z641),AD641,IF(AND(AE638&gt;Z641,AE638&lt;=Z641),AD642,0))</f>
        <v>0</v>
      </c>
      <c r="AL640" s="398">
        <f ca="1">IF(AND(AE638&gt;0,AE638&lt;=Z637),AD637,IF(AND(AE638&gt;Z637,AE638&lt;=Z638),AD638,AM640))</f>
        <v>2</v>
      </c>
      <c r="AM640" s="398">
        <f ca="1">IF(AND(AE638&gt;Z638,AE638&lt;=Z639),AD639,IF(AND(AE638&gt;Z639,AE638&lt;=Z640),AD640,AN640))</f>
        <v>2</v>
      </c>
      <c r="AN640" s="398">
        <f ca="1">IF(AND(AE638&gt;Z640,AE638&lt;=Z641),AD641,IF(AND(AE638&gt;Z641,AE638&lt;=Z642),AD642,0))</f>
        <v>0</v>
      </c>
    </row>
    <row r="641" spans="1:40" x14ac:dyDescent="0.35">
      <c r="A641" s="20"/>
      <c r="F641" t="s">
        <v>200</v>
      </c>
      <c r="Q641" s="16"/>
      <c r="Z641" s="152">
        <f>PINOS!S22</f>
        <v>22869.999999999996</v>
      </c>
      <c r="AA641" s="152">
        <f>PINOS!T22</f>
        <v>7722.3837209302328</v>
      </c>
      <c r="AB641" s="152">
        <f>PINOS!U22</f>
        <v>9972.383720930231</v>
      </c>
      <c r="AC641" s="429">
        <f>PINOS!V22</f>
        <v>5</v>
      </c>
      <c r="AD641" s="155">
        <f>PINOS!W22</f>
        <v>4</v>
      </c>
    </row>
    <row r="642" spans="1:40" x14ac:dyDescent="0.35">
      <c r="A642" s="20"/>
      <c r="C642" t="s">
        <v>201</v>
      </c>
      <c r="F642" t="s">
        <v>202</v>
      </c>
      <c r="Q642" s="16"/>
      <c r="Z642" s="152">
        <f>PINOS!S23</f>
        <v>28779.999999999996</v>
      </c>
      <c r="AA642" s="152">
        <f>PINOS!T23</f>
        <v>10308.139534883721</v>
      </c>
      <c r="AB642" s="152">
        <f>PINOS!U23</f>
        <v>12549.41860465116</v>
      </c>
      <c r="AC642" s="429">
        <f>PINOS!V23</f>
        <v>6</v>
      </c>
      <c r="AD642" s="155">
        <f>PINOS!W23</f>
        <v>4</v>
      </c>
    </row>
    <row r="643" spans="1:40" x14ac:dyDescent="0.35">
      <c r="A643" s="20"/>
      <c r="C643" s="31">
        <f>IF(ENTRADAS!B252=0,ENTRADAS!C252,ENTRADAS!B252)</f>
        <v>0.5</v>
      </c>
      <c r="D643" t="s">
        <v>91</v>
      </c>
      <c r="F643" s="660">
        <f>ENTRADAS!F252</f>
        <v>0</v>
      </c>
      <c r="G643" t="s">
        <v>203</v>
      </c>
      <c r="Q643" s="16"/>
    </row>
    <row r="644" spans="1:40" x14ac:dyDescent="0.35">
      <c r="A644" s="20"/>
      <c r="C644" s="31">
        <f>IF(ENTRADAS!B253=0,ENTRADAS!C253,ENTRADAS!B253)</f>
        <v>7</v>
      </c>
      <c r="D644" t="s">
        <v>95</v>
      </c>
      <c r="F644" s="660">
        <f>ENTRADAS!F253</f>
        <v>0</v>
      </c>
      <c r="G644" t="s">
        <v>203</v>
      </c>
      <c r="Q644" s="16"/>
    </row>
    <row r="645" spans="1:40" x14ac:dyDescent="0.35">
      <c r="A645" s="20"/>
      <c r="C645" s="31">
        <f>IF(ENTRADAS!B254=0,ENTRADAS!C254,ENTRADAS!B254)</f>
        <v>1</v>
      </c>
      <c r="D645" t="s">
        <v>204</v>
      </c>
      <c r="F645" s="660">
        <f>ENTRADAS!F254</f>
        <v>0</v>
      </c>
      <c r="G645" t="s">
        <v>203</v>
      </c>
      <c r="Q645" s="16"/>
      <c r="Z645" s="1338" t="s">
        <v>2026</v>
      </c>
      <c r="AA645" s="1441"/>
      <c r="AB645" s="1441"/>
      <c r="AC645" s="1441"/>
      <c r="AD645" s="1339"/>
    </row>
    <row r="646" spans="1:40" x14ac:dyDescent="0.35">
      <c r="A646" s="20"/>
      <c r="C646" s="31">
        <f>IF(ENTRADAS!B255=0,ENTRADAS!C255,ENTRADAS!B255)</f>
        <v>3.6685878962536025</v>
      </c>
      <c r="D646" t="s">
        <v>270</v>
      </c>
      <c r="F646" s="660">
        <f>ENTRADAS!F255</f>
        <v>0</v>
      </c>
      <c r="G646" t="s">
        <v>203</v>
      </c>
      <c r="Q646" s="16"/>
      <c r="Z646" s="1446" t="s">
        <v>1869</v>
      </c>
      <c r="AA646" s="1446" t="s">
        <v>355</v>
      </c>
      <c r="AB646" s="1446"/>
      <c r="AC646" s="1446" t="s">
        <v>1870</v>
      </c>
      <c r="AD646" s="2074" t="s">
        <v>165</v>
      </c>
    </row>
    <row r="647" spans="1:40" x14ac:dyDescent="0.35">
      <c r="A647" s="20"/>
      <c r="C647" s="31">
        <f>IF(ENTRADAS!B256=0,ENTRADAS!C256,ENTRADAS!B256)</f>
        <v>0.5</v>
      </c>
      <c r="D647" s="204" t="s">
        <v>2027</v>
      </c>
      <c r="F647" s="660">
        <f>ENTRADAS!F256</f>
        <v>0</v>
      </c>
      <c r="G647" t="s">
        <v>203</v>
      </c>
      <c r="Q647" s="16"/>
      <c r="Z647" s="2074"/>
      <c r="AA647" s="2074"/>
      <c r="AB647" s="2074"/>
      <c r="AC647" s="2074"/>
      <c r="AD647" s="2074"/>
      <c r="AE647" s="2" t="s">
        <v>145</v>
      </c>
      <c r="AF647" s="2070" t="s">
        <v>189</v>
      </c>
      <c r="AG647" s="2070"/>
      <c r="AH647" s="2070" t="s">
        <v>41</v>
      </c>
      <c r="AI647" s="2070" t="s">
        <v>41</v>
      </c>
      <c r="AJ647" s="2070"/>
      <c r="AK647" s="2070"/>
      <c r="AL647" s="2070" t="s">
        <v>42</v>
      </c>
      <c r="AM647" s="2070"/>
      <c r="AN647" s="2070"/>
    </row>
    <row r="648" spans="1:40" x14ac:dyDescent="0.35">
      <c r="A648" s="20"/>
      <c r="C648" s="31">
        <f>IF(ENTRADAS!B257=0,ENTRADAS!C257,ENTRADAS!B257)</f>
        <v>0.5</v>
      </c>
      <c r="D648" s="204" t="s">
        <v>206</v>
      </c>
      <c r="F648" s="660">
        <f>ENTRADAS!F257</f>
        <v>0</v>
      </c>
      <c r="G648" t="s">
        <v>203</v>
      </c>
      <c r="Q648" s="16"/>
      <c r="Z648" s="152">
        <f>IF(ENTRADAS!F1261="X",4000,0)</f>
        <v>0</v>
      </c>
      <c r="AA648" s="730">
        <f>IF(ENTRADAS!F1261="X","M25 x 70",0)</f>
        <v>0</v>
      </c>
      <c r="AB648" s="152"/>
      <c r="AC648" s="152">
        <f>IF(ENTRADAS!F1261="X",4000,0)</f>
        <v>0</v>
      </c>
      <c r="AD648" s="155">
        <f>IF(ENTRADAS!F1261="X",2,0)</f>
        <v>0</v>
      </c>
      <c r="AE648" s="392">
        <f ca="1">((IF(OR(C19="x",ENTRADAS!G66="X"),Z229/2,IF(E19="x",AB229/2,0)))*1000)</f>
        <v>4336.7610342188573</v>
      </c>
      <c r="AF648" s="2075" t="s">
        <v>148</v>
      </c>
      <c r="AG648" s="2076"/>
      <c r="AH648" s="393">
        <f ca="1">IF(OR(C19="x",ENTRADAS!G66="X"),LARGE(AI648:AK648,1),IF(E19="x",LARGE(AL648:AN648,1),0))</f>
        <v>6000</v>
      </c>
      <c r="AI648" s="394">
        <f ca="1">IF(AND(AE648&gt;0,AE648&lt;=Z648),AC648,IF(AND(AE648&gt;Z648,AE648&lt;=Z649),AC649,AJ648))</f>
        <v>6000</v>
      </c>
      <c r="AJ648" s="394">
        <f ca="1">IF(AND(AE648&gt;Z649,AE648&lt;=Z652),AC652,IF(AND(AE648&gt;Z652,AE648&lt;=Z653),AC653,AK648))</f>
        <v>0</v>
      </c>
      <c r="AK648" s="394">
        <f ca="1">IF(AND(AE648&gt;Z653,AE648&lt;=Z654),AC654,IF(AND(AE648&gt;Z654,AE648&lt;=Z655),AC655,0))</f>
        <v>0</v>
      </c>
      <c r="AL648" s="394">
        <f ca="1">IF(AND(AE648&gt;0,AE648&lt;=Z648),AC648,IF(AND(AE648&gt;Z648,AE648&lt;=Z649),AC649,AM648))</f>
        <v>6000</v>
      </c>
      <c r="AM648" s="394">
        <f ca="1">IF(AND(AE648&gt;Z649,AE648&lt;=AC652),Z652,IF(AND(AE648&gt;Z652,AE648&lt;=Z653),AC653,AN648))</f>
        <v>0</v>
      </c>
      <c r="AN648" s="394">
        <f ca="1">IF(AND(AE648&gt;Z653,AE648&lt;=Z654),AC654,IF(AND(AE648&gt;Z654,AE648&lt;=Z655),AC655,0))</f>
        <v>0</v>
      </c>
    </row>
    <row r="649" spans="1:40" x14ac:dyDescent="0.35">
      <c r="A649" s="20"/>
      <c r="C649" s="31">
        <f>IF(ENTRADAS!B259=0,ENTRADAS!C259,ENTRADAS!B259)</f>
        <v>1</v>
      </c>
      <c r="D649" s="627" t="s">
        <v>208</v>
      </c>
      <c r="F649" s="660">
        <f>ENTRADAS!F259</f>
        <v>2</v>
      </c>
      <c r="G649" t="s">
        <v>203</v>
      </c>
      <c r="Q649" s="16"/>
      <c r="Z649" s="152">
        <v>6000</v>
      </c>
      <c r="AA649" s="730" t="s">
        <v>2028</v>
      </c>
      <c r="AB649" s="152"/>
      <c r="AC649" s="152">
        <v>6000</v>
      </c>
      <c r="AD649" s="155">
        <v>2</v>
      </c>
      <c r="AE649" s="396">
        <f ca="1">(IF(OR(C19="x",ENTRADAS!G66="X"),AA161/2,IF(E19="x",AC161/2,0))*1000)</f>
        <v>5976.8750000000018</v>
      </c>
      <c r="AF649" s="2072" t="s">
        <v>150</v>
      </c>
      <c r="AG649" s="2073"/>
      <c r="AH649" s="397">
        <f ca="1">IF(OR(C19="x",ENTRADAS!G66="X"),LARGE(AI649:AK649,1),IF(E19="x",LARGE(AL649:AN649,1),0))</f>
        <v>6000</v>
      </c>
      <c r="AI649" s="398">
        <f ca="1">IF(AND(AE649&gt;0,AE649&lt;=Z648),AC648,IF(AND(AE649&gt;Z648,AE649&lt;=Z649),AC649,AJ649))</f>
        <v>6000</v>
      </c>
      <c r="AJ649" s="398">
        <f ca="1">IF(AND(AE649&gt;Z649,AE649&lt;=Z652),AC652,IF(AND(AE649&gt;Z652,AE649&lt;=Z653),AC653,AK649))</f>
        <v>0</v>
      </c>
      <c r="AK649" s="398">
        <f ca="1">IF(AND(AE649&gt;Z653,AE649&lt;=Z654),AC654,IF(AND(AE649&gt;Z654,AE649&lt;=Z655),AC655,0))</f>
        <v>0</v>
      </c>
      <c r="AL649" s="398">
        <f ca="1">IF(AND(AE649&gt;0,AE649&lt;=Z648),AC648,IF(AND(AE649&gt;Z648,AE649&lt;=Z649),AC649,AM649))</f>
        <v>6000</v>
      </c>
      <c r="AM649" s="398">
        <f ca="1">IF(AND(AE649&gt;Z649,AE649&lt;=Z652),AC652,IF(AND(AE649&gt;Z652,AE649&lt;=Z653),AC653,AN649))</f>
        <v>0</v>
      </c>
      <c r="AN649" s="398">
        <f ca="1">IF(AND(AE649&gt;Z653,AE649&lt;=Z654),AC654,IF(AND(AE649&gt;Z654,AE649&lt;=Z655),AC655,0))</f>
        <v>0</v>
      </c>
    </row>
    <row r="650" spans="1:40" x14ac:dyDescent="0.35">
      <c r="A650" s="20"/>
      <c r="C650" s="31">
        <f>IF(ENTRADAS!B260=0,ENTRADAS!C260,ENTRADAS!B260)</f>
        <v>0.5</v>
      </c>
      <c r="D650" s="627" t="s">
        <v>209</v>
      </c>
      <c r="F650" s="660">
        <f>ENTRADAS!F260</f>
        <v>0</v>
      </c>
      <c r="G650" t="s">
        <v>203</v>
      </c>
      <c r="Q650" s="16"/>
      <c r="Z650" s="152"/>
      <c r="AA650" s="730"/>
      <c r="AB650" s="152"/>
      <c r="AC650" s="152"/>
      <c r="AD650" s="155"/>
      <c r="AE650" s="396"/>
      <c r="AF650" s="715"/>
      <c r="AG650" s="714"/>
      <c r="AH650" s="397"/>
      <c r="AI650" s="398"/>
      <c r="AJ650" s="398"/>
      <c r="AK650" s="398"/>
      <c r="AL650" s="398"/>
      <c r="AM650" s="398"/>
      <c r="AN650" s="398"/>
    </row>
    <row r="651" spans="1:40" x14ac:dyDescent="0.35">
      <c r="A651" s="20"/>
      <c r="C651" s="368"/>
      <c r="D651" s="627"/>
      <c r="F651" s="761"/>
      <c r="L651" s="627" t="s">
        <v>1928</v>
      </c>
      <c r="N651" s="627" t="s">
        <v>1929</v>
      </c>
      <c r="Q651" s="16"/>
      <c r="Z651" s="152"/>
      <c r="AA651" s="730"/>
      <c r="AB651" s="152"/>
      <c r="AC651" s="152"/>
      <c r="AD651" s="155"/>
      <c r="AE651" s="396"/>
      <c r="AF651" s="715"/>
      <c r="AG651" s="714"/>
      <c r="AH651" s="397"/>
      <c r="AI651" s="398"/>
      <c r="AJ651" s="398"/>
      <c r="AK651" s="398"/>
      <c r="AL651" s="398"/>
      <c r="AM651" s="398"/>
      <c r="AN651" s="398"/>
    </row>
    <row r="652" spans="1:40" ht="12.75" customHeight="1" x14ac:dyDescent="0.35">
      <c r="A652" s="20"/>
      <c r="C652" s="627" t="s">
        <v>213</v>
      </c>
      <c r="L652" s="7"/>
      <c r="M652" s="627" t="s">
        <v>130</v>
      </c>
      <c r="N652" s="7">
        <f>ENTRADAS!L268</f>
        <v>21.590909090909083</v>
      </c>
      <c r="O652" s="627" t="s">
        <v>130</v>
      </c>
      <c r="Q652" s="16"/>
      <c r="Z652" s="152">
        <v>10000</v>
      </c>
      <c r="AA652" s="730" t="s">
        <v>2029</v>
      </c>
      <c r="AB652" s="152"/>
      <c r="AC652" s="152">
        <v>10000</v>
      </c>
      <c r="AD652" s="155">
        <v>2</v>
      </c>
      <c r="AE652" s="392">
        <f ca="1">AE648</f>
        <v>4336.7610342188573</v>
      </c>
      <c r="AF652" s="2075" t="s">
        <v>148</v>
      </c>
      <c r="AG652" s="2076"/>
      <c r="AH652" s="393">
        <f ca="1">IF(OR(C19="x",ENTRADAS!G66="X"),LARGE(AI652:AK652,1),IF(E19="x",LARGE(AL652:AN652,1),0))</f>
        <v>2</v>
      </c>
      <c r="AI652" s="394">
        <f ca="1">IF(AND(AE648&gt;0,AE648&lt;=Z648),AD648,IF(AND(AE648&gt;Z648,AE648&lt;=Z649),AD649,AJ652))</f>
        <v>2</v>
      </c>
      <c r="AJ652" s="394">
        <f ca="1">IF(AND(AE648&gt;Z649,AE648&lt;=Z652),AD652,IF(AND(AE648&gt;Z652,AE648&lt;=Z653),AD653,AK652))</f>
        <v>0</v>
      </c>
      <c r="AK652" s="394">
        <f ca="1">IF(AND(AE648&gt;Z653,AE648&lt;=Z654),AD654,IF(AND(AE648&gt;Z654,AE648&lt;=Z655),AD655,0))</f>
        <v>0</v>
      </c>
      <c r="AL652" s="394">
        <f ca="1">IF(AND(AE648&gt;0,AE648&lt;=Z648),AD648,IF(AND(AE648&gt;Z648,AE648&lt;=Z649),AD649,AM652))</f>
        <v>2</v>
      </c>
      <c r="AM652" s="394">
        <f ca="1">IF(AND(AE648&gt;Z649,AE648&lt;=Z652),AD652,IF(AND(AE648&gt;Z652,AE648&lt;=Z653),AD653,AN652))</f>
        <v>0</v>
      </c>
      <c r="AN652" s="394">
        <f ca="1">IF(AND(AE648&gt;Z653,AE648&lt;=Z654),AD654,IF(AND(AE648&gt;Z654,AE648&lt;=Z655),AD655,0))</f>
        <v>0</v>
      </c>
    </row>
    <row r="653" spans="1:40" ht="12.75" customHeight="1" x14ac:dyDescent="0.35">
      <c r="A653" s="20"/>
      <c r="C653" s="627"/>
      <c r="Q653" s="16"/>
      <c r="T653" s="630" t="s">
        <v>2030</v>
      </c>
      <c r="U653" s="32">
        <f>ENTRADAS!L229</f>
        <v>24</v>
      </c>
      <c r="Z653" s="152">
        <v>15000</v>
      </c>
      <c r="AA653" s="730" t="s">
        <v>2031</v>
      </c>
      <c r="AB653" s="152"/>
      <c r="AC653" s="152">
        <v>15000</v>
      </c>
      <c r="AD653" s="155">
        <v>2</v>
      </c>
      <c r="AE653" s="396">
        <f ca="1">AE649</f>
        <v>5976.8750000000018</v>
      </c>
      <c r="AF653" s="2072" t="s">
        <v>150</v>
      </c>
      <c r="AG653" s="2073"/>
      <c r="AH653" s="397">
        <f ca="1">IF(OR(C19="x",ENTRADAS!G66="X"),LARGE(AI653:AK653,1),IF(E30="x",LARGE(AL653:AN653,1),0))</f>
        <v>2</v>
      </c>
      <c r="AI653" s="398">
        <f ca="1">IF(AND(AE649&gt;0,AE649&lt;=Z648),AD648,IF(AND(AE649&gt;Z648,AE649&lt;=Z649),AD649,AJ653))</f>
        <v>2</v>
      </c>
      <c r="AJ653" s="398">
        <f ca="1">IF(AND(AE649&gt;Z649,AE649&lt;=Z652),AD652,IF(AND(AE649&gt;Z652,AE649&lt;=Z653),AD653,AK653))</f>
        <v>0</v>
      </c>
      <c r="AK653" s="398">
        <f ca="1">IF(AND(AE649&gt;Z653,AE649&lt;=Z654),AD654,IF(AND(AE649&gt;Z654,AE649&lt;=Z654),AD655,0))</f>
        <v>0</v>
      </c>
      <c r="AL653" s="398">
        <f ca="1">IF(AND(AE649&gt;0,AE649&lt;=Z648),AD648,IF(AND(AE649&gt;Z648,AE649&lt;=Z649),AD649,AM653))</f>
        <v>2</v>
      </c>
      <c r="AM653" s="398">
        <f ca="1">IF(AND(AE649&gt;Z649,AE649&lt;=Z652),AD652,IF(AND(AE649&gt;Z652,AE649&lt;=Z653),AD653,AN653))</f>
        <v>0</v>
      </c>
      <c r="AN653" s="398">
        <f ca="1">IF(AND(AE649&gt;Z653,AE649&lt;=Z654),AD654,IF(AND(AE649&gt;Z654,AE649&lt;=Z655),AD655,0))</f>
        <v>0</v>
      </c>
    </row>
    <row r="654" spans="1:40" ht="12.75" customHeight="1" x14ac:dyDescent="0.35">
      <c r="A654" s="20"/>
      <c r="C654" s="627" t="s">
        <v>216</v>
      </c>
      <c r="L654" s="7">
        <f>ENTRADAS!L270</f>
        <v>92.10526315789474</v>
      </c>
      <c r="M654" s="627" t="s">
        <v>130</v>
      </c>
      <c r="Q654" s="16"/>
      <c r="T654" s="1442" t="s">
        <v>2032</v>
      </c>
      <c r="U654" s="1442" t="s">
        <v>2033</v>
      </c>
      <c r="Z654" s="152"/>
      <c r="AA654" s="152"/>
      <c r="AB654" s="152"/>
      <c r="AC654" s="152"/>
      <c r="AD654" s="155"/>
    </row>
    <row r="655" spans="1:40" ht="12.75" customHeight="1" x14ac:dyDescent="0.35">
      <c r="A655" s="20"/>
      <c r="C655" s="368"/>
      <c r="Q655" s="16"/>
      <c r="T655" s="2116"/>
      <c r="U655" s="2116"/>
      <c r="Z655" s="152"/>
      <c r="AA655" s="152"/>
      <c r="AB655" s="152"/>
      <c r="AC655" s="152"/>
      <c r="AD655" s="155"/>
    </row>
    <row r="656" spans="1:40" ht="12.75" customHeight="1" x14ac:dyDescent="0.35">
      <c r="A656" s="20"/>
      <c r="C656" s="1452" t="s">
        <v>218</v>
      </c>
      <c r="D656" s="2095"/>
      <c r="E656" s="2095"/>
      <c r="F656" s="2096"/>
      <c r="G656" s="432" t="s">
        <v>219</v>
      </c>
      <c r="H656" s="432" t="s">
        <v>220</v>
      </c>
      <c r="I656" s="38" t="s">
        <v>221</v>
      </c>
      <c r="J656" s="40" t="s">
        <v>222</v>
      </c>
      <c r="K656" s="15"/>
      <c r="L656" s="379" t="s">
        <v>223</v>
      </c>
      <c r="M656" s="1533" t="s">
        <v>223</v>
      </c>
      <c r="N656" s="1535"/>
      <c r="O656" s="433" t="s">
        <v>224</v>
      </c>
      <c r="Q656" s="16"/>
      <c r="T656" s="2116"/>
      <c r="U656" s="2116"/>
    </row>
    <row r="657" spans="1:22" x14ac:dyDescent="0.35">
      <c r="A657" s="20"/>
      <c r="C657" s="2097"/>
      <c r="D657" s="2098"/>
      <c r="E657" s="2098"/>
      <c r="F657" s="2099"/>
      <c r="G657" s="975" t="s">
        <v>225</v>
      </c>
      <c r="H657" s="434" t="s">
        <v>226</v>
      </c>
      <c r="I657" s="39" t="s">
        <v>227</v>
      </c>
      <c r="J657" s="435" t="s">
        <v>228</v>
      </c>
      <c r="K657" s="17"/>
      <c r="L657" s="673" t="s">
        <v>229</v>
      </c>
      <c r="M657" s="1412" t="s">
        <v>230</v>
      </c>
      <c r="N657" s="1541"/>
      <c r="O657" s="386" t="s">
        <v>231</v>
      </c>
      <c r="Q657" s="16"/>
      <c r="T657" s="2116"/>
      <c r="U657" s="2116"/>
    </row>
    <row r="658" spans="1:22" x14ac:dyDescent="0.35">
      <c r="A658" s="20"/>
      <c r="C658" s="1415" t="s">
        <v>232</v>
      </c>
      <c r="D658" s="1415"/>
      <c r="E658" s="1415"/>
      <c r="F658" s="1415"/>
      <c r="G658" s="436">
        <f>(C644+C646)/55</f>
        <v>0.19397432538642911</v>
      </c>
      <c r="H658" s="436">
        <f>IF($C$56+$C$62&gt;=1000,4+O658+((4+O658)*0.2),4+O658)</f>
        <v>4</v>
      </c>
      <c r="I658" s="2">
        <f>9</f>
        <v>9</v>
      </c>
      <c r="J658" s="437">
        <f t="shared" ref="J658:J662" si="41">G658*H658*I658</f>
        <v>6.9830757139114485</v>
      </c>
      <c r="K658" s="6"/>
      <c r="L658" s="436">
        <f ca="1">J658*$J$721</f>
        <v>244.40764998690071</v>
      </c>
      <c r="M658" s="2079">
        <f ca="1">L658*$L$652/100</f>
        <v>0</v>
      </c>
      <c r="N658" s="2080"/>
      <c r="O658" s="436">
        <f>$F$669</f>
        <v>0</v>
      </c>
      <c r="Q658" s="16"/>
      <c r="R658" s="627"/>
      <c r="S658" s="627"/>
      <c r="T658" s="630">
        <v>24</v>
      </c>
      <c r="U658" s="630">
        <v>0</v>
      </c>
    </row>
    <row r="659" spans="1:22" x14ac:dyDescent="0.35">
      <c r="A659" s="20"/>
      <c r="C659" s="1415" t="s">
        <v>233</v>
      </c>
      <c r="D659" s="1415"/>
      <c r="E659" s="1415"/>
      <c r="F659" s="1415"/>
      <c r="G659" s="389">
        <v>0</v>
      </c>
      <c r="H659" s="436">
        <f>IF(G659=0,0,IF($C$56+$C$62&gt;=1000,2.5+O659+((2.5+O659)*0.2),2.5+O659))</f>
        <v>0</v>
      </c>
      <c r="I659" s="2">
        <v>9</v>
      </c>
      <c r="J659" s="437">
        <f t="shared" si="41"/>
        <v>0</v>
      </c>
      <c r="K659" s="6"/>
      <c r="L659" s="436">
        <f t="shared" ref="L659:L663" ca="1" si="42">J659*$J$721</f>
        <v>0</v>
      </c>
      <c r="M659" s="2079">
        <f t="shared" ref="M659:M665" ca="1" si="43">L659*$L$652/100</f>
        <v>0</v>
      </c>
      <c r="N659" s="2080"/>
      <c r="O659" s="436">
        <f t="shared" ref="O659:O665" si="44">$F$669</f>
        <v>0</v>
      </c>
      <c r="Q659" s="16"/>
      <c r="R659" s="627"/>
      <c r="S659" s="627"/>
      <c r="T659" s="630">
        <v>23</v>
      </c>
      <c r="U659" s="630">
        <v>1</v>
      </c>
    </row>
    <row r="660" spans="1:22" x14ac:dyDescent="0.35">
      <c r="A660" s="20"/>
      <c r="C660" s="1415" t="s">
        <v>234</v>
      </c>
      <c r="D660" s="1415"/>
      <c r="E660" s="1415"/>
      <c r="F660" s="1415"/>
      <c r="G660" s="389">
        <f>0</f>
        <v>0</v>
      </c>
      <c r="H660" s="436">
        <f>IF(G660=0,0,IF($C$56+$C$62&gt;=1000,1.5+O660+((1.5+O660)*0.2),1.5+O660))</f>
        <v>0</v>
      </c>
      <c r="I660" s="2">
        <v>9</v>
      </c>
      <c r="J660" s="437">
        <f t="shared" si="41"/>
        <v>0</v>
      </c>
      <c r="K660" s="6"/>
      <c r="L660" s="436">
        <f t="shared" ca="1" si="42"/>
        <v>0</v>
      </c>
      <c r="M660" s="2079">
        <f t="shared" ca="1" si="43"/>
        <v>0</v>
      </c>
      <c r="N660" s="2080"/>
      <c r="O660" s="436">
        <f t="shared" si="44"/>
        <v>0</v>
      </c>
      <c r="Q660" s="16"/>
      <c r="R660" s="627"/>
      <c r="S660" s="627"/>
      <c r="T660" s="630">
        <v>22</v>
      </c>
      <c r="U660" s="630">
        <v>2</v>
      </c>
    </row>
    <row r="661" spans="1:22" x14ac:dyDescent="0.35">
      <c r="A661" s="20"/>
      <c r="C661" s="1415" t="s">
        <v>235</v>
      </c>
      <c r="D661" s="1415"/>
      <c r="E661" s="1415"/>
      <c r="F661" s="1415"/>
      <c r="G661" s="389">
        <f>(C644+C646)/4.45</f>
        <v>2.3974354823041799</v>
      </c>
      <c r="H661" s="436">
        <f>IF($C$56+$C$62&gt;=1000,1+O661+((1+O661)*0.2),1+O661)</f>
        <v>1</v>
      </c>
      <c r="I661" s="2">
        <v>9</v>
      </c>
      <c r="J661" s="437">
        <f>G661*H661*I661</f>
        <v>21.576919340737618</v>
      </c>
      <c r="K661" s="6"/>
      <c r="L661" s="436">
        <f ca="1">J661*$J$721</f>
        <v>755.19217692581663</v>
      </c>
      <c r="M661" s="2079">
        <f t="shared" ca="1" si="43"/>
        <v>0</v>
      </c>
      <c r="N661" s="2080"/>
      <c r="O661" s="436">
        <f t="shared" si="44"/>
        <v>0</v>
      </c>
      <c r="Q661" s="16"/>
      <c r="R661" s="627"/>
      <c r="S661" s="761"/>
      <c r="T661" s="630">
        <v>21</v>
      </c>
      <c r="U661" s="630">
        <v>3</v>
      </c>
    </row>
    <row r="662" spans="1:22" x14ac:dyDescent="0.35">
      <c r="A662" s="20"/>
      <c r="C662" s="1415" t="s">
        <v>236</v>
      </c>
      <c r="D662" s="1415"/>
      <c r="E662" s="1415"/>
      <c r="F662" s="1415"/>
      <c r="G662" s="389">
        <f>(C644+C646)/4.45</f>
        <v>2.3974354823041799</v>
      </c>
      <c r="H662" s="436">
        <f>IF($C$56+$C$62&gt;=1000,1+O662+((1+O662)*0.2),1+O662)</f>
        <v>1</v>
      </c>
      <c r="I662" s="2">
        <v>9</v>
      </c>
      <c r="J662" s="437">
        <f t="shared" si="41"/>
        <v>21.576919340737618</v>
      </c>
      <c r="K662" s="6"/>
      <c r="L662" s="436">
        <f ca="1">J662*$J$721</f>
        <v>755.19217692581663</v>
      </c>
      <c r="M662" s="2079">
        <f t="shared" ca="1" si="43"/>
        <v>0</v>
      </c>
      <c r="N662" s="2080"/>
      <c r="O662" s="436">
        <f t="shared" si="44"/>
        <v>0</v>
      </c>
      <c r="Q662" s="16"/>
      <c r="R662" s="627"/>
      <c r="S662" s="627"/>
      <c r="T662" s="630">
        <v>20</v>
      </c>
      <c r="U662" s="630">
        <v>4</v>
      </c>
    </row>
    <row r="663" spans="1:22" x14ac:dyDescent="0.35">
      <c r="A663" s="20"/>
      <c r="C663" s="1415" t="s">
        <v>237</v>
      </c>
      <c r="D663" s="1415"/>
      <c r="E663" s="1415"/>
      <c r="F663" s="1415"/>
      <c r="G663" s="389">
        <f>(C644+C646)/2.23</f>
        <v>4.7841201328491492</v>
      </c>
      <c r="H663" s="436">
        <f>IF($C$56+$C$62&gt;=1000,1+O663+((1+O663)*0.2),1+O663)</f>
        <v>1</v>
      </c>
      <c r="I663" s="2">
        <v>9</v>
      </c>
      <c r="J663" s="437">
        <f>G663*H663*I663</f>
        <v>43.05708119564234</v>
      </c>
      <c r="K663" s="6"/>
      <c r="L663" s="436">
        <f t="shared" ca="1" si="42"/>
        <v>1506.9978418474818</v>
      </c>
      <c r="M663" s="2079">
        <f t="shared" ca="1" si="43"/>
        <v>0</v>
      </c>
      <c r="N663" s="2080"/>
      <c r="O663" s="436">
        <f t="shared" si="44"/>
        <v>0</v>
      </c>
      <c r="Q663" s="16"/>
      <c r="R663" s="627"/>
      <c r="S663" s="627"/>
      <c r="T663" s="630">
        <v>19</v>
      </c>
      <c r="U663" s="630">
        <v>5</v>
      </c>
    </row>
    <row r="664" spans="1:22" x14ac:dyDescent="0.35">
      <c r="A664" s="20"/>
      <c r="C664" s="1415" t="s">
        <v>238</v>
      </c>
      <c r="D664" s="1415"/>
      <c r="E664" s="1415"/>
      <c r="F664" s="1415"/>
      <c r="G664" s="2">
        <f>(C644+C646)/13.3</f>
        <v>0.80214946588372937</v>
      </c>
      <c r="H664" s="436">
        <f>IF($C$56+$C$62&gt;=1000,3+O664+((3+O664)*0.2),3+O664)</f>
        <v>3</v>
      </c>
      <c r="I664" s="2">
        <v>9</v>
      </c>
      <c r="J664" s="437">
        <f>G664*H664*I664</f>
        <v>21.658035578860694</v>
      </c>
      <c r="K664" s="6"/>
      <c r="L664" s="436">
        <f ca="1">J664*$J$721</f>
        <v>758.03124526012425</v>
      </c>
      <c r="M664" s="2079">
        <f t="shared" ca="1" si="43"/>
        <v>0</v>
      </c>
      <c r="N664" s="2080"/>
      <c r="O664" s="436">
        <f t="shared" si="44"/>
        <v>0</v>
      </c>
      <c r="Q664" s="16"/>
      <c r="R664" s="627"/>
      <c r="S664" s="627"/>
      <c r="T664" s="630">
        <v>18</v>
      </c>
      <c r="U664" s="630">
        <v>6</v>
      </c>
    </row>
    <row r="665" spans="1:22" x14ac:dyDescent="0.35">
      <c r="A665" s="20"/>
      <c r="C665" s="1415" t="s">
        <v>239</v>
      </c>
      <c r="D665" s="1415"/>
      <c r="E665" s="1415"/>
      <c r="F665" s="1415"/>
      <c r="G665" s="389">
        <f>(C644+C646)/0.765</f>
        <v>13.945866531050459</v>
      </c>
      <c r="H665" s="436">
        <f>IF($C$56+$C$62&gt;=1000,1+O665+((1+O665)*0.2),1+O665)</f>
        <v>1</v>
      </c>
      <c r="I665" s="2">
        <v>9</v>
      </c>
      <c r="J665" s="437">
        <f>(G665*H665*I665)-U668</f>
        <v>125.51279877945413</v>
      </c>
      <c r="K665" s="6"/>
      <c r="L665" s="436">
        <f ca="1">J665*$J$721</f>
        <v>4392.9479572808941</v>
      </c>
      <c r="M665" s="2079">
        <f t="shared" ca="1" si="43"/>
        <v>0</v>
      </c>
      <c r="N665" s="2080"/>
      <c r="O665" s="436">
        <f t="shared" si="44"/>
        <v>0</v>
      </c>
      <c r="Q665" s="16"/>
      <c r="R665" s="627"/>
      <c r="S665" s="627"/>
      <c r="T665" s="630">
        <v>17</v>
      </c>
      <c r="U665" s="630">
        <v>7</v>
      </c>
    </row>
    <row r="666" spans="1:22" x14ac:dyDescent="0.35">
      <c r="A666" s="18"/>
      <c r="B666" s="3"/>
      <c r="C666" s="1063"/>
      <c r="D666" s="1063"/>
      <c r="E666" s="1063"/>
      <c r="F666" s="1063"/>
      <c r="G666" s="375"/>
      <c r="H666" s="375"/>
      <c r="I666" s="983" t="s">
        <v>240</v>
      </c>
      <c r="J666" s="437">
        <f>SUM(J658:J665)</f>
        <v>240.36482994934386</v>
      </c>
      <c r="K666" s="6"/>
      <c r="L666" s="766">
        <f ca="1">SUM(L658:L665)</f>
        <v>8412.7690482270336</v>
      </c>
      <c r="M666" s="2093">
        <f ca="1">SUM(M658:N665)</f>
        <v>0</v>
      </c>
      <c r="N666" s="2094"/>
      <c r="O666" s="3"/>
      <c r="P666" s="3"/>
      <c r="Q666" s="17"/>
      <c r="T666" s="630">
        <v>16</v>
      </c>
      <c r="U666" s="630">
        <v>8</v>
      </c>
    </row>
    <row r="667" spans="1:22" ht="13.15" thickBot="1" x14ac:dyDescent="0.4">
      <c r="A667" s="13"/>
      <c r="B667" s="14"/>
      <c r="C667" s="1068"/>
      <c r="D667" s="1068"/>
      <c r="E667" s="1068"/>
      <c r="F667" s="1218">
        <f ca="1">I695</f>
        <v>70</v>
      </c>
      <c r="G667" s="1219">
        <f ca="1">G702</f>
        <v>86</v>
      </c>
      <c r="H667" s="1066"/>
      <c r="I667" s="1066"/>
      <c r="J667" s="438"/>
      <c r="K667" s="14"/>
      <c r="L667" s="438"/>
      <c r="M667" s="439"/>
      <c r="N667" s="439"/>
      <c r="O667" s="14"/>
      <c r="P667" s="14"/>
      <c r="Q667" s="15"/>
      <c r="T667" s="638">
        <v>15</v>
      </c>
      <c r="U667" s="638">
        <v>9</v>
      </c>
    </row>
    <row r="668" spans="1:22" ht="13.15" thickBot="1" x14ac:dyDescent="0.4">
      <c r="A668" s="20"/>
      <c r="C668" s="1069" t="s">
        <v>2034</v>
      </c>
      <c r="D668" s="1070"/>
      <c r="E668" s="21"/>
      <c r="F668" s="1070" t="str">
        <f ca="1">IF(I11=0,0,F667+O669&amp;" dias --------------------")</f>
        <v>82 dias --------------------</v>
      </c>
      <c r="G668" s="1508" t="s">
        <v>260</v>
      </c>
      <c r="H668" s="2092"/>
      <c r="I668" s="1220">
        <f ca="1">IF(I11=0,0,L669)</f>
        <v>2</v>
      </c>
      <c r="J668" s="1072" t="s">
        <v>261</v>
      </c>
      <c r="K668" s="21"/>
      <c r="L668" s="440"/>
      <c r="M668" s="418"/>
      <c r="N668" s="418"/>
      <c r="Q668" s="16"/>
      <c r="T668" s="692" t="s">
        <v>2035</v>
      </c>
      <c r="U668" s="22">
        <f>IF(U653=0,0,VLOOKUP($U$653,$T$658:$U$667,2,0))</f>
        <v>0</v>
      </c>
      <c r="V668" s="627" t="s">
        <v>92</v>
      </c>
    </row>
    <row r="669" spans="1:22" ht="17.25" customHeight="1" x14ac:dyDescent="0.35">
      <c r="A669" s="20"/>
      <c r="C669" s="1074" t="s">
        <v>262</v>
      </c>
      <c r="D669" s="1063"/>
      <c r="E669" s="1075"/>
      <c r="F669" s="441">
        <f>G669</f>
        <v>0</v>
      </c>
      <c r="G669" s="769">
        <f>IF(C672="X",C673,IF(D672="X",D673,IF(E672="X",E673,IF(F672="X",F673,IF(G672="X",G673,IF(H672="X",H673,IF(I672="X",I673,IF(J672="X",J673,H669))))))))</f>
        <v>0</v>
      </c>
      <c r="H669" s="634">
        <f>IF(L672="X",L673,0)</f>
        <v>0</v>
      </c>
      <c r="I669" s="768">
        <f ca="1">IF(I11=0,0,L666/(C644+C646)/9/J721)</f>
        <v>2.503349420506102</v>
      </c>
      <c r="J669" s="765">
        <f ca="1">IF(CÁLCULOS!$I$669&lt;2.25,2,IF(AND(CÁLCULOS!$I$669&gt;=2.25,CÁLCULOS!$I$669&lt;2.75),2.5,IF(AND(CÁLCULOS!$I$669&gt;=2.75,CÁLCULOS!$I$669&lt;3.25),3,IF(AND(CÁLCULOS!$I$669&gt;=3.25,CÁLCULOS!$I$669&lt;3.75),3.5,IF(AND(CÁLCULOS!$I$669&gt;=3.75,CÁLCULOS!$I$669&lt;4.25),4,IF(AND(CÁLCULOS!$I$669&gt;=4.25,CÁLCULOS!$I$669&lt;4.75),4.5,IF(AND(CÁLCULOS!$I$669&gt;=4.75,CÁLCULOS!$I$669&lt;5.25),5,0)))))))</f>
        <v>2.5</v>
      </c>
      <c r="L669" s="765">
        <f>G691</f>
        <v>2</v>
      </c>
      <c r="M669" s="418"/>
      <c r="N669" s="1022" t="s">
        <v>2036</v>
      </c>
      <c r="O669" s="767">
        <f ca="1">J695</f>
        <v>12</v>
      </c>
      <c r="Q669" s="16"/>
    </row>
    <row r="670" spans="1:22" x14ac:dyDescent="0.35">
      <c r="A670" s="20"/>
      <c r="C670" s="222">
        <f ca="1">IF(I11=0,0,IF(I669&gt;3.5,"O PRAZO POR REPETIÇÃO TEM QUE SER MENOR OU IGUAL QUE 3,5 DIAS",0))</f>
        <v>0</v>
      </c>
      <c r="D670" s="1"/>
      <c r="E670" s="1"/>
      <c r="F670" s="1"/>
      <c r="G670" s="1"/>
      <c r="H670" s="1"/>
      <c r="I670" s="634"/>
      <c r="J670" s="418"/>
      <c r="L670" s="418"/>
      <c r="M670" s="418"/>
      <c r="N670" s="418"/>
      <c r="Q670" s="16"/>
    </row>
    <row r="671" spans="1:22" x14ac:dyDescent="0.35">
      <c r="A671" s="20"/>
      <c r="C671" s="222">
        <f ca="1">IF(I11=0,0,IF(I669&gt;3.5,"MARQUE  X  ABAIXO ATÉ QUE O PRAZO FIQUE NO VALOR SATISFATÓRIO. OS PRAZOS DISPONÍVEIS SÃO: ( 2 - 2,5 - 3 - 3,5 ) DIAS",0))</f>
        <v>0</v>
      </c>
      <c r="D671" s="1"/>
      <c r="E671" s="1"/>
      <c r="F671" s="1"/>
      <c r="G671" s="1"/>
      <c r="H671" s="1"/>
      <c r="I671" s="634"/>
      <c r="J671" s="418"/>
      <c r="L671" s="418"/>
      <c r="M671" s="418"/>
      <c r="N671" s="418"/>
      <c r="Q671" s="16"/>
    </row>
    <row r="672" spans="1:22" x14ac:dyDescent="0.35">
      <c r="A672" s="20"/>
      <c r="C672" s="626">
        <f>ENTRADAS!C313</f>
        <v>0</v>
      </c>
      <c r="D672" s="626">
        <f>ENTRADAS!D313</f>
        <v>0</v>
      </c>
      <c r="E672" s="626">
        <f>ENTRADAS!E313</f>
        <v>0</v>
      </c>
      <c r="F672" s="626">
        <f>ENTRADAS!F313</f>
        <v>0</v>
      </c>
      <c r="G672" s="626">
        <f>ENTRADAS!G313</f>
        <v>0</v>
      </c>
      <c r="H672" s="626">
        <f>ENTRADAS!H313</f>
        <v>0</v>
      </c>
      <c r="I672" s="626">
        <f>ENTRADAS!I313</f>
        <v>0</v>
      </c>
      <c r="J672" s="1506">
        <f>ENTRADAS!J313</f>
        <v>0</v>
      </c>
      <c r="K672" s="1507"/>
      <c r="L672" s="626">
        <f>ENTRADAS!L313</f>
        <v>0</v>
      </c>
      <c r="M672" s="418"/>
      <c r="N672" s="418"/>
      <c r="Q672" s="16"/>
    </row>
    <row r="673" spans="1:41" x14ac:dyDescent="0.35">
      <c r="A673" s="20"/>
      <c r="C673" s="222">
        <v>-0.1</v>
      </c>
      <c r="D673" s="1">
        <v>-0.2</v>
      </c>
      <c r="E673" s="1">
        <v>-0.3</v>
      </c>
      <c r="F673" s="1">
        <v>-0.4</v>
      </c>
      <c r="G673" s="1">
        <v>-0.5</v>
      </c>
      <c r="H673" s="1">
        <v>-0.6</v>
      </c>
      <c r="I673" s="634">
        <v>-0.7</v>
      </c>
      <c r="J673" s="418">
        <v>-0.8</v>
      </c>
      <c r="L673" s="418">
        <v>-0.9</v>
      </c>
      <c r="M673" s="418"/>
      <c r="N673" s="418"/>
      <c r="Q673" s="16"/>
    </row>
    <row r="674" spans="1:41" ht="13.15" thickBot="1" x14ac:dyDescent="0.4">
      <c r="A674" s="20"/>
      <c r="C674" s="1"/>
      <c r="D674" s="1"/>
      <c r="E674" s="1"/>
      <c r="F674" s="1"/>
      <c r="G674" s="1"/>
      <c r="H674" s="1"/>
      <c r="I674" s="634"/>
      <c r="J674" s="418"/>
      <c r="L674" s="418"/>
      <c r="M674" s="418"/>
      <c r="N674" s="418"/>
      <c r="O674" s="4"/>
      <c r="Q674" s="16"/>
    </row>
    <row r="675" spans="1:41" ht="13.15" thickBot="1" x14ac:dyDescent="0.4">
      <c r="A675" s="20"/>
      <c r="C675" s="1069" t="s">
        <v>263</v>
      </c>
      <c r="D675" s="1070"/>
      <c r="E675" s="21"/>
      <c r="F675" s="1070"/>
      <c r="G675" s="2091"/>
      <c r="H675" s="2092"/>
      <c r="I675" s="1220">
        <f ca="1">G667+O675</f>
        <v>101</v>
      </c>
      <c r="J675" s="1072" t="s">
        <v>264</v>
      </c>
      <c r="K675" s="21"/>
      <c r="L675" s="440"/>
      <c r="M675" s="418"/>
      <c r="N675" s="1221">
        <f ca="1">IF(N677=0,IF(G667&lt;=5,0,ROUNDDOWN(G667/5,0)),IF(N677&lt;=6,0,ROUNDDOWN(N677/6,0)))</f>
        <v>14</v>
      </c>
      <c r="O675" s="1222">
        <f ca="1">G703</f>
        <v>15</v>
      </c>
      <c r="Q675" s="16"/>
    </row>
    <row r="676" spans="1:41" ht="13.15" thickBot="1" x14ac:dyDescent="0.4">
      <c r="A676" s="20"/>
      <c r="C676" s="1"/>
      <c r="D676" s="1"/>
      <c r="E676" s="1"/>
      <c r="F676" s="1"/>
      <c r="G676" s="1"/>
      <c r="H676" s="1"/>
      <c r="I676" s="634"/>
      <c r="J676" s="418"/>
      <c r="L676" s="418"/>
      <c r="M676" s="418"/>
      <c r="N676" s="221"/>
      <c r="O676" s="195"/>
      <c r="Q676" s="16"/>
    </row>
    <row r="677" spans="1:41" ht="13.15" thickBot="1" x14ac:dyDescent="0.4">
      <c r="A677" s="20"/>
      <c r="C677" s="442">
        <f>IF(L652=0,0,"PRAZO em DIAS PRODUTIVOS com as HORAS EXTRAS FOI REDUZIDO em  "&amp;ROUNDUP(M666/(C644+C646)/8,0)&amp;"  DIAS, PASSANDO para  "&amp;G667-ROUNDUP(M666/(C644+C646)/8,0)&amp;"  DIAS")</f>
        <v>0</v>
      </c>
      <c r="D677" s="443"/>
      <c r="E677" s="443"/>
      <c r="F677" s="443"/>
      <c r="G677" s="443"/>
      <c r="H677" s="443"/>
      <c r="I677" s="1078"/>
      <c r="J677" s="444"/>
      <c r="K677" s="21"/>
      <c r="L677" s="440"/>
      <c r="M677" s="418"/>
      <c r="N677" s="1221">
        <f ca="1">G667</f>
        <v>86</v>
      </c>
      <c r="Q677" s="16"/>
    </row>
    <row r="678" spans="1:41" ht="13.15" thickBot="1" x14ac:dyDescent="0.4">
      <c r="A678" s="20"/>
      <c r="C678" s="759"/>
      <c r="D678" s="1"/>
      <c r="E678" s="1"/>
      <c r="F678" s="1"/>
      <c r="G678" s="1"/>
      <c r="H678" s="1"/>
      <c r="I678" s="634"/>
      <c r="J678" s="418"/>
      <c r="L678" s="418"/>
      <c r="M678" s="418"/>
      <c r="N678" s="418"/>
      <c r="Q678" s="16"/>
      <c r="Y678" s="630" t="s">
        <v>2037</v>
      </c>
      <c r="Z678" s="10"/>
      <c r="AA678" s="10"/>
      <c r="AB678" s="10"/>
      <c r="AC678" s="6"/>
      <c r="AD678" s="32">
        <f ca="1">IF(AND(Z689=0,Z690=1),(J717-(I11*AH688)),0)</f>
        <v>0</v>
      </c>
    </row>
    <row r="679" spans="1:41" ht="13.15" thickBot="1" x14ac:dyDescent="0.4">
      <c r="A679" s="20"/>
      <c r="C679" s="442">
        <f>IF(L652=0,0,"PRAZO TOTAL com as HORAS EXTRAS FOI REDUZIDO em  "&amp;ROUNDUP(M666/(C644+C646)/8,0)&amp;"  DIAS, PASSANDO para  "&amp;I675-ROUNDUP(M666/(C644+C646)/8,0)&amp;"  DIAS")</f>
        <v>0</v>
      </c>
      <c r="D679" s="443"/>
      <c r="E679" s="443"/>
      <c r="F679" s="443"/>
      <c r="G679" s="443"/>
      <c r="H679" s="443"/>
      <c r="I679" s="1078"/>
      <c r="J679" s="444"/>
      <c r="K679" s="21"/>
      <c r="L679" s="440"/>
      <c r="M679" s="765">
        <f ca="1">I675</f>
        <v>101</v>
      </c>
      <c r="Q679" s="16"/>
      <c r="Y679" s="633" t="s">
        <v>2038</v>
      </c>
      <c r="Z679" s="10"/>
      <c r="AA679" s="10"/>
      <c r="AB679" s="10"/>
      <c r="AC679" s="6"/>
      <c r="AD679" s="32">
        <f ca="1">IF(I11=0,0,IF(Z689&lt;&gt;0,Z683/(Z686-1),IF(Z690=1,(J717-(I11*AH688))/(AH688-1))))</f>
        <v>1.2458333333333322</v>
      </c>
      <c r="AE679" s="32">
        <f ca="1">IF(AD679&gt;=J719,J719,0)</f>
        <v>0.19</v>
      </c>
      <c r="AF679" s="627" t="s">
        <v>2039</v>
      </c>
    </row>
    <row r="680" spans="1:41" x14ac:dyDescent="0.35">
      <c r="A680" s="20"/>
      <c r="C680" s="759"/>
      <c r="D680" s="1"/>
      <c r="E680" s="1"/>
      <c r="F680" s="1"/>
      <c r="G680" s="1"/>
      <c r="H680" s="1"/>
      <c r="I680" s="634"/>
      <c r="J680" s="418"/>
      <c r="L680" s="418"/>
      <c r="M680" s="418"/>
      <c r="N680" s="418"/>
      <c r="Q680" s="16"/>
      <c r="Y680" s="639" t="s">
        <v>2040</v>
      </c>
      <c r="Z680" s="696">
        <f ca="1">IF(I11=0,0,IF(AND(Z689=0,Z690=1),AE679,Z683/(Z686-1)))</f>
        <v>1.2458333333333322</v>
      </c>
      <c r="AA680">
        <f ca="1">IF(I11=0,0,IF(AND(Z689=0,Z690=1),AE679,Z683/(Z686-1)))</f>
        <v>1.2458333333333322</v>
      </c>
    </row>
    <row r="681" spans="1:41" x14ac:dyDescent="0.35">
      <c r="A681" s="20"/>
      <c r="C681" s="999" t="str">
        <f ca="1">"CRONOGRAMA PARA "&amp;G50&amp;" PAINÉIS NORMAIS E "&amp;G44+G46&amp;" PAINEL FECHO"</f>
        <v>CRONOGRAMA PARA 60 PAINÉIS NORMAIS E 2 PAINEL FECHO</v>
      </c>
      <c r="Q681" s="16"/>
      <c r="Y681" s="630" t="s">
        <v>2041</v>
      </c>
      <c r="Z681" s="7">
        <f>J719</f>
        <v>0.19</v>
      </c>
    </row>
    <row r="682" spans="1:41" x14ac:dyDescent="0.35">
      <c r="A682" s="20"/>
      <c r="C682" s="368"/>
      <c r="Q682" s="16"/>
      <c r="Y682" s="630" t="s">
        <v>2042</v>
      </c>
      <c r="Z682" s="32">
        <f ca="1">IF(I11=0,0,IF(AA684&lt;Z681,Z685-1,Z685))</f>
        <v>7</v>
      </c>
    </row>
    <row r="683" spans="1:41" x14ac:dyDescent="0.35">
      <c r="A683" s="20"/>
      <c r="Q683" s="16"/>
      <c r="Y683" s="630" t="s">
        <v>2043</v>
      </c>
      <c r="Z683" s="32">
        <f ca="1">(Z685-1)*Z684</f>
        <v>7.4749999999999934</v>
      </c>
    </row>
    <row r="684" spans="1:41" x14ac:dyDescent="0.35">
      <c r="A684" s="20"/>
      <c r="Q684" s="16"/>
      <c r="Y684" s="630" t="s">
        <v>2040</v>
      </c>
      <c r="Z684" s="576">
        <f ca="1">IF(I11=0,0,IF(AA684&lt;Z681,(J717-(Z685-1)*I11)/(Z685-1),(J717-(Z685)*I11)/(Z685)))</f>
        <v>1.0678571428571419</v>
      </c>
      <c r="AA684" s="32">
        <f ca="1">IF(I11=0,0,(J717-(Z685*I11))/(Z685-1))</f>
        <v>2.4999999999999595E-2</v>
      </c>
      <c r="AB684">
        <f ca="1">IF(I11=0,0,IF(AA684&lt;Z681,(J717-(Z685-1)*I11)/(Z685-1),Z681))</f>
        <v>1.0678571428571419</v>
      </c>
    </row>
    <row r="685" spans="1:41" x14ac:dyDescent="0.35">
      <c r="A685" s="20"/>
      <c r="C685" s="633" t="s">
        <v>1946</v>
      </c>
      <c r="D685" s="10"/>
      <c r="E685" s="10"/>
      <c r="F685" s="6"/>
      <c r="G685" s="7">
        <f>ENTRADAS!G263</f>
        <v>1.5</v>
      </c>
      <c r="H685" s="630" t="s">
        <v>1947</v>
      </c>
      <c r="Q685" s="16"/>
      <c r="Z685" s="32">
        <f ca="1">IF(I11=0,0,IF(AA685=AB685,AA685-1,ROUNDDOWN(J717/(I11),0)))</f>
        <v>8</v>
      </c>
      <c r="AA685" s="32">
        <f ca="1">IF(I11=0,0,ROUNDDOWN(J717/(I11),0))</f>
        <v>8</v>
      </c>
      <c r="AB685" s="32">
        <f ca="1">IF(I11=0,0,J717/I11)</f>
        <v>8.0239726027397253</v>
      </c>
    </row>
    <row r="686" spans="1:41" x14ac:dyDescent="0.35">
      <c r="A686" s="20"/>
      <c r="C686" s="633" t="s">
        <v>1948</v>
      </c>
      <c r="D686" s="10"/>
      <c r="E686" s="10"/>
      <c r="F686" s="6"/>
      <c r="G686" s="7">
        <f>ENTRADAS!O263</f>
        <v>50</v>
      </c>
      <c r="H686" s="630" t="s">
        <v>130</v>
      </c>
      <c r="Q686" s="16"/>
      <c r="Y686" s="630" t="s">
        <v>265</v>
      </c>
      <c r="Z686" s="386">
        <f ca="1">IF(AB689="X",AD686,IF(I11=0,0,ROUNDDOWN((J717-Z683)/(I11),0)))</f>
        <v>7</v>
      </c>
      <c r="AA686" t="s">
        <v>248</v>
      </c>
      <c r="AB686" s="1758" t="s">
        <v>2044</v>
      </c>
      <c r="AC686" s="1771"/>
      <c r="AD686" s="32">
        <f ca="1">IF(I11=0,0,IF(Z684&lt;Z681,ROUNDDOWN((J717-Z683)/(I11),0)-1,ROUNDDOWN((J717-Z683)/(I11),0)))</f>
        <v>7</v>
      </c>
    </row>
    <row r="687" spans="1:41" x14ac:dyDescent="0.35">
      <c r="A687" s="20"/>
      <c r="C687" s="633" t="s">
        <v>1949</v>
      </c>
      <c r="D687" s="10"/>
      <c r="E687" s="10"/>
      <c r="F687" s="6"/>
      <c r="G687" s="7">
        <f>ENTRADAS!G265</f>
        <v>8</v>
      </c>
      <c r="H687" s="630" t="s">
        <v>187</v>
      </c>
      <c r="Q687" s="16"/>
      <c r="Y687" s="630" t="s">
        <v>242</v>
      </c>
      <c r="Z687" s="32">
        <f ca="1">IF(I11=0,0,ROUNDUP(G50*F15/Z686,0))</f>
        <v>35</v>
      </c>
      <c r="AA687" t="s">
        <v>243</v>
      </c>
      <c r="AF687" s="32" t="str">
        <f ca="1">IF(Z689=0,0,Z689&amp;"  REPETIÇÃO COM   "&amp;Z686&amp;" PAINEL")</f>
        <v>34  REPETIÇÃO COM   7 PAINEL</v>
      </c>
      <c r="AG687" s="32"/>
      <c r="AH687" s="32">
        <f ca="1">Z689*Z686</f>
        <v>238</v>
      </c>
      <c r="AJ687" s="9" t="s">
        <v>2045</v>
      </c>
      <c r="AK687" s="10"/>
      <c r="AL687" s="10"/>
      <c r="AM687" s="6"/>
      <c r="AN687" s="2" t="s">
        <v>2046</v>
      </c>
      <c r="AO687" s="2" t="s">
        <v>2047</v>
      </c>
    </row>
    <row r="688" spans="1:41" x14ac:dyDescent="0.35">
      <c r="A688" s="20"/>
      <c r="C688" s="633" t="s">
        <v>1950</v>
      </c>
      <c r="D688" s="10"/>
      <c r="E688" s="10"/>
      <c r="F688" s="6"/>
      <c r="G688" s="7">
        <f>ENTRADAS!O265</f>
        <v>100</v>
      </c>
      <c r="H688" s="630" t="s">
        <v>130</v>
      </c>
      <c r="Q688" s="16"/>
      <c r="Y688" s="32" t="s">
        <v>266</v>
      </c>
      <c r="Z688" s="32">
        <f ca="1">Z687*Z686-(G50*F15)</f>
        <v>5</v>
      </c>
      <c r="AA688" t="s">
        <v>248</v>
      </c>
      <c r="AB688" s="627" t="s">
        <v>2048</v>
      </c>
      <c r="AF688" s="32" t="str">
        <f ca="1">Z690&amp;"  REPETIÇÃO COM   "&amp;(G50*F15)-(Z689*Z686)&amp;" PAINEL"</f>
        <v>1  REPETIÇÃO COM   2 PAINEL</v>
      </c>
      <c r="AG688" s="32"/>
      <c r="AH688" s="32">
        <f ca="1">Z690*(G50-(Z689*Z686))</f>
        <v>-178</v>
      </c>
      <c r="AJ688" s="9" t="s">
        <v>2049</v>
      </c>
      <c r="AK688" s="10"/>
      <c r="AL688" s="10"/>
      <c r="AM688" s="10"/>
      <c r="AN688" s="7">
        <v>1.5</v>
      </c>
      <c r="AO688" s="7">
        <v>4</v>
      </c>
    </row>
    <row r="689" spans="1:41" x14ac:dyDescent="0.35">
      <c r="A689" s="20"/>
      <c r="C689" s="633" t="s">
        <v>2050</v>
      </c>
      <c r="D689" s="10"/>
      <c r="E689" s="10"/>
      <c r="F689" s="6"/>
      <c r="G689" s="7">
        <f ca="1">J721</f>
        <v>35</v>
      </c>
      <c r="H689" s="630" t="s">
        <v>243</v>
      </c>
      <c r="Q689" s="16"/>
      <c r="Y689" s="32" t="s">
        <v>267</v>
      </c>
      <c r="Z689" s="32">
        <f ca="1">IF(Z688&lt;&gt;0,Z687-1,Z687)</f>
        <v>34</v>
      </c>
      <c r="AA689" t="s">
        <v>243</v>
      </c>
      <c r="AB689" s="152">
        <f>ENTRADAS!M288</f>
        <v>0</v>
      </c>
      <c r="AF689" s="32"/>
      <c r="AG689" s="32" t="s">
        <v>240</v>
      </c>
      <c r="AH689" s="32">
        <f ca="1">AH687+AH688</f>
        <v>60</v>
      </c>
      <c r="AJ689" s="9" t="s">
        <v>2051</v>
      </c>
      <c r="AK689" s="10"/>
      <c r="AL689" s="10"/>
      <c r="AM689" s="10"/>
      <c r="AN689" s="7">
        <v>1</v>
      </c>
      <c r="AO689" s="7">
        <v>3</v>
      </c>
    </row>
    <row r="690" spans="1:41" x14ac:dyDescent="0.35">
      <c r="A690" s="20"/>
      <c r="C690" s="633" t="s">
        <v>2052</v>
      </c>
      <c r="D690" s="10"/>
      <c r="E690" s="10"/>
      <c r="F690" s="6"/>
      <c r="G690" s="7">
        <f ca="1">J723</f>
        <v>8</v>
      </c>
      <c r="H690" s="630" t="s">
        <v>243</v>
      </c>
      <c r="Q690" s="16"/>
      <c r="Y690" s="32" t="s">
        <v>268</v>
      </c>
      <c r="Z690" s="32">
        <f ca="1">IF(Z688&lt;&gt;0,1,0)</f>
        <v>1</v>
      </c>
      <c r="AA690" t="s">
        <v>243</v>
      </c>
      <c r="AJ690" s="32" t="s">
        <v>2053</v>
      </c>
      <c r="AK690" s="32" t="s">
        <v>2054</v>
      </c>
      <c r="AL690" s="32" t="s">
        <v>2055</v>
      </c>
    </row>
    <row r="691" spans="1:41" x14ac:dyDescent="0.35">
      <c r="A691" s="20"/>
      <c r="C691" s="633" t="s">
        <v>2056</v>
      </c>
      <c r="D691" s="10"/>
      <c r="E691" s="10"/>
      <c r="F691" s="6"/>
      <c r="G691" s="7">
        <f>IF(ENTRADAS!L235&gt;0,ENTRADAS!L235,2.5)</f>
        <v>2</v>
      </c>
      <c r="H691" s="630" t="s">
        <v>2057</v>
      </c>
      <c r="Q691" s="16"/>
      <c r="AJ691" s="2">
        <f ca="1">Z689</f>
        <v>34</v>
      </c>
      <c r="AK691" s="2">
        <f ca="1">Z686</f>
        <v>7</v>
      </c>
      <c r="AL691" s="32">
        <f ca="1">IF(ENTRADAS!G66="X",AN689*(AJ691),AN688*(AJ691))*SUM(O621:O626)</f>
        <v>816</v>
      </c>
      <c r="AM691" t="s">
        <v>20</v>
      </c>
    </row>
    <row r="692" spans="1:41" x14ac:dyDescent="0.35">
      <c r="A692" s="20"/>
      <c r="C692" s="633" t="s">
        <v>2058</v>
      </c>
      <c r="D692" s="10"/>
      <c r="E692" s="10"/>
      <c r="F692" s="6"/>
      <c r="G692" s="7">
        <f>IF(ENTRADAS!L236&lt;&gt;0,ENTRADAS!L236,2.5)</f>
        <v>1.5</v>
      </c>
      <c r="H692" s="630" t="s">
        <v>2057</v>
      </c>
      <c r="Q692" s="16"/>
      <c r="AJ692" s="2">
        <f ca="1">Z690</f>
        <v>1</v>
      </c>
      <c r="AK692" s="2">
        <f ca="1">(G50*F15)-(Z689*Z686)</f>
        <v>2</v>
      </c>
      <c r="AL692" s="32">
        <f ca="1">IF(ENTRADAS!G66="X",AN689*(AJ692)*SUM(O621:O626),AN688*(AJ692)*SUM(O621:O626))</f>
        <v>24</v>
      </c>
      <c r="AM692" t="s">
        <v>20</v>
      </c>
    </row>
    <row r="693" spans="1:41" x14ac:dyDescent="0.35">
      <c r="A693" s="20"/>
      <c r="C693" s="633" t="s">
        <v>2059</v>
      </c>
      <c r="D693" s="10"/>
      <c r="E693" s="10"/>
      <c r="F693" s="6"/>
      <c r="G693" s="7">
        <f ca="1">IF(I11=0,0,2)</f>
        <v>2</v>
      </c>
      <c r="H693" s="630" t="s">
        <v>101</v>
      </c>
      <c r="Q693" s="16"/>
    </row>
    <row r="694" spans="1:41" x14ac:dyDescent="0.35">
      <c r="A694" s="20"/>
      <c r="C694" s="633" t="s">
        <v>2060</v>
      </c>
      <c r="D694" s="10"/>
      <c r="E694" s="10"/>
      <c r="F694" s="6"/>
      <c r="G694" s="7">
        <f ca="1">IF(I11=0,0,2)</f>
        <v>2</v>
      </c>
      <c r="H694" s="630" t="s">
        <v>101</v>
      </c>
      <c r="I694" s="647" t="s">
        <v>2061</v>
      </c>
      <c r="J694" s="647" t="s">
        <v>2062</v>
      </c>
      <c r="Q694" s="16"/>
      <c r="AJ694" s="32" t="s">
        <v>2063</v>
      </c>
      <c r="AK694" s="32" t="s">
        <v>2064</v>
      </c>
      <c r="AL694" s="32" t="s">
        <v>2065</v>
      </c>
      <c r="AM694" s="32" t="s">
        <v>2066</v>
      </c>
    </row>
    <row r="695" spans="1:41" x14ac:dyDescent="0.35">
      <c r="A695" s="20"/>
      <c r="C695" s="633" t="s">
        <v>1973</v>
      </c>
      <c r="D695" s="10"/>
      <c r="E695" s="10"/>
      <c r="F695" s="6"/>
      <c r="G695" s="7">
        <f ca="1">(G689*G691)+(G690*G692)+G693+G694</f>
        <v>86</v>
      </c>
      <c r="H695" s="630" t="s">
        <v>101</v>
      </c>
      <c r="I695" s="32">
        <f ca="1">(G689*G691)</f>
        <v>70</v>
      </c>
      <c r="J695" s="32">
        <f ca="1">(G690*G692)</f>
        <v>12</v>
      </c>
      <c r="K695" s="627" t="s">
        <v>101</v>
      </c>
      <c r="Q695" s="16"/>
      <c r="AJ695" s="32">
        <f ca="1">SUM(O621:O626)</f>
        <v>16</v>
      </c>
      <c r="AK695" s="7">
        <f>IF(ENTRADAS!G66="X",AN689,AN688)</f>
        <v>1.5</v>
      </c>
      <c r="AL695" s="32">
        <f ca="1">IF(ENTRADAS!G66="X",(AJ695)*(AJ691+AJ692),(AJ695)*(AJ691+AJ692))</f>
        <v>560</v>
      </c>
      <c r="AM695" s="32">
        <f ca="1">IF(ENTRADAS!G66="X",AN689*(AJ691+AJ692),AN688*(AJ691+AJ692))*SUM(O621:O626)</f>
        <v>840</v>
      </c>
    </row>
    <row r="696" spans="1:41" x14ac:dyDescent="0.35">
      <c r="A696" s="20"/>
      <c r="C696" s="633" t="s">
        <v>1966</v>
      </c>
      <c r="D696" s="10"/>
      <c r="E696" s="10"/>
      <c r="F696" s="6"/>
      <c r="G696" s="7">
        <f>IF(G687&gt;0,0,G695/5)</f>
        <v>0</v>
      </c>
      <c r="H696" s="630" t="s">
        <v>1967</v>
      </c>
      <c r="Q696" s="16"/>
    </row>
    <row r="697" spans="1:41" x14ac:dyDescent="0.35">
      <c r="A697" s="20"/>
      <c r="C697" s="633" t="s">
        <v>1968</v>
      </c>
      <c r="D697" s="10"/>
      <c r="E697" s="10"/>
      <c r="F697" s="6"/>
      <c r="G697" s="7">
        <f ca="1">IF(G687&gt;0,G695/6,0)</f>
        <v>14.333333333333334</v>
      </c>
      <c r="H697" s="630" t="s">
        <v>1967</v>
      </c>
      <c r="Q697" s="16"/>
      <c r="AJ697" s="32" t="s">
        <v>2067</v>
      </c>
      <c r="AK697" s="32" t="s">
        <v>2068</v>
      </c>
      <c r="AL697" s="32" t="s">
        <v>2069</v>
      </c>
      <c r="AM697" s="32" t="s">
        <v>2066</v>
      </c>
    </row>
    <row r="698" spans="1:41" x14ac:dyDescent="0.35">
      <c r="A698" s="20"/>
      <c r="C698" s="633" t="s">
        <v>1969</v>
      </c>
      <c r="D698" s="10"/>
      <c r="E698" s="10"/>
      <c r="F698" s="6"/>
      <c r="G698" s="7">
        <f ca="1">IF(G687&gt;0,(G697*G685*(1+G686/100)/8),(G696*G685*(1+G686/100)/8))</f>
        <v>4.03125</v>
      </c>
      <c r="H698" s="630" t="s">
        <v>101</v>
      </c>
      <c r="Q698" s="16"/>
      <c r="Y698" s="32" t="s">
        <v>2070</v>
      </c>
      <c r="Z698" s="32"/>
      <c r="AJ698" s="32">
        <f ca="1">SUM(O621:O626)</f>
        <v>16</v>
      </c>
      <c r="AK698" s="32">
        <f>IF(ENTRADAS!G66="X",AO689,AO688)</f>
        <v>4</v>
      </c>
      <c r="AL698" s="32">
        <f ca="1">IF(ENTRADAS!G66="X",AJ695*(AJ691),AJ695*(AJ691))</f>
        <v>544</v>
      </c>
      <c r="AM698" s="32">
        <f ca="1">IF(ENTRADAS!G66="X",AO689*(AJ691),AO688*(AJ691))*SUM(O621:O626)</f>
        <v>2176</v>
      </c>
    </row>
    <row r="699" spans="1:41" x14ac:dyDescent="0.35">
      <c r="A699" s="20"/>
      <c r="C699" s="633" t="s">
        <v>1970</v>
      </c>
      <c r="D699" s="10"/>
      <c r="E699" s="10"/>
      <c r="F699" s="6"/>
      <c r="G699" s="7">
        <f ca="1">IF(G687&gt;0,(G697*G687*(G688/100)/8),0)</f>
        <v>14.333333333333334</v>
      </c>
      <c r="H699" s="630" t="s">
        <v>101</v>
      </c>
      <c r="Q699" s="16"/>
      <c r="Y699" s="32" t="s">
        <v>2071</v>
      </c>
      <c r="Z699" s="32">
        <f>IF(ENTRADAS!G66="X",15,14.4)</f>
        <v>14.4</v>
      </c>
      <c r="AA699" t="s">
        <v>20</v>
      </c>
      <c r="AJ699" s="32">
        <f ca="1">SUM(O621:O626)</f>
        <v>16</v>
      </c>
      <c r="AK699" s="32">
        <f ca="1">IF(ENTRADAS!G66="X",J717-(AK692*(I11+0.3))+AO689,J717-(AK692*(I11+0.3))+AO688)</f>
        <v>47.375</v>
      </c>
      <c r="AL699" s="32">
        <f ca="1">IF(ENTRADAS!G66="X",AJ692*(AJ699),AJ692*(AJ699))</f>
        <v>16</v>
      </c>
      <c r="AM699" s="32">
        <f ca="1">IF(ENTRADAS!G66="X",(AK699*AL699),(AK699*AL699))</f>
        <v>758</v>
      </c>
    </row>
    <row r="700" spans="1:41" x14ac:dyDescent="0.35">
      <c r="A700" s="20"/>
      <c r="C700" s="633"/>
      <c r="D700" s="10"/>
      <c r="E700" s="10"/>
      <c r="F700" s="6"/>
      <c r="G700" s="7"/>
      <c r="H700" s="630"/>
      <c r="Q700" s="16"/>
      <c r="Y700" s="32" t="s">
        <v>2072</v>
      </c>
      <c r="Z700" s="32">
        <f ca="1">IF(I11=0,0,ROUNDDOWN(Z699/I11,0))</f>
        <v>1</v>
      </c>
      <c r="AA700" t="s">
        <v>2073</v>
      </c>
    </row>
    <row r="701" spans="1:41" x14ac:dyDescent="0.35">
      <c r="A701" s="20"/>
      <c r="C701" s="633" t="s">
        <v>1971</v>
      </c>
      <c r="D701" s="10"/>
      <c r="E701" s="10"/>
      <c r="F701" s="6"/>
      <c r="G701" s="7">
        <f ca="1">ROUNDUP((G696+G697)*7,0)</f>
        <v>101</v>
      </c>
      <c r="H701" s="630" t="s">
        <v>1972</v>
      </c>
      <c r="Q701" s="16"/>
      <c r="Y701" s="32" t="s">
        <v>2074</v>
      </c>
      <c r="Z701" s="7">
        <f>(G44+G46)*F15</f>
        <v>8</v>
      </c>
      <c r="AA701" t="s">
        <v>2073</v>
      </c>
      <c r="AJ701" t="s">
        <v>2075</v>
      </c>
    </row>
    <row r="702" spans="1:41" x14ac:dyDescent="0.35">
      <c r="A702" s="20"/>
      <c r="C702" s="633" t="s">
        <v>2076</v>
      </c>
      <c r="D702" s="10"/>
      <c r="E702" s="10"/>
      <c r="F702" s="6"/>
      <c r="G702" s="7">
        <f ca="1">ROUNDUP(G695,0)</f>
        <v>86</v>
      </c>
      <c r="H702" s="630" t="s">
        <v>1972</v>
      </c>
      <c r="Q702" s="16"/>
      <c r="Y702" s="32" t="s">
        <v>2077</v>
      </c>
      <c r="Z702" s="32">
        <f ca="1">IF(I11=0,0,ROUNDUP(Z701/Z700,0))</f>
        <v>8</v>
      </c>
      <c r="AA702" t="s">
        <v>2053</v>
      </c>
      <c r="AJ702" t="s">
        <v>2078</v>
      </c>
      <c r="AL702">
        <f ca="1">ROUNDDOWN(AK699/21.05,0)*AL699</f>
        <v>32</v>
      </c>
      <c r="AM702" t="s">
        <v>2079</v>
      </c>
    </row>
    <row r="703" spans="1:41" ht="13.15" thickBot="1" x14ac:dyDescent="0.4">
      <c r="A703" s="20"/>
      <c r="C703" s="633" t="s">
        <v>1974</v>
      </c>
      <c r="D703" s="10"/>
      <c r="E703" s="10"/>
      <c r="F703" s="6"/>
      <c r="G703" s="7">
        <f ca="1">G701-G702</f>
        <v>15</v>
      </c>
      <c r="H703" s="630" t="s">
        <v>1972</v>
      </c>
      <c r="Q703" s="16"/>
      <c r="AJ703" t="s">
        <v>2080</v>
      </c>
      <c r="AM703">
        <f ca="1">IF(ENTRADAS!G66="X",J723*12,J723*22)</f>
        <v>176</v>
      </c>
      <c r="AN703" t="s">
        <v>2081</v>
      </c>
    </row>
    <row r="704" spans="1:41" ht="13.15" thickBot="1" x14ac:dyDescent="0.4">
      <c r="A704" s="20"/>
      <c r="C704" s="633" t="s">
        <v>1975</v>
      </c>
      <c r="D704" s="10"/>
      <c r="E704" s="10"/>
      <c r="F704" s="6"/>
      <c r="G704" s="7">
        <f ca="1">ROUNDUP((G696+G697)*7+G698+G699,0)</f>
        <v>119</v>
      </c>
      <c r="H704" s="630" t="s">
        <v>1972</v>
      </c>
      <c r="Q704" s="16"/>
      <c r="Z704" s="32">
        <f ca="1">IF(Z701&lt;=Z700,1,0)</f>
        <v>0</v>
      </c>
      <c r="AA704" s="2" t="s">
        <v>2082</v>
      </c>
      <c r="AB704" s="32">
        <f ca="1">IF(Z701&lt;=Z700,Z701,0)</f>
        <v>0</v>
      </c>
      <c r="AC704" s="32" t="s">
        <v>2083</v>
      </c>
      <c r="AJ704" s="23" t="s">
        <v>2084</v>
      </c>
      <c r="AK704" s="21"/>
      <c r="AL704" s="21">
        <f ca="1">IF(AL702&gt;=AM703,AM703,AL702)</f>
        <v>32</v>
      </c>
      <c r="AM704" s="21" t="s">
        <v>2085</v>
      </c>
      <c r="AN704" s="21"/>
      <c r="AO704" s="22"/>
    </row>
    <row r="705" spans="1:42" x14ac:dyDescent="0.35">
      <c r="A705" s="20"/>
      <c r="Q705" s="16"/>
      <c r="Z705" s="32">
        <f ca="1">ROUNDDOWN(IF(Z701&gt;Z700,Z701/Z700,0),0)</f>
        <v>8</v>
      </c>
      <c r="AA705" s="2" t="s">
        <v>2082</v>
      </c>
      <c r="AB705" s="32">
        <f ca="1">ROUNDDOWN(IF(Z701&gt;Z700,Z700,0),0)</f>
        <v>1</v>
      </c>
      <c r="AC705" s="32" t="s">
        <v>2083</v>
      </c>
    </row>
    <row r="706" spans="1:42" x14ac:dyDescent="0.35">
      <c r="A706" s="20"/>
      <c r="C706" s="633" t="s">
        <v>2086</v>
      </c>
      <c r="D706" s="10"/>
      <c r="E706" s="10"/>
      <c r="F706" s="6"/>
      <c r="G706" s="7">
        <f>1-ENTRADAS!L241/100</f>
        <v>0.49999899999999997</v>
      </c>
      <c r="Q706" s="16"/>
      <c r="Z706" s="32">
        <f ca="1">IF(AB706=0,0,ROUNDDOWN(IF(Z701&gt;Z700,1,0),0))</f>
        <v>0</v>
      </c>
      <c r="AA706" s="2" t="s">
        <v>2082</v>
      </c>
      <c r="AB706" s="32">
        <f ca="1">ROUNDDOWN(IF(Z701&gt;Z700,Z701-Z705*AB705,0),0)</f>
        <v>0</v>
      </c>
      <c r="AC706" s="32" t="s">
        <v>2083</v>
      </c>
      <c r="AJ706" s="633" t="s">
        <v>2087</v>
      </c>
      <c r="AK706" s="10"/>
      <c r="AL706" s="10"/>
      <c r="AM706" s="10"/>
      <c r="AN706" s="6"/>
      <c r="AO706" s="7">
        <f ca="1">IF(AM699-AL702*21.05&lt;=0,0,AM699-AL702*21.05)</f>
        <v>84.399999999999977</v>
      </c>
      <c r="AP706" s="627" t="s">
        <v>20</v>
      </c>
    </row>
    <row r="707" spans="1:42" x14ac:dyDescent="0.35">
      <c r="A707" s="20"/>
      <c r="Q707" s="16"/>
      <c r="AJ707" s="633" t="s">
        <v>2088</v>
      </c>
      <c r="AK707" s="10"/>
      <c r="AL707" s="10"/>
      <c r="AM707" s="10"/>
      <c r="AN707" s="6"/>
      <c r="AO707" s="7">
        <f ca="1">ROUNDDOWN(AO706/21.05,0)</f>
        <v>4</v>
      </c>
      <c r="AP707" s="627" t="s">
        <v>1621</v>
      </c>
    </row>
    <row r="708" spans="1:42" x14ac:dyDescent="0.35">
      <c r="A708" s="20"/>
      <c r="Q708" s="16"/>
      <c r="AJ708" s="633" t="s">
        <v>2089</v>
      </c>
      <c r="AK708" s="10"/>
      <c r="AL708" s="10"/>
      <c r="AM708" s="10"/>
      <c r="AN708" s="6"/>
      <c r="AO708" s="7">
        <f ca="1">AO707*21.05</f>
        <v>84.2</v>
      </c>
      <c r="AP708" s="627" t="s">
        <v>2090</v>
      </c>
    </row>
    <row r="709" spans="1:42" x14ac:dyDescent="0.35">
      <c r="A709" s="20"/>
      <c r="Q709" s="16"/>
      <c r="AJ709" s="627" t="s">
        <v>2091</v>
      </c>
    </row>
    <row r="710" spans="1:42" x14ac:dyDescent="0.35">
      <c r="A710" s="20"/>
      <c r="Q710" s="16"/>
    </row>
    <row r="711" spans="1:42" x14ac:dyDescent="0.35">
      <c r="A711" s="20"/>
      <c r="Q711" s="16"/>
    </row>
    <row r="712" spans="1:42" x14ac:dyDescent="0.35">
      <c r="A712" s="20"/>
      <c r="Q712" s="16"/>
    </row>
    <row r="713" spans="1:42" x14ac:dyDescent="0.35">
      <c r="A713" s="20"/>
      <c r="Q713" s="16"/>
    </row>
    <row r="714" spans="1:42" x14ac:dyDescent="0.35">
      <c r="A714" s="20"/>
      <c r="Q714" s="16"/>
    </row>
    <row r="715" spans="1:42" x14ac:dyDescent="0.35">
      <c r="A715" s="20"/>
      <c r="Q715" s="16"/>
    </row>
    <row r="716" spans="1:42" x14ac:dyDescent="0.35">
      <c r="A716" s="20"/>
      <c r="Q716" s="16"/>
    </row>
    <row r="717" spans="1:42" x14ac:dyDescent="0.35">
      <c r="A717" s="20"/>
      <c r="C717" s="627" t="s">
        <v>241</v>
      </c>
      <c r="J717" s="7">
        <f ca="1">IF(I11=0,0,ENTRADAS!J284-0.025)</f>
        <v>58.575000000000003</v>
      </c>
      <c r="Q717" s="16"/>
    </row>
    <row r="718" spans="1:42" x14ac:dyDescent="0.35">
      <c r="A718" s="20"/>
      <c r="Q718" s="16"/>
      <c r="Y718" s="630" t="s">
        <v>242</v>
      </c>
      <c r="Z718" s="32">
        <f ca="1">((G50*I11)+(G50+1)*J719)/J717</f>
        <v>7.6754588134869826</v>
      </c>
      <c r="AA718" s="627" t="s">
        <v>243</v>
      </c>
    </row>
    <row r="719" spans="1:42" x14ac:dyDescent="0.35">
      <c r="A719" s="20"/>
      <c r="C719" s="627" t="s">
        <v>2092</v>
      </c>
      <c r="J719" s="250">
        <v>0.19</v>
      </c>
      <c r="Q719" s="16"/>
      <c r="Y719" s="630" t="s">
        <v>246</v>
      </c>
      <c r="Z719" s="32">
        <f ca="1">ROUNDUP(Z718,0)</f>
        <v>8</v>
      </c>
      <c r="AA719" s="627" t="s">
        <v>243</v>
      </c>
      <c r="AL719">
        <f ca="1">IF(AK721&gt;1,AK721/AJ721,0)</f>
        <v>0</v>
      </c>
    </row>
    <row r="720" spans="1:42" x14ac:dyDescent="0.35">
      <c r="A720" s="20"/>
      <c r="Q720" s="16"/>
      <c r="Y720" s="630" t="s">
        <v>247</v>
      </c>
      <c r="Z720" s="32">
        <f ca="1">ROUNDUP(G50/Z719,0)</f>
        <v>8</v>
      </c>
      <c r="AA720" s="627" t="s">
        <v>248</v>
      </c>
      <c r="AB720" s="32">
        <f ca="1">IF(Z721&lt;0,Z720-1,Z720)</f>
        <v>8</v>
      </c>
      <c r="AD720" s="32">
        <f ca="1">IF(AB720&lt;Z720,IF(AB724&lt;Z719,AB720,0),IF(AB724&lt;Z719,Z720,0))</f>
        <v>8</v>
      </c>
      <c r="AF720" s="32" t="str">
        <f ca="1">IF(AB720&lt;Z720,IF(AB724&lt;Z719,Z719-1&amp;"  REPETIÇÃO COM   "&amp;AB720&amp;" PAINEL",0),IF(AB724&lt;Z719,Z719-1&amp;"  REPETIÇÃO COM   "&amp;Z720&amp;" PAINEL",0))</f>
        <v>7  REPETIÇÃO COM   8 PAINEL</v>
      </c>
      <c r="AG720" s="32"/>
      <c r="AH720" s="32">
        <f ca="1">IF(AB720&lt;Z720,IF(AB724&lt;Z719,(Z719-1)*AB720,0),IF(AB724&lt;Z719,(Z719-1)*Z720,0))</f>
        <v>56</v>
      </c>
      <c r="AI720" s="627"/>
    </row>
    <row r="721" spans="1:37" x14ac:dyDescent="0.35">
      <c r="A721" s="20"/>
      <c r="C721" s="627" t="s">
        <v>2093</v>
      </c>
      <c r="J721" s="7">
        <f ca="1">Z687</f>
        <v>35</v>
      </c>
      <c r="Q721" s="16"/>
      <c r="Y721" s="630" t="s">
        <v>250</v>
      </c>
      <c r="Z721" s="387">
        <f ca="1">(J717-(Z720*I11))/(Z720+1)</f>
        <v>1.9444444444444129E-2</v>
      </c>
      <c r="AA721" s="627" t="s">
        <v>20</v>
      </c>
      <c r="AD721" s="32">
        <f ca="1">IF(AB720&lt;Z720,IF(AB724&lt;Z719,Z724,0),IF(AB724&lt;Z719,Z724,0))</f>
        <v>4</v>
      </c>
      <c r="AF721" s="32" t="str">
        <f ca="1">IF(AB720&lt;Z720,IF(AB724&lt;Z719,2&amp;"  REPETIÇÃO COM   "&amp;Z724+AL719&amp;" PAINEL",0),IF(AB724&lt;Z719,1&amp;"  REPETIÇÃO COM   "&amp;Z724+AL719&amp;" PAINEL",0))</f>
        <v>1  REPETIÇÃO COM   4 PAINEL</v>
      </c>
      <c r="AG721" s="32"/>
      <c r="AH721" s="32">
        <f ca="1">IF(AB720&lt;Z720,IF(AB724&lt;Z719,2*Z724,0),IF(AB724&lt;Z719,1*Z724,0))</f>
        <v>4</v>
      </c>
      <c r="AI721" s="4">
        <f ca="1">G50-AH720</f>
        <v>4</v>
      </c>
      <c r="AJ721">
        <f ca="1">IF(AB720&lt;Z720,IF(AB724&lt;Z719,2,0),IF(AB724&lt;Z719,1,0))</f>
        <v>1</v>
      </c>
      <c r="AK721" s="4">
        <f ca="1">G50-AH724</f>
        <v>0</v>
      </c>
    </row>
    <row r="722" spans="1:37" x14ac:dyDescent="0.35">
      <c r="A722" s="20"/>
      <c r="C722" s="627"/>
      <c r="J722" s="4"/>
      <c r="Q722" s="16"/>
      <c r="Y722" s="630"/>
      <c r="Z722" s="387"/>
      <c r="AA722" s="627"/>
      <c r="AI722" s="4"/>
      <c r="AK722" s="4"/>
    </row>
    <row r="723" spans="1:37" x14ac:dyDescent="0.35">
      <c r="A723" s="20"/>
      <c r="C723" s="627" t="s">
        <v>252</v>
      </c>
      <c r="D723" s="627"/>
      <c r="E723" s="627"/>
      <c r="F723" s="627"/>
      <c r="G723" s="627"/>
      <c r="H723" s="627"/>
      <c r="I723" s="627"/>
      <c r="J723" s="660">
        <f ca="1">Z702</f>
        <v>8</v>
      </c>
      <c r="Q723" s="16"/>
      <c r="Y723" s="630"/>
      <c r="Z723" s="387"/>
      <c r="AA723" s="627"/>
      <c r="AI723" s="4"/>
      <c r="AK723" s="4"/>
    </row>
    <row r="724" spans="1:37" x14ac:dyDescent="0.35">
      <c r="A724" s="20"/>
      <c r="Q724" s="16"/>
      <c r="Y724" s="630" t="s">
        <v>251</v>
      </c>
      <c r="Z724" s="32">
        <f ca="1">IF(AB724&lt;0,Z720+AB724,Z720)</f>
        <v>4</v>
      </c>
      <c r="AA724" s="627" t="s">
        <v>248</v>
      </c>
      <c r="AB724" s="387">
        <f ca="1">G50-Z719*Z720</f>
        <v>-4</v>
      </c>
      <c r="AG724" s="627" t="s">
        <v>240</v>
      </c>
      <c r="AH724">
        <f ca="1">AH720+AH721</f>
        <v>60</v>
      </c>
    </row>
    <row r="725" spans="1:37" x14ac:dyDescent="0.35">
      <c r="A725" s="20"/>
      <c r="C725" s="1460" t="s">
        <v>253</v>
      </c>
      <c r="D725" s="1460"/>
      <c r="E725" s="1460"/>
      <c r="F725" s="1461"/>
      <c r="G725" s="13" t="str">
        <f ca="1">IF(I11=0,0,"  "&amp;AF687)</f>
        <v xml:space="preserve">  34  REPETIÇÃO COM   7 PAINEL</v>
      </c>
      <c r="H725" s="14"/>
      <c r="I725" s="14"/>
      <c r="J725" s="15"/>
      <c r="Q725" s="16"/>
      <c r="V725" s="37"/>
      <c r="Y725" s="630" t="s">
        <v>254</v>
      </c>
      <c r="Z725" s="387">
        <f ca="1">J717-(Z724*Z721)-(Z724*I11)</f>
        <v>29.297222222222224</v>
      </c>
      <c r="AA725" s="627" t="s">
        <v>20</v>
      </c>
    </row>
    <row r="726" spans="1:37" x14ac:dyDescent="0.35">
      <c r="A726" s="20"/>
      <c r="C726" s="1460"/>
      <c r="D726" s="1460"/>
      <c r="E726" s="1460"/>
      <c r="F726" s="1461"/>
      <c r="G726" s="18" t="str">
        <f ca="1">IF(I11=0,0,"  "&amp;AF688)</f>
        <v xml:space="preserve">  1  REPETIÇÃO COM   2 PAINEL</v>
      </c>
      <c r="H726" s="3"/>
      <c r="I726" s="3"/>
      <c r="J726" s="17"/>
      <c r="Q726" s="16"/>
      <c r="V726" s="37"/>
    </row>
    <row r="727" spans="1:37" x14ac:dyDescent="0.35">
      <c r="A727" s="20"/>
      <c r="C727" s="734"/>
      <c r="D727" s="734"/>
      <c r="E727" s="734"/>
      <c r="F727" s="734"/>
      <c r="Q727" s="16"/>
      <c r="V727" s="37"/>
    </row>
    <row r="728" spans="1:37" x14ac:dyDescent="0.35">
      <c r="A728" s="20"/>
      <c r="C728" s="734"/>
      <c r="D728" s="734"/>
      <c r="E728" s="734"/>
      <c r="F728" s="734"/>
      <c r="V728" s="37"/>
    </row>
    <row r="729" spans="1:37" x14ac:dyDescent="0.35">
      <c r="A729" s="20"/>
      <c r="C729" s="1466" t="s">
        <v>2094</v>
      </c>
      <c r="D729" s="1466"/>
      <c r="E729" s="1466"/>
      <c r="F729" s="1465"/>
      <c r="G729" s="633" t="str">
        <f ca="1">IF(I11=0,0,IF(Z704+Z705&gt;0,Z704+Z705&amp;"  REPETIÇÃO COM "&amp;AB704+AB705&amp;"  PAINEL",0))</f>
        <v>8  REPETIÇÃO COM 1  PAINEL</v>
      </c>
      <c r="H729" s="646"/>
      <c r="I729" s="646"/>
      <c r="J729" s="629"/>
      <c r="V729" s="37"/>
    </row>
    <row r="730" spans="1:37" x14ac:dyDescent="0.35">
      <c r="A730" s="20"/>
      <c r="C730" s="734"/>
      <c r="D730" s="734"/>
      <c r="E730" s="734"/>
      <c r="F730" s="734"/>
      <c r="G730" s="633">
        <f ca="1">IF(I11=0,0,IF(Z706&gt;0,Z706&amp;"  REPETIÇÃO COM "&amp;AB706&amp;"  PAINEL",0))</f>
        <v>0</v>
      </c>
      <c r="H730" s="646"/>
      <c r="I730" s="646"/>
      <c r="J730" s="629"/>
      <c r="V730" s="37"/>
    </row>
    <row r="731" spans="1:37" x14ac:dyDescent="0.35">
      <c r="A731" s="20"/>
      <c r="C731" s="734"/>
      <c r="D731" s="734"/>
      <c r="E731" s="734"/>
      <c r="F731" s="734"/>
      <c r="V731" s="37"/>
    </row>
    <row r="732" spans="1:37" x14ac:dyDescent="0.35">
      <c r="A732" s="20"/>
      <c r="C732" s="734"/>
      <c r="D732" s="734"/>
      <c r="E732" s="734"/>
      <c r="F732" s="734"/>
      <c r="V732" s="37"/>
    </row>
    <row r="733" spans="1:37" x14ac:dyDescent="0.35">
      <c r="A733" s="20"/>
      <c r="C733" s="734"/>
      <c r="D733" s="734"/>
      <c r="E733" s="734"/>
      <c r="F733" s="734"/>
      <c r="Q733" s="16"/>
      <c r="V733" s="37"/>
    </row>
    <row r="734" spans="1:37" x14ac:dyDescent="0.35">
      <c r="A734" s="20"/>
      <c r="C734" s="734"/>
      <c r="D734" s="1330" t="s">
        <v>256</v>
      </c>
      <c r="E734" s="1332"/>
      <c r="F734" s="729" t="s">
        <v>257</v>
      </c>
      <c r="G734" s="32" t="s">
        <v>258</v>
      </c>
      <c r="Q734" s="16"/>
      <c r="V734" s="37"/>
    </row>
    <row r="735" spans="1:37" x14ac:dyDescent="0.35">
      <c r="A735" s="20"/>
      <c r="C735" s="734"/>
      <c r="D735" s="1464"/>
      <c r="E735" s="1465"/>
      <c r="F735" s="660">
        <f>ENTRADAS!F304</f>
        <v>0</v>
      </c>
      <c r="G735" s="660">
        <f>ENTRADAS!G304</f>
        <v>0</v>
      </c>
      <c r="Q735" s="16"/>
      <c r="V735" s="37"/>
    </row>
    <row r="736" spans="1:37" x14ac:dyDescent="0.35">
      <c r="A736" s="20"/>
      <c r="C736" s="734"/>
      <c r="D736" s="1464"/>
      <c r="E736" s="1465"/>
      <c r="F736" s="660">
        <f>ENTRADAS!F305</f>
        <v>0</v>
      </c>
      <c r="G736" s="660">
        <f>ENTRADAS!G305</f>
        <v>0</v>
      </c>
      <c r="Q736" s="16"/>
      <c r="V736" s="37"/>
    </row>
    <row r="737" spans="1:22" x14ac:dyDescent="0.35">
      <c r="A737" s="20"/>
      <c r="C737" s="734"/>
      <c r="D737" s="1464"/>
      <c r="E737" s="1465"/>
      <c r="F737" s="660">
        <f>ENTRADAS!F306</f>
        <v>0</v>
      </c>
      <c r="G737" s="660">
        <f>ENTRADAS!G306</f>
        <v>0</v>
      </c>
      <c r="Q737" s="16"/>
      <c r="V737" s="37"/>
    </row>
    <row r="738" spans="1:22" x14ac:dyDescent="0.35">
      <c r="A738" s="18"/>
      <c r="B738" s="3"/>
      <c r="C738" s="1093"/>
      <c r="D738" s="1333"/>
      <c r="E738" s="1335"/>
      <c r="F738" s="660">
        <f>ENTRADAS!F307</f>
        <v>0</v>
      </c>
      <c r="G738" s="660">
        <f>ENTRADAS!G307</f>
        <v>0</v>
      </c>
      <c r="H738" s="3"/>
      <c r="I738" s="3"/>
      <c r="J738" s="3"/>
      <c r="K738" s="3"/>
      <c r="L738" s="3"/>
      <c r="M738" s="3"/>
      <c r="N738" s="3"/>
      <c r="O738" s="3"/>
      <c r="P738" s="3"/>
      <c r="Q738" s="17"/>
      <c r="V738" s="37"/>
    </row>
    <row r="739" spans="1:22" x14ac:dyDescent="0.35">
      <c r="A739" s="13"/>
      <c r="B739" s="14"/>
      <c r="C739" s="992"/>
      <c r="D739" s="992"/>
      <c r="E739" s="992"/>
      <c r="F739" s="992"/>
      <c r="G739" s="14"/>
      <c r="H739" s="14"/>
      <c r="I739" s="14"/>
      <c r="J739" s="14"/>
      <c r="K739" s="14"/>
      <c r="L739" s="14"/>
      <c r="M739" s="14"/>
      <c r="N739" s="14"/>
      <c r="O739" s="14"/>
      <c r="P739" s="14"/>
      <c r="Q739" s="15"/>
      <c r="V739" s="37"/>
    </row>
    <row r="740" spans="1:22" x14ac:dyDescent="0.35">
      <c r="A740" s="20"/>
      <c r="C740" s="1352" t="s">
        <v>269</v>
      </c>
      <c r="D740" s="1352"/>
      <c r="E740" s="1352"/>
      <c r="F740" s="1352"/>
      <c r="G740" s="1352"/>
      <c r="H740" s="1352"/>
      <c r="I740" s="1352"/>
      <c r="J740" s="1458" t="s">
        <v>1956</v>
      </c>
      <c r="K740" s="1459"/>
      <c r="L740" s="739" t="s">
        <v>87</v>
      </c>
      <c r="Q740" s="16"/>
      <c r="V740" s="37"/>
    </row>
    <row r="741" spans="1:22" x14ac:dyDescent="0.35">
      <c r="A741" s="20"/>
      <c r="C741" s="1352"/>
      <c r="D741" s="1352"/>
      <c r="E741" s="1352"/>
      <c r="F741" s="1352"/>
      <c r="G741" s="1352"/>
      <c r="H741" s="1352"/>
      <c r="I741" s="1352"/>
      <c r="J741" s="949" t="s">
        <v>1958</v>
      </c>
      <c r="K741" s="17"/>
      <c r="L741" s="975" t="s">
        <v>90</v>
      </c>
      <c r="Q741" s="16"/>
    </row>
    <row r="742" spans="1:22" x14ac:dyDescent="0.35">
      <c r="A742" s="20"/>
      <c r="C742" s="740" t="s">
        <v>91</v>
      </c>
      <c r="D742" s="399"/>
      <c r="E742" s="1016"/>
      <c r="F742" s="399"/>
      <c r="G742" s="1015"/>
      <c r="H742" s="1015"/>
      <c r="I742" s="399"/>
      <c r="J742" s="423">
        <f ca="1">C640*C643*G702*9</f>
        <v>387</v>
      </c>
      <c r="K742" s="629"/>
      <c r="L742" s="401">
        <f ca="1">J742+(J742*$N$652/100)</f>
        <v>470.55681818181813</v>
      </c>
      <c r="M742" s="627" t="s">
        <v>92</v>
      </c>
      <c r="Q742" s="16"/>
    </row>
    <row r="743" spans="1:22" x14ac:dyDescent="0.35">
      <c r="A743" s="20"/>
      <c r="C743" s="740" t="s">
        <v>95</v>
      </c>
      <c r="D743" s="399"/>
      <c r="E743" s="1016"/>
      <c r="F743" s="399"/>
      <c r="G743" s="1015"/>
      <c r="H743" s="1015"/>
      <c r="I743" s="399"/>
      <c r="J743" s="424">
        <f ca="1">C640*C644*G702*9</f>
        <v>5418</v>
      </c>
      <c r="K743" s="1019"/>
      <c r="L743" s="401">
        <f t="shared" ref="L743:L745" ca="1" si="45">J743+(J743*$N$652/100)</f>
        <v>6587.795454545454</v>
      </c>
      <c r="M743" s="627" t="s">
        <v>92</v>
      </c>
      <c r="O743" s="4"/>
      <c r="Q743" s="16"/>
    </row>
    <row r="744" spans="1:22" x14ac:dyDescent="0.35">
      <c r="A744" s="20"/>
      <c r="C744" s="740" t="s">
        <v>96</v>
      </c>
      <c r="D744" s="399"/>
      <c r="E744" s="1016"/>
      <c r="F744" s="399"/>
      <c r="G744" s="1015"/>
      <c r="H744" s="1015"/>
      <c r="I744" s="399"/>
      <c r="J744" s="423">
        <f ca="1">L666*C645/(C644+C646)+(O669*9*C645)</f>
        <v>896.55506745942216</v>
      </c>
      <c r="K744" s="629"/>
      <c r="L744" s="401">
        <f t="shared" ca="1" si="45"/>
        <v>1090.1294570245245</v>
      </c>
      <c r="M744" s="627" t="s">
        <v>92</v>
      </c>
      <c r="Q744" s="16"/>
    </row>
    <row r="745" spans="1:22" x14ac:dyDescent="0.35">
      <c r="A745" s="20"/>
      <c r="C745" s="740" t="s">
        <v>270</v>
      </c>
      <c r="D745" s="399"/>
      <c r="E745" s="1016"/>
      <c r="F745" s="399"/>
      <c r="G745" s="1015"/>
      <c r="H745" s="1015"/>
      <c r="I745" s="399"/>
      <c r="J745" s="423">
        <f ca="1">L666*C646/(C644+C646)+(O669*9*C646)</f>
        <v>3289.0910688064682</v>
      </c>
      <c r="K745" s="629"/>
      <c r="L745" s="401">
        <f t="shared" ca="1" si="45"/>
        <v>3999.2357313896828</v>
      </c>
      <c r="M745" s="627" t="s">
        <v>92</v>
      </c>
      <c r="Q745" s="16"/>
    </row>
    <row r="746" spans="1:22" x14ac:dyDescent="0.35">
      <c r="A746" s="20"/>
      <c r="C746" s="633" t="s">
        <v>2095</v>
      </c>
      <c r="D746" s="10"/>
      <c r="E746" s="10"/>
      <c r="F746" s="10"/>
      <c r="G746" s="10"/>
      <c r="H746" s="10"/>
      <c r="I746" s="6"/>
      <c r="J746" s="275">
        <f ca="1">IF(ARMAÇÃO!B5="X",IF(ENTRADAS!G66="X",ARMAÇÃO!D118*0.08+ARMAÇÃO!F115*5/100*0.07,ARMAÇÃO!G173*0.08+ARMAÇÃO!G186*5/100*0.08),IF(ENTRADAS!G66="X",ARMAÇÃO!D118*0.08+ARMAÇÃO!F115*5/100*0.07,ARMAÇÃO!G173*0.07+ARMAÇÃO!G186*5/100*0.07))</f>
        <v>582.08092599999998</v>
      </c>
      <c r="K746" s="6"/>
      <c r="L746" s="401">
        <f ca="1">J746</f>
        <v>582.08092599999998</v>
      </c>
      <c r="M746" s="627" t="s">
        <v>92</v>
      </c>
      <c r="Q746" s="16"/>
    </row>
    <row r="747" spans="1:22" x14ac:dyDescent="0.35">
      <c r="A747" s="20"/>
      <c r="Q747" s="16"/>
    </row>
    <row r="748" spans="1:22" x14ac:dyDescent="0.35">
      <c r="A748" s="20"/>
      <c r="C748" s="1352" t="s">
        <v>271</v>
      </c>
      <c r="D748" s="1352"/>
      <c r="E748" s="1352"/>
      <c r="F748" s="1352"/>
      <c r="G748" s="1352"/>
      <c r="H748" s="1352"/>
      <c r="I748" s="1352"/>
      <c r="J748" s="948" t="s">
        <v>86</v>
      </c>
      <c r="K748" s="15"/>
      <c r="Q748" s="16"/>
    </row>
    <row r="749" spans="1:22" x14ac:dyDescent="0.35">
      <c r="A749" s="20"/>
      <c r="C749" s="1352"/>
      <c r="D749" s="1352"/>
      <c r="E749" s="1352"/>
      <c r="F749" s="1352"/>
      <c r="G749" s="1352"/>
      <c r="H749" s="1352"/>
      <c r="I749" s="1352"/>
      <c r="J749" s="949" t="s">
        <v>89</v>
      </c>
      <c r="K749" s="17"/>
      <c r="Q749" s="16"/>
    </row>
    <row r="750" spans="1:22" x14ac:dyDescent="0.35">
      <c r="A750" s="20"/>
      <c r="C750" s="740" t="s">
        <v>91</v>
      </c>
      <c r="D750" s="399"/>
      <c r="E750" s="1016"/>
      <c r="F750" s="399"/>
      <c r="G750" s="1015"/>
      <c r="H750" s="1015"/>
      <c r="I750" s="399"/>
      <c r="J750" s="428">
        <f ca="1">IF($I$11=0,0,L742/$F$83)</f>
        <v>0.10829945918531313</v>
      </c>
      <c r="K750" s="973"/>
      <c r="L750" s="627" t="s">
        <v>98</v>
      </c>
      <c r="Q750" s="16"/>
    </row>
    <row r="751" spans="1:22" x14ac:dyDescent="0.35">
      <c r="A751" s="20"/>
      <c r="C751" s="740" t="s">
        <v>95</v>
      </c>
      <c r="D751" s="399"/>
      <c r="E751" s="1016"/>
      <c r="F751" s="399"/>
      <c r="G751" s="1015"/>
      <c r="H751" s="1015"/>
      <c r="I751" s="399"/>
      <c r="J751" s="428">
        <f t="shared" ref="J751:J754" ca="1" si="46">IF($I$11=0,0,L743/$F$83)</f>
        <v>1.5161924285943837</v>
      </c>
      <c r="K751" s="1019"/>
      <c r="L751" s="627" t="s">
        <v>98</v>
      </c>
      <c r="Q751" s="16"/>
    </row>
    <row r="752" spans="1:22" x14ac:dyDescent="0.35">
      <c r="A752" s="20"/>
      <c r="C752" s="740" t="s">
        <v>96</v>
      </c>
      <c r="D752" s="399"/>
      <c r="E752" s="1016"/>
      <c r="F752" s="399"/>
      <c r="G752" s="1015"/>
      <c r="H752" s="1015"/>
      <c r="I752" s="399"/>
      <c r="J752" s="428">
        <f t="shared" ca="1" si="46"/>
        <v>0.2508951652085461</v>
      </c>
      <c r="K752" s="1019"/>
      <c r="L752" s="627" t="s">
        <v>98</v>
      </c>
      <c r="Q752" s="16"/>
    </row>
    <row r="753" spans="1:17" x14ac:dyDescent="0.35">
      <c r="A753" s="20"/>
      <c r="C753" s="740" t="s">
        <v>270</v>
      </c>
      <c r="D753" s="399"/>
      <c r="E753" s="1016"/>
      <c r="F753" s="399"/>
      <c r="G753" s="1015"/>
      <c r="H753" s="1015"/>
      <c r="I753" s="399"/>
      <c r="J753" s="428">
        <f t="shared" ca="1" si="46"/>
        <v>0.92043096631262034</v>
      </c>
      <c r="K753" s="629"/>
      <c r="L753" s="627" t="s">
        <v>98</v>
      </c>
      <c r="Q753" s="16"/>
    </row>
    <row r="754" spans="1:17" x14ac:dyDescent="0.35">
      <c r="A754" s="20"/>
      <c r="C754" s="633" t="s">
        <v>2095</v>
      </c>
      <c r="D754" s="10"/>
      <c r="E754" s="10"/>
      <c r="F754" s="10"/>
      <c r="G754" s="10"/>
      <c r="H754" s="10"/>
      <c r="I754" s="6"/>
      <c r="J754" s="428">
        <f t="shared" ca="1" si="46"/>
        <v>0.13396692397628515</v>
      </c>
      <c r="K754" s="6"/>
      <c r="L754" s="627" t="s">
        <v>98</v>
      </c>
      <c r="M754" s="627"/>
      <c r="Q754" s="16"/>
    </row>
    <row r="755" spans="1:17" x14ac:dyDescent="0.35">
      <c r="A755" s="20"/>
      <c r="C755" s="627"/>
      <c r="E755" s="688"/>
      <c r="G755" s="627"/>
      <c r="H755" s="627"/>
      <c r="I755" s="427" t="s">
        <v>99</v>
      </c>
      <c r="J755" s="428">
        <f ca="1">SUM(J750:J754)</f>
        <v>2.9297849432771486</v>
      </c>
      <c r="K755" s="629"/>
      <c r="L755" s="627" t="s">
        <v>98</v>
      </c>
      <c r="Q755" s="16"/>
    </row>
    <row r="756" spans="1:17" x14ac:dyDescent="0.35">
      <c r="A756" s="20"/>
      <c r="Q756" s="16"/>
    </row>
    <row r="757" spans="1:17" x14ac:dyDescent="0.35">
      <c r="A757" s="20"/>
      <c r="C757" s="1352" t="s">
        <v>272</v>
      </c>
      <c r="D757" s="1352"/>
      <c r="E757" s="1352"/>
      <c r="F757" s="1352"/>
      <c r="G757" s="1352"/>
      <c r="H757" s="1352"/>
      <c r="I757" s="1352"/>
      <c r="J757" s="948" t="s">
        <v>86</v>
      </c>
      <c r="K757" s="15"/>
      <c r="Q757" s="16"/>
    </row>
    <row r="758" spans="1:17" x14ac:dyDescent="0.35">
      <c r="A758" s="20"/>
      <c r="C758" s="1352"/>
      <c r="D758" s="1352"/>
      <c r="E758" s="1352"/>
      <c r="F758" s="1352"/>
      <c r="G758" s="1352"/>
      <c r="H758" s="1352"/>
      <c r="I758" s="1352"/>
      <c r="J758" s="949" t="s">
        <v>89</v>
      </c>
      <c r="K758" s="17"/>
      <c r="Q758" s="16"/>
    </row>
    <row r="759" spans="1:17" x14ac:dyDescent="0.35">
      <c r="A759" s="20"/>
      <c r="C759" s="740" t="s">
        <v>91</v>
      </c>
      <c r="D759" s="399"/>
      <c r="E759" s="1016"/>
      <c r="F759" s="399"/>
      <c r="G759" s="1015"/>
      <c r="H759" s="1015"/>
      <c r="I759" s="399"/>
      <c r="J759" s="428">
        <f ca="1">IF($I$11=0,0,L742/$J$721)</f>
        <v>13.444480519480518</v>
      </c>
      <c r="K759" s="973"/>
      <c r="L759" s="627" t="s">
        <v>273</v>
      </c>
      <c r="Q759" s="16"/>
    </row>
    <row r="760" spans="1:17" x14ac:dyDescent="0.35">
      <c r="A760" s="20"/>
      <c r="C760" s="740" t="s">
        <v>95</v>
      </c>
      <c r="D760" s="399"/>
      <c r="E760" s="1016"/>
      <c r="F760" s="399"/>
      <c r="G760" s="1015"/>
      <c r="H760" s="1015"/>
      <c r="I760" s="399"/>
      <c r="J760" s="428">
        <f t="shared" ref="J760:J763" ca="1" si="47">IF($I$11=0,0,L743/$J$721)</f>
        <v>188.22272727272727</v>
      </c>
      <c r="K760" s="1019"/>
      <c r="L760" s="627" t="s">
        <v>273</v>
      </c>
      <c r="Q760" s="16"/>
    </row>
    <row r="761" spans="1:17" x14ac:dyDescent="0.35">
      <c r="A761" s="20"/>
      <c r="C761" s="740" t="s">
        <v>96</v>
      </c>
      <c r="D761" s="399"/>
      <c r="E761" s="1016"/>
      <c r="F761" s="399"/>
      <c r="G761" s="1015"/>
      <c r="H761" s="1015"/>
      <c r="I761" s="399"/>
      <c r="J761" s="428">
        <f t="shared" ca="1" si="47"/>
        <v>31.146555914986415</v>
      </c>
      <c r="K761" s="1019"/>
      <c r="L761" s="627" t="s">
        <v>273</v>
      </c>
      <c r="Q761" s="16"/>
    </row>
    <row r="762" spans="1:17" x14ac:dyDescent="0.35">
      <c r="A762" s="20"/>
      <c r="C762" s="740" t="s">
        <v>270</v>
      </c>
      <c r="D762" s="399"/>
      <c r="E762" s="1016"/>
      <c r="F762" s="399"/>
      <c r="G762" s="1015"/>
      <c r="H762" s="1015"/>
      <c r="I762" s="399"/>
      <c r="J762" s="428">
        <f t="shared" ca="1" si="47"/>
        <v>114.26387803970522</v>
      </c>
      <c r="K762" s="629"/>
      <c r="L762" s="627" t="s">
        <v>273</v>
      </c>
      <c r="Q762" s="16"/>
    </row>
    <row r="763" spans="1:17" x14ac:dyDescent="0.35">
      <c r="A763" s="20"/>
      <c r="C763" s="633" t="s">
        <v>2095</v>
      </c>
      <c r="D763" s="10"/>
      <c r="E763" s="10"/>
      <c r="F763" s="10"/>
      <c r="G763" s="10"/>
      <c r="H763" s="10"/>
      <c r="I763" s="6"/>
      <c r="J763" s="428">
        <f t="shared" ca="1" si="47"/>
        <v>16.630883600000001</v>
      </c>
      <c r="K763" s="6"/>
      <c r="L763" s="627" t="s">
        <v>98</v>
      </c>
      <c r="Q763" s="16"/>
    </row>
    <row r="764" spans="1:17" x14ac:dyDescent="0.35">
      <c r="A764" s="20"/>
      <c r="I764" s="427" t="s">
        <v>99</v>
      </c>
      <c r="J764" s="428">
        <f ca="1">SUM(J759:J763)</f>
        <v>363.70852534689942</v>
      </c>
      <c r="K764" s="629"/>
      <c r="L764" s="627" t="s">
        <v>273</v>
      </c>
      <c r="Q764" s="16"/>
    </row>
    <row r="765" spans="1:17" x14ac:dyDescent="0.35">
      <c r="A765" s="18"/>
      <c r="B765" s="3"/>
      <c r="C765" s="3"/>
      <c r="D765" s="3"/>
      <c r="E765" s="3"/>
      <c r="F765" s="3"/>
      <c r="G765" s="3"/>
      <c r="H765" s="3"/>
      <c r="I765" s="3"/>
      <c r="J765" s="3"/>
      <c r="K765" s="3"/>
      <c r="L765" s="3"/>
      <c r="M765" s="3"/>
      <c r="N765" s="3"/>
      <c r="O765" s="3"/>
      <c r="P765" s="3"/>
      <c r="Q765" s="17"/>
    </row>
    <row r="766" spans="1:17" x14ac:dyDescent="0.35">
      <c r="C766" s="1418" t="s">
        <v>274</v>
      </c>
      <c r="D766" s="1482"/>
      <c r="E766" s="1482"/>
      <c r="F766" s="1482"/>
      <c r="G766" s="1482"/>
      <c r="H766" s="1482"/>
      <c r="I766" s="1482"/>
      <c r="J766" s="1482"/>
      <c r="K766" s="1419"/>
      <c r="L766" s="673" t="s">
        <v>275</v>
      </c>
      <c r="O766" t="s">
        <v>1976</v>
      </c>
      <c r="P766" s="627" t="s">
        <v>2096</v>
      </c>
    </row>
    <row r="767" spans="1:17" x14ac:dyDescent="0.35">
      <c r="C767" s="740" t="s">
        <v>2097</v>
      </c>
      <c r="D767" s="399"/>
      <c r="E767" s="1016"/>
      <c r="F767" s="399"/>
      <c r="G767" s="1015"/>
      <c r="H767" s="1015"/>
      <c r="I767" s="10"/>
      <c r="J767" s="371"/>
      <c r="K767" s="629"/>
      <c r="L767" s="250">
        <f ca="1">O767*P767</f>
        <v>59.5</v>
      </c>
      <c r="M767" s="627" t="s">
        <v>103</v>
      </c>
      <c r="O767" s="763">
        <f ca="1">C640*C643*G704</f>
        <v>59.5</v>
      </c>
      <c r="P767" s="32">
        <v>1</v>
      </c>
    </row>
    <row r="768" spans="1:17" x14ac:dyDescent="0.35">
      <c r="C768" s="740" t="s">
        <v>2098</v>
      </c>
      <c r="D768" s="399"/>
      <c r="E768" s="1016"/>
      <c r="F768" s="399"/>
      <c r="G768" s="1015"/>
      <c r="H768" s="1015"/>
      <c r="I768" s="399"/>
      <c r="J768" s="371"/>
      <c r="K768" s="1019"/>
      <c r="L768" s="250">
        <f t="shared" ref="L768:L775" ca="1" si="48">O768*P768</f>
        <v>833</v>
      </c>
      <c r="M768" s="627" t="s">
        <v>103</v>
      </c>
      <c r="O768" s="763">
        <f ca="1">C640*C644*G704</f>
        <v>833</v>
      </c>
      <c r="P768" s="32">
        <v>1</v>
      </c>
    </row>
    <row r="769" spans="3:22" x14ac:dyDescent="0.35">
      <c r="C769" s="740" t="s">
        <v>2099</v>
      </c>
      <c r="D769" s="399"/>
      <c r="E769" s="1016"/>
      <c r="F769" s="399"/>
      <c r="G769" s="1015"/>
      <c r="H769" s="1015"/>
      <c r="I769" s="399"/>
      <c r="J769" s="371"/>
      <c r="K769" s="1019"/>
      <c r="L769" s="250">
        <f t="shared" ca="1" si="48"/>
        <v>119</v>
      </c>
      <c r="M769" s="627" t="s">
        <v>103</v>
      </c>
      <c r="O769" s="763">
        <f ca="1">C640*C645*G704</f>
        <v>119</v>
      </c>
      <c r="P769" s="32">
        <v>1</v>
      </c>
    </row>
    <row r="770" spans="3:22" x14ac:dyDescent="0.35">
      <c r="C770" s="740" t="s">
        <v>2100</v>
      </c>
      <c r="D770" s="399"/>
      <c r="E770" s="1016"/>
      <c r="F770" s="399"/>
      <c r="G770" s="1015"/>
      <c r="H770" s="1015"/>
      <c r="I770" s="399"/>
      <c r="J770" s="371"/>
      <c r="K770" s="1019"/>
      <c r="L770" s="250">
        <f t="shared" ca="1" si="48"/>
        <v>436.56195965417868</v>
      </c>
      <c r="M770" s="627" t="s">
        <v>103</v>
      </c>
      <c r="O770" s="763">
        <f ca="1">C640*C646*G704</f>
        <v>436.56195965417868</v>
      </c>
      <c r="P770" s="32">
        <v>1</v>
      </c>
    </row>
    <row r="771" spans="3:22" x14ac:dyDescent="0.35">
      <c r="C771" s="740" t="s">
        <v>2101</v>
      </c>
      <c r="D771" s="399"/>
      <c r="E771" s="1016"/>
      <c r="F771" s="399"/>
      <c r="G771" s="1015"/>
      <c r="H771" s="1015"/>
      <c r="I771" s="399"/>
      <c r="J771" s="371"/>
      <c r="K771" s="1019"/>
      <c r="L771" s="250">
        <f t="shared" ca="1" si="48"/>
        <v>59.5</v>
      </c>
      <c r="M771" s="627" t="s">
        <v>103</v>
      </c>
      <c r="O771" s="763">
        <f ca="1">C640*C647*G704</f>
        <v>59.5</v>
      </c>
      <c r="P771" s="32">
        <v>1</v>
      </c>
    </row>
    <row r="772" spans="3:22" x14ac:dyDescent="0.35">
      <c r="C772" s="740" t="s">
        <v>2102</v>
      </c>
      <c r="D772" s="399"/>
      <c r="E772" s="1016"/>
      <c r="F772" s="399"/>
      <c r="G772" s="1015"/>
      <c r="H772" s="1015"/>
      <c r="I772" s="399"/>
      <c r="J772" s="371"/>
      <c r="K772" s="1019"/>
      <c r="L772" s="250">
        <f t="shared" ca="1" si="48"/>
        <v>55</v>
      </c>
      <c r="M772" s="627" t="s">
        <v>103</v>
      </c>
      <c r="O772" s="763">
        <f ca="1">C640*C648*(G704+G701)/2</f>
        <v>55</v>
      </c>
      <c r="P772" s="32">
        <v>1</v>
      </c>
      <c r="Q772" s="627"/>
      <c r="R772" s="627"/>
      <c r="V772" s="627"/>
    </row>
    <row r="773" spans="3:22" x14ac:dyDescent="0.35">
      <c r="C773" s="740" t="s">
        <v>2103</v>
      </c>
      <c r="D773" s="399"/>
      <c r="E773" s="1016"/>
      <c r="F773" s="399"/>
      <c r="G773" s="1015"/>
      <c r="H773" s="1015"/>
      <c r="I773" s="399"/>
      <c r="J773" s="371">
        <f ca="1">IF(I30=0,0,J765/$F$83)</f>
        <v>0</v>
      </c>
      <c r="K773" s="1019"/>
      <c r="L773" s="250">
        <f ca="1">O773*P773</f>
        <v>94.854570090751253</v>
      </c>
      <c r="M773" s="627" t="s">
        <v>103</v>
      </c>
      <c r="O773" s="764">
        <f ca="1">IF(I11=0,0,IF(N652&gt;0,((J746/9)+(((J746*$N$652*P773)/100)*(1+(L654/100)))/8),(J746/9)))</f>
        <v>94.854570090751253</v>
      </c>
      <c r="P773" s="32">
        <v>1</v>
      </c>
      <c r="V773" s="627"/>
    </row>
    <row r="774" spans="3:22" x14ac:dyDescent="0.35">
      <c r="C774" s="740" t="s">
        <v>2104</v>
      </c>
      <c r="D774" s="399"/>
      <c r="E774" s="1016"/>
      <c r="F774" s="399"/>
      <c r="G774" s="1015"/>
      <c r="H774" s="1015"/>
      <c r="I774" s="399"/>
      <c r="J774" s="371"/>
      <c r="K774" s="1019"/>
      <c r="L774" s="250">
        <f ca="1">O774*P774</f>
        <v>101</v>
      </c>
      <c r="M774" s="627" t="s">
        <v>103</v>
      </c>
      <c r="O774" s="763">
        <f ca="1">C640*C649*G701</f>
        <v>101</v>
      </c>
      <c r="P774" s="32">
        <v>1</v>
      </c>
      <c r="S774" s="633" t="s">
        <v>2105</v>
      </c>
      <c r="T774" s="10"/>
      <c r="U774" s="588">
        <f ca="1">G702</f>
        <v>86</v>
      </c>
      <c r="V774" s="627" t="s">
        <v>101</v>
      </c>
    </row>
    <row r="775" spans="3:22" x14ac:dyDescent="0.35">
      <c r="C775" s="740" t="s">
        <v>2106</v>
      </c>
      <c r="D775" s="399"/>
      <c r="E775" s="1016"/>
      <c r="F775" s="399"/>
      <c r="G775" s="1015"/>
      <c r="H775" s="1015"/>
      <c r="I775" s="399"/>
      <c r="J775" s="371"/>
      <c r="K775" s="1019"/>
      <c r="L775" s="250">
        <f t="shared" ca="1" si="48"/>
        <v>55</v>
      </c>
      <c r="M775" s="627" t="s">
        <v>103</v>
      </c>
      <c r="O775" s="763">
        <f ca="1">C640*C650*(G704+G701)/2</f>
        <v>55</v>
      </c>
      <c r="P775" s="32">
        <v>1</v>
      </c>
    </row>
    <row r="777" spans="3:22" x14ac:dyDescent="0.35">
      <c r="C777" s="633" t="s">
        <v>628</v>
      </c>
      <c r="D777" s="646"/>
      <c r="E777" s="646"/>
      <c r="F777" s="646"/>
      <c r="G777" s="646"/>
      <c r="H777" s="646"/>
      <c r="I777" s="646"/>
      <c r="J777" s="646"/>
      <c r="K777" s="646"/>
      <c r="L777" s="626" t="s">
        <v>275</v>
      </c>
    </row>
    <row r="778" spans="3:22" x14ac:dyDescent="0.35">
      <c r="C778" s="633" t="s">
        <v>2107</v>
      </c>
      <c r="D778" s="10"/>
      <c r="E778" s="10"/>
      <c r="F778" s="10"/>
      <c r="G778" s="10"/>
      <c r="H778" s="10"/>
      <c r="I778" s="10"/>
      <c r="J778" s="371"/>
      <c r="K778" s="6"/>
      <c r="L778" s="660">
        <f ca="1">ROUND(SUM($C$643:$C$648)*$C$640/60*($J$721),0)</f>
        <v>8</v>
      </c>
      <c r="M778" s="627" t="s">
        <v>46</v>
      </c>
    </row>
    <row r="779" spans="3:22" x14ac:dyDescent="0.35">
      <c r="C779" s="633" t="s">
        <v>2108</v>
      </c>
      <c r="D779" s="10"/>
      <c r="E779" s="10"/>
      <c r="F779" s="10"/>
      <c r="G779" s="10"/>
      <c r="H779" s="10"/>
      <c r="I779" s="10"/>
      <c r="J779" s="371"/>
      <c r="K779" s="6"/>
      <c r="L779" s="660">
        <f ca="1">ROUND(SUM($C$643:$C$648)*$C$640/60*($J$721),0)</f>
        <v>8</v>
      </c>
      <c r="M779" s="627" t="s">
        <v>46</v>
      </c>
    </row>
    <row r="780" spans="3:22" x14ac:dyDescent="0.35">
      <c r="C780" s="633" t="s">
        <v>2109</v>
      </c>
      <c r="D780" s="10"/>
      <c r="E780" s="10"/>
      <c r="F780" s="10"/>
      <c r="G780" s="10"/>
      <c r="H780" s="10"/>
      <c r="I780" s="10"/>
      <c r="J780" s="371"/>
      <c r="K780" s="6"/>
      <c r="L780" s="660">
        <f ca="1">ROUND(SUM($C$643:$C$648)*$C$640/50*($J$721),0)</f>
        <v>9</v>
      </c>
      <c r="M780" s="627" t="s">
        <v>46</v>
      </c>
    </row>
    <row r="781" spans="3:22" x14ac:dyDescent="0.35">
      <c r="C781" s="633" t="s">
        <v>2110</v>
      </c>
      <c r="D781" s="10"/>
      <c r="E781" s="10"/>
      <c r="F781" s="10"/>
      <c r="G781" s="10"/>
      <c r="H781" s="10"/>
      <c r="I781" s="10"/>
      <c r="J781" s="371"/>
      <c r="K781" s="6"/>
      <c r="L781" s="660">
        <f ca="1">ROUND(SUM($C$643:$C$648)*$C$640/30*($J$721),0)</f>
        <v>15</v>
      </c>
      <c r="M781" s="627" t="s">
        <v>46</v>
      </c>
    </row>
    <row r="782" spans="3:22" x14ac:dyDescent="0.35">
      <c r="C782" s="633" t="s">
        <v>2111</v>
      </c>
      <c r="D782" s="10"/>
      <c r="E782" s="10"/>
      <c r="F782" s="10"/>
      <c r="G782" s="10"/>
      <c r="H782" s="10"/>
      <c r="I782" s="10"/>
      <c r="J782" s="371"/>
      <c r="K782" s="6"/>
      <c r="L782" s="660">
        <f ca="1">ROUND(SUM($C$643:$C$648)*$C$640/120*($J$721),0)</f>
        <v>4</v>
      </c>
      <c r="M782" s="627" t="s">
        <v>46</v>
      </c>
    </row>
    <row r="783" spans="3:22" x14ac:dyDescent="0.35">
      <c r="C783" s="633" t="s">
        <v>2112</v>
      </c>
      <c r="D783" s="10"/>
      <c r="E783" s="10"/>
      <c r="F783" s="10"/>
      <c r="G783" s="10"/>
      <c r="H783" s="10"/>
      <c r="I783" s="10"/>
      <c r="J783" s="371"/>
      <c r="K783" s="6"/>
      <c r="L783" s="660">
        <f ca="1">ROUND(SUM($C$643:$C$648)*$C$640/10*($J$721),0)</f>
        <v>46</v>
      </c>
      <c r="M783" s="627" t="s">
        <v>46</v>
      </c>
    </row>
    <row r="784" spans="3:22" x14ac:dyDescent="0.35">
      <c r="C784" s="633" t="s">
        <v>2113</v>
      </c>
      <c r="D784" s="10"/>
      <c r="E784" s="10"/>
      <c r="F784" s="10"/>
      <c r="G784" s="10"/>
      <c r="H784" s="10"/>
      <c r="I784" s="10"/>
      <c r="J784" s="371"/>
      <c r="K784" s="6"/>
      <c r="L784" s="660">
        <f ca="1">ROUND(SUM($C$643:$C$648)*$C$640/10*($J$721),0)</f>
        <v>46</v>
      </c>
      <c r="M784" s="627" t="s">
        <v>46</v>
      </c>
    </row>
    <row r="785" spans="3:13" x14ac:dyDescent="0.35">
      <c r="C785" s="633" t="s">
        <v>2114</v>
      </c>
      <c r="D785" s="10"/>
      <c r="E785" s="10"/>
      <c r="F785" s="10"/>
      <c r="G785" s="10"/>
      <c r="H785" s="10"/>
      <c r="I785" s="10"/>
      <c r="J785" s="371"/>
      <c r="K785" s="6"/>
      <c r="L785" s="660">
        <f ca="1">ROUND(SUM($C$643:$C$648)*$C$640/15*($J$721),0)</f>
        <v>31</v>
      </c>
      <c r="M785" s="627" t="s">
        <v>46</v>
      </c>
    </row>
    <row r="786" spans="3:13" x14ac:dyDescent="0.35">
      <c r="C786" s="633" t="s">
        <v>2115</v>
      </c>
      <c r="D786" s="10"/>
      <c r="E786" s="10"/>
      <c r="F786" s="10"/>
      <c r="G786" s="10"/>
      <c r="H786" s="10"/>
      <c r="I786" s="10"/>
      <c r="J786" s="371"/>
      <c r="K786" s="6"/>
      <c r="L786" s="660">
        <f ca="1">ROUND(SUM($C$643:$C$648)*$C$640/15*($J$721),0)</f>
        <v>31</v>
      </c>
      <c r="M786" s="627" t="s">
        <v>46</v>
      </c>
    </row>
    <row r="787" spans="3:13" x14ac:dyDescent="0.35">
      <c r="C787" s="633" t="s">
        <v>2116</v>
      </c>
      <c r="D787" s="10"/>
      <c r="E787" s="10"/>
      <c r="F787" s="10"/>
      <c r="G787" s="10"/>
      <c r="H787" s="10"/>
      <c r="I787" s="10"/>
      <c r="J787" s="371"/>
      <c r="K787" s="6"/>
      <c r="L787" s="660">
        <f ca="1">ROUND(SUM($C$643:$C$648)*$C$640/15*($J$721),0)</f>
        <v>31</v>
      </c>
      <c r="M787" s="627" t="s">
        <v>46</v>
      </c>
    </row>
    <row r="788" spans="3:13" x14ac:dyDescent="0.35">
      <c r="C788" s="633" t="s">
        <v>2117</v>
      </c>
      <c r="D788" s="10"/>
      <c r="E788" s="10"/>
      <c r="F788" s="10"/>
      <c r="G788" s="10"/>
      <c r="H788" s="10"/>
      <c r="I788" s="10"/>
      <c r="J788" s="371"/>
      <c r="K788" s="6"/>
      <c r="L788" s="660">
        <f ca="1">ROUND(SUM($C$643:$C$648)*$C$640/30*($J$721),0)</f>
        <v>15</v>
      </c>
      <c r="M788" s="627" t="s">
        <v>46</v>
      </c>
    </row>
    <row r="789" spans="3:13" x14ac:dyDescent="0.35">
      <c r="C789" s="633" t="s">
        <v>2118</v>
      </c>
      <c r="D789" s="10"/>
      <c r="E789" s="10"/>
      <c r="F789" s="10"/>
      <c r="G789" s="10"/>
      <c r="H789" s="10"/>
      <c r="I789" s="10"/>
      <c r="J789" s="371"/>
      <c r="K789" s="6"/>
      <c r="L789" s="660">
        <f ca="1">ROUND(SUM($C$643:$C$648)*$C$640/5*($J$721),0)</f>
        <v>92</v>
      </c>
      <c r="M789" s="627" t="s">
        <v>46</v>
      </c>
    </row>
    <row r="790" spans="3:13" x14ac:dyDescent="0.35">
      <c r="C790" s="633" t="s">
        <v>2119</v>
      </c>
      <c r="D790" s="10"/>
      <c r="E790" s="10"/>
      <c r="F790" s="10"/>
      <c r="G790" s="10"/>
      <c r="H790" s="10"/>
      <c r="I790" s="10"/>
      <c r="J790" s="371"/>
      <c r="K790" s="6"/>
      <c r="L790" s="660">
        <f ca="1">ROUND(SUM($C$643:$C$648)*$C$640/60*($J$721),0)</f>
        <v>8</v>
      </c>
      <c r="M790" s="627" t="s">
        <v>46</v>
      </c>
    </row>
    <row r="792" spans="3:13" x14ac:dyDescent="0.35">
      <c r="C792" s="633" t="s">
        <v>629</v>
      </c>
      <c r="D792" s="646"/>
      <c r="E792" s="646"/>
      <c r="F792" s="646"/>
      <c r="G792" s="646"/>
      <c r="H792" s="646"/>
      <c r="I792" s="646"/>
      <c r="J792" s="646"/>
      <c r="K792" s="646"/>
      <c r="L792" s="626" t="s">
        <v>275</v>
      </c>
    </row>
    <row r="793" spans="3:13" x14ac:dyDescent="0.35">
      <c r="C793" s="633" t="s">
        <v>630</v>
      </c>
      <c r="D793" s="10"/>
      <c r="E793" s="10"/>
      <c r="F793" s="10"/>
      <c r="G793" s="10"/>
      <c r="H793" s="10"/>
      <c r="I793" s="10"/>
      <c r="J793" s="371"/>
      <c r="K793" s="6"/>
      <c r="L793" s="660">
        <f ca="1">G702*C640*(SUM(ENTRADAS!B252:B260))</f>
        <v>1261.4985590778097</v>
      </c>
      <c r="M793" s="627" t="s">
        <v>46</v>
      </c>
    </row>
    <row r="794" spans="3:13" x14ac:dyDescent="0.35">
      <c r="C794" s="633" t="s">
        <v>631</v>
      </c>
      <c r="D794" s="10"/>
      <c r="E794" s="10"/>
      <c r="F794" s="10"/>
      <c r="G794" s="10"/>
      <c r="H794" s="10"/>
      <c r="I794" s="10"/>
      <c r="J794" s="371"/>
      <c r="K794" s="6"/>
      <c r="L794" s="660">
        <f ca="1">G702*C640*(SUM(ENTRADAS!B252:B260))</f>
        <v>1261.4985590778097</v>
      </c>
      <c r="M794" s="627" t="s">
        <v>46</v>
      </c>
    </row>
    <row r="795" spans="3:13" x14ac:dyDescent="0.35">
      <c r="C795" s="633" t="s">
        <v>632</v>
      </c>
      <c r="D795" s="10"/>
      <c r="E795" s="10"/>
      <c r="F795" s="10"/>
      <c r="G795" s="10"/>
      <c r="H795" s="10"/>
      <c r="I795" s="10"/>
      <c r="J795" s="371"/>
      <c r="K795" s="6"/>
      <c r="L795" s="660">
        <f ca="1">G702*C640*(SUM(ENTRADAS!B252:B260))*2</f>
        <v>2522.9971181556193</v>
      </c>
      <c r="M795" s="627" t="s">
        <v>46</v>
      </c>
    </row>
    <row r="990" ht="14.25" customHeight="1" x14ac:dyDescent="0.35"/>
    <row r="991" ht="15" customHeight="1" x14ac:dyDescent="0.35"/>
    <row r="1012" ht="3" customHeight="1" x14ac:dyDescent="0.35"/>
    <row r="1039" ht="12.75" customHeight="1" x14ac:dyDescent="0.35"/>
    <row r="1040" ht="12.75" customHeight="1" x14ac:dyDescent="0.35"/>
    <row r="1052" ht="10.5" customHeight="1" x14ac:dyDescent="0.35"/>
    <row r="1069" ht="11.25" customHeight="1" x14ac:dyDescent="0.35"/>
    <row r="1077" ht="12.75" customHeight="1" x14ac:dyDescent="0.35"/>
  </sheetData>
  <sheetProtection algorithmName="SHA-512" hashValue="8HwDxlmOztayNPsWlt8ftKGj5DbBSVi0/vCVmV9OLkzhRfnc3J7vH9K1VKkg2LD6Xw+Ams0NCH50pi6d4sb7qA==" saltValue="//4jZJVhdtsVIzVaZ1E5OQ==" spinCount="100000" sheet="1" sort="0"/>
  <protectedRanges>
    <protectedRange sqref="L122" name="Intervalo10"/>
    <protectedRange sqref="M382" name="Intervalo8"/>
    <protectedRange sqref="L323" name="Intervalo5"/>
    <protectedRange sqref="C301 H301" name="Intervalo3"/>
    <protectedRange sqref="O223 O225" name="Intervalo2"/>
    <protectedRange sqref="O303 O305 O307 O309 O311" name="Intervalo4"/>
    <protectedRange sqref="M325:O325" name="Intervalo6"/>
    <protectedRange sqref="O330 O332" name="Intervalo7"/>
    <protectedRange sqref="O388 O391 O394" name="Intervalo9"/>
    <protectedRange sqref="F15" name="Intervalo12"/>
  </protectedRanges>
  <dataConsolidate/>
  <mergeCells count="302">
    <mergeCell ref="AB686:AC686"/>
    <mergeCell ref="AL279:AN279"/>
    <mergeCell ref="AF280:AG280"/>
    <mergeCell ref="AF281:AG281"/>
    <mergeCell ref="AF282:AG282"/>
    <mergeCell ref="AF283:AG283"/>
    <mergeCell ref="O497:O498"/>
    <mergeCell ref="O495:O496"/>
    <mergeCell ref="AF653:AG653"/>
    <mergeCell ref="AI647:AK647"/>
    <mergeCell ref="AI279:AK279"/>
    <mergeCell ref="O501:O502"/>
    <mergeCell ref="AL647:AN647"/>
    <mergeCell ref="T654:T657"/>
    <mergeCell ref="U654:U657"/>
    <mergeCell ref="AL636:AN636"/>
    <mergeCell ref="AI636:AK636"/>
    <mergeCell ref="AI618:AN618"/>
    <mergeCell ref="T349:T351"/>
    <mergeCell ref="W310:Y310"/>
    <mergeCell ref="Z277:AD277"/>
    <mergeCell ref="Z278:Z279"/>
    <mergeCell ref="AA278:AA279"/>
    <mergeCell ref="AB278:AB279"/>
    <mergeCell ref="AC278:AC279"/>
    <mergeCell ref="AD278:AD279"/>
    <mergeCell ref="AF649:AG649"/>
    <mergeCell ref="AF652:AG652"/>
    <mergeCell ref="Z645:AD645"/>
    <mergeCell ref="Z646:Z647"/>
    <mergeCell ref="AA646:AA647"/>
    <mergeCell ref="AB646:AB647"/>
    <mergeCell ref="AC646:AC647"/>
    <mergeCell ref="AD646:AD647"/>
    <mergeCell ref="AC602:AD602"/>
    <mergeCell ref="AF279:AH279"/>
    <mergeCell ref="Z608:AB608"/>
    <mergeCell ref="AF648:AG648"/>
    <mergeCell ref="Z609:AA609"/>
    <mergeCell ref="Z610:AA610"/>
    <mergeCell ref="AF619:AG619"/>
    <mergeCell ref="AF618:AH618"/>
    <mergeCell ref="AF647:AH647"/>
    <mergeCell ref="Z616:AD616"/>
    <mergeCell ref="F461:G461"/>
    <mergeCell ref="F462:G462"/>
    <mergeCell ref="N397:N398"/>
    <mergeCell ref="M325:N325"/>
    <mergeCell ref="M337:O337"/>
    <mergeCell ref="M350:N350"/>
    <mergeCell ref="M354:M359"/>
    <mergeCell ref="N503:N504"/>
    <mergeCell ref="M510:O511"/>
    <mergeCell ref="F441:G441"/>
    <mergeCell ref="F442:G442"/>
    <mergeCell ref="A1:D4"/>
    <mergeCell ref="M3:Q3"/>
    <mergeCell ref="M4:Q4"/>
    <mergeCell ref="N247:N275"/>
    <mergeCell ref="H121:I121"/>
    <mergeCell ref="D118:E118"/>
    <mergeCell ref="D111:E111"/>
    <mergeCell ref="D117:E117"/>
    <mergeCell ref="C115:I115"/>
    <mergeCell ref="D120:E120"/>
    <mergeCell ref="H119:I119"/>
    <mergeCell ref="F119:G119"/>
    <mergeCell ref="D119:E119"/>
    <mergeCell ref="F121:G121"/>
    <mergeCell ref="F120:G120"/>
    <mergeCell ref="F116:G116"/>
    <mergeCell ref="H116:I116"/>
    <mergeCell ref="F117:G117"/>
    <mergeCell ref="D96:E96"/>
    <mergeCell ref="D97:E97"/>
    <mergeCell ref="H99:I99"/>
    <mergeCell ref="F96:G96"/>
    <mergeCell ref="H120:I120"/>
    <mergeCell ref="F84:G84"/>
    <mergeCell ref="B489:B490"/>
    <mergeCell ref="N501:N502"/>
    <mergeCell ref="N497:N498"/>
    <mergeCell ref="N499:N500"/>
    <mergeCell ref="C460:E460"/>
    <mergeCell ref="B495:B496"/>
    <mergeCell ref="H462:I462"/>
    <mergeCell ref="B499:B500"/>
    <mergeCell ref="C499:C500"/>
    <mergeCell ref="F464:G464"/>
    <mergeCell ref="B487:B488"/>
    <mergeCell ref="H464:I464"/>
    <mergeCell ref="C489:C490"/>
    <mergeCell ref="B497:B498"/>
    <mergeCell ref="N495:N496"/>
    <mergeCell ref="C495:C496"/>
    <mergeCell ref="C497:C498"/>
    <mergeCell ref="H460:I460"/>
    <mergeCell ref="C487:C488"/>
    <mergeCell ref="H461:I461"/>
    <mergeCell ref="F463:G463"/>
    <mergeCell ref="N487:N488"/>
    <mergeCell ref="F460:G460"/>
    <mergeCell ref="H463:I463"/>
    <mergeCell ref="B503:B504"/>
    <mergeCell ref="B501:B502"/>
    <mergeCell ref="C501:C502"/>
    <mergeCell ref="C661:F661"/>
    <mergeCell ref="C539:I539"/>
    <mergeCell ref="J672:K672"/>
    <mergeCell ref="C748:I749"/>
    <mergeCell ref="C660:F660"/>
    <mergeCell ref="C556:K557"/>
    <mergeCell ref="C565:L565"/>
    <mergeCell ref="L508:L509"/>
    <mergeCell ref="C656:F657"/>
    <mergeCell ref="J539:K539"/>
    <mergeCell ref="J538:K538"/>
    <mergeCell ref="J740:K740"/>
    <mergeCell ref="L510:L511"/>
    <mergeCell ref="C547:I548"/>
    <mergeCell ref="C503:C504"/>
    <mergeCell ref="G609:H609"/>
    <mergeCell ref="G606:H606"/>
    <mergeCell ref="G607:H607"/>
    <mergeCell ref="C605:L605"/>
    <mergeCell ref="M663:N663"/>
    <mergeCell ref="C658:F658"/>
    <mergeCell ref="M661:N661"/>
    <mergeCell ref="M662:N662"/>
    <mergeCell ref="M659:N659"/>
    <mergeCell ref="C766:K766"/>
    <mergeCell ref="G675:H675"/>
    <mergeCell ref="G668:H668"/>
    <mergeCell ref="C662:F662"/>
    <mergeCell ref="M666:N666"/>
    <mergeCell ref="C663:F663"/>
    <mergeCell ref="C664:F664"/>
    <mergeCell ref="M665:N665"/>
    <mergeCell ref="M664:N664"/>
    <mergeCell ref="C740:I741"/>
    <mergeCell ref="C725:F726"/>
    <mergeCell ref="C729:F729"/>
    <mergeCell ref="C665:F665"/>
    <mergeCell ref="D734:E738"/>
    <mergeCell ref="C757:I758"/>
    <mergeCell ref="F112:G112"/>
    <mergeCell ref="F111:G111"/>
    <mergeCell ref="F109:G109"/>
    <mergeCell ref="F106:G106"/>
    <mergeCell ref="D106:E106"/>
    <mergeCell ref="D107:E107"/>
    <mergeCell ref="H107:I107"/>
    <mergeCell ref="F107:G107"/>
    <mergeCell ref="D109:E109"/>
    <mergeCell ref="H109:I109"/>
    <mergeCell ref="F98:G98"/>
    <mergeCell ref="H102:I102"/>
    <mergeCell ref="D94:E94"/>
    <mergeCell ref="F100:G100"/>
    <mergeCell ref="F99:G99"/>
    <mergeCell ref="C105:I105"/>
    <mergeCell ref="F108:G108"/>
    <mergeCell ref="D108:E108"/>
    <mergeCell ref="H100:I100"/>
    <mergeCell ref="D95:E95"/>
    <mergeCell ref="D99:E99"/>
    <mergeCell ref="H108:I108"/>
    <mergeCell ref="F95:G95"/>
    <mergeCell ref="D100:E100"/>
    <mergeCell ref="D116:E116"/>
    <mergeCell ref="H111:I111"/>
    <mergeCell ref="F440:G440"/>
    <mergeCell ref="C381:J381"/>
    <mergeCell ref="D125:E125"/>
    <mergeCell ref="F118:G118"/>
    <mergeCell ref="F125:G125"/>
    <mergeCell ref="F436:G436"/>
    <mergeCell ref="C338:J338"/>
    <mergeCell ref="H117:I117"/>
    <mergeCell ref="D121:E121"/>
    <mergeCell ref="F123:G123"/>
    <mergeCell ref="D122:E122"/>
    <mergeCell ref="H122:I122"/>
    <mergeCell ref="C361:J361"/>
    <mergeCell ref="C151:C152"/>
    <mergeCell ref="F129:G129"/>
    <mergeCell ref="H125:I125"/>
    <mergeCell ref="D124:E124"/>
    <mergeCell ref="F122:G122"/>
    <mergeCell ref="H118:I118"/>
    <mergeCell ref="C289:J289"/>
    <mergeCell ref="F124:G124"/>
    <mergeCell ref="H123:I123"/>
    <mergeCell ref="AX223:BA224"/>
    <mergeCell ref="BB223:BB224"/>
    <mergeCell ref="BC223:BC224"/>
    <mergeCell ref="M1:N1"/>
    <mergeCell ref="M2:N2"/>
    <mergeCell ref="AW223:AW224"/>
    <mergeCell ref="AW222:BF222"/>
    <mergeCell ref="AU223:AU224"/>
    <mergeCell ref="T191:V191"/>
    <mergeCell ref="AQ223:AT223"/>
    <mergeCell ref="AQ224:AT224"/>
    <mergeCell ref="O1:Q1"/>
    <mergeCell ref="O2:Q2"/>
    <mergeCell ref="E1:L2"/>
    <mergeCell ref="H112:I112"/>
    <mergeCell ref="H96:I96"/>
    <mergeCell ref="H97:I97"/>
    <mergeCell ref="F82:G82"/>
    <mergeCell ref="F83:G83"/>
    <mergeCell ref="F87:G87"/>
    <mergeCell ref="F3:L3"/>
    <mergeCell ref="F79:G79"/>
    <mergeCell ref="F81:G81"/>
    <mergeCell ref="F80:G80"/>
    <mergeCell ref="H110:I110"/>
    <mergeCell ref="F86:G86"/>
    <mergeCell ref="F4:L4"/>
    <mergeCell ref="H93:I93"/>
    <mergeCell ref="C93:G93"/>
    <mergeCell ref="D98:E98"/>
    <mergeCell ref="F97:G97"/>
    <mergeCell ref="H94:I94"/>
    <mergeCell ref="H106:I106"/>
    <mergeCell ref="H98:I98"/>
    <mergeCell ref="D112:E112"/>
    <mergeCell ref="F94:G94"/>
    <mergeCell ref="D110:E110"/>
    <mergeCell ref="D123:E123"/>
    <mergeCell ref="F127:I127"/>
    <mergeCell ref="M660:N660"/>
    <mergeCell ref="M657:N657"/>
    <mergeCell ref="M658:N658"/>
    <mergeCell ref="M656:N656"/>
    <mergeCell ref="M285:M286"/>
    <mergeCell ref="M352:N352"/>
    <mergeCell ref="M349:O349"/>
    <mergeCell ref="O499:O500"/>
    <mergeCell ref="C659:F659"/>
    <mergeCell ref="M374:M379"/>
    <mergeCell ref="C507:L507"/>
    <mergeCell ref="H124:I124"/>
    <mergeCell ref="D151:D152"/>
    <mergeCell ref="E151:G152"/>
    <mergeCell ref="L285:L286"/>
    <mergeCell ref="N407:N409"/>
    <mergeCell ref="C232:L232"/>
    <mergeCell ref="F439:G439"/>
    <mergeCell ref="C411:J411"/>
    <mergeCell ref="C368:J368"/>
    <mergeCell ref="F437:G437"/>
    <mergeCell ref="F435:G435"/>
    <mergeCell ref="D26:F26"/>
    <mergeCell ref="D27:F27"/>
    <mergeCell ref="F77:G77"/>
    <mergeCell ref="F78:G78"/>
    <mergeCell ref="F110:G110"/>
    <mergeCell ref="AF640:AG640"/>
    <mergeCell ref="Z635:Z636"/>
    <mergeCell ref="AA635:AA636"/>
    <mergeCell ref="AB635:AB636"/>
    <mergeCell ref="AC635:AC636"/>
    <mergeCell ref="AF637:AG637"/>
    <mergeCell ref="AF636:AH636"/>
    <mergeCell ref="Z634:AD634"/>
    <mergeCell ref="AF638:AG638"/>
    <mergeCell ref="AF639:AG639"/>
    <mergeCell ref="AD635:AD636"/>
    <mergeCell ref="AF621:AG621"/>
    <mergeCell ref="AF622:AG622"/>
    <mergeCell ref="AF623:AG623"/>
    <mergeCell ref="F128:G128"/>
    <mergeCell ref="H128:I128"/>
    <mergeCell ref="H129:I129"/>
    <mergeCell ref="F438:G438"/>
    <mergeCell ref="C396:L396"/>
    <mergeCell ref="AO618:AT618"/>
    <mergeCell ref="G608:H608"/>
    <mergeCell ref="AA617:AA618"/>
    <mergeCell ref="AB617:AB618"/>
    <mergeCell ref="AC617:AC618"/>
    <mergeCell ref="AD617:AD618"/>
    <mergeCell ref="Z617:Z618"/>
    <mergeCell ref="F126:G126"/>
    <mergeCell ref="H126:I126"/>
    <mergeCell ref="Z155:AA155"/>
    <mergeCell ref="AB155:AC155"/>
    <mergeCell ref="AD155:AE155"/>
    <mergeCell ref="AB220:AC220"/>
    <mergeCell ref="O503:O504"/>
    <mergeCell ref="N489:N490"/>
    <mergeCell ref="AC605:AE605"/>
    <mergeCell ref="AF605:AI605"/>
    <mergeCell ref="AF608:AI608"/>
    <mergeCell ref="AC608:AE608"/>
    <mergeCell ref="Z605:AB605"/>
    <mergeCell ref="Z606:AA606"/>
    <mergeCell ref="Z607:AA607"/>
    <mergeCell ref="F130:G130"/>
    <mergeCell ref="H130:I130"/>
  </mergeCells>
  <phoneticPr fontId="9" type="noConversion"/>
  <dataValidations disablePrompts="1" count="4">
    <dataValidation type="custom" allowBlank="1" showInputMessage="1" showErrorMessage="1" sqref="O327 O303 O309 O305 O307 O311 M325 O325" xr:uid="{00000000-0002-0000-0800-000000000000}">
      <formula1>IF(I303="x",1)</formula1>
    </dataValidation>
    <dataValidation type="list" allowBlank="1" showInputMessage="1" showErrorMessage="1" error="TEM QUE SER &quot;X&quot; " sqref="C301 H461:H464 F461:F464 L323 H301" xr:uid="{00000000-0002-0000-0800-000001000000}">
      <formula1>$BJ$8</formula1>
    </dataValidation>
    <dataValidation type="list" allowBlank="1" showInputMessage="1" showErrorMessage="1" error="valor não é válido !" sqref="D462" xr:uid="{00000000-0002-0000-0800-000002000000}">
      <formula1>$BJ$17:$BJ$22</formula1>
    </dataValidation>
    <dataValidation type="list" allowBlank="1" showInputMessage="1" showErrorMessage="1" error="valor não é válido !" sqref="D461" xr:uid="{00000000-0002-0000-0800-000003000000}">
      <formula1>$BJ$12:$BJ$17</formula1>
    </dataValidation>
  </dataValidations>
  <printOptions horizontalCentered="1"/>
  <pageMargins left="0.51181102362204722" right="0.51181102362204722" top="0.78740157480314965" bottom="0.78740157480314965" header="0.31496062992125984" footer="0.31496062992125984"/>
  <pageSetup paperSize="9" scale="72" orientation="portrait" r:id="rId1"/>
  <headerFooter>
    <oddFooter>&amp;R&amp;P&amp;N</oddFooter>
  </headerFooter>
  <rowBreaks count="9" manualBreakCount="9">
    <brk id="88" max="16" man="1"/>
    <brk id="169" max="16" man="1"/>
    <brk id="230" max="16" man="1"/>
    <brk id="333" max="16" man="1"/>
    <brk id="417" max="16" man="1"/>
    <brk id="505" max="16" man="1"/>
    <brk id="583" max="16" man="1"/>
    <brk id="666" max="16" man="1"/>
    <brk id="738" max="16" man="1"/>
  </rowBreaks>
  <colBreaks count="1" manualBreakCount="1">
    <brk id="22" max="1048575" man="1"/>
  </colBreaks>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ilha5"/>
  <dimension ref="A1:GD558"/>
  <sheetViews>
    <sheetView topLeftCell="BN71" zoomScaleNormal="100" workbookViewId="0">
      <selection activeCell="CB86" sqref="CB86"/>
    </sheetView>
  </sheetViews>
  <sheetFormatPr defaultRowHeight="12.75" x14ac:dyDescent="0.35"/>
  <cols>
    <col min="2" max="2" width="11.86328125" customWidth="1"/>
    <col min="3" max="3" width="13.59765625" customWidth="1"/>
    <col min="4" max="4" width="8.59765625" customWidth="1"/>
    <col min="7" max="7" width="19" customWidth="1"/>
    <col min="8" max="8" width="9.59765625" bestFit="1" customWidth="1"/>
    <col min="9" max="9" width="10.3984375" customWidth="1"/>
    <col min="10" max="10" width="14.86328125" customWidth="1"/>
    <col min="12" max="12" width="8.59765625" customWidth="1"/>
    <col min="16" max="16" width="10.86328125" customWidth="1"/>
    <col min="18" max="18" width="8.59765625" customWidth="1"/>
    <col min="25" max="25" width="12.3984375" customWidth="1"/>
    <col min="26" max="27" width="9.59765625" bestFit="1" customWidth="1"/>
    <col min="28" max="28" width="9.3984375" customWidth="1"/>
    <col min="29" max="30" width="9.3984375" bestFit="1" customWidth="1"/>
    <col min="31" max="35" width="12.3984375" customWidth="1"/>
    <col min="36" max="36" width="52.1328125" bestFit="1" customWidth="1"/>
    <col min="37" max="37" width="8.59765625" bestFit="1" customWidth="1"/>
    <col min="38" max="38" width="11.59765625" bestFit="1" customWidth="1"/>
    <col min="39" max="39" width="10.59765625" bestFit="1" customWidth="1"/>
    <col min="41" max="41" width="11.1328125" customWidth="1"/>
    <col min="42" max="42" width="11.3984375" customWidth="1"/>
    <col min="43" max="43" width="11.1328125" customWidth="1"/>
    <col min="44" max="44" width="14.1328125" customWidth="1"/>
    <col min="46" max="46" width="10.3984375" customWidth="1"/>
    <col min="56" max="56" width="10.86328125" customWidth="1"/>
    <col min="57" max="57" width="11.86328125" customWidth="1"/>
    <col min="58" max="58" width="12.59765625" customWidth="1"/>
    <col min="72" max="72" width="12.59765625" bestFit="1" customWidth="1"/>
    <col min="73" max="73" width="11.59765625" bestFit="1" customWidth="1"/>
    <col min="74" max="74" width="10.59765625" bestFit="1" customWidth="1"/>
    <col min="75" max="75" width="12.59765625" bestFit="1" customWidth="1"/>
    <col min="76" max="76" width="10.59765625" bestFit="1" customWidth="1"/>
    <col min="77" max="77" width="11.59765625" customWidth="1"/>
    <col min="78" max="78" width="13.59765625" customWidth="1"/>
    <col min="79" max="79" width="13.3984375" customWidth="1"/>
    <col min="80" max="80" width="11" customWidth="1"/>
    <col min="81" max="87" width="8.59765625" customWidth="1"/>
    <col min="93" max="93" width="9.1328125" customWidth="1"/>
  </cols>
  <sheetData>
    <row r="1" spans="2:84" x14ac:dyDescent="0.35">
      <c r="AJ1" t="s">
        <v>10</v>
      </c>
      <c r="BS1" t="s">
        <v>2120</v>
      </c>
      <c r="BW1" s="4">
        <f>IF(E3=0,0,ENTRADAS!F938)</f>
        <v>0.05</v>
      </c>
      <c r="BX1" t="s">
        <v>20</v>
      </c>
      <c r="BZ1" t="s">
        <v>2121</v>
      </c>
      <c r="CE1" s="7">
        <f>ENTRADAS!H918</f>
        <v>0</v>
      </c>
      <c r="CF1" t="s">
        <v>130</v>
      </c>
    </row>
    <row r="2" spans="2:84" x14ac:dyDescent="0.35">
      <c r="B2" s="627" t="s">
        <v>2122</v>
      </c>
      <c r="E2" t="str">
        <f>'TABELA SC-10 e 14'!A2</f>
        <v>SC10</v>
      </c>
      <c r="G2" s="635" t="s">
        <v>2123</v>
      </c>
      <c r="I2">
        <f>IF(E2="SC10",0.245,IF(E2="SC14",0.3,IF(E2="SC6",0.19,0)))</f>
        <v>0.245</v>
      </c>
      <c r="J2" s="627" t="s">
        <v>20</v>
      </c>
      <c r="BS2" t="s">
        <v>2124</v>
      </c>
      <c r="BW2">
        <f>D40+D46</f>
        <v>0.5</v>
      </c>
      <c r="BX2" t="s">
        <v>20</v>
      </c>
      <c r="BZ2" t="s">
        <v>2125</v>
      </c>
      <c r="CE2" s="7">
        <f>ENTRADAS!H919</f>
        <v>0</v>
      </c>
      <c r="CF2" t="s">
        <v>130</v>
      </c>
    </row>
    <row r="3" spans="2:84" x14ac:dyDescent="0.35">
      <c r="B3" s="627" t="s">
        <v>2126</v>
      </c>
      <c r="E3" s="7">
        <f>ENTRADAS!F22</f>
        <v>4</v>
      </c>
      <c r="F3" t="s">
        <v>46</v>
      </c>
      <c r="BS3" t="s">
        <v>2127</v>
      </c>
      <c r="BW3">
        <v>0.1</v>
      </c>
      <c r="BX3" t="s">
        <v>20</v>
      </c>
    </row>
    <row r="4" spans="2:84" x14ac:dyDescent="0.35">
      <c r="B4" t="s">
        <v>2128</v>
      </c>
      <c r="E4" s="7">
        <f>IF(ENTRADAS!D912="x",CÁLCULOS!G44+CÁLCULOS!G46+CÁLCULOS!G50,0)</f>
        <v>0</v>
      </c>
      <c r="F4" t="s">
        <v>46</v>
      </c>
      <c r="AJ4" s="627" t="s">
        <v>2129</v>
      </c>
      <c r="AK4">
        <f>IF(ENTRADAS!D912=0,0,PI()*AL9^2)</f>
        <v>0</v>
      </c>
      <c r="BS4" t="s">
        <v>2130</v>
      </c>
      <c r="BW4">
        <v>4.4000000000000004</v>
      </c>
      <c r="BX4" t="s">
        <v>20</v>
      </c>
    </row>
    <row r="5" spans="2:84" x14ac:dyDescent="0.35">
      <c r="B5" t="s">
        <v>2131</v>
      </c>
      <c r="E5" s="387">
        <f ca="1">IF(TODAY()&gt;=ENTRADAS!A1,"XXXX",IF(ENTRADAS!D912="x",ENTRADAS!G26,0))</f>
        <v>0</v>
      </c>
      <c r="F5" t="s">
        <v>20</v>
      </c>
      <c r="G5" s="1337" t="s">
        <v>2132</v>
      </c>
      <c r="H5" s="1337"/>
      <c r="I5" s="1337"/>
      <c r="K5" s="13" t="s">
        <v>2133</v>
      </c>
      <c r="L5" s="14"/>
      <c r="M5" s="14"/>
      <c r="N5" s="14"/>
      <c r="O5" s="14"/>
      <c r="P5" s="15"/>
      <c r="AJ5" s="32" t="s">
        <v>2134</v>
      </c>
      <c r="AK5" s="32"/>
      <c r="AL5" s="32"/>
      <c r="AM5" s="32"/>
      <c r="BS5" t="s">
        <v>2135</v>
      </c>
      <c r="BW5">
        <v>2.5</v>
      </c>
      <c r="BX5" t="s">
        <v>20</v>
      </c>
      <c r="BZ5" s="627" t="s">
        <v>2136</v>
      </c>
    </row>
    <row r="6" spans="2:84" x14ac:dyDescent="0.35">
      <c r="B6" t="s">
        <v>2137</v>
      </c>
      <c r="E6" s="7">
        <f ca="1">IF(TODAY()&gt;=ENTRADAS!A1,"XXXX",IF(ENTRADAS!D912="x",ENTRADAS!E15,0))</f>
        <v>0</v>
      </c>
      <c r="F6" t="s">
        <v>20</v>
      </c>
      <c r="G6" s="1337" t="s">
        <v>2138</v>
      </c>
      <c r="H6" s="1337"/>
      <c r="I6" s="32">
        <v>9</v>
      </c>
      <c r="K6" s="20" t="s">
        <v>2139</v>
      </c>
      <c r="M6" t="s">
        <v>2140</v>
      </c>
      <c r="O6" s="4">
        <f>8+0.02</f>
        <v>8.02</v>
      </c>
      <c r="P6" s="16"/>
      <c r="AJ6" s="32" t="s">
        <v>2141</v>
      </c>
      <c r="AK6" s="32"/>
      <c r="AL6" s="32">
        <f>IF(E2="SC6",'TABELA SC-10 e 14'!D13,IF(E2="SC10",'TABELA SC-10 e 14'!B12,IF(E2="SC14",'TABELA SC-10 e 14'!C12,0)))</f>
        <v>13.962338215041621</v>
      </c>
      <c r="AM6" s="32"/>
      <c r="AO6" s="638" t="s">
        <v>841</v>
      </c>
      <c r="BS6" t="s">
        <v>2142</v>
      </c>
      <c r="BW6">
        <v>0.35</v>
      </c>
    </row>
    <row r="7" spans="2:84" x14ac:dyDescent="0.35">
      <c r="B7" t="s">
        <v>2143</v>
      </c>
      <c r="E7" s="7">
        <f>IF(ENTRADAS!D912="x",ENTRADAS!F921,0)</f>
        <v>0</v>
      </c>
      <c r="F7" t="s">
        <v>130</v>
      </c>
      <c r="G7" s="1337" t="s">
        <v>2144</v>
      </c>
      <c r="H7" s="1337"/>
      <c r="I7" s="627" t="s">
        <v>2145</v>
      </c>
      <c r="K7" s="20" t="str">
        <f>IF(E9&gt;8.02,"Sim","Não")</f>
        <v>Não</v>
      </c>
      <c r="L7">
        <f>IF(E9&gt;O6,10,100)</f>
        <v>100</v>
      </c>
      <c r="P7" s="16"/>
      <c r="AJ7" s="32" t="s">
        <v>2146</v>
      </c>
      <c r="AK7" s="32"/>
      <c r="AL7" s="32">
        <f ca="1">IF(E6=0,0,IF((AK26*2)&lt;=AL6,0,ROUNDUP(AK26/E9,0)))</f>
        <v>0</v>
      </c>
      <c r="AM7" s="32"/>
      <c r="AO7" s="386">
        <f ca="1">IF(AK26*2&lt;=AL6,0,AL7-1)</f>
        <v>0</v>
      </c>
      <c r="BS7" s="627" t="s">
        <v>2147</v>
      </c>
      <c r="BU7">
        <v>0.5</v>
      </c>
      <c r="BW7">
        <f ca="1">AK35</f>
        <v>0.5</v>
      </c>
      <c r="BX7" s="9">
        <f>IF(AND(ENTRADAS!G60="X",LAJES!E4=22),0.52,0.5)</f>
        <v>0.5</v>
      </c>
      <c r="BY7" s="629" t="s">
        <v>841</v>
      </c>
    </row>
    <row r="8" spans="2:84" x14ac:dyDescent="0.35">
      <c r="B8" t="s">
        <v>2148</v>
      </c>
      <c r="E8" s="7">
        <f>IF(ENTRADAS!D912="x",ENTRADAS!F922,0)</f>
        <v>0</v>
      </c>
      <c r="F8" t="s">
        <v>20</v>
      </c>
      <c r="K8" s="20" t="s">
        <v>2149</v>
      </c>
      <c r="O8">
        <v>0.7</v>
      </c>
      <c r="P8" s="16" t="s">
        <v>20</v>
      </c>
      <c r="AJ8" s="32" t="s">
        <v>2150</v>
      </c>
      <c r="AK8" s="32"/>
      <c r="AL8" s="32">
        <f ca="1">IF(OR(AK40&gt;0,AK42=300),AL7+1,IF(AK26*2&lt;=AL6,0,AL7-1))</f>
        <v>0</v>
      </c>
      <c r="AM8" s="32"/>
      <c r="AQ8" s="32" t="s">
        <v>2151</v>
      </c>
      <c r="AR8" s="32" t="s">
        <v>2152</v>
      </c>
      <c r="AV8" s="32">
        <f t="shared" ref="AV8:AV17" ca="1" si="0">IF($AL$7=AQ10,1,0)</f>
        <v>0</v>
      </c>
      <c r="AW8" s="32">
        <f t="shared" ref="AW8:AW16" ca="1" si="1">IF($AL$7=AQ11,1,0)</f>
        <v>0</v>
      </c>
      <c r="AX8" s="32">
        <f t="shared" ref="AX8:AX15" ca="1" si="2">IF($AL$7=AQ12,1,0)</f>
        <v>0</v>
      </c>
      <c r="AY8" s="32">
        <f t="shared" ref="AY8:AY14" ca="1" si="3">IF($AL$7=AQ13,1,0)</f>
        <v>0</v>
      </c>
      <c r="AZ8" s="32">
        <f t="shared" ref="AZ8:AZ13" ca="1" si="4">IF($AL$7=AQ14,1,0)</f>
        <v>0</v>
      </c>
      <c r="BA8" s="32">
        <f ca="1">IF($AL$7=AQ15,1,0)</f>
        <v>0</v>
      </c>
      <c r="BB8" s="32">
        <f ca="1">IF($AL$7=AQ16,1,0)</f>
        <v>0</v>
      </c>
      <c r="BC8" s="32">
        <f ca="1">IF($AL$7=AQ17,1,0)</f>
        <v>0</v>
      </c>
      <c r="BD8" s="32">
        <f ca="1">IF($AL$7=AQ18,1,0)</f>
        <v>0</v>
      </c>
      <c r="BE8" s="32">
        <f ca="1">IF($AL$7=AQ19,1,0)</f>
        <v>0</v>
      </c>
      <c r="BF8" s="32">
        <f t="shared" ref="BF8:BK8" ca="1" si="5">IF($AL$7=BE8,1,0)</f>
        <v>1</v>
      </c>
      <c r="BG8" s="32">
        <f t="shared" ca="1" si="5"/>
        <v>0</v>
      </c>
      <c r="BH8" s="32">
        <f t="shared" ca="1" si="5"/>
        <v>1</v>
      </c>
      <c r="BI8" s="32">
        <f t="shared" ca="1" si="5"/>
        <v>0</v>
      </c>
      <c r="BJ8" s="32">
        <f t="shared" ca="1" si="5"/>
        <v>1</v>
      </c>
      <c r="BK8" s="32">
        <f t="shared" ca="1" si="5"/>
        <v>0</v>
      </c>
      <c r="BO8" t="s">
        <v>35</v>
      </c>
      <c r="BS8" t="s">
        <v>2153</v>
      </c>
      <c r="BW8">
        <f ca="1">IF(AM9=0,AL9,AM9)</f>
        <v>0.35</v>
      </c>
    </row>
    <row r="9" spans="2:84" x14ac:dyDescent="0.35">
      <c r="B9" t="s">
        <v>2154</v>
      </c>
      <c r="E9" s="7">
        <f>IF(ENTRADAS!D912="x",IF(AND(OR(E2="SC10",E2="SC14"),OR(E4=26,E4=27)),I6,ENTRADAS!F923),0)</f>
        <v>0</v>
      </c>
      <c r="F9" t="s">
        <v>20</v>
      </c>
      <c r="K9" s="18" t="s">
        <v>2155</v>
      </c>
      <c r="L9" s="3"/>
      <c r="M9" s="3"/>
      <c r="N9" s="3"/>
      <c r="O9" s="3">
        <v>3</v>
      </c>
      <c r="P9" s="17" t="s">
        <v>2156</v>
      </c>
      <c r="AJ9" s="32" t="s">
        <v>2157</v>
      </c>
      <c r="AK9" s="32"/>
      <c r="AL9" s="531">
        <f ca="1">AK26</f>
        <v>0.35</v>
      </c>
      <c r="AM9" s="531">
        <f ca="1">AL9</f>
        <v>0.35</v>
      </c>
      <c r="AQ9" s="32">
        <v>11</v>
      </c>
      <c r="AR9" s="32">
        <f ca="1">IF($AL$7=AQ9,$AL$7-1,0)</f>
        <v>0</v>
      </c>
      <c r="AV9" s="32">
        <f t="shared" ca="1" si="0"/>
        <v>0</v>
      </c>
      <c r="AW9" s="32">
        <f t="shared" ca="1" si="1"/>
        <v>0</v>
      </c>
      <c r="AX9" s="32">
        <f t="shared" ca="1" si="2"/>
        <v>0</v>
      </c>
      <c r="AY9" s="32">
        <f t="shared" ca="1" si="3"/>
        <v>0</v>
      </c>
      <c r="AZ9" s="32">
        <f t="shared" ca="1" si="4"/>
        <v>0</v>
      </c>
      <c r="BA9" s="32">
        <f ca="1">IF($AL$7=AQ16,1,0)</f>
        <v>0</v>
      </c>
      <c r="BB9" s="32">
        <f ca="1">IF($AL$7=AQ17,1,0)</f>
        <v>0</v>
      </c>
      <c r="BC9" s="32">
        <f ca="1">IF($AL$7=AQ18,1,0)</f>
        <v>0</v>
      </c>
      <c r="BD9" s="32">
        <f ca="1">IF($AL$7=AQ19,1,0)</f>
        <v>0</v>
      </c>
      <c r="BS9" t="s">
        <v>2158</v>
      </c>
      <c r="BW9">
        <f ca="1">AL10</f>
        <v>0.35</v>
      </c>
    </row>
    <row r="10" spans="2:84" ht="12.75" customHeight="1" x14ac:dyDescent="0.35">
      <c r="K10" s="2051" t="s">
        <v>2159</v>
      </c>
      <c r="L10" s="2051"/>
      <c r="M10" s="2074" t="s">
        <v>2160</v>
      </c>
      <c r="N10" s="2074" t="s">
        <v>2161</v>
      </c>
      <c r="O10" s="2074" t="s">
        <v>2162</v>
      </c>
      <c r="P10" s="2070" t="s">
        <v>2163</v>
      </c>
      <c r="AJ10" s="32" t="s">
        <v>2164</v>
      </c>
      <c r="AK10" s="32"/>
      <c r="AL10" s="32">
        <f ca="1">IF(AM10&lt;=0,0,AM10)</f>
        <v>0.35</v>
      </c>
      <c r="AM10" s="32">
        <f ca="1">IF(AK42=300,AK37,IF(AK37&gt;0,AM9-((AL7-1)*E9)-AK37,AM9-((AL7-1)*E9)))</f>
        <v>0.35</v>
      </c>
      <c r="AQ10" s="32">
        <v>10</v>
      </c>
      <c r="AR10" s="32">
        <f t="shared" ref="AR10:AR19" ca="1" si="6">IF($AL$7=AQ10,$AL$7-1,0)</f>
        <v>0</v>
      </c>
      <c r="AV10" s="32">
        <f t="shared" ca="1" si="0"/>
        <v>0</v>
      </c>
      <c r="AW10" s="32">
        <f t="shared" ca="1" si="1"/>
        <v>0</v>
      </c>
      <c r="AX10" s="32">
        <f t="shared" ca="1" si="2"/>
        <v>0</v>
      </c>
      <c r="AY10" s="32">
        <f t="shared" ca="1" si="3"/>
        <v>0</v>
      </c>
      <c r="AZ10" s="32">
        <f t="shared" ca="1" si="4"/>
        <v>0</v>
      </c>
      <c r="BA10" s="32">
        <f ca="1">IF($AL$7=AQ17,1,0)</f>
        <v>0</v>
      </c>
      <c r="BB10" s="32">
        <f ca="1">IF($AL$7=AQ18,1,0)</f>
        <v>0</v>
      </c>
      <c r="BC10" s="32">
        <f ca="1">IF($AL$7=AQ19,1,0)</f>
        <v>0</v>
      </c>
      <c r="BS10" t="s">
        <v>2165</v>
      </c>
      <c r="BW10">
        <f ca="1">AL20</f>
        <v>0</v>
      </c>
      <c r="BX10">
        <f>IF(ENTRADAS!D912=0,0,2*PI()*BW8/E4)</f>
        <v>0</v>
      </c>
      <c r="BZ10" s="636" t="s">
        <v>2166</v>
      </c>
      <c r="CA10" s="14"/>
      <c r="CB10" s="14"/>
      <c r="CC10" s="15"/>
    </row>
    <row r="11" spans="2:84" x14ac:dyDescent="0.35">
      <c r="B11" t="s">
        <v>649</v>
      </c>
      <c r="K11" s="2051"/>
      <c r="L11" s="2051"/>
      <c r="M11" s="2074"/>
      <c r="N11" s="2074"/>
      <c r="O11" s="2074"/>
      <c r="P11" s="2070"/>
      <c r="AJ11" s="32" t="s">
        <v>2167</v>
      </c>
      <c r="AK11" s="32"/>
      <c r="AL11" s="32">
        <f ca="1">IF(AL10=0,0,(AL8*AM9)-E9*((IF(BD30=0,0,AL7-BD30)+(IF(BD29=0,0,AL7-BD29))+(IF(BD28=0,0,AL7-BD28))+(IF(BD27=0,0,AL7-BD27))+(IF(BD26=0,0,AL7-BD26))+(IF(BD25=0,0,AL7-BD25))+(IF(BD24=0,0,AL7-BD24))+(IF(BD23=0,0,AL7-BD23))+(IF(BD22=0,0,AL7-BD22))+(IF(BD21=0,0,(AL7-BD21))))))</f>
        <v>0</v>
      </c>
      <c r="AM11" s="32"/>
      <c r="AQ11" s="32">
        <v>9</v>
      </c>
      <c r="AR11" s="32">
        <f t="shared" ca="1" si="6"/>
        <v>0</v>
      </c>
      <c r="AV11" s="32">
        <f t="shared" ca="1" si="0"/>
        <v>0</v>
      </c>
      <c r="AW11" s="32">
        <f t="shared" ca="1" si="1"/>
        <v>0</v>
      </c>
      <c r="AX11" s="32">
        <f t="shared" ca="1" si="2"/>
        <v>0</v>
      </c>
      <c r="AY11" s="32">
        <f t="shared" ca="1" si="3"/>
        <v>0</v>
      </c>
      <c r="AZ11" s="32">
        <f t="shared" ca="1" si="4"/>
        <v>0</v>
      </c>
      <c r="BA11" s="32">
        <f ca="1">IF($AL$7=AQ18,1,0)</f>
        <v>0</v>
      </c>
      <c r="BB11" s="32">
        <f ca="1">IF($AL$7=AQ19,1,0)</f>
        <v>0</v>
      </c>
      <c r="BS11" t="s">
        <v>2150</v>
      </c>
      <c r="BW11">
        <f ca="1">IF(AND(E2="SC10",E4=34),AL8-1,AL8)</f>
        <v>0</v>
      </c>
      <c r="BZ11" s="20"/>
      <c r="CA11" s="627" t="s">
        <v>2168</v>
      </c>
      <c r="CB11">
        <v>0.3</v>
      </c>
      <c r="CC11" s="719" t="s">
        <v>20</v>
      </c>
    </row>
    <row r="12" spans="2:84" x14ac:dyDescent="0.35">
      <c r="B12" t="s">
        <v>2169</v>
      </c>
      <c r="D12" s="7">
        <f ca="1">(CP167+CQ167)*E3</f>
        <v>0</v>
      </c>
      <c r="E12" t="s">
        <v>46</v>
      </c>
      <c r="F12" s="32"/>
      <c r="K12" s="2051"/>
      <c r="L12" s="2051"/>
      <c r="M12" s="2074"/>
      <c r="N12" s="2074"/>
      <c r="O12" s="2074"/>
      <c r="P12" s="2070"/>
      <c r="AJ12" s="32" t="s">
        <v>2170</v>
      </c>
      <c r="AK12" s="32"/>
      <c r="AL12" s="533">
        <f ca="1">IF(AM26&lt;=(E9-BW6),0,2*PI()*AL11)</f>
        <v>0</v>
      </c>
      <c r="AM12" s="32"/>
      <c r="AQ12" s="32">
        <v>8</v>
      </c>
      <c r="AR12" s="32">
        <f t="shared" ca="1" si="6"/>
        <v>0</v>
      </c>
      <c r="AV12" s="32">
        <f t="shared" ca="1" si="0"/>
        <v>0</v>
      </c>
      <c r="AW12" s="32">
        <f t="shared" ca="1" si="1"/>
        <v>0</v>
      </c>
      <c r="AX12" s="32">
        <f t="shared" ca="1" si="2"/>
        <v>0</v>
      </c>
      <c r="AY12" s="32">
        <f t="shared" ca="1" si="3"/>
        <v>0</v>
      </c>
      <c r="AZ12" s="32">
        <f t="shared" ca="1" si="4"/>
        <v>0</v>
      </c>
      <c r="BA12" s="32">
        <f ca="1">IF($AL$7=AQ19,1,0)</f>
        <v>0</v>
      </c>
      <c r="BS12" t="s">
        <v>2171</v>
      </c>
      <c r="BW12">
        <f>'TABELA SC-10 e 14'!O2/2+0.35</f>
        <v>51.114445789025027</v>
      </c>
      <c r="BZ12" s="20"/>
      <c r="CA12" s="627" t="s">
        <v>2172</v>
      </c>
      <c r="CB12">
        <v>0.2</v>
      </c>
      <c r="CC12" s="719" t="s">
        <v>20</v>
      </c>
    </row>
    <row r="13" spans="2:84" x14ac:dyDescent="0.35">
      <c r="B13" t="s">
        <v>651</v>
      </c>
      <c r="K13" s="32">
        <v>1</v>
      </c>
      <c r="L13" s="7">
        <f>IF($L$7=10,IF(BU71&gt;=$O$6,BU71,0),0)</f>
        <v>0</v>
      </c>
      <c r="M13" s="32">
        <f>IF(L13=0,0,BT71)</f>
        <v>0</v>
      </c>
      <c r="N13" s="32">
        <f t="shared" ref="N13:N28" si="7">IF(L13=0,0,L13+2*$O$8)</f>
        <v>0</v>
      </c>
      <c r="O13" s="7">
        <f>IF(L13=0,0,$O$9*N13*M13)</f>
        <v>0</v>
      </c>
      <c r="P13" s="32">
        <f>IF(L13=0,0,$O$9*2*M13)</f>
        <v>0</v>
      </c>
      <c r="AJ13" s="32"/>
      <c r="AK13" s="32"/>
      <c r="AL13" s="32"/>
      <c r="AM13" s="32"/>
      <c r="AQ13" s="32">
        <v>7</v>
      </c>
      <c r="AR13" s="32">
        <f t="shared" ca="1" si="6"/>
        <v>0</v>
      </c>
      <c r="AV13" s="32">
        <f t="shared" ca="1" si="0"/>
        <v>0</v>
      </c>
      <c r="AW13" s="32">
        <f t="shared" ca="1" si="1"/>
        <v>0</v>
      </c>
      <c r="AX13" s="32">
        <f t="shared" ca="1" si="2"/>
        <v>0</v>
      </c>
      <c r="AY13" s="32">
        <f t="shared" ca="1" si="3"/>
        <v>0</v>
      </c>
      <c r="AZ13" s="32">
        <f t="shared" ca="1" si="4"/>
        <v>0</v>
      </c>
      <c r="BS13" t="s">
        <v>2173</v>
      </c>
      <c r="BW13">
        <v>15</v>
      </c>
      <c r="BZ13" s="20"/>
      <c r="CA13" s="627" t="s">
        <v>2174</v>
      </c>
      <c r="CB13">
        <v>1.4</v>
      </c>
      <c r="CC13" s="719" t="s">
        <v>20</v>
      </c>
    </row>
    <row r="14" spans="2:84" x14ac:dyDescent="0.35">
      <c r="C14" t="s">
        <v>653</v>
      </c>
      <c r="D14" s="32">
        <f>ENTRADAS!F930</f>
        <v>0.5</v>
      </c>
      <c r="E14" t="s">
        <v>20</v>
      </c>
      <c r="F14" s="32"/>
      <c r="K14" s="32">
        <v>2</v>
      </c>
      <c r="L14" s="7">
        <f t="shared" ref="L14:L28" si="8">IF($L$7=10,IF(BU72&gt;=$O$6,BU72,0),0)</f>
        <v>0</v>
      </c>
      <c r="M14" s="32">
        <f t="shared" ref="M14:M28" si="9">IF(L14=0,0,BT72)</f>
        <v>0</v>
      </c>
      <c r="N14" s="32">
        <f t="shared" si="7"/>
        <v>0</v>
      </c>
      <c r="O14" s="7">
        <f t="shared" ref="O14:O28" si="10">IF(L14=0,0,$O$9*N14*M14)</f>
        <v>0</v>
      </c>
      <c r="P14" s="32">
        <f t="shared" ref="P14:P28" si="11">IF(L14=0,0,$O$9*2*M14)</f>
        <v>0</v>
      </c>
      <c r="AJ14" s="32"/>
      <c r="AK14" s="32"/>
      <c r="AL14" s="32"/>
      <c r="AM14" s="32"/>
      <c r="AQ14" s="32">
        <v>6</v>
      </c>
      <c r="AR14" s="32">
        <f t="shared" ca="1" si="6"/>
        <v>0</v>
      </c>
      <c r="AV14" s="32">
        <f t="shared" ca="1" si="0"/>
        <v>0</v>
      </c>
      <c r="AW14" s="32">
        <f t="shared" ca="1" si="1"/>
        <v>0</v>
      </c>
      <c r="AX14" s="32">
        <f t="shared" ca="1" si="2"/>
        <v>0</v>
      </c>
      <c r="AY14" s="32">
        <f t="shared" ca="1" si="3"/>
        <v>0</v>
      </c>
      <c r="BS14" t="s">
        <v>2154</v>
      </c>
      <c r="BW14" s="4">
        <f>E9</f>
        <v>0</v>
      </c>
      <c r="BZ14" s="18"/>
      <c r="CA14" s="749" t="s">
        <v>2175</v>
      </c>
      <c r="CB14" s="3">
        <v>1.4</v>
      </c>
      <c r="CC14" s="748" t="s">
        <v>20</v>
      </c>
    </row>
    <row r="15" spans="2:84" x14ac:dyDescent="0.35">
      <c r="C15" t="s">
        <v>656</v>
      </c>
      <c r="D15" s="32">
        <f>ENTRADAS!F931</f>
        <v>0.5</v>
      </c>
      <c r="E15" t="s">
        <v>20</v>
      </c>
      <c r="F15" s="32"/>
      <c r="K15" s="32">
        <v>3</v>
      </c>
      <c r="L15" s="7">
        <f t="shared" si="8"/>
        <v>0</v>
      </c>
      <c r="M15" s="32">
        <f t="shared" si="9"/>
        <v>0</v>
      </c>
      <c r="N15" s="32">
        <f t="shared" si="7"/>
        <v>0</v>
      </c>
      <c r="O15" s="7">
        <f t="shared" si="10"/>
        <v>0</v>
      </c>
      <c r="P15" s="32">
        <f t="shared" si="11"/>
        <v>0</v>
      </c>
      <c r="AJ15" s="32"/>
      <c r="AK15" s="32"/>
      <c r="AL15" s="32"/>
      <c r="AM15" s="32"/>
      <c r="AQ15" s="32">
        <v>5</v>
      </c>
      <c r="AR15" s="32">
        <f t="shared" ca="1" si="6"/>
        <v>0</v>
      </c>
      <c r="AV15" s="32">
        <f t="shared" ca="1" si="0"/>
        <v>0</v>
      </c>
      <c r="AW15" s="32">
        <f t="shared" ca="1" si="1"/>
        <v>0</v>
      </c>
      <c r="AX15" s="32">
        <f t="shared" ca="1" si="2"/>
        <v>0</v>
      </c>
      <c r="BS15" t="s">
        <v>2176</v>
      </c>
      <c r="BW15">
        <f>AL19</f>
        <v>0</v>
      </c>
    </row>
    <row r="16" spans="2:84" ht="12.75" customHeight="1" x14ac:dyDescent="0.35">
      <c r="C16" t="s">
        <v>2177</v>
      </c>
      <c r="D16" s="7">
        <f ca="1">DA167</f>
        <v>0</v>
      </c>
      <c r="E16" t="s">
        <v>20</v>
      </c>
      <c r="F16" s="32"/>
      <c r="K16" s="32">
        <v>4</v>
      </c>
      <c r="L16" s="7">
        <f t="shared" si="8"/>
        <v>0</v>
      </c>
      <c r="M16" s="32">
        <f t="shared" si="9"/>
        <v>0</v>
      </c>
      <c r="N16" s="32">
        <f t="shared" si="7"/>
        <v>0</v>
      </c>
      <c r="O16" s="7">
        <f t="shared" si="10"/>
        <v>0</v>
      </c>
      <c r="P16" s="32">
        <f t="shared" si="11"/>
        <v>0</v>
      </c>
      <c r="AJ16" s="32" t="s">
        <v>2178</v>
      </c>
      <c r="AK16" s="32"/>
      <c r="AL16" s="32"/>
      <c r="AM16" s="32"/>
      <c r="AQ16" s="32">
        <v>4</v>
      </c>
      <c r="AR16" s="32">
        <f t="shared" ca="1" si="6"/>
        <v>0</v>
      </c>
      <c r="AV16" s="32">
        <f t="shared" ca="1" si="0"/>
        <v>0</v>
      </c>
      <c r="AW16" s="32">
        <f t="shared" ca="1" si="1"/>
        <v>0</v>
      </c>
      <c r="BS16" s="627" t="s">
        <v>2179</v>
      </c>
      <c r="BW16">
        <f>IF(E3=0,0,ENTRADAS!F969/2)</f>
        <v>2.5000000000000001E-3</v>
      </c>
      <c r="BX16" s="627" t="s">
        <v>20</v>
      </c>
      <c r="BY16" s="37"/>
    </row>
    <row r="17" spans="2:85" ht="12.75" customHeight="1" x14ac:dyDescent="0.35">
      <c r="C17" t="s">
        <v>658</v>
      </c>
      <c r="D17" s="32">
        <f>ENTRADAS!F932</f>
        <v>100</v>
      </c>
      <c r="E17" t="s">
        <v>132</v>
      </c>
      <c r="F17" s="32"/>
      <c r="K17" s="32">
        <v>5</v>
      </c>
      <c r="L17" s="7">
        <f t="shared" si="8"/>
        <v>0</v>
      </c>
      <c r="M17" s="32">
        <f t="shared" si="9"/>
        <v>0</v>
      </c>
      <c r="N17" s="32">
        <f t="shared" si="7"/>
        <v>0</v>
      </c>
      <c r="O17" s="7">
        <f t="shared" si="10"/>
        <v>0</v>
      </c>
      <c r="P17" s="32">
        <f t="shared" si="11"/>
        <v>0</v>
      </c>
      <c r="AJ17" s="32" t="s">
        <v>2180</v>
      </c>
      <c r="AK17" s="32"/>
      <c r="AL17" s="32">
        <f ca="1">IF(AK42=300,IF(CR125=3,3,ROUND(4+(AL12/E8),0)),IF(E8=0,0,IF(AK26-BW7&lt;=E9,1,IF(CR125=3,3,ROUND(1+(AL12/E8),0)))))</f>
        <v>0</v>
      </c>
      <c r="AM17" s="32"/>
      <c r="AQ17" s="32">
        <v>3</v>
      </c>
      <c r="AR17" s="32">
        <f ca="1">IF($AL$7=AQ17,$AL$7-1,0)</f>
        <v>0</v>
      </c>
      <c r="AV17" s="32">
        <f t="shared" ca="1" si="0"/>
        <v>0</v>
      </c>
      <c r="BS17" s="627" t="s">
        <v>2181</v>
      </c>
      <c r="BV17">
        <f>IF(E3=0,0,ENTRADAS!F972)</f>
        <v>0.01</v>
      </c>
      <c r="BW17">
        <f>BV17/2</f>
        <v>5.0000000000000001E-3</v>
      </c>
      <c r="BX17" s="627" t="s">
        <v>20</v>
      </c>
    </row>
    <row r="18" spans="2:85" x14ac:dyDescent="0.35">
      <c r="B18" t="s">
        <v>660</v>
      </c>
      <c r="K18" s="32">
        <v>6</v>
      </c>
      <c r="L18" s="7">
        <f t="shared" si="8"/>
        <v>0</v>
      </c>
      <c r="M18" s="32">
        <f t="shared" si="9"/>
        <v>0</v>
      </c>
      <c r="N18" s="32">
        <f t="shared" si="7"/>
        <v>0</v>
      </c>
      <c r="O18" s="7">
        <f t="shared" si="10"/>
        <v>0</v>
      </c>
      <c r="P18" s="32">
        <f t="shared" si="11"/>
        <v>0</v>
      </c>
      <c r="AJ18" s="32"/>
      <c r="AK18" s="32"/>
      <c r="AL18" s="32"/>
      <c r="AM18" s="32"/>
      <c r="AQ18" s="32">
        <v>2</v>
      </c>
      <c r="AR18" s="32">
        <f t="shared" ca="1" si="6"/>
        <v>0</v>
      </c>
      <c r="BS18" s="627" t="s">
        <v>2182</v>
      </c>
      <c r="BV18">
        <v>2.15</v>
      </c>
      <c r="BW18">
        <f>IF(E3=0,0,ENTRADAS!F975/2-0.245)</f>
        <v>2.1549999999999998</v>
      </c>
      <c r="BX18" t="s">
        <v>2183</v>
      </c>
    </row>
    <row r="19" spans="2:85" x14ac:dyDescent="0.35">
      <c r="C19" t="s">
        <v>662</v>
      </c>
      <c r="D19" s="32">
        <f>ENTRADAS!F934</f>
        <v>0.25</v>
      </c>
      <c r="E19" t="s">
        <v>20</v>
      </c>
      <c r="F19" s="32"/>
      <c r="K19" s="32">
        <v>7</v>
      </c>
      <c r="L19" s="7">
        <f t="shared" si="8"/>
        <v>0</v>
      </c>
      <c r="M19" s="32">
        <f t="shared" si="9"/>
        <v>0</v>
      </c>
      <c r="N19" s="32">
        <f t="shared" si="7"/>
        <v>0</v>
      </c>
      <c r="O19" s="7">
        <f t="shared" si="10"/>
        <v>0</v>
      </c>
      <c r="P19" s="32">
        <f t="shared" si="11"/>
        <v>0</v>
      </c>
      <c r="AJ19" s="32" t="s">
        <v>2184</v>
      </c>
      <c r="AK19" s="32"/>
      <c r="AL19" s="32">
        <f>E4</f>
        <v>0</v>
      </c>
      <c r="AM19" s="32"/>
      <c r="AQ19" s="32">
        <v>1</v>
      </c>
      <c r="AR19" s="32">
        <f t="shared" ca="1" si="6"/>
        <v>0</v>
      </c>
    </row>
    <row r="20" spans="2:85" ht="12.75" customHeight="1" x14ac:dyDescent="0.35">
      <c r="C20" t="s">
        <v>664</v>
      </c>
      <c r="D20" s="32">
        <f>ENTRADAS!F935</f>
        <v>0.25</v>
      </c>
      <c r="E20" t="s">
        <v>20</v>
      </c>
      <c r="F20" s="32"/>
      <c r="K20" s="32">
        <v>8</v>
      </c>
      <c r="L20" s="7">
        <f t="shared" si="8"/>
        <v>0</v>
      </c>
      <c r="M20" s="32">
        <f t="shared" si="9"/>
        <v>0</v>
      </c>
      <c r="N20" s="32">
        <f t="shared" si="7"/>
        <v>0</v>
      </c>
      <c r="O20" s="7">
        <f t="shared" si="10"/>
        <v>0</v>
      </c>
      <c r="P20" s="32">
        <f t="shared" si="11"/>
        <v>0</v>
      </c>
      <c r="AJ20" s="32" t="s">
        <v>2185</v>
      </c>
      <c r="AK20" s="32"/>
      <c r="AL20" s="32">
        <f ca="1">IF(E6=0,0,AL9*TAN(PI()*360/(AL19*2)/180)*2)</f>
        <v>0</v>
      </c>
      <c r="AM20" s="32"/>
      <c r="AR20" s="18">
        <f ca="1">SUM(AR9:AR19)</f>
        <v>0</v>
      </c>
      <c r="AS20" s="32">
        <f ca="1">IF($AQ$9=$AL$7,$AR$20,0)</f>
        <v>0</v>
      </c>
      <c r="AT20" s="32">
        <f ca="1">IF($AQ$10=$AL$7,$AR$20,0)</f>
        <v>0</v>
      </c>
      <c r="AU20" s="32">
        <f ca="1">IF($AQ$11=$AL$7,$AR$20,0)</f>
        <v>0</v>
      </c>
      <c r="AV20" s="32">
        <f ca="1">IF($AQ$12=$AL$7,$AR$20,0)</f>
        <v>0</v>
      </c>
      <c r="AW20" s="32">
        <f ca="1">IF($AQ$13=$AL$7,$AR$20,0)</f>
        <v>0</v>
      </c>
      <c r="AX20" s="32">
        <f ca="1">IF($AQ$14=$AL$7,$AR$20,0)</f>
        <v>0</v>
      </c>
      <c r="AY20" s="32">
        <f ca="1">IF($AQ$15=$AL$7,$AR$20,0)</f>
        <v>0</v>
      </c>
      <c r="AZ20" s="32">
        <f ca="1">IF($AQ$16=$AL$7,$AR$20,0)</f>
        <v>0</v>
      </c>
      <c r="BA20" s="32">
        <f ca="1">IF($AQ$17=$AL$7,$AR$20,0)</f>
        <v>0</v>
      </c>
      <c r="BB20" s="32">
        <f ca="1">IF($AQ$18=$AL$7,$AR$20,0)</f>
        <v>0</v>
      </c>
      <c r="BC20" s="32">
        <f ca="1">IF($AQ$19=$AL$7,$AR$20,0)</f>
        <v>0</v>
      </c>
      <c r="BS20" s="2123" t="s">
        <v>2186</v>
      </c>
      <c r="BT20" s="2123" t="s">
        <v>2187</v>
      </c>
      <c r="BU20" s="2123" t="s">
        <v>2188</v>
      </c>
      <c r="BV20" s="2123" t="s">
        <v>2189</v>
      </c>
      <c r="BW20" s="2123" t="s">
        <v>2190</v>
      </c>
      <c r="BX20" s="2123" t="s">
        <v>2191</v>
      </c>
      <c r="BY20" s="2123" t="s">
        <v>2192</v>
      </c>
      <c r="BZ20" s="2123" t="s">
        <v>2193</v>
      </c>
      <c r="CA20" s="2123" t="s">
        <v>2194</v>
      </c>
      <c r="CB20" s="2123" t="s">
        <v>2195</v>
      </c>
      <c r="CC20" s="2123" t="s">
        <v>2188</v>
      </c>
      <c r="CD20" s="2123" t="s">
        <v>2196</v>
      </c>
      <c r="CF20" s="4"/>
      <c r="CG20" s="4"/>
    </row>
    <row r="21" spans="2:85" x14ac:dyDescent="0.35">
      <c r="C21" t="s">
        <v>666</v>
      </c>
      <c r="D21" s="32">
        <f>ENTRADAS!F936</f>
        <v>0.25</v>
      </c>
      <c r="E21" t="s">
        <v>20</v>
      </c>
      <c r="F21" s="32"/>
      <c r="K21" s="32">
        <v>9</v>
      </c>
      <c r="L21" s="7">
        <f t="shared" si="8"/>
        <v>0</v>
      </c>
      <c r="M21" s="32">
        <f t="shared" si="9"/>
        <v>0</v>
      </c>
      <c r="N21" s="32">
        <f t="shared" si="7"/>
        <v>0</v>
      </c>
      <c r="O21" s="7">
        <f t="shared" si="10"/>
        <v>0</v>
      </c>
      <c r="P21" s="32">
        <f t="shared" si="11"/>
        <v>0</v>
      </c>
      <c r="AS21" s="32">
        <f ca="1">IF($AQ$9=$AL$7,$AS$20-AQ11,0)</f>
        <v>0</v>
      </c>
      <c r="AT21" s="32">
        <f t="shared" ref="AT21:AT29" ca="1" si="12">IF($AQ$10=$AL$7,$AR$20-AQ12,0)</f>
        <v>0</v>
      </c>
      <c r="AU21" s="32">
        <f t="shared" ref="AU21:AU28" ca="1" si="13">IF($AQ$11=$AL$7,$AR$20-AQ13,0)</f>
        <v>0</v>
      </c>
      <c r="AV21" s="32">
        <f t="shared" ref="AV21:AV27" ca="1" si="14">IF($AQ$12=$AL$7,$AR$20-1,0)</f>
        <v>0</v>
      </c>
      <c r="AW21" s="32">
        <f t="shared" ref="AW21:AW26" ca="1" si="15">IF($AQ$13=$AL$7,$AR$20-1,0)</f>
        <v>0</v>
      </c>
      <c r="AX21" s="32">
        <f ca="1">IF($AQ$14=$AL$7,$AR$20-1,0)</f>
        <v>0</v>
      </c>
      <c r="AY21" s="32">
        <f ca="1">IF($AQ$15=$AL$7,$AR$20-1,0)</f>
        <v>0</v>
      </c>
      <c r="AZ21" s="32">
        <f ca="1">IF($AQ$16=$AL$7,$AR$20-AQ18,0)</f>
        <v>0</v>
      </c>
      <c r="BA21" s="32">
        <f ca="1">IF($AQ$17=$AL$7,$AR$20-AQ19,0)</f>
        <v>0</v>
      </c>
      <c r="BB21" s="32">
        <f ca="1">IF($AQ$18=$AL$7,$AR$20-AQ20,0)</f>
        <v>0</v>
      </c>
      <c r="BC21" s="32"/>
      <c r="BD21" s="32">
        <f ca="1">SUM(AS21:BC21)</f>
        <v>0</v>
      </c>
      <c r="BS21" s="2123"/>
      <c r="BT21" s="2123"/>
      <c r="BU21" s="2123"/>
      <c r="BV21" s="2123"/>
      <c r="BW21" s="2123"/>
      <c r="BX21" s="2123"/>
      <c r="BY21" s="2123"/>
      <c r="BZ21" s="2123"/>
      <c r="CA21" s="2123"/>
      <c r="CB21" s="2123"/>
      <c r="CC21" s="2123"/>
      <c r="CD21" s="2123"/>
      <c r="CF21" s="433" t="s">
        <v>2197</v>
      </c>
    </row>
    <row r="22" spans="2:85" x14ac:dyDescent="0.35">
      <c r="C22" t="s">
        <v>658</v>
      </c>
      <c r="D22" s="32">
        <f>D17</f>
        <v>100</v>
      </c>
      <c r="E22" t="s">
        <v>132</v>
      </c>
      <c r="F22" s="32"/>
      <c r="K22" s="32">
        <v>10</v>
      </c>
      <c r="L22" s="7">
        <f t="shared" si="8"/>
        <v>0</v>
      </c>
      <c r="M22" s="32">
        <f t="shared" si="9"/>
        <v>0</v>
      </c>
      <c r="N22" s="32">
        <f t="shared" si="7"/>
        <v>0</v>
      </c>
      <c r="O22" s="7">
        <f t="shared" si="10"/>
        <v>0</v>
      </c>
      <c r="P22" s="32">
        <f t="shared" si="11"/>
        <v>0</v>
      </c>
      <c r="AS22" s="32">
        <f t="shared" ref="AS22:AS30" ca="1" si="16">IF($AQ$9=$AL$7,$AS$20-AQ12,0)</f>
        <v>0</v>
      </c>
      <c r="AT22" s="32">
        <f t="shared" ca="1" si="12"/>
        <v>0</v>
      </c>
      <c r="AU22" s="32">
        <f t="shared" ca="1" si="13"/>
        <v>0</v>
      </c>
      <c r="AV22" s="32">
        <f t="shared" ca="1" si="14"/>
        <v>0</v>
      </c>
      <c r="AW22" s="32">
        <f t="shared" ca="1" si="15"/>
        <v>0</v>
      </c>
      <c r="AX22" s="32">
        <f ca="1">IF($AQ$14=$AL$7,$AR$20-1,0)</f>
        <v>0</v>
      </c>
      <c r="AY22" s="32">
        <f ca="1">IF($AQ$15=$AL$7,$AR$20-1,0)</f>
        <v>0</v>
      </c>
      <c r="AZ22" s="32">
        <f ca="1">IF($AQ$16=$AL$7,$AR$20-AQ19,0)</f>
        <v>0</v>
      </c>
      <c r="BA22" s="32">
        <f ca="1">IF($AQ$17=$AL$7,$AR$20-AQ20,0)</f>
        <v>0</v>
      </c>
      <c r="BB22" s="32"/>
      <c r="BC22" s="32"/>
      <c r="BD22" s="32">
        <f t="shared" ref="BD22:BD29" ca="1" si="17">SUM(AS22:BC22)</f>
        <v>0</v>
      </c>
      <c r="BS22" s="2123"/>
      <c r="BT22" s="2123"/>
      <c r="BU22" s="2123"/>
      <c r="BV22" s="2123"/>
      <c r="BW22" s="2123"/>
      <c r="BX22" s="2123"/>
      <c r="BY22" s="2123"/>
      <c r="BZ22" s="2123"/>
      <c r="CA22" s="2123"/>
      <c r="CB22" s="2123"/>
      <c r="CC22" s="2123"/>
      <c r="CD22" s="2123"/>
      <c r="CF22" s="386">
        <v>91</v>
      </c>
    </row>
    <row r="23" spans="2:85" ht="12.75" customHeight="1" x14ac:dyDescent="0.35">
      <c r="B23" t="s">
        <v>2198</v>
      </c>
      <c r="K23" s="32">
        <v>11</v>
      </c>
      <c r="L23" s="7">
        <f t="shared" si="8"/>
        <v>0</v>
      </c>
      <c r="M23" s="32">
        <f t="shared" si="9"/>
        <v>0</v>
      </c>
      <c r="N23" s="32">
        <f t="shared" si="7"/>
        <v>0</v>
      </c>
      <c r="O23" s="7">
        <f t="shared" si="10"/>
        <v>0</v>
      </c>
      <c r="P23" s="32">
        <f t="shared" si="11"/>
        <v>0</v>
      </c>
      <c r="AK23" s="32" t="s">
        <v>2199</v>
      </c>
      <c r="AL23" s="32" t="s">
        <v>2200</v>
      </c>
      <c r="AM23" s="32" t="s">
        <v>2201</v>
      </c>
      <c r="AS23" s="32">
        <f t="shared" ca="1" si="16"/>
        <v>0</v>
      </c>
      <c r="AT23" s="32">
        <f t="shared" ca="1" si="12"/>
        <v>0</v>
      </c>
      <c r="AU23" s="32">
        <f t="shared" ca="1" si="13"/>
        <v>0</v>
      </c>
      <c r="AV23" s="32">
        <f t="shared" ca="1" si="14"/>
        <v>0</v>
      </c>
      <c r="AW23" s="32">
        <f t="shared" ca="1" si="15"/>
        <v>0</v>
      </c>
      <c r="AX23" s="32">
        <f ca="1">IF($AQ$14=$AL$7,$AR$20-1,0)</f>
        <v>0</v>
      </c>
      <c r="AY23" s="32">
        <f ca="1">IF($AQ$15=$AL$7,$AR$20-1,0)</f>
        <v>0</v>
      </c>
      <c r="AZ23" s="32">
        <f ca="1">IF($AQ$16=$AL$7,$AR$20-AQ20,0)</f>
        <v>0</v>
      </c>
      <c r="BA23" s="32"/>
      <c r="BB23" s="32"/>
      <c r="BC23" s="32"/>
      <c r="BD23" s="32">
        <f t="shared" ca="1" si="17"/>
        <v>0</v>
      </c>
      <c r="BS23" s="2120"/>
      <c r="BT23" s="2123"/>
      <c r="BU23" s="2123"/>
      <c r="BV23" s="2123"/>
      <c r="BW23" s="2123"/>
      <c r="BX23" s="2123"/>
      <c r="BY23" s="2123"/>
      <c r="BZ23" s="2123"/>
      <c r="CA23" s="2123"/>
      <c r="CB23" s="2123"/>
      <c r="CC23" s="2123"/>
      <c r="CD23" s="2123"/>
    </row>
    <row r="24" spans="2:85" x14ac:dyDescent="0.35">
      <c r="C24" t="s">
        <v>2202</v>
      </c>
      <c r="D24" s="32">
        <v>1.5</v>
      </c>
      <c r="E24" t="s">
        <v>20</v>
      </c>
      <c r="F24" s="32"/>
      <c r="K24" s="32">
        <v>12</v>
      </c>
      <c r="L24" s="7">
        <f t="shared" si="8"/>
        <v>0</v>
      </c>
      <c r="M24" s="32">
        <f t="shared" si="9"/>
        <v>0</v>
      </c>
      <c r="N24" s="32">
        <f t="shared" si="7"/>
        <v>0</v>
      </c>
      <c r="O24" s="7">
        <f t="shared" si="10"/>
        <v>0</v>
      </c>
      <c r="P24" s="32">
        <f t="shared" si="11"/>
        <v>0</v>
      </c>
      <c r="AJ24" s="32" t="s">
        <v>2203</v>
      </c>
      <c r="AK24" s="32">
        <f ca="1">(E5+2*BW6)/2</f>
        <v>0.35</v>
      </c>
      <c r="AL24" s="32">
        <f>BW6</f>
        <v>0.35</v>
      </c>
      <c r="AM24" s="32">
        <f ca="1">AK24-AL24</f>
        <v>0</v>
      </c>
      <c r="AS24" s="32">
        <f t="shared" ca="1" si="16"/>
        <v>0</v>
      </c>
      <c r="AT24" s="32">
        <f t="shared" ca="1" si="12"/>
        <v>0</v>
      </c>
      <c r="AU24" s="32">
        <f t="shared" ca="1" si="13"/>
        <v>0</v>
      </c>
      <c r="AV24" s="32">
        <f t="shared" ca="1" si="14"/>
        <v>0</v>
      </c>
      <c r="AW24" s="32">
        <f t="shared" ca="1" si="15"/>
        <v>0</v>
      </c>
      <c r="AX24" s="32">
        <f ca="1">IF($AQ$14=$AL$7,$AR$20-1,0)</f>
        <v>0</v>
      </c>
      <c r="AY24" s="32">
        <f ca="1">IF($AQ$15=$AL$7,$AR$20-1,0)</f>
        <v>0</v>
      </c>
      <c r="AZ24" s="32"/>
      <c r="BA24" s="32"/>
      <c r="BB24" s="32"/>
      <c r="BC24" s="32"/>
      <c r="BD24" s="32">
        <f t="shared" ca="1" si="17"/>
        <v>0</v>
      </c>
      <c r="BR24" s="2138" t="s">
        <v>2204</v>
      </c>
      <c r="BS24" s="2138"/>
      <c r="BT24" s="470">
        <f>BW15</f>
        <v>0</v>
      </c>
      <c r="BU24" s="586">
        <f ca="1">CD24</f>
        <v>0.35</v>
      </c>
      <c r="BV24" s="470">
        <f>IF(BT24=0,0,2*PI()*BW8/BT24-(2*$BW$16))</f>
        <v>0</v>
      </c>
      <c r="BW24" s="470">
        <f>IF(BT24=0,0,ROUNDUP(360/BT24,0))</f>
        <v>0</v>
      </c>
      <c r="BX24" s="470">
        <f>BW24*PI()/180</f>
        <v>0</v>
      </c>
      <c r="BY24" s="7">
        <f>IF(BT24=0,0,BU24-($D$42-($D$42-$D$43)/2))</f>
        <v>0</v>
      </c>
      <c r="BZ24" s="7">
        <f>IF(BT24=0,0,2*PI()*BY24/BT24-(2*$BW$16))</f>
        <v>0</v>
      </c>
      <c r="CA24" s="7">
        <f>BV24+BZ24/2</f>
        <v>0</v>
      </c>
      <c r="CB24" s="32">
        <f>IF(BT24=0,0,IF(BU24=$BV$18,(360/BT24)/2,(360/BT24)))</f>
        <v>0</v>
      </c>
      <c r="CC24" s="470">
        <f ca="1">BW8</f>
        <v>0.35</v>
      </c>
      <c r="CD24" s="470">
        <f ca="1">CC24</f>
        <v>0.35</v>
      </c>
      <c r="CE24" t="s">
        <v>2205</v>
      </c>
    </row>
    <row r="25" spans="2:85" ht="12.75" customHeight="1" x14ac:dyDescent="0.35">
      <c r="C25" t="s">
        <v>2168</v>
      </c>
      <c r="D25" s="32">
        <v>0.4</v>
      </c>
      <c r="E25" t="s">
        <v>20</v>
      </c>
      <c r="F25" s="32"/>
      <c r="K25" s="32">
        <v>13</v>
      </c>
      <c r="L25" s="7">
        <f t="shared" si="8"/>
        <v>0</v>
      </c>
      <c r="M25" s="32">
        <f t="shared" si="9"/>
        <v>0</v>
      </c>
      <c r="N25" s="32">
        <f t="shared" si="7"/>
        <v>0</v>
      </c>
      <c r="O25" s="7">
        <f t="shared" si="10"/>
        <v>0</v>
      </c>
      <c r="P25" s="32">
        <f t="shared" si="11"/>
        <v>0</v>
      </c>
      <c r="AJ25" s="32" t="s">
        <v>2206</v>
      </c>
      <c r="AK25" s="32">
        <f ca="1">((E5+2*BW6)*E7/100)/2</f>
        <v>0</v>
      </c>
      <c r="AL25" s="32">
        <f>(AL24*E7/100)</f>
        <v>0</v>
      </c>
      <c r="AM25" s="32"/>
      <c r="AS25" s="32">
        <f t="shared" ca="1" si="16"/>
        <v>0</v>
      </c>
      <c r="AT25" s="32">
        <f t="shared" ca="1" si="12"/>
        <v>0</v>
      </c>
      <c r="AU25" s="32">
        <f t="shared" ca="1" si="13"/>
        <v>0</v>
      </c>
      <c r="AV25" s="32">
        <f t="shared" ca="1" si="14"/>
        <v>0</v>
      </c>
      <c r="AW25" s="32">
        <f t="shared" ca="1" si="15"/>
        <v>0</v>
      </c>
      <c r="AX25" s="32">
        <f ca="1">IF($AQ$14=$AL$7,$AR$20-1,0)</f>
        <v>0</v>
      </c>
      <c r="AY25" s="32"/>
      <c r="AZ25" s="32"/>
      <c r="BA25" s="32"/>
      <c r="BB25" s="32"/>
      <c r="BC25" s="32"/>
      <c r="BD25" s="32">
        <f t="shared" ca="1" si="17"/>
        <v>0</v>
      </c>
      <c r="BP25">
        <f ca="1">IF($BW$11&gt;$BS$39,0,IF(BU25=$BW$18,1,IF(BS25&gt;$BW$11,0,ROUNDDOWN(2*PI()*BU25/$BW$10,0))))</f>
        <v>0</v>
      </c>
      <c r="BR25" s="2051" t="s">
        <v>2207</v>
      </c>
      <c r="BS25" s="32">
        <v>1</v>
      </c>
      <c r="BT25" s="7">
        <f ca="1">IF(BT24=1,0,IF($BW$11&gt;$BS$39,0,IF(BU25=$BV$18,1,IF(BS25&gt;$BW$11,0,ROUNDDOWN(2*PI()*BU25/$BW$10,0)))))</f>
        <v>0</v>
      </c>
      <c r="BU25" s="387">
        <f ca="1">IF(CE25=$AK$47,$AK$47,CD25)</f>
        <v>0</v>
      </c>
      <c r="BV25" s="7">
        <f ca="1">IF(BT25=0,0,2*PI()*BU25/BT25-(2*$BW$16))</f>
        <v>0</v>
      </c>
      <c r="BW25" s="7">
        <f t="shared" ref="BW25:BW39" ca="1" si="18">IF(BT25=0,0,ROUNDUP(360/BV25,0))</f>
        <v>0</v>
      </c>
      <c r="BX25" s="7">
        <f t="shared" ref="BX25:BX39" ca="1" si="19">BW25*PI()/180</f>
        <v>0</v>
      </c>
      <c r="BY25" s="7">
        <f ca="1">IF(BT25=0,0,BU25-($D$42-($D$42-$D$43)/2))</f>
        <v>0</v>
      </c>
      <c r="BZ25" s="7">
        <f ca="1">IF(BT25=0,0,2*PI()*BY25/BT25-(2*$BW$16))</f>
        <v>0</v>
      </c>
      <c r="CA25" s="7">
        <f t="shared" ref="CA25:CA39" ca="1" si="20">BV25+BZ25/2</f>
        <v>0</v>
      </c>
      <c r="CB25" s="32">
        <f t="shared" ref="CB25:CB39" ca="1" si="21">IF(BT25=0,0,IF(BU25=$BV$18,(360/BT25)/2,(360/BT25)))</f>
        <v>0</v>
      </c>
      <c r="CC25" s="32">
        <f ca="1">IF(CC24&lt;0,0,IF(BS25&gt;$BW$11,0,$BW$8-BS25*($BW$14+2*$BW$17)))</f>
        <v>0</v>
      </c>
      <c r="CD25" s="709">
        <f ca="1">IF(CC25=0,0,IF($E$4&gt;=34,CF25,IF(AND(CC25&lt;=$BW$18,$AK$40=1000,OR($E$2&lt;&gt;"SC10",$E$2&lt;&gt;"SC14"),$E$4&lt;&gt;34),0,IF(AND(CC25&lt;=$BW$18,$AK$40=1000,$E$2&lt;&gt;"SC6",$E$4&lt;&gt;36),0,IF(CC25&lt;=$BW$18,$BW$18-$BW$17,CC25)))))</f>
        <v>0</v>
      </c>
      <c r="CE25">
        <f ca="1">IF(AND(CD25&gt;$BW$18-$BW$17,CD25&lt;$AK$47),$AK$47,0)</f>
        <v>0</v>
      </c>
      <c r="CF25">
        <f ca="1">IF(CC25=0,0,IF(AND($E$4=$CF$22,CC25&lt;=$BW$18,CC25&gt;=0),$BW$18-$BW$17,IF(AND(CC25&lt;=$BW$18,$AK$40=1000,OR($E$2&lt;&gt;"SC10",$E$2&lt;&gt;"SC14"),$E$4&lt;&gt;34),0,IF(CC25&lt;=$BW$18,$BW$18-$BW$17,CC25))))</f>
        <v>0</v>
      </c>
    </row>
    <row r="26" spans="2:85" x14ac:dyDescent="0.35">
      <c r="C26" t="s">
        <v>658</v>
      </c>
      <c r="D26" s="32">
        <v>100</v>
      </c>
      <c r="E26" t="s">
        <v>132</v>
      </c>
      <c r="F26" s="32"/>
      <c r="K26" s="32">
        <v>14</v>
      </c>
      <c r="L26" s="7">
        <f t="shared" si="8"/>
        <v>0</v>
      </c>
      <c r="M26" s="32">
        <f t="shared" si="9"/>
        <v>0</v>
      </c>
      <c r="N26" s="32">
        <f t="shared" si="7"/>
        <v>0</v>
      </c>
      <c r="O26" s="7">
        <f t="shared" si="10"/>
        <v>0</v>
      </c>
      <c r="P26" s="32">
        <f t="shared" si="11"/>
        <v>0</v>
      </c>
      <c r="AJ26" s="32" t="s">
        <v>2208</v>
      </c>
      <c r="AK26" s="32">
        <f ca="1">SQRT(AK24^2+AK25^2)</f>
        <v>0.35</v>
      </c>
      <c r="AL26" s="32">
        <f>SQRT(AL24^2+AL25^2)</f>
        <v>0.35</v>
      </c>
      <c r="AM26" s="32">
        <f ca="1">AK26-AL26</f>
        <v>0</v>
      </c>
      <c r="AS26" s="32">
        <f t="shared" ca="1" si="16"/>
        <v>0</v>
      </c>
      <c r="AT26" s="32">
        <f t="shared" ca="1" si="12"/>
        <v>0</v>
      </c>
      <c r="AU26" s="32">
        <f t="shared" ca="1" si="13"/>
        <v>0</v>
      </c>
      <c r="AV26" s="32">
        <f t="shared" ca="1" si="14"/>
        <v>0</v>
      </c>
      <c r="AW26" s="32">
        <f t="shared" ca="1" si="15"/>
        <v>0</v>
      </c>
      <c r="AX26" s="32"/>
      <c r="AY26" s="32"/>
      <c r="AZ26" s="32"/>
      <c r="BA26" s="32"/>
      <c r="BB26" s="32"/>
      <c r="BC26" s="32"/>
      <c r="BD26" s="32">
        <f t="shared" ca="1" si="17"/>
        <v>0</v>
      </c>
      <c r="BP26">
        <f ca="1">IF($BW$11&gt;$BS$39,0,IF(BU26=$BW$18,1,IF(BS26&gt;$BW$11,0,ROUNDDOWN(2*PI()*BU26/$BW$10,0))))</f>
        <v>0</v>
      </c>
      <c r="BR26" s="2051"/>
      <c r="BS26" s="32">
        <v>2</v>
      </c>
      <c r="BT26" s="7">
        <f t="shared" ref="BT26:BT39" ca="1" si="22">IF(BT25=1,0,IF($BW$11&gt;$BS$39,0,IF(BU26=$BV$18,1,IF(BS26&gt;$BW$11,0,ROUNDDOWN(2*PI()*BU26/$BW$10,0)))))</f>
        <v>0</v>
      </c>
      <c r="BU26" s="387">
        <f t="shared" ref="BU26:BU39" ca="1" si="23">IF(CE26=$AK$47,$AK$47,CD26)</f>
        <v>0</v>
      </c>
      <c r="BV26" s="7">
        <f ca="1">IF(BT26=0,0,2*PI()*BU26/BT26-(2*$BW$16))</f>
        <v>0</v>
      </c>
      <c r="BW26" s="7">
        <f t="shared" ca="1" si="18"/>
        <v>0</v>
      </c>
      <c r="BX26" s="7">
        <f t="shared" ca="1" si="19"/>
        <v>0</v>
      </c>
      <c r="BY26" s="7">
        <f t="shared" ref="BY26:BY38" ca="1" si="24">IF(BT26=0,0,BU26-($D$42-($D$42-$D$43)/2))</f>
        <v>0</v>
      </c>
      <c r="BZ26" s="7">
        <f t="shared" ref="BZ26:BZ39" ca="1" si="25">IF(BT26=0,0,2*PI()*BY26/BT26-(2*$BW$16))</f>
        <v>0</v>
      </c>
      <c r="CA26" s="7">
        <f t="shared" ca="1" si="20"/>
        <v>0</v>
      </c>
      <c r="CB26" s="32">
        <f t="shared" ca="1" si="21"/>
        <v>0</v>
      </c>
      <c r="CC26" s="32">
        <f ca="1">IF(CC25&lt;0,0,IF(BS26&gt;$BW$11,0,$BW$8-BS26*($BW$14+2*$BW$17)))</f>
        <v>0</v>
      </c>
      <c r="CD26" s="709">
        <f ca="1">IF(CC26=0,0,IF($E$4&gt;=34,CF26,IF(AND(CC26&lt;=$BW$18,$AK$40=1000,OR($E$2&lt;&gt;"SC10",$E$2&lt;&gt;"SC14"),$E$4&lt;&gt;34),0,IF(AND(CC26&lt;=$BW$18,$AK$40=1000,$E$2&lt;&gt;"SC6",$E$4&lt;&gt;36),0,IF(CC26&lt;=$BW$18,$BW$18-$BW$17,CC26)))))</f>
        <v>0</v>
      </c>
      <c r="CE26">
        <f t="shared" ref="CE26:CE39" ca="1" si="26">IF(AND(CD26&gt;$BW$18-$BW$17,CD26&lt;$AK$47),$AK$47,0)</f>
        <v>0</v>
      </c>
      <c r="CF26">
        <f t="shared" ref="CF26:CF39" ca="1" si="27">IF(CC26=0,0,IF(AND($E$4=$CF$22,CC26&lt;=$BW$18,CC26&gt;=0),$BW$18-$BW$17,IF(AND(CC26&lt;=$BW$18,$AK$40=1000,OR($E$2&lt;&gt;"SC10",$E$2&lt;&gt;"SC14"),$E$4&lt;&gt;34),0,IF(CC26&lt;=$BW$18,$BW$18-$BW$17,CC26))))</f>
        <v>0</v>
      </c>
    </row>
    <row r="27" spans="2:85" x14ac:dyDescent="0.35">
      <c r="K27" s="32">
        <v>15</v>
      </c>
      <c r="L27" s="7">
        <f t="shared" si="8"/>
        <v>0</v>
      </c>
      <c r="M27" s="32">
        <f t="shared" si="9"/>
        <v>0</v>
      </c>
      <c r="N27" s="32">
        <f t="shared" si="7"/>
        <v>0</v>
      </c>
      <c r="O27" s="7">
        <f t="shared" si="10"/>
        <v>0</v>
      </c>
      <c r="P27" s="32">
        <f t="shared" si="11"/>
        <v>0</v>
      </c>
      <c r="AS27" s="32">
        <f t="shared" ca="1" si="16"/>
        <v>0</v>
      </c>
      <c r="AT27" s="32">
        <f t="shared" ca="1" si="12"/>
        <v>0</v>
      </c>
      <c r="AU27" s="32">
        <f t="shared" ca="1" si="13"/>
        <v>0</v>
      </c>
      <c r="AV27" s="32">
        <f t="shared" ca="1" si="14"/>
        <v>0</v>
      </c>
      <c r="AW27" s="32"/>
      <c r="AX27" s="32"/>
      <c r="AY27" s="32"/>
      <c r="AZ27" s="32"/>
      <c r="BA27" s="32"/>
      <c r="BB27" s="32"/>
      <c r="BC27" s="32"/>
      <c r="BD27" s="32">
        <f t="shared" ca="1" si="17"/>
        <v>0</v>
      </c>
      <c r="BP27">
        <f t="shared" ref="BP27:BP39" ca="1" si="28">IF($BW$11&gt;$BS$39,0,IF(BU27=$BW$18,1,IF(BS27&gt;$BW$11,0,ROUNDDOWN(2*PI()*BU27/$BW$10,0))))</f>
        <v>0</v>
      </c>
      <c r="BR27" s="2051"/>
      <c r="BS27" s="32">
        <v>3</v>
      </c>
      <c r="BT27" s="7">
        <f ca="1">IF(BT26=1,0,IF($BW$11&gt;$BS$39,0,IF(BU27=$BV$18,1,IF(BS27&gt;$BW$11,0,ROUNDDOWN(2*PI()*BU27/$BW$10,0)))))</f>
        <v>0</v>
      </c>
      <c r="BU27" s="387">
        <f ca="1">IF(CE27=$AK$47,$AK$47,CD27)</f>
        <v>0</v>
      </c>
      <c r="BV27" s="7">
        <f ca="1">IF(BT27=0,0,2*PI()*BU27/BT27-(2*$BW$16))</f>
        <v>0</v>
      </c>
      <c r="BW27" s="7">
        <f t="shared" ca="1" si="18"/>
        <v>0</v>
      </c>
      <c r="BX27" s="7">
        <f t="shared" ca="1" si="19"/>
        <v>0</v>
      </c>
      <c r="BY27" s="7">
        <f t="shared" ca="1" si="24"/>
        <v>0</v>
      </c>
      <c r="BZ27" s="7">
        <f t="shared" ca="1" si="25"/>
        <v>0</v>
      </c>
      <c r="CA27" s="7">
        <f t="shared" ca="1" si="20"/>
        <v>0</v>
      </c>
      <c r="CB27" s="32">
        <f t="shared" ca="1" si="21"/>
        <v>0</v>
      </c>
      <c r="CC27" s="32">
        <f t="shared" ref="CC27:CC39" ca="1" si="29">IF(CC26&lt;0,0,IF(BS27&gt;$BW$11,0,$BW$8-BS27*($BW$14+2*$BW$17)))</f>
        <v>0</v>
      </c>
      <c r="CD27" s="709">
        <f t="shared" ref="CD27:CD30" ca="1" si="30">IF(CC27=0,0,IF($E$4&gt;=34,CF27,IF(AND(CC27&lt;=$BW$18,$AK$40=1000,OR($E$2&lt;&gt;"SC10",$E$2&lt;&gt;"SC14"),$E$4&lt;&gt;34),0,IF(AND(CC27&lt;=$BW$18,$AK$40=1000,$E$2&lt;&gt;"SC6",$E$4&lt;&gt;36),0,IF(CC27&lt;=$BW$18,$BW$18-$BW$17,CC27)))))</f>
        <v>0</v>
      </c>
      <c r="CE27">
        <f ca="1">IF(AND(CD27&gt;$BW$18-$BW$17,CD27&lt;$AK$47),$AK$47,0)</f>
        <v>0</v>
      </c>
      <c r="CF27">
        <f t="shared" ca="1" si="27"/>
        <v>0</v>
      </c>
    </row>
    <row r="28" spans="2:85" x14ac:dyDescent="0.35">
      <c r="B28" t="s">
        <v>673</v>
      </c>
      <c r="K28" s="32">
        <v>16</v>
      </c>
      <c r="L28" s="7">
        <f t="shared" si="8"/>
        <v>0</v>
      </c>
      <c r="M28" s="32">
        <f t="shared" si="9"/>
        <v>0</v>
      </c>
      <c r="N28" s="32">
        <f t="shared" si="7"/>
        <v>0</v>
      </c>
      <c r="O28" s="7">
        <f t="shared" si="10"/>
        <v>0</v>
      </c>
      <c r="P28" s="32">
        <f t="shared" si="11"/>
        <v>0</v>
      </c>
      <c r="AS28" s="32">
        <f t="shared" ca="1" si="16"/>
        <v>0</v>
      </c>
      <c r="AT28" s="32">
        <f t="shared" ca="1" si="12"/>
        <v>0</v>
      </c>
      <c r="AU28" s="32">
        <f t="shared" ca="1" si="13"/>
        <v>0</v>
      </c>
      <c r="AV28" s="32"/>
      <c r="AW28" s="32"/>
      <c r="AX28" s="32"/>
      <c r="AY28" s="32"/>
      <c r="AZ28" s="32"/>
      <c r="BA28" s="32"/>
      <c r="BB28" s="32"/>
      <c r="BC28" s="32"/>
      <c r="BD28" s="32">
        <f t="shared" ca="1" si="17"/>
        <v>0</v>
      </c>
      <c r="BP28">
        <f t="shared" ca="1" si="28"/>
        <v>0</v>
      </c>
      <c r="BR28" s="2051"/>
      <c r="BS28" s="32">
        <v>4</v>
      </c>
      <c r="BT28" s="7">
        <f ca="1">IF(BT27=1,0,IF($BW$11&gt;$BS$39,0,IF(BU28=$BV$18,1,IF(BS28&gt;$BW$11,0,ROUNDDOWN(2*PI()*BU28/$BW$10,0)))))</f>
        <v>0</v>
      </c>
      <c r="BU28" s="387">
        <f t="shared" ca="1" si="23"/>
        <v>0</v>
      </c>
      <c r="BV28" s="7">
        <f t="shared" ref="BV28:BV39" ca="1" si="31">IF(BT28=0,0,2*PI()*BU28/BT28-(2*$BW$16))</f>
        <v>0</v>
      </c>
      <c r="BW28" s="7">
        <f t="shared" ca="1" si="18"/>
        <v>0</v>
      </c>
      <c r="BX28" s="7">
        <f t="shared" ca="1" si="19"/>
        <v>0</v>
      </c>
      <c r="BY28" s="7">
        <f t="shared" ca="1" si="24"/>
        <v>0</v>
      </c>
      <c r="BZ28" s="7">
        <f t="shared" ca="1" si="25"/>
        <v>0</v>
      </c>
      <c r="CA28" s="7">
        <f t="shared" ca="1" si="20"/>
        <v>0</v>
      </c>
      <c r="CB28" s="32">
        <f t="shared" ca="1" si="21"/>
        <v>0</v>
      </c>
      <c r="CC28" s="32">
        <f t="shared" ca="1" si="29"/>
        <v>0</v>
      </c>
      <c r="CD28" s="709">
        <f t="shared" ca="1" si="30"/>
        <v>0</v>
      </c>
      <c r="CE28">
        <f t="shared" ca="1" si="26"/>
        <v>0</v>
      </c>
      <c r="CF28">
        <f t="shared" ca="1" si="27"/>
        <v>0</v>
      </c>
    </row>
    <row r="29" spans="2:85" x14ac:dyDescent="0.35">
      <c r="B29" t="s">
        <v>2209</v>
      </c>
      <c r="D29" s="32">
        <f ca="1">IF(E6=0,0,BX167*E3)</f>
        <v>0</v>
      </c>
      <c r="E29" t="s">
        <v>46</v>
      </c>
      <c r="F29" s="32"/>
      <c r="L29" s="386" t="s">
        <v>1485</v>
      </c>
      <c r="M29" s="595">
        <f>SUM(M13:M28)</f>
        <v>0</v>
      </c>
      <c r="N29" s="386"/>
      <c r="O29" s="595">
        <f>SUM(O13:O28)</f>
        <v>0</v>
      </c>
      <c r="P29" s="595">
        <f>SUM(P13:P28)</f>
        <v>0</v>
      </c>
      <c r="AJ29" s="627" t="s">
        <v>2210</v>
      </c>
      <c r="AK29" s="688">
        <f>IF(E2="SC6",20,IF(E2="SC10",19,IF(E2="SC14",19,0)))</f>
        <v>19</v>
      </c>
      <c r="AS29" s="32">
        <f t="shared" ca="1" si="16"/>
        <v>0</v>
      </c>
      <c r="AT29" s="32">
        <f t="shared" ca="1" si="12"/>
        <v>0</v>
      </c>
      <c r="AU29" s="32"/>
      <c r="AV29" s="32"/>
      <c r="AW29" s="32"/>
      <c r="AX29" s="32"/>
      <c r="AY29" s="32"/>
      <c r="AZ29" s="32"/>
      <c r="BA29" s="32"/>
      <c r="BB29" s="32"/>
      <c r="BC29" s="32"/>
      <c r="BD29" s="32">
        <f t="shared" ca="1" si="17"/>
        <v>0</v>
      </c>
      <c r="BP29">
        <f t="shared" ca="1" si="28"/>
        <v>0</v>
      </c>
      <c r="BR29" s="2051"/>
      <c r="BS29" s="32">
        <v>5</v>
      </c>
      <c r="BT29" s="7">
        <f t="shared" ca="1" si="22"/>
        <v>0</v>
      </c>
      <c r="BU29" s="387">
        <f t="shared" ca="1" si="23"/>
        <v>0</v>
      </c>
      <c r="BV29" s="7">
        <f t="shared" ca="1" si="31"/>
        <v>0</v>
      </c>
      <c r="BW29" s="7">
        <f t="shared" ca="1" si="18"/>
        <v>0</v>
      </c>
      <c r="BX29" s="7">
        <f t="shared" ca="1" si="19"/>
        <v>0</v>
      </c>
      <c r="BY29" s="7">
        <f t="shared" ca="1" si="24"/>
        <v>0</v>
      </c>
      <c r="BZ29" s="7">
        <f t="shared" ca="1" si="25"/>
        <v>0</v>
      </c>
      <c r="CA29" s="7">
        <f t="shared" ca="1" si="20"/>
        <v>0</v>
      </c>
      <c r="CB29" s="32">
        <f t="shared" ca="1" si="21"/>
        <v>0</v>
      </c>
      <c r="CC29" s="32">
        <f t="shared" ca="1" si="29"/>
        <v>0</v>
      </c>
      <c r="CD29" s="709">
        <f t="shared" ca="1" si="30"/>
        <v>0</v>
      </c>
      <c r="CE29">
        <f t="shared" ca="1" si="26"/>
        <v>0</v>
      </c>
      <c r="CF29">
        <f t="shared" ca="1" si="27"/>
        <v>0</v>
      </c>
    </row>
    <row r="30" spans="2:85" x14ac:dyDescent="0.35">
      <c r="C30" t="s">
        <v>674</v>
      </c>
      <c r="D30" s="32">
        <f>ENTRADAS!F952</f>
        <v>0.5</v>
      </c>
      <c r="E30" t="s">
        <v>20</v>
      </c>
      <c r="F30" s="32"/>
      <c r="AJ30" s="627" t="s">
        <v>2211</v>
      </c>
      <c r="AK30">
        <f ca="1">IF(AND(E2="SC6",E4&gt;20,AP39&gt;'TABELA SC-10 e 14'!D13/2),1000,IF(AND(E2="SC10",E4&gt;20,AP39&gt;'TABELA SC-10 e 14'!B13/2),1000,IF(AND(E2="SC14",E4&gt;20,AP39&gt;'TABELA SC-10 e 14'!C13/2),1000,0)))</f>
        <v>0</v>
      </c>
      <c r="AS30" s="32">
        <f t="shared" ca="1" si="16"/>
        <v>0</v>
      </c>
      <c r="AT30" s="32"/>
      <c r="AU30" s="32"/>
      <c r="AV30" s="32"/>
      <c r="AW30" s="32"/>
      <c r="AX30" s="32"/>
      <c r="AY30" s="32"/>
      <c r="AZ30" s="32"/>
      <c r="BA30" s="32"/>
      <c r="BB30" s="32"/>
      <c r="BC30" s="32"/>
      <c r="BD30" s="32">
        <f ca="1">SUM(AS30:BC30)</f>
        <v>0</v>
      </c>
      <c r="BP30">
        <f t="shared" ca="1" si="28"/>
        <v>0</v>
      </c>
      <c r="BR30" s="2051"/>
      <c r="BS30" s="32">
        <v>6</v>
      </c>
      <c r="BT30" s="7">
        <f t="shared" ca="1" si="22"/>
        <v>0</v>
      </c>
      <c r="BU30" s="387">
        <f t="shared" ca="1" si="23"/>
        <v>0</v>
      </c>
      <c r="BV30" s="7">
        <f t="shared" ca="1" si="31"/>
        <v>0</v>
      </c>
      <c r="BW30" s="7">
        <f t="shared" ca="1" si="18"/>
        <v>0</v>
      </c>
      <c r="BX30" s="7">
        <f t="shared" ca="1" si="19"/>
        <v>0</v>
      </c>
      <c r="BY30" s="7">
        <f t="shared" ca="1" si="24"/>
        <v>0</v>
      </c>
      <c r="BZ30" s="7">
        <f t="shared" ca="1" si="25"/>
        <v>0</v>
      </c>
      <c r="CA30" s="7">
        <f t="shared" ca="1" si="20"/>
        <v>0</v>
      </c>
      <c r="CB30" s="32">
        <f t="shared" ca="1" si="21"/>
        <v>0</v>
      </c>
      <c r="CC30" s="32">
        <f t="shared" ca="1" si="29"/>
        <v>0</v>
      </c>
      <c r="CD30" s="709">
        <f t="shared" ca="1" si="30"/>
        <v>0</v>
      </c>
      <c r="CE30">
        <f t="shared" ca="1" si="26"/>
        <v>0</v>
      </c>
      <c r="CF30">
        <f t="shared" ca="1" si="27"/>
        <v>0</v>
      </c>
    </row>
    <row r="31" spans="2:85" x14ac:dyDescent="0.35">
      <c r="C31" t="s">
        <v>675</v>
      </c>
      <c r="D31" s="387">
        <f>ENTRADAS!F953</f>
        <v>0.625</v>
      </c>
      <c r="E31" t="s">
        <v>20</v>
      </c>
      <c r="F31" s="32"/>
      <c r="K31" s="13" t="s">
        <v>2212</v>
      </c>
      <c r="L31" s="14"/>
      <c r="M31" s="14"/>
      <c r="N31" s="14"/>
      <c r="O31" s="14"/>
      <c r="P31" s="15"/>
      <c r="AJ31" s="627" t="s">
        <v>2213</v>
      </c>
      <c r="AK31">
        <f>IF(E2="SC6",'TABELA SC-10 e 14'!D13/2,IF(E2="SC10",'TABELA SC-10 e 14'!B12/2,IF(E2="SC14",'TABELA SC-10 e 14'!C12/2,0)))</f>
        <v>6.9811691075208104</v>
      </c>
      <c r="BP31">
        <f t="shared" ca="1" si="28"/>
        <v>0</v>
      </c>
      <c r="BR31" s="2051"/>
      <c r="BS31" s="32">
        <v>7</v>
      </c>
      <c r="BT31" s="7">
        <f t="shared" ca="1" si="22"/>
        <v>0</v>
      </c>
      <c r="BU31" s="387">
        <f t="shared" ca="1" si="23"/>
        <v>0</v>
      </c>
      <c r="BV31" s="7">
        <f t="shared" ca="1" si="31"/>
        <v>0</v>
      </c>
      <c r="BW31" s="7">
        <f t="shared" ca="1" si="18"/>
        <v>0</v>
      </c>
      <c r="BX31" s="7">
        <f t="shared" ca="1" si="19"/>
        <v>0</v>
      </c>
      <c r="BY31" s="7">
        <f t="shared" ca="1" si="24"/>
        <v>0</v>
      </c>
      <c r="BZ31" s="7">
        <f t="shared" ca="1" si="25"/>
        <v>0</v>
      </c>
      <c r="CA31" s="7">
        <f t="shared" ca="1" si="20"/>
        <v>0</v>
      </c>
      <c r="CB31" s="32">
        <f t="shared" ca="1" si="21"/>
        <v>0</v>
      </c>
      <c r="CC31" s="32">
        <f t="shared" ca="1" si="29"/>
        <v>0</v>
      </c>
      <c r="CD31" s="708">
        <f t="shared" ref="CD31:CD32" ca="1" si="32">IF(CC31=0,0,IF(AND(CC31&lt;=$BW$18,$AK$40=1000,E8&lt;&gt;"SC10",E10&lt;&gt;34),0,IF(AND(CC31&lt;=$BW$18,$AK$40=1000,E8&lt;&gt;"SC6",E10&lt;&gt;36),0,IF(CC31&lt;=$BW$18,$BW$18-$BW$17,CC31))))</f>
        <v>0</v>
      </c>
      <c r="CE31">
        <f t="shared" ca="1" si="26"/>
        <v>0</v>
      </c>
      <c r="CF31">
        <f t="shared" ca="1" si="27"/>
        <v>0</v>
      </c>
    </row>
    <row r="32" spans="2:85" x14ac:dyDescent="0.35">
      <c r="C32" t="s">
        <v>658</v>
      </c>
      <c r="D32" s="32">
        <f>ENTRADAS!F954</f>
        <v>100</v>
      </c>
      <c r="E32" t="s">
        <v>132</v>
      </c>
      <c r="F32" s="32"/>
      <c r="K32" s="20" t="s">
        <v>2214</v>
      </c>
      <c r="L32">
        <v>10</v>
      </c>
      <c r="M32" t="s">
        <v>2215</v>
      </c>
      <c r="O32" s="32">
        <f>(M29/L32)/5*7</f>
        <v>0</v>
      </c>
      <c r="P32" s="16" t="s">
        <v>101</v>
      </c>
      <c r="AS32" s="32">
        <f ca="1">AL20</f>
        <v>0</v>
      </c>
      <c r="BD32" t="s">
        <v>2216</v>
      </c>
      <c r="BP32">
        <f t="shared" ca="1" si="28"/>
        <v>0</v>
      </c>
      <c r="BR32" s="2051"/>
      <c r="BS32" s="32">
        <v>8</v>
      </c>
      <c r="BT32" s="7">
        <f t="shared" ca="1" si="22"/>
        <v>0</v>
      </c>
      <c r="BU32" s="387">
        <f t="shared" ca="1" si="23"/>
        <v>0</v>
      </c>
      <c r="BV32" s="7">
        <f t="shared" ca="1" si="31"/>
        <v>0</v>
      </c>
      <c r="BW32" s="7">
        <f t="shared" ca="1" si="18"/>
        <v>0</v>
      </c>
      <c r="BX32" s="7">
        <f t="shared" ca="1" si="19"/>
        <v>0</v>
      </c>
      <c r="BY32" s="7">
        <f t="shared" ca="1" si="24"/>
        <v>0</v>
      </c>
      <c r="BZ32" s="7">
        <f t="shared" ca="1" si="25"/>
        <v>0</v>
      </c>
      <c r="CA32" s="7">
        <f t="shared" ca="1" si="20"/>
        <v>0</v>
      </c>
      <c r="CB32" s="32">
        <f t="shared" ca="1" si="21"/>
        <v>0</v>
      </c>
      <c r="CC32" s="32">
        <f t="shared" ca="1" si="29"/>
        <v>0</v>
      </c>
      <c r="CD32" s="708">
        <f t="shared" ca="1" si="32"/>
        <v>0</v>
      </c>
      <c r="CE32">
        <f t="shared" ca="1" si="26"/>
        <v>0</v>
      </c>
      <c r="CF32">
        <f t="shared" ca="1" si="27"/>
        <v>0</v>
      </c>
    </row>
    <row r="33" spans="2:84" x14ac:dyDescent="0.35">
      <c r="K33" s="18" t="s">
        <v>2217</v>
      </c>
      <c r="L33" s="3"/>
      <c r="M33" s="3">
        <f ca="1">H486</f>
        <v>0</v>
      </c>
      <c r="N33" s="3" t="s">
        <v>101</v>
      </c>
      <c r="O33" s="32">
        <f ca="1">IF(M33=0,0,ROUNDUP(O32/M33,0))</f>
        <v>0</v>
      </c>
      <c r="P33" s="17" t="s">
        <v>2218</v>
      </c>
      <c r="AR33">
        <v>11</v>
      </c>
      <c r="AS33" s="385">
        <f ca="1">IF(E6=0,0,IF($AL$7=AR33,(2*PI()*$AM$9)/$AS$32,AS34))</f>
        <v>0</v>
      </c>
      <c r="AT33" s="385">
        <f t="shared" ref="AT33:AT41" ca="1" si="33">IF($AL$7=AR33,(2*PI()*($AM$9-$E$9))/$AS$32,AT34)</f>
        <v>0</v>
      </c>
      <c r="AU33" s="385">
        <f t="shared" ref="AU33:AU40" ca="1" si="34">IF($AL$7=AR33,(2*PI()*($AM$9-$E$9-$E$9))/$AS$32,AU34)</f>
        <v>0</v>
      </c>
      <c r="AV33" s="385">
        <f t="shared" ref="AV33:AV39" ca="1" si="35">IF($AL$7=AR33,(2*PI()*($AM$9-$E$9-$E$9-$E$9))/$AS$32,AV34)</f>
        <v>0</v>
      </c>
      <c r="AW33" s="385">
        <f t="shared" ref="AW33:AW38" ca="1" si="36">IF($AL$7=AR33,(2*PI()*($AM$9-$E$9-$E$9-$E$9-$E$9))/$AS$32,AW34)</f>
        <v>0</v>
      </c>
      <c r="AX33" s="385">
        <f ca="1">IF($AL$7=AR33,(2*PI()*($AM$9-$E$9-$E$9-$E$9-$E$9-$E$9-$E$9))/$AS$32,AX34)</f>
        <v>0</v>
      </c>
      <c r="AY33" s="385">
        <f ca="1">IF($AL$7=AR33,(2*PI()*($AM$9-$E$9-$E$9-$E$9-$E$9-$E$9-$E$9-$E$9))/$AS$32,AY34)</f>
        <v>0</v>
      </c>
      <c r="AZ33" s="385">
        <f ca="1">IF($AL$7=AR33,(2*PI()*($AM$9-$E$9-$E$9-$E$9-$E$9-$E$9-$E$9-$E$9-$E$9))/$AS$32,AZ34)</f>
        <v>0</v>
      </c>
      <c r="BA33" s="385">
        <f ca="1">IF($AL$7=AR33,(2*PI()*($AM$9-$E$9-$E$9-$E$9-$E$9-$E$9-$E$9-$E$9-$E$9-$E$9))/$AS$32,BA34)</f>
        <v>0</v>
      </c>
      <c r="BB33" s="385">
        <f ca="1">IF($AL$7=AR33,(2*PI()*($AM$9-$E$9-$E$9-$E$9-$E$9-$E$9-$E$9-$E$9-$E$9-$E$9-$E$9))/$AS$32,BB34)</f>
        <v>0</v>
      </c>
      <c r="BC33" s="385">
        <f ca="1">IF($AL$7=AR33,(2*PI()*($AM$9-$E$9-$E$9-$E$9-$E$9-$E$9-$E$9-$E$9-$E$9-$E$9-$E$9-$E$9))/$AS$32,BC34)</f>
        <v>0</v>
      </c>
      <c r="BD33" s="385">
        <f ca="1">SUM(AS33:BC33)</f>
        <v>0</v>
      </c>
      <c r="BE33" s="7">
        <f ca="1">IF(BC33&gt;0,(BD33-BC33)*$E$9+(BC33*$AL$10),0)</f>
        <v>0</v>
      </c>
      <c r="BP33">
        <f t="shared" ca="1" si="28"/>
        <v>0</v>
      </c>
      <c r="BR33" s="2051"/>
      <c r="BS33" s="32">
        <v>9</v>
      </c>
      <c r="BT33" s="7">
        <f t="shared" ca="1" si="22"/>
        <v>0</v>
      </c>
      <c r="BU33" s="387">
        <f t="shared" ca="1" si="23"/>
        <v>0</v>
      </c>
      <c r="BV33" s="7">
        <f t="shared" ca="1" si="31"/>
        <v>0</v>
      </c>
      <c r="BW33" s="7">
        <f t="shared" ca="1" si="18"/>
        <v>0</v>
      </c>
      <c r="BX33" s="7">
        <f t="shared" ca="1" si="19"/>
        <v>0</v>
      </c>
      <c r="BY33" s="7">
        <f t="shared" ca="1" si="24"/>
        <v>0</v>
      </c>
      <c r="BZ33" s="7">
        <f t="shared" ca="1" si="25"/>
        <v>0</v>
      </c>
      <c r="CA33" s="7">
        <f t="shared" ca="1" si="20"/>
        <v>0</v>
      </c>
      <c r="CB33" s="32">
        <f t="shared" ca="1" si="21"/>
        <v>0</v>
      </c>
      <c r="CC33" s="32">
        <f t="shared" ca="1" si="29"/>
        <v>0</v>
      </c>
      <c r="CD33" s="533">
        <f t="shared" ref="CD33:CD39" ca="1" si="37">IF(CC33=0,0,IF(AND(CC33&lt;=$BW$18,$AK$40=1000,E10&lt;&gt;"SC10",E12&lt;&gt;34),0,IF(CC33&lt;=$BW$18,$BW$18-$BW$17,CC33)))</f>
        <v>0</v>
      </c>
      <c r="CE33">
        <f t="shared" ca="1" si="26"/>
        <v>0</v>
      </c>
      <c r="CF33">
        <f t="shared" ca="1" si="27"/>
        <v>0</v>
      </c>
    </row>
    <row r="34" spans="2:84" x14ac:dyDescent="0.35">
      <c r="B34" t="s">
        <v>2219</v>
      </c>
      <c r="AR34">
        <v>10</v>
      </c>
      <c r="AS34" s="385">
        <f ca="1">IF(E6=0,0,IF($AL$7=AR34,(2*PI()*$AM$9)/$AS$32,AS35))</f>
        <v>0</v>
      </c>
      <c r="AT34" s="385">
        <f t="shared" ca="1" si="33"/>
        <v>0</v>
      </c>
      <c r="AU34" s="385">
        <f t="shared" ca="1" si="34"/>
        <v>0</v>
      </c>
      <c r="AV34" s="385">
        <f t="shared" ca="1" si="35"/>
        <v>0</v>
      </c>
      <c r="AW34" s="385">
        <f t="shared" ca="1" si="36"/>
        <v>0</v>
      </c>
      <c r="AX34" s="385">
        <f ca="1">IF($AL$7=AR34,(2*PI()*($AM$9-$E$9-$E$9-$E$9-$E$9-$E$9-$E$9))/$AS$32,AX35)</f>
        <v>0</v>
      </c>
      <c r="AY34" s="385">
        <f ca="1">IF($AL$7=AR34,(2*PI()*($AM$9-$E$9-$E$9-$E$9-$E$9-$E$9-$E$9-$E$9))/$AS$32,AY35)</f>
        <v>0</v>
      </c>
      <c r="AZ34" s="385">
        <f ca="1">IF($AL$7=AR34,(2*PI()*($AM$9-$E$9-$E$9-$E$9-$E$9-$E$9-$E$9-$E$9-$E$9))/$AS$32,AZ35)</f>
        <v>0</v>
      </c>
      <c r="BA34" s="385">
        <f ca="1">IF($AL$7=AR34,(2*PI()*($AM$9-$E$9-$E$9-$E$9-$E$9-$E$9-$E$9-$E$9-$E$9-$E$9))/$AS$32,BA35)</f>
        <v>0</v>
      </c>
      <c r="BB34" s="385">
        <f ca="1">IF(IF($AL$7=AR34,(2*PI()*($AM$9-$E$9-$E$9-$E$9-$E$9-$E$9-$E$9-$E$9-$E$9-$E$9-$E$9))/$AS$32,BB35)&lt;0,1,IF($AL$7=AR34,(2*PI()*($AM$9-$E$9-$E$9-$E$9-$E$9-$E$9-$E$9-$E$9-$E$9-$E$9-$E$9))/$AS$32,BB35))</f>
        <v>0</v>
      </c>
      <c r="BC34" s="385"/>
      <c r="BD34" s="385">
        <f t="shared" ref="BD34:BD43" ca="1" si="38">SUM(AS34:BC34)</f>
        <v>0</v>
      </c>
      <c r="BE34" s="7">
        <f ca="1">IF(BB34&gt;0,(BD34-BB34)*$E$9+(BB34*$AL$10),0)</f>
        <v>0</v>
      </c>
      <c r="BP34">
        <f t="shared" ca="1" si="28"/>
        <v>0</v>
      </c>
      <c r="BR34" s="2051"/>
      <c r="BS34" s="32">
        <v>10</v>
      </c>
      <c r="BT34" s="7">
        <f t="shared" ca="1" si="22"/>
        <v>0</v>
      </c>
      <c r="BU34" s="387">
        <f t="shared" ca="1" si="23"/>
        <v>0</v>
      </c>
      <c r="BV34" s="7">
        <f t="shared" ca="1" si="31"/>
        <v>0</v>
      </c>
      <c r="BW34" s="7">
        <f t="shared" ca="1" si="18"/>
        <v>0</v>
      </c>
      <c r="BX34" s="7">
        <f t="shared" ca="1" si="19"/>
        <v>0</v>
      </c>
      <c r="BY34" s="7">
        <f t="shared" ca="1" si="24"/>
        <v>0</v>
      </c>
      <c r="BZ34" s="7">
        <f t="shared" ca="1" si="25"/>
        <v>0</v>
      </c>
      <c r="CA34" s="7">
        <f t="shared" ca="1" si="20"/>
        <v>0</v>
      </c>
      <c r="CB34" s="32">
        <f ca="1">IF(BT34=0,0,IF(BU34=$BV$18,(360/BT34)/2,(360/BT34)))</f>
        <v>0</v>
      </c>
      <c r="CC34" s="32">
        <f t="shared" ca="1" si="29"/>
        <v>0</v>
      </c>
      <c r="CD34" s="533">
        <f t="shared" ca="1" si="37"/>
        <v>0</v>
      </c>
      <c r="CE34">
        <f t="shared" ca="1" si="26"/>
        <v>0</v>
      </c>
      <c r="CF34">
        <f t="shared" ca="1" si="27"/>
        <v>0</v>
      </c>
    </row>
    <row r="35" spans="2:84" x14ac:dyDescent="0.35">
      <c r="B35" t="s">
        <v>2220</v>
      </c>
      <c r="D35" s="7">
        <f ca="1">BT87</f>
        <v>0</v>
      </c>
      <c r="E35" t="s">
        <v>46</v>
      </c>
      <c r="F35" s="32"/>
      <c r="AJ35" s="627" t="s">
        <v>2221</v>
      </c>
      <c r="AK35">
        <f ca="1">IF(OR(AK40=1000,AK45=1),BU7,0)</f>
        <v>0.5</v>
      </c>
      <c r="AR35">
        <v>9</v>
      </c>
      <c r="AS35" s="385">
        <f ca="1">IF(E6=0,0,IF($AL$7=AR35,(2*PI()*$AM$9)/$AS$32,AS36))</f>
        <v>0</v>
      </c>
      <c r="AT35" s="385">
        <f t="shared" ca="1" si="33"/>
        <v>0</v>
      </c>
      <c r="AU35" s="385">
        <f t="shared" ca="1" si="34"/>
        <v>0</v>
      </c>
      <c r="AV35" s="385">
        <f t="shared" ca="1" si="35"/>
        <v>0</v>
      </c>
      <c r="AW35" s="385">
        <f t="shared" ca="1" si="36"/>
        <v>0</v>
      </c>
      <c r="AX35" s="385">
        <f ca="1">IF($AL$7=AR35,(2*PI()*($AM$9-$E$9-$E$9-$E$9-$E$9-$E$9-$E$9))/$AS$32,AX36)</f>
        <v>0</v>
      </c>
      <c r="AY35" s="385">
        <f ca="1">IF($AL$7=AR35,(2*PI()*($AM$9-$E$9-$E$9-$E$9-$E$9-$E$9-$E$9-$E$9))/$AS$32,AY36)</f>
        <v>0</v>
      </c>
      <c r="AZ35" s="385">
        <f ca="1">IF($AL$7=AR35,(2*PI()*($AM$9-$E$9-$E$9-$E$9-$E$9-$E$9-$E$9-$E$9-$E$9))/$AS$32,AZ36)</f>
        <v>0</v>
      </c>
      <c r="BA35" s="385">
        <f ca="1">IF(IF($AL$7=AR35,(2*PI()*($AM$9-$E$9-$E$9-$E$9-$E$9-$E$9-$E$9-$E$9-$E$9-$E$9))/$AS$32,BA36)&lt;0,1,IF($AL$7=AR35,(2*PI()*($AM$9-$E$9-$E$9-$E$9-$E$9-$E$9-$E$9-$E$9-$E$9-$E$9))/$AS$32,BA36))</f>
        <v>0</v>
      </c>
      <c r="BB35" s="385"/>
      <c r="BC35" s="385"/>
      <c r="BD35" s="385">
        <f t="shared" ca="1" si="38"/>
        <v>0</v>
      </c>
      <c r="BE35" s="7">
        <f ca="1">IF(BA35&gt;0,(BD35-BA35)*$E$9+(BA35*$AL$10),0)</f>
        <v>0</v>
      </c>
      <c r="BP35">
        <f t="shared" ca="1" si="28"/>
        <v>0</v>
      </c>
      <c r="BR35" s="2051"/>
      <c r="BS35" s="32">
        <v>11</v>
      </c>
      <c r="BT35" s="7">
        <f t="shared" ca="1" si="22"/>
        <v>0</v>
      </c>
      <c r="BU35" s="387">
        <f t="shared" ca="1" si="23"/>
        <v>0</v>
      </c>
      <c r="BV35" s="7">
        <f t="shared" ca="1" si="31"/>
        <v>0</v>
      </c>
      <c r="BW35" s="7">
        <f t="shared" ca="1" si="18"/>
        <v>0</v>
      </c>
      <c r="BX35" s="7">
        <f t="shared" ca="1" si="19"/>
        <v>0</v>
      </c>
      <c r="BY35" s="7">
        <f t="shared" ca="1" si="24"/>
        <v>0</v>
      </c>
      <c r="BZ35" s="7">
        <f t="shared" ca="1" si="25"/>
        <v>0</v>
      </c>
      <c r="CA35" s="7">
        <f t="shared" ca="1" si="20"/>
        <v>0</v>
      </c>
      <c r="CB35" s="32">
        <f t="shared" ca="1" si="21"/>
        <v>0</v>
      </c>
      <c r="CC35" s="32">
        <f t="shared" ca="1" si="29"/>
        <v>0</v>
      </c>
      <c r="CD35" s="533">
        <f t="shared" ca="1" si="37"/>
        <v>0</v>
      </c>
      <c r="CE35">
        <f t="shared" ca="1" si="26"/>
        <v>0</v>
      </c>
      <c r="CF35">
        <f t="shared" ca="1" si="27"/>
        <v>0</v>
      </c>
    </row>
    <row r="36" spans="2:84" x14ac:dyDescent="0.35">
      <c r="C36" t="s">
        <v>658</v>
      </c>
      <c r="D36" s="32">
        <v>110</v>
      </c>
      <c r="E36" t="s">
        <v>132</v>
      </c>
      <c r="F36" s="32"/>
      <c r="AJ36" s="627" t="s">
        <v>2222</v>
      </c>
      <c r="AK36">
        <v>2.15</v>
      </c>
      <c r="AR36">
        <v>8</v>
      </c>
      <c r="AS36" s="385">
        <f ca="1">IF(E6=0,0,IF($AL$7=AR36,(2*PI()*$AM$9)/$AS$32,AS37))</f>
        <v>0</v>
      </c>
      <c r="AT36" s="385">
        <f t="shared" ca="1" si="33"/>
        <v>0</v>
      </c>
      <c r="AU36" s="385">
        <f t="shared" ca="1" si="34"/>
        <v>0</v>
      </c>
      <c r="AV36" s="385">
        <f t="shared" ca="1" si="35"/>
        <v>0</v>
      </c>
      <c r="AW36" s="385">
        <f t="shared" ca="1" si="36"/>
        <v>0</v>
      </c>
      <c r="AX36" s="385">
        <f ca="1">IF($AL$7=AR36,(2*PI()*($AM$9-$E$9-$E$9-$E$9-$E$9-$E$9-$E$9))/$AS$32,AX37)</f>
        <v>0</v>
      </c>
      <c r="AY36" s="385">
        <f ca="1">IF($AL$7=AR36,(2*PI()*($AM$9-$E$9-$E$9-$E$9-$E$9-$E$9-$E$9-$E$9))/$AS$32,AY37)</f>
        <v>0</v>
      </c>
      <c r="AZ36" s="385">
        <f ca="1">IF(IF($AL$7=AR36,(2*PI()*($AM$9-$E$9-$E$9-$E$9-$E$9-$E$9-$E$9-$E$9-$E$9))/$AS$32,AZ37)&lt;0,1,IF($AL$7=AR36,(2*PI()*($AM$9-$E$9-$E$9-$E$9-$E$9-$E$9-$E$9-$E$9-$E$9))/$AS$32,AZ37))</f>
        <v>0</v>
      </c>
      <c r="BA36" s="385"/>
      <c r="BB36" s="385"/>
      <c r="BC36" s="385"/>
      <c r="BD36" s="385">
        <f t="shared" ca="1" si="38"/>
        <v>0</v>
      </c>
      <c r="BE36" s="7">
        <f ca="1">IF(AZ36&gt;0,(BD36-AZ36)*$E$9+(AZ36*$AL$10),0)</f>
        <v>0</v>
      </c>
      <c r="BP36">
        <f t="shared" ca="1" si="28"/>
        <v>0</v>
      </c>
      <c r="BR36" s="2051"/>
      <c r="BS36" s="32">
        <v>12</v>
      </c>
      <c r="BT36" s="7">
        <f t="shared" ca="1" si="22"/>
        <v>0</v>
      </c>
      <c r="BU36" s="387">
        <f t="shared" ca="1" si="23"/>
        <v>0</v>
      </c>
      <c r="BV36" s="7">
        <f t="shared" ca="1" si="31"/>
        <v>0</v>
      </c>
      <c r="BW36" s="7">
        <f t="shared" ca="1" si="18"/>
        <v>0</v>
      </c>
      <c r="BX36" s="7">
        <f t="shared" ca="1" si="19"/>
        <v>0</v>
      </c>
      <c r="BY36" s="7">
        <f t="shared" ca="1" si="24"/>
        <v>0</v>
      </c>
      <c r="BZ36" s="7">
        <f t="shared" ca="1" si="25"/>
        <v>0</v>
      </c>
      <c r="CA36" s="7">
        <f t="shared" ca="1" si="20"/>
        <v>0</v>
      </c>
      <c r="CB36" s="32">
        <f t="shared" ca="1" si="21"/>
        <v>0</v>
      </c>
      <c r="CC36" s="32">
        <f t="shared" ca="1" si="29"/>
        <v>0</v>
      </c>
      <c r="CD36" s="533">
        <f t="shared" ca="1" si="37"/>
        <v>0</v>
      </c>
      <c r="CE36">
        <f t="shared" ca="1" si="26"/>
        <v>0</v>
      </c>
      <c r="CF36">
        <f t="shared" ca="1" si="27"/>
        <v>0</v>
      </c>
    </row>
    <row r="37" spans="2:84" x14ac:dyDescent="0.35">
      <c r="B37" t="s">
        <v>2223</v>
      </c>
      <c r="AJ37" s="627" t="s">
        <v>2224</v>
      </c>
      <c r="AK37">
        <f ca="1">IF(AK30&gt;0,2.15,0)</f>
        <v>0</v>
      </c>
      <c r="AR37">
        <v>7</v>
      </c>
      <c r="AS37" s="385">
        <f ca="1">IF(E6=0,0,IF($AL$7=AR37,(2*PI()*$AM$9)/$AS$32,AS38))</f>
        <v>0</v>
      </c>
      <c r="AT37" s="385">
        <f t="shared" ca="1" si="33"/>
        <v>0</v>
      </c>
      <c r="AU37" s="385">
        <f t="shared" ca="1" si="34"/>
        <v>0</v>
      </c>
      <c r="AV37" s="385">
        <f t="shared" ca="1" si="35"/>
        <v>0</v>
      </c>
      <c r="AW37" s="385">
        <f t="shared" ca="1" si="36"/>
        <v>0</v>
      </c>
      <c r="AX37" s="385">
        <f ca="1">IF($AL$7=AR37,(2*PI()*($AM$9-$E$9-$E$9-$E$9-$E$9-$E$9-$E$9))/$AS$32,AX38)</f>
        <v>0</v>
      </c>
      <c r="AY37" s="385">
        <f ca="1">IF(IF($AL$7=AR37,(2*PI()*($AM$9-$E$9-$E$9-$E$9-$E$9-$E$9-$E$9-$E$9))/$AS$32,AY38)&lt;0,1,IF($AL$7=AR37,(2*PI()*($AM$9-$E$9-$E$9-$E$9-$E$9-$E$9-$E$9-$E$9))/$AS$32,AY38))</f>
        <v>0</v>
      </c>
      <c r="AZ37" s="385"/>
      <c r="BA37" s="385"/>
      <c r="BB37" s="385"/>
      <c r="BC37" s="385"/>
      <c r="BD37" s="385">
        <f t="shared" ca="1" si="38"/>
        <v>0</v>
      </c>
      <c r="BE37" s="7">
        <f ca="1">IF(AY37&gt;0,(BD37-AY37)*$E$9+(AY37*$AL$10),0)</f>
        <v>0</v>
      </c>
      <c r="BP37">
        <f t="shared" ca="1" si="28"/>
        <v>0</v>
      </c>
      <c r="BR37" s="2051"/>
      <c r="BS37" s="32">
        <v>13</v>
      </c>
      <c r="BT37" s="7">
        <f t="shared" ca="1" si="22"/>
        <v>0</v>
      </c>
      <c r="BU37" s="387">
        <f t="shared" ca="1" si="23"/>
        <v>0</v>
      </c>
      <c r="BV37" s="7">
        <f t="shared" ca="1" si="31"/>
        <v>0</v>
      </c>
      <c r="BW37" s="7">
        <f t="shared" ca="1" si="18"/>
        <v>0</v>
      </c>
      <c r="BX37" s="7">
        <f t="shared" ca="1" si="19"/>
        <v>0</v>
      </c>
      <c r="BY37" s="7">
        <f t="shared" ca="1" si="24"/>
        <v>0</v>
      </c>
      <c r="BZ37" s="7">
        <f t="shared" ca="1" si="25"/>
        <v>0</v>
      </c>
      <c r="CA37" s="7">
        <f t="shared" ca="1" si="20"/>
        <v>0</v>
      </c>
      <c r="CB37" s="32">
        <f t="shared" ca="1" si="21"/>
        <v>0</v>
      </c>
      <c r="CC37" s="32">
        <f ca="1">IF(CC36&lt;0,0,IF(BS37&gt;$BW$11,0,$BW$8-BS37*($BW$14+2*$BW$17)))</f>
        <v>0</v>
      </c>
      <c r="CD37" s="533">
        <f t="shared" ca="1" si="37"/>
        <v>0</v>
      </c>
      <c r="CE37">
        <f t="shared" ca="1" si="26"/>
        <v>0</v>
      </c>
      <c r="CF37">
        <f t="shared" ca="1" si="27"/>
        <v>0</v>
      </c>
    </row>
    <row r="38" spans="2:84" x14ac:dyDescent="0.35">
      <c r="C38" t="s">
        <v>2225</v>
      </c>
      <c r="D38" s="32">
        <v>0.22</v>
      </c>
      <c r="E38" t="s">
        <v>20</v>
      </c>
      <c r="F38" s="32"/>
      <c r="AR38">
        <v>6</v>
      </c>
      <c r="AS38" s="385">
        <f ca="1">IF(E6=0,0,IF($AL$7=AR38,(2*PI()*$AM$9)/$AS$32,AS39))</f>
        <v>0</v>
      </c>
      <c r="AT38" s="385">
        <f t="shared" ca="1" si="33"/>
        <v>0</v>
      </c>
      <c r="AU38" s="385">
        <f t="shared" ca="1" si="34"/>
        <v>0</v>
      </c>
      <c r="AV38" s="385">
        <f t="shared" ca="1" si="35"/>
        <v>0</v>
      </c>
      <c r="AW38" s="385">
        <f t="shared" ca="1" si="36"/>
        <v>0</v>
      </c>
      <c r="AX38" s="385">
        <f ca="1">IF(IF($AL$7=AR38,(2*PI()*($AM$9-$E$9-$E$9-$E$9-$E$9-$E$9-$E$9))/$AS$32,AX39)&lt;0,1,IF($AL$7=AR38,(2*PI()*($AM$9-$E$9-$E$9-$E$9-$E$9-$E$9-$E$9))/$AS$32,AX39))</f>
        <v>0</v>
      </c>
      <c r="AY38" s="385"/>
      <c r="AZ38" s="385"/>
      <c r="BA38" s="385"/>
      <c r="BB38" s="385"/>
      <c r="BC38" s="385"/>
      <c r="BD38" s="385">
        <f t="shared" ca="1" si="38"/>
        <v>0</v>
      </c>
      <c r="BE38" s="7">
        <f ca="1">IF(AX38&gt;0,(BD38-AX38)*$E$9+(AX38*$AL$10),0)</f>
        <v>0</v>
      </c>
      <c r="BP38">
        <f t="shared" ca="1" si="28"/>
        <v>0</v>
      </c>
      <c r="BR38" s="2051"/>
      <c r="BS38" s="32">
        <v>14</v>
      </c>
      <c r="BT38" s="7">
        <f t="shared" ca="1" si="22"/>
        <v>0</v>
      </c>
      <c r="BU38" s="387">
        <f t="shared" ca="1" si="23"/>
        <v>0</v>
      </c>
      <c r="BV38" s="7">
        <f t="shared" ca="1" si="31"/>
        <v>0</v>
      </c>
      <c r="BW38" s="7">
        <f t="shared" ca="1" si="18"/>
        <v>0</v>
      </c>
      <c r="BX38" s="7">
        <f t="shared" ca="1" si="19"/>
        <v>0</v>
      </c>
      <c r="BY38" s="7">
        <f t="shared" ca="1" si="24"/>
        <v>0</v>
      </c>
      <c r="BZ38" s="7">
        <f t="shared" ca="1" si="25"/>
        <v>0</v>
      </c>
      <c r="CA38" s="7">
        <f t="shared" ca="1" si="20"/>
        <v>0</v>
      </c>
      <c r="CB38" s="32">
        <f t="shared" ca="1" si="21"/>
        <v>0</v>
      </c>
      <c r="CC38" s="32">
        <f t="shared" ca="1" si="29"/>
        <v>0</v>
      </c>
      <c r="CD38" s="533">
        <f t="shared" ca="1" si="37"/>
        <v>0</v>
      </c>
      <c r="CE38">
        <f t="shared" ca="1" si="26"/>
        <v>0</v>
      </c>
      <c r="CF38">
        <f t="shared" ca="1" si="27"/>
        <v>0</v>
      </c>
    </row>
    <row r="39" spans="2:84" x14ac:dyDescent="0.35">
      <c r="C39" t="s">
        <v>2226</v>
      </c>
      <c r="D39" s="32">
        <v>0.15</v>
      </c>
      <c r="E39" t="s">
        <v>20</v>
      </c>
      <c r="F39" s="32"/>
      <c r="AJ39" s="627" t="s">
        <v>2227</v>
      </c>
      <c r="AP39">
        <f ca="1">AK26-((AL7-1)*E9)+BW6</f>
        <v>0.7</v>
      </c>
      <c r="AQ39" s="627" t="s">
        <v>20</v>
      </c>
      <c r="AR39">
        <v>5</v>
      </c>
      <c r="AS39" s="385">
        <f ca="1">IF(E6=0,0,IF($AL$7=AR39,(2*PI()*$AM$9)/$AS$32,AS40))</f>
        <v>0</v>
      </c>
      <c r="AT39" s="385">
        <f t="shared" ca="1" si="33"/>
        <v>0</v>
      </c>
      <c r="AU39" s="385">
        <f t="shared" ca="1" si="34"/>
        <v>0</v>
      </c>
      <c r="AV39" s="385">
        <f t="shared" ca="1" si="35"/>
        <v>0</v>
      </c>
      <c r="AW39" s="385">
        <f ca="1">IF(IF($AL$7=AR39,(2*PI()*($AM$9-$E$9-$E$9-$E$9-$E$9))/$AS$32,AW40)&lt;0,1,IF($AL$7=AR39,(2*PI()*($AM$9-$E$9-$E$9-$E$9-$E$9))/$AS$32,AW40))</f>
        <v>0</v>
      </c>
      <c r="AX39" s="385"/>
      <c r="AY39" s="385"/>
      <c r="AZ39" s="385"/>
      <c r="BA39" s="385"/>
      <c r="BB39" s="385"/>
      <c r="BC39" s="385"/>
      <c r="BD39" s="385">
        <f t="shared" ca="1" si="38"/>
        <v>0</v>
      </c>
      <c r="BE39" s="7">
        <f ca="1">IF(AW39&gt;0,(BD39-AW39)*$E$9+(AW39*$AL$10),0)</f>
        <v>0</v>
      </c>
      <c r="BP39">
        <f t="shared" ca="1" si="28"/>
        <v>0</v>
      </c>
      <c r="BR39" s="2051"/>
      <c r="BS39" s="32">
        <v>15</v>
      </c>
      <c r="BT39" s="7">
        <f t="shared" ca="1" si="22"/>
        <v>0</v>
      </c>
      <c r="BU39" s="387">
        <f t="shared" ca="1" si="23"/>
        <v>0</v>
      </c>
      <c r="BV39" s="7">
        <f t="shared" ca="1" si="31"/>
        <v>0</v>
      </c>
      <c r="BW39" s="7">
        <f t="shared" ca="1" si="18"/>
        <v>0</v>
      </c>
      <c r="BX39" s="7">
        <f t="shared" ca="1" si="19"/>
        <v>0</v>
      </c>
      <c r="BY39" s="7">
        <f ca="1">IF(BT39=0,0,BU39-($D$42-($D$42-$D$43)/2))</f>
        <v>0</v>
      </c>
      <c r="BZ39" s="7">
        <f t="shared" ca="1" si="25"/>
        <v>0</v>
      </c>
      <c r="CA39" s="7">
        <f t="shared" ca="1" si="20"/>
        <v>0</v>
      </c>
      <c r="CB39" s="32">
        <f t="shared" ca="1" si="21"/>
        <v>0</v>
      </c>
      <c r="CC39" s="32">
        <f t="shared" ca="1" si="29"/>
        <v>0</v>
      </c>
      <c r="CD39" s="533">
        <f t="shared" ca="1" si="37"/>
        <v>0</v>
      </c>
      <c r="CE39">
        <f t="shared" ca="1" si="26"/>
        <v>0</v>
      </c>
      <c r="CF39">
        <f t="shared" ca="1" si="27"/>
        <v>0</v>
      </c>
    </row>
    <row r="40" spans="2:84" x14ac:dyDescent="0.35">
      <c r="C40" t="s">
        <v>2228</v>
      </c>
      <c r="D40" s="32">
        <f>D30-D46</f>
        <v>0.41000000000000003</v>
      </c>
      <c r="E40" t="s">
        <v>20</v>
      </c>
      <c r="F40" s="32"/>
      <c r="AJ40" s="627" t="s">
        <v>2229</v>
      </c>
      <c r="AK40">
        <f ca="1">IF(AND(AP39&gt;AK36,AP39&lt;=AK31),1000,0)</f>
        <v>0</v>
      </c>
      <c r="AL40" t="str">
        <f ca="1">IF(AK40=1000,"sim terá 1 pilar central junto com viga(s) vigas intermediárias"," não há pilar central junto com viga(s) intermemediárias ")</f>
        <v xml:space="preserve"> não há pilar central junto com viga(s) intermemediárias </v>
      </c>
      <c r="AR40">
        <v>4</v>
      </c>
      <c r="AS40" s="385">
        <f ca="1">IF(E6=0,0,IF($AL$7=AR40,(2*PI()*$AM$9)/$AS$32,AS41))</f>
        <v>0</v>
      </c>
      <c r="AT40" s="385">
        <f t="shared" ca="1" si="33"/>
        <v>0</v>
      </c>
      <c r="AU40" s="385">
        <f t="shared" ca="1" si="34"/>
        <v>0</v>
      </c>
      <c r="AV40" s="385">
        <f ca="1">IF(IF($AL$7=AR40,(2*PI()*($AM$9-$E$9-$E$9-$E$9))/$AS$32,AV41)&lt;0,1,IF($AL$7=AR40,(2*PI()*($AM$9-$E$9-$E$9-$E$9))/$AS$32,AV41))</f>
        <v>0</v>
      </c>
      <c r="AW40" s="385"/>
      <c r="AX40" s="385"/>
      <c r="AY40" s="385"/>
      <c r="AZ40" s="385"/>
      <c r="BA40" s="385"/>
      <c r="BB40" s="385"/>
      <c r="BC40" s="385"/>
      <c r="BD40" s="385">
        <f t="shared" ca="1" si="38"/>
        <v>0</v>
      </c>
      <c r="BE40" s="7">
        <f ca="1">IF(AV40&gt;0,(BD40-AV40)*$E$9+(AV40*$AL$10),0)</f>
        <v>0</v>
      </c>
      <c r="BS40" s="512" t="s">
        <v>1485</v>
      </c>
      <c r="BT40" s="513">
        <f ca="1">SUM(BT24:BT39)</f>
        <v>0</v>
      </c>
      <c r="BU40" s="433"/>
      <c r="BV40" s="433"/>
      <c r="BW40" s="433"/>
      <c r="BX40" s="433"/>
    </row>
    <row r="41" spans="2:84" x14ac:dyDescent="0.35">
      <c r="B41" t="s">
        <v>2230</v>
      </c>
      <c r="AR41">
        <v>3</v>
      </c>
      <c r="AS41" s="385">
        <f ca="1">IF(E6=0,0,IF($AL$7=AR41,(2*PI()*$AM$9)/$AS$32,AS42))</f>
        <v>0</v>
      </c>
      <c r="AT41" s="385">
        <f t="shared" ca="1" si="33"/>
        <v>0</v>
      </c>
      <c r="AU41" s="385">
        <f ca="1">IF(IF($AL$7=AR41,(2*PI()*($AM$9-$E$9-$E$9))/$AS$32,AU42)&lt;0,1,IF($AL$7=AR41,(2*PI()*($AM$9-$E$9-$E$9))/$AS$32,AU42))</f>
        <v>0</v>
      </c>
      <c r="AV41" s="385"/>
      <c r="AW41" s="385"/>
      <c r="AX41" s="385"/>
      <c r="AY41" s="385"/>
      <c r="AZ41" s="385"/>
      <c r="BA41" s="385"/>
      <c r="BB41" s="385"/>
      <c r="BC41" s="385"/>
      <c r="BD41" s="385">
        <f t="shared" ca="1" si="38"/>
        <v>0</v>
      </c>
      <c r="BE41" s="7">
        <f ca="1">IF(AU41&gt;0,(BD41-AU41)*$E$9+(AU41*$AL$10),0)</f>
        <v>0</v>
      </c>
      <c r="BR41" s="2123" t="s">
        <v>2186</v>
      </c>
      <c r="BS41" s="2123" t="s">
        <v>2231</v>
      </c>
      <c r="BT41" s="2123" t="s">
        <v>2187</v>
      </c>
      <c r="BU41" s="2123" t="s">
        <v>2232</v>
      </c>
      <c r="BV41" s="2123" t="s">
        <v>2233</v>
      </c>
      <c r="BW41" s="2123" t="s">
        <v>2190</v>
      </c>
      <c r="BX41" s="2123" t="s">
        <v>2191</v>
      </c>
      <c r="BY41" s="2123" t="s">
        <v>2232</v>
      </c>
      <c r="BZ41" s="2123" t="s">
        <v>2234</v>
      </c>
    </row>
    <row r="42" spans="2:84" x14ac:dyDescent="0.35">
      <c r="C42" t="s">
        <v>2235</v>
      </c>
      <c r="D42" s="32">
        <v>0.67</v>
      </c>
      <c r="E42" t="s">
        <v>20</v>
      </c>
      <c r="F42" s="32"/>
      <c r="AJ42" s="627" t="s">
        <v>2236</v>
      </c>
      <c r="AK42" s="511">
        <f ca="1">IF(AND(AK30=1000,AK40=0,AK37&gt;0),300,0)</f>
        <v>0</v>
      </c>
      <c r="AL42">
        <f ca="1">IF(AK42=300,"somente laje L-bolacha sem pilar central",0)</f>
        <v>0</v>
      </c>
      <c r="AR42">
        <v>2</v>
      </c>
      <c r="AS42" s="385">
        <f ca="1">IF(E6=0,0,IF($AL$7=AR42,(2*PI()*$AM$9)/$AS$32,AS43))</f>
        <v>0</v>
      </c>
      <c r="AT42" s="385">
        <f ca="1">IF(IF($AL$7=AR42,(2*PI()*($AM$9-$E$9))/$AS$32,AT43)&lt;0,1,IF($AL$7=AR42,(2*PI()*($AM$9-$E$9))/$AS$32,AT43))</f>
        <v>0</v>
      </c>
      <c r="AU42" s="385"/>
      <c r="AV42" s="385"/>
      <c r="AW42" s="385"/>
      <c r="AX42" s="385"/>
      <c r="AY42" s="385"/>
      <c r="AZ42" s="385"/>
      <c r="BA42" s="385"/>
      <c r="BB42" s="385"/>
      <c r="BC42" s="385"/>
      <c r="BD42" s="385">
        <f t="shared" ca="1" si="38"/>
        <v>0</v>
      </c>
      <c r="BE42" s="7">
        <f ca="1">IF(AT42&gt;0,(BD42-AT42)*$E$9+(AT42*$AL$10),0)</f>
        <v>0</v>
      </c>
      <c r="BR42" s="2123"/>
      <c r="BS42" s="2123"/>
      <c r="BT42" s="2123"/>
      <c r="BU42" s="2123"/>
      <c r="BV42" s="2123"/>
      <c r="BW42" s="2123"/>
      <c r="BX42" s="2123"/>
      <c r="BY42" s="2123"/>
      <c r="BZ42" s="2123"/>
    </row>
    <row r="43" spans="2:84" x14ac:dyDescent="0.35">
      <c r="C43" t="s">
        <v>2237</v>
      </c>
      <c r="D43" s="32">
        <v>0.4</v>
      </c>
      <c r="E43" t="s">
        <v>20</v>
      </c>
      <c r="F43" s="32"/>
      <c r="AJ43" s="627" t="s">
        <v>2238</v>
      </c>
      <c r="AK43" s="511">
        <f ca="1">IF(AND(AK30=1000,AK40=0,AK37&gt;0),4,0)</f>
        <v>0</v>
      </c>
      <c r="AL43" s="627" t="s">
        <v>2239</v>
      </c>
      <c r="AR43">
        <v>1</v>
      </c>
      <c r="AS43" s="385">
        <f ca="1">IF(E6=0,0,IF(IF($AL$7=AR43,(2*PI()*$AM$9)/$AS$32,AS44)&lt;0,1,IF($AL$7=AR43,(2*PI()*$AM$9)/$AS$32,AS44)))</f>
        <v>0</v>
      </c>
      <c r="AT43" s="385"/>
      <c r="AU43" s="385"/>
      <c r="AV43" s="385"/>
      <c r="AW43" s="385"/>
      <c r="AX43" s="385"/>
      <c r="AY43" s="385"/>
      <c r="AZ43" s="385"/>
      <c r="BA43" s="385"/>
      <c r="BB43" s="385"/>
      <c r="BC43" s="385"/>
      <c r="BD43" s="385">
        <f t="shared" ca="1" si="38"/>
        <v>0</v>
      </c>
      <c r="BE43" s="7">
        <f ca="1">IF(AS43&gt;0,(BD43-AS43)*$E$9+(AS43*$AL$10),0)</f>
        <v>0</v>
      </c>
      <c r="BR43" s="2123"/>
      <c r="BS43" s="2123"/>
      <c r="BT43" s="2123"/>
      <c r="BU43" s="2123"/>
      <c r="BV43" s="2123"/>
      <c r="BW43" s="2123"/>
      <c r="BX43" s="2123"/>
      <c r="BY43" s="2123"/>
      <c r="BZ43" s="2123"/>
    </row>
    <row r="44" spans="2:84" x14ac:dyDescent="0.35">
      <c r="C44" t="s">
        <v>2240</v>
      </c>
      <c r="D44" s="32">
        <v>0.19</v>
      </c>
      <c r="E44" t="s">
        <v>20</v>
      </c>
      <c r="F44" s="32"/>
      <c r="AR44">
        <v>0</v>
      </c>
      <c r="AS44" s="385">
        <f ca="1">IF(E6=0,0,IF(IF($AL$7=AR44,(2*PI()*$AM$9)/$AS$32,AS45)&lt;0,1,IF($AL$7=AR44,(2*PI()*$AM$9)/$AS$32,AS45)))</f>
        <v>0</v>
      </c>
      <c r="AT44" s="385"/>
      <c r="AU44" s="385"/>
      <c r="AV44" s="385"/>
      <c r="AW44" s="385"/>
      <c r="AX44" s="385"/>
      <c r="AY44" s="385"/>
      <c r="AZ44" s="385"/>
      <c r="BA44" s="385"/>
      <c r="BB44" s="385"/>
      <c r="BC44" s="385"/>
      <c r="BD44" s="385">
        <f ca="1">IF(IF($AL$7=BC44,(2*PI()*$AM$9)/2.43,BD45)&lt;0,1,IF($AL$7=BC44,(2*PI()*$AM$9)/2.43,BD45))</f>
        <v>0.9049855380711338</v>
      </c>
      <c r="BE44" s="7">
        <f ca="1">IF(AS44&gt;0,(BD44-AS44)*$E$9+(AS44*$AL$10),0)</f>
        <v>0</v>
      </c>
      <c r="BR44" s="2120"/>
      <c r="BS44" s="2123"/>
      <c r="BT44" s="2123"/>
      <c r="BU44" s="2123"/>
      <c r="BV44" s="2123"/>
      <c r="BW44" s="2123"/>
      <c r="BX44" s="2123"/>
      <c r="BY44" s="2123"/>
      <c r="BZ44" s="2123"/>
    </row>
    <row r="45" spans="2:84" ht="13.15" thickBot="1" x14ac:dyDescent="0.4">
      <c r="B45" t="s">
        <v>2241</v>
      </c>
      <c r="AJ45" s="627" t="s">
        <v>2242</v>
      </c>
      <c r="AK45">
        <f ca="1">IF(AND(AK43=0,AK40=0,AK29&gt;0),1,0)</f>
        <v>1</v>
      </c>
      <c r="AL45" s="627" t="s">
        <v>2243</v>
      </c>
      <c r="BD45" s="34"/>
      <c r="BQ45" s="2138" t="s">
        <v>2204</v>
      </c>
      <c r="BR45" s="2138"/>
      <c r="BS45" s="81">
        <v>1</v>
      </c>
      <c r="BT45" s="81">
        <f>BT24</f>
        <v>0</v>
      </c>
      <c r="BU45" s="470">
        <f ca="1">BZ45</f>
        <v>0</v>
      </c>
      <c r="BV45" s="81" t="e">
        <f ca="1">IF(BZ45=$BW$18+$BW$17,2*PI()*BZ45/BT45-(2*$BW$16),IF(BT46=0,IF(BU45&lt;$BW$7,2*PI()*$BW$7/BT45-(2*$BW$16),2*PI()*(BW8-$BW$14)/(BT45)-(2*$BW$16)),IF($BW$8-$BW$14&lt;0,(2*$BW$16)-2*PI()*(BW8-$BW$14)/(BT45),IF(BT45=0,0,IF(BU45&lt;$BW$7,2*PI()*$BW$7/BT45-(2*$BW$16),2*PI()*(BW8-$BW$14)/(BT45)-(2*$BW$16))))))</f>
        <v>#DIV/0!</v>
      </c>
      <c r="BW45" s="81">
        <f>IF(BT45=0,0,ROUNDUP(360/BT45,0))</f>
        <v>0</v>
      </c>
      <c r="BX45" s="81">
        <f>BW45*PI()/180</f>
        <v>0</v>
      </c>
      <c r="BY45" s="81">
        <f ca="1">IF(BS45&gt;$BW$11,0,$BW$8-BS45*$BW$14)</f>
        <v>0</v>
      </c>
      <c r="BZ45" s="81">
        <f ca="1">IF(BY45=0,0,IF(BY45&lt;=$BW$18+$BW$17,$BW$18+$BW$17,BY45))</f>
        <v>0</v>
      </c>
    </row>
    <row r="46" spans="2:84" x14ac:dyDescent="0.35">
      <c r="C46" t="s">
        <v>2244</v>
      </c>
      <c r="D46" s="32">
        <v>0.09</v>
      </c>
      <c r="E46" t="s">
        <v>20</v>
      </c>
      <c r="F46" s="32"/>
      <c r="BD46" s="445">
        <f ca="1">IF(ROUNDUP(LARGE(BD33:BD44,1),0)=0,AL19,ROUNDUP(LARGE(BD33:BD44,1),0))</f>
        <v>1</v>
      </c>
      <c r="BE46" s="514">
        <f ca="1">IF(E6=0,0,IF(LARGE(BE33:BE44,1)=0,BD46*(AL9-0.3),LARGE(BE33:BE44,1)))</f>
        <v>0</v>
      </c>
      <c r="BF46" s="514">
        <f ca="1">IF(E6=0,0,IF(LARGE(BE33:BE44,1)=0,BE46-(BD46*D43),BE46-(BD46*D43*2)))</f>
        <v>0</v>
      </c>
      <c r="BQ46" s="2051" t="s">
        <v>2207</v>
      </c>
      <c r="BR46" s="32">
        <v>1</v>
      </c>
      <c r="BS46" s="32">
        <v>2</v>
      </c>
      <c r="BT46" s="385">
        <f ca="1">BT25</f>
        <v>0</v>
      </c>
      <c r="BU46" s="7">
        <f ca="1">BZ46</f>
        <v>0</v>
      </c>
      <c r="BV46" s="32">
        <f ca="1">IF(IF(BT46=0,0,IF(BU46&lt;$BW$7,2*PI()*$BW$7/BT46-(2*$BW$16),2*PI()*BU46/BT46)-(2*$BW$16))&lt;0,0,IF(BT46=0,0,IF(BU46&lt;$BW$7,2*PI()*$BW$7/BT46-(2*$BW$16),2*PI()*BU46/BT46)-(2*$BW$16)))</f>
        <v>0</v>
      </c>
      <c r="BW46" s="32">
        <f ca="1">IF(BT46=0,0,ROUNDUP(360/BT46,0))</f>
        <v>0</v>
      </c>
      <c r="BX46" s="32">
        <f t="shared" ref="BX46:BX54" ca="1" si="39">BW46*PI()/180</f>
        <v>0</v>
      </c>
      <c r="BY46" s="32">
        <f ca="1">IF(IF(AND(CD26=$BV$18,BT47=1),$BW$18,IF(BS46&gt;$BW$11,0,$BW$8-(BS46*$BW$14)-(BS46-1)*2*$BW$17))&lt;0,0,IF(AND(CD26=$BV$18,BT47=1),$BW$18,IF(BS46&gt;$BW$11,0,$BW$8-(BS46*$BW$14)-(BS46-1)*2*$BW$17)))</f>
        <v>0</v>
      </c>
      <c r="BZ46" s="387">
        <f ca="1">IF(BY46=0,0,IF(BY46&lt;=$BW$18+$BW$17,$BW$18+$BW$17,BY46))</f>
        <v>0</v>
      </c>
    </row>
    <row r="47" spans="2:84" ht="13.15" thickBot="1" x14ac:dyDescent="0.4">
      <c r="AJ47" s="627" t="s">
        <v>2245</v>
      </c>
      <c r="AK47">
        <v>3.5</v>
      </c>
      <c r="AL47" s="627" t="s">
        <v>20</v>
      </c>
      <c r="BD47" s="364" t="s">
        <v>2246</v>
      </c>
      <c r="BE47" s="515" t="s">
        <v>2247</v>
      </c>
      <c r="BF47" s="515" t="s">
        <v>2248</v>
      </c>
      <c r="BQ47" s="2051"/>
      <c r="BR47" s="32">
        <v>2</v>
      </c>
      <c r="BS47" s="32">
        <v>3</v>
      </c>
      <c r="BT47" s="32">
        <f t="shared" ref="BT47:BT60" ca="1" si="40">BT26</f>
        <v>0</v>
      </c>
      <c r="BU47" s="7">
        <f t="shared" ref="BU47:BU60" ca="1" si="41">BZ47</f>
        <v>0</v>
      </c>
      <c r="BV47" s="32">
        <f t="shared" ref="BV47:BV60" ca="1" si="42">IF(IF(BT47=0,0,IF(BU47&lt;$BW$7,2*PI()*$BW$7/BT47-(2*$BW$16),2*PI()*BU47/BT47)-(2*$BW$16))&lt;0,0,IF(BT47=0,0,IF(BU47&lt;$BW$7,2*PI()*$BW$7/BT47-(2*$BW$16),2*PI()*BU47/BT47)-(2*$BW$16)))</f>
        <v>0</v>
      </c>
      <c r="BW47" s="32">
        <f t="shared" ref="BW47:BW60" ca="1" si="43">IF(BT47=0,0,ROUNDUP(360/BT47,0))</f>
        <v>0</v>
      </c>
      <c r="BX47" s="32">
        <f t="shared" ca="1" si="39"/>
        <v>0</v>
      </c>
      <c r="BY47" s="32">
        <f ca="1">IF(IF(AND(CD27=$BV$18,BT48=1),$BW$18,IF(BS47&gt;$BW$11,0,$BW$8-(BS47*$BW$14)-(BS47-1)*2*$BW$17))&lt;0,0,IF(AND(CD27=$BV$18,BT48=1),$BW$18,IF(BS47&gt;$BW$11,0,$BW$8-(BS47*$BW$14)-(BS47-1)*2*$BW$17)))</f>
        <v>0</v>
      </c>
      <c r="BZ47" s="387">
        <f t="shared" ref="BZ47:BZ60" ca="1" si="44">IF(BY47=0,0,IF(BY47&lt;=$BW$18+$BW$17,$BW$18+$BW$17,BY47))</f>
        <v>0</v>
      </c>
    </row>
    <row r="48" spans="2:84" ht="13.15" thickBot="1" x14ac:dyDescent="0.4">
      <c r="BE48" s="516" t="s">
        <v>2249</v>
      </c>
      <c r="BF48" s="516" t="s">
        <v>2250</v>
      </c>
      <c r="BQ48" s="2051"/>
      <c r="BR48" s="32">
        <v>3</v>
      </c>
      <c r="BS48" s="32">
        <v>4</v>
      </c>
      <c r="BT48" s="7">
        <f ca="1">BT27</f>
        <v>0</v>
      </c>
      <c r="BU48" s="7">
        <f ca="1">BZ48</f>
        <v>0</v>
      </c>
      <c r="BV48" s="32">
        <f ca="1">IF(IF(BT48=0,0,IF(BU48&lt;$BW$7,2*PI()*$BW$7/BT48-(2*$BW$16),2*PI()*BU48/BT48)-(2*$BW$16))&lt;0,0,IF(BT48=0,0,IF(BU48&lt;$BW$7,2*PI()*$BW$7/BT48-(2*$BW$16),2*PI()*BU48/BT48)-(2*$BW$16)))</f>
        <v>0</v>
      </c>
      <c r="BW48" s="32">
        <f t="shared" ca="1" si="43"/>
        <v>0</v>
      </c>
      <c r="BX48" s="32">
        <f t="shared" ca="1" si="39"/>
        <v>0</v>
      </c>
      <c r="BY48" s="32">
        <f ca="1">IF(IF(AND(CD28=$BV$18,BT49=1),$BW$18,IF(BS48&gt;$BW$11,0,$BW$8-(BS48*$BW$14)-(BS48-1)*2*$BW$17))&lt;0,0,IF(AND(CD28=$BV$18,BT49=1),$BW$18,IF(BS48&gt;$BW$11,0,$BW$8-(BS48*$BW$14)-(BS48-1)*2*$BW$17)))</f>
        <v>0</v>
      </c>
      <c r="BZ48" s="32">
        <f ca="1">IF(BY48=0,0,IF(BY48&lt;=$BW$18+$BW$17,$BW$18+$BW$17,BY48))</f>
        <v>0</v>
      </c>
    </row>
    <row r="49" spans="2:78" x14ac:dyDescent="0.35">
      <c r="BQ49" s="2051"/>
      <c r="BR49" s="32">
        <v>4</v>
      </c>
      <c r="BS49" s="32">
        <v>5</v>
      </c>
      <c r="BT49" s="7">
        <f ca="1">BT28</f>
        <v>0</v>
      </c>
      <c r="BU49" s="7">
        <f t="shared" ca="1" si="41"/>
        <v>0</v>
      </c>
      <c r="BV49" s="32">
        <f t="shared" ca="1" si="42"/>
        <v>0</v>
      </c>
      <c r="BW49" s="32">
        <f t="shared" ca="1" si="43"/>
        <v>0</v>
      </c>
      <c r="BX49" s="32">
        <f t="shared" ca="1" si="39"/>
        <v>0</v>
      </c>
      <c r="BY49" s="32">
        <f t="shared" ref="BY49:BY60" ca="1" si="45">IF(IF(AND(CD29=$BV$18,BT50=1),$BW$18,IF(BS49&gt;$BW$11,0,$BW$8-(BS49*$BW$14)-(BS49-1)*2*$BW$17))&lt;0,0,IF(AND(CD29=$BV$18,BT50=1),$BW$18,IF(BS49&gt;$BW$11,0,$BW$8-(BS49*$BW$14)-(BS49-1)*2*$BW$17)))</f>
        <v>0</v>
      </c>
      <c r="BZ49" s="32">
        <f t="shared" ca="1" si="44"/>
        <v>0</v>
      </c>
    </row>
    <row r="50" spans="2:78" x14ac:dyDescent="0.35">
      <c r="BQ50" s="2051"/>
      <c r="BR50" s="32">
        <v>5</v>
      </c>
      <c r="BS50" s="32">
        <v>6</v>
      </c>
      <c r="BT50" s="32">
        <f t="shared" ca="1" si="40"/>
        <v>0</v>
      </c>
      <c r="BU50" s="7">
        <f t="shared" ca="1" si="41"/>
        <v>0</v>
      </c>
      <c r="BV50" s="32">
        <f t="shared" ca="1" si="42"/>
        <v>0</v>
      </c>
      <c r="BW50" s="32">
        <f t="shared" ca="1" si="43"/>
        <v>0</v>
      </c>
      <c r="BX50" s="32">
        <f t="shared" ca="1" si="39"/>
        <v>0</v>
      </c>
      <c r="BY50" s="32">
        <f t="shared" ca="1" si="45"/>
        <v>0</v>
      </c>
      <c r="BZ50" s="32">
        <f t="shared" ca="1" si="44"/>
        <v>0</v>
      </c>
    </row>
    <row r="51" spans="2:78" x14ac:dyDescent="0.35">
      <c r="B51" t="s">
        <v>649</v>
      </c>
      <c r="BQ51" s="2051"/>
      <c r="BR51" s="32">
        <v>6</v>
      </c>
      <c r="BS51" s="32">
        <v>7</v>
      </c>
      <c r="BT51" s="32">
        <f t="shared" ca="1" si="40"/>
        <v>0</v>
      </c>
      <c r="BU51" s="7">
        <f t="shared" ca="1" si="41"/>
        <v>0</v>
      </c>
      <c r="BV51" s="32">
        <f t="shared" ca="1" si="42"/>
        <v>0</v>
      </c>
      <c r="BW51" s="32">
        <f t="shared" ca="1" si="43"/>
        <v>0</v>
      </c>
      <c r="BX51" s="32">
        <f t="shared" ca="1" si="39"/>
        <v>0</v>
      </c>
      <c r="BY51" s="32">
        <f t="shared" ca="1" si="45"/>
        <v>0</v>
      </c>
      <c r="BZ51" s="32">
        <f t="shared" ca="1" si="44"/>
        <v>0</v>
      </c>
    </row>
    <row r="52" spans="2:78" x14ac:dyDescent="0.35">
      <c r="B52" t="s">
        <v>2251</v>
      </c>
      <c r="C52">
        <f ca="1">(D14+D15)*2*D16*D12</f>
        <v>0</v>
      </c>
      <c r="D52" t="s">
        <v>78</v>
      </c>
      <c r="BQ52" s="2051"/>
      <c r="BR52" s="32">
        <v>7</v>
      </c>
      <c r="BS52" s="32">
        <v>8</v>
      </c>
      <c r="BT52" s="32">
        <f t="shared" ca="1" si="40"/>
        <v>0</v>
      </c>
      <c r="BU52" s="7">
        <f t="shared" ca="1" si="41"/>
        <v>0</v>
      </c>
      <c r="BV52" s="32">
        <f t="shared" ca="1" si="42"/>
        <v>0</v>
      </c>
      <c r="BW52" s="32">
        <f t="shared" ca="1" si="43"/>
        <v>0</v>
      </c>
      <c r="BX52" s="32">
        <f t="shared" ca="1" si="39"/>
        <v>0</v>
      </c>
      <c r="BY52" s="32">
        <f t="shared" ca="1" si="45"/>
        <v>0</v>
      </c>
      <c r="BZ52" s="32">
        <f t="shared" ca="1" si="44"/>
        <v>0</v>
      </c>
    </row>
    <row r="53" spans="2:78" x14ac:dyDescent="0.35">
      <c r="B53" t="s">
        <v>2252</v>
      </c>
      <c r="C53" s="37">
        <f ca="1">(DD167+DE167)*E3</f>
        <v>0</v>
      </c>
      <c r="D53" t="s">
        <v>31</v>
      </c>
      <c r="BQ53" s="2051"/>
      <c r="BR53" s="32">
        <v>8</v>
      </c>
      <c r="BS53" s="32">
        <v>9</v>
      </c>
      <c r="BT53" s="32">
        <f t="shared" ca="1" si="40"/>
        <v>0</v>
      </c>
      <c r="BU53" s="7">
        <f t="shared" ca="1" si="41"/>
        <v>0</v>
      </c>
      <c r="BV53" s="32">
        <f t="shared" ca="1" si="42"/>
        <v>0</v>
      </c>
      <c r="BW53" s="32">
        <f t="shared" ca="1" si="43"/>
        <v>0</v>
      </c>
      <c r="BX53" s="32">
        <f t="shared" ca="1" si="39"/>
        <v>0</v>
      </c>
      <c r="BY53" s="32">
        <f t="shared" ca="1" si="45"/>
        <v>0</v>
      </c>
      <c r="BZ53" s="32">
        <f t="shared" ca="1" si="44"/>
        <v>0</v>
      </c>
    </row>
    <row r="54" spans="2:78" x14ac:dyDescent="0.35">
      <c r="B54" t="s">
        <v>2253</v>
      </c>
      <c r="C54">
        <f ca="1">C53*D17</f>
        <v>0</v>
      </c>
      <c r="D54" t="s">
        <v>64</v>
      </c>
      <c r="BQ54" s="2051"/>
      <c r="BR54" s="32">
        <v>9</v>
      </c>
      <c r="BS54" s="32">
        <v>10</v>
      </c>
      <c r="BT54" s="32">
        <f t="shared" ca="1" si="40"/>
        <v>0</v>
      </c>
      <c r="BU54" s="7">
        <f t="shared" ca="1" si="41"/>
        <v>0</v>
      </c>
      <c r="BV54" s="32">
        <f t="shared" ca="1" si="42"/>
        <v>0</v>
      </c>
      <c r="BW54" s="32">
        <f t="shared" ca="1" si="43"/>
        <v>0</v>
      </c>
      <c r="BX54" s="32">
        <f t="shared" ca="1" si="39"/>
        <v>0</v>
      </c>
      <c r="BY54" s="32">
        <f t="shared" ca="1" si="45"/>
        <v>0</v>
      </c>
      <c r="BZ54" s="32">
        <f t="shared" ca="1" si="44"/>
        <v>0</v>
      </c>
    </row>
    <row r="55" spans="2:78" x14ac:dyDescent="0.35">
      <c r="B55" t="s">
        <v>2254</v>
      </c>
      <c r="E55">
        <f ca="1">CP167+CQ167</f>
        <v>0</v>
      </c>
      <c r="F55" t="s">
        <v>1349</v>
      </c>
      <c r="BQ55" s="2051"/>
      <c r="BR55" s="32">
        <v>10</v>
      </c>
      <c r="BS55" s="32">
        <v>11</v>
      </c>
      <c r="BT55" s="32">
        <f t="shared" ca="1" si="40"/>
        <v>0</v>
      </c>
      <c r="BU55" s="7">
        <f t="shared" ca="1" si="41"/>
        <v>0</v>
      </c>
      <c r="BV55" s="32">
        <f t="shared" ca="1" si="42"/>
        <v>0</v>
      </c>
      <c r="BW55" s="32">
        <f t="shared" ca="1" si="43"/>
        <v>0</v>
      </c>
      <c r="BX55" s="32">
        <f t="shared" ref="BX55:BX60" ca="1" si="46">BW55*PI()/180</f>
        <v>0</v>
      </c>
      <c r="BY55" s="32">
        <f t="shared" ca="1" si="45"/>
        <v>0</v>
      </c>
      <c r="BZ55" s="32">
        <f t="shared" ca="1" si="44"/>
        <v>0</v>
      </c>
    </row>
    <row r="56" spans="2:78" x14ac:dyDescent="0.35">
      <c r="B56" t="s">
        <v>2255</v>
      </c>
      <c r="C56">
        <f ca="1">(D14+D15)*2*D16*D12</f>
        <v>0</v>
      </c>
      <c r="D56" t="s">
        <v>78</v>
      </c>
      <c r="BQ56" s="2051"/>
      <c r="BR56" s="32">
        <v>11</v>
      </c>
      <c r="BS56" s="32">
        <v>12</v>
      </c>
      <c r="BT56" s="32">
        <f t="shared" ca="1" si="40"/>
        <v>0</v>
      </c>
      <c r="BU56" s="7">
        <f t="shared" ca="1" si="41"/>
        <v>0</v>
      </c>
      <c r="BV56" s="32">
        <f t="shared" ca="1" si="42"/>
        <v>0</v>
      </c>
      <c r="BW56" s="32">
        <f t="shared" ca="1" si="43"/>
        <v>0</v>
      </c>
      <c r="BX56" s="32">
        <f t="shared" ca="1" si="46"/>
        <v>0</v>
      </c>
      <c r="BY56" s="32">
        <f t="shared" ca="1" si="45"/>
        <v>0</v>
      </c>
      <c r="BZ56" s="32">
        <f t="shared" ca="1" si="44"/>
        <v>0</v>
      </c>
    </row>
    <row r="57" spans="2:78" x14ac:dyDescent="0.35">
      <c r="BQ57" s="2051"/>
      <c r="BR57" s="32">
        <v>12</v>
      </c>
      <c r="BS57" s="32">
        <v>13</v>
      </c>
      <c r="BT57" s="32">
        <f t="shared" ca="1" si="40"/>
        <v>0</v>
      </c>
      <c r="BU57" s="7">
        <f t="shared" ca="1" si="41"/>
        <v>0</v>
      </c>
      <c r="BV57" s="32">
        <f t="shared" ca="1" si="42"/>
        <v>0</v>
      </c>
      <c r="BW57" s="32">
        <f t="shared" ca="1" si="43"/>
        <v>0</v>
      </c>
      <c r="BX57" s="32">
        <f t="shared" ca="1" si="46"/>
        <v>0</v>
      </c>
      <c r="BY57" s="32">
        <f t="shared" ca="1" si="45"/>
        <v>0</v>
      </c>
      <c r="BZ57" s="32">
        <f t="shared" ca="1" si="44"/>
        <v>0</v>
      </c>
    </row>
    <row r="58" spans="2:78" x14ac:dyDescent="0.35">
      <c r="B58" t="s">
        <v>2256</v>
      </c>
      <c r="BQ58" s="2051"/>
      <c r="BR58" s="32">
        <v>13</v>
      </c>
      <c r="BS58" s="32">
        <v>14</v>
      </c>
      <c r="BT58" s="32">
        <f t="shared" ca="1" si="40"/>
        <v>0</v>
      </c>
      <c r="BU58" s="7">
        <f t="shared" ca="1" si="41"/>
        <v>0</v>
      </c>
      <c r="BV58" s="32">
        <f t="shared" ca="1" si="42"/>
        <v>0</v>
      </c>
      <c r="BW58" s="32">
        <f t="shared" ca="1" si="43"/>
        <v>0</v>
      </c>
      <c r="BX58" s="32">
        <f t="shared" ca="1" si="46"/>
        <v>0</v>
      </c>
      <c r="BY58" s="32">
        <f t="shared" ca="1" si="45"/>
        <v>0</v>
      </c>
      <c r="BZ58" s="32">
        <f t="shared" ca="1" si="44"/>
        <v>0</v>
      </c>
    </row>
    <row r="59" spans="2:78" x14ac:dyDescent="0.35">
      <c r="B59" t="s">
        <v>2251</v>
      </c>
      <c r="C59">
        <f ca="1">IF(D29=0,0,CL167*E3)</f>
        <v>0</v>
      </c>
      <c r="D59" t="s">
        <v>78</v>
      </c>
      <c r="BQ59" s="2051"/>
      <c r="BR59" s="32">
        <v>14</v>
      </c>
      <c r="BS59" s="32">
        <v>15</v>
      </c>
      <c r="BT59" s="32">
        <f t="shared" ca="1" si="40"/>
        <v>0</v>
      </c>
      <c r="BU59" s="7">
        <f t="shared" ca="1" si="41"/>
        <v>0</v>
      </c>
      <c r="BV59" s="32">
        <f t="shared" ca="1" si="42"/>
        <v>0</v>
      </c>
      <c r="BW59" s="32">
        <f t="shared" ca="1" si="43"/>
        <v>0</v>
      </c>
      <c r="BX59" s="32">
        <f t="shared" ca="1" si="46"/>
        <v>0</v>
      </c>
      <c r="BY59" s="32">
        <f t="shared" ca="1" si="45"/>
        <v>0</v>
      </c>
      <c r="BZ59" s="32">
        <f t="shared" ca="1" si="44"/>
        <v>0</v>
      </c>
    </row>
    <row r="60" spans="2:78" x14ac:dyDescent="0.35">
      <c r="B60" t="s">
        <v>2252</v>
      </c>
      <c r="C60">
        <f ca="1">IF(D29=0,0,CM167*E3)</f>
        <v>0</v>
      </c>
      <c r="D60" t="s">
        <v>31</v>
      </c>
      <c r="BQ60" s="2051"/>
      <c r="BR60" s="32">
        <v>15</v>
      </c>
      <c r="BS60" s="32">
        <v>16</v>
      </c>
      <c r="BT60" s="32">
        <f t="shared" ca="1" si="40"/>
        <v>0</v>
      </c>
      <c r="BU60" s="7">
        <f t="shared" ca="1" si="41"/>
        <v>0</v>
      </c>
      <c r="BV60" s="32">
        <f t="shared" ca="1" si="42"/>
        <v>0</v>
      </c>
      <c r="BW60" s="32">
        <f t="shared" ca="1" si="43"/>
        <v>0</v>
      </c>
      <c r="BX60" s="32">
        <f t="shared" ca="1" si="46"/>
        <v>0</v>
      </c>
      <c r="BY60" s="32">
        <f t="shared" ca="1" si="45"/>
        <v>0</v>
      </c>
      <c r="BZ60" s="32">
        <f t="shared" ca="1" si="44"/>
        <v>0</v>
      </c>
    </row>
    <row r="61" spans="2:78" x14ac:dyDescent="0.35">
      <c r="B61" t="s">
        <v>2253</v>
      </c>
      <c r="C61">
        <f ca="1">C60*D32</f>
        <v>0</v>
      </c>
      <c r="D61" t="s">
        <v>64</v>
      </c>
    </row>
    <row r="62" spans="2:78" ht="12.75" customHeight="1" x14ac:dyDescent="0.35">
      <c r="B62" t="s">
        <v>2255</v>
      </c>
      <c r="C62">
        <f ca="1">IF(D29=0,0,CL167*E3)</f>
        <v>0</v>
      </c>
      <c r="D62" t="s">
        <v>78</v>
      </c>
      <c r="BX62" s="2123" t="s">
        <v>2257</v>
      </c>
    </row>
    <row r="63" spans="2:78" x14ac:dyDescent="0.35">
      <c r="BX63" s="2123"/>
    </row>
    <row r="64" spans="2:78" x14ac:dyDescent="0.35">
      <c r="B64" t="s">
        <v>2258</v>
      </c>
      <c r="BX64" s="2123"/>
    </row>
    <row r="65" spans="2:186" ht="13.15" thickBot="1" x14ac:dyDescent="0.4">
      <c r="B65" t="s">
        <v>2251</v>
      </c>
      <c r="C65">
        <f ca="1">(PI()*AL9^2)*E3+(BZ87*D40*2)+(CA87*2*D46)+((BT87*((D44-D46)*(D42+D43)/2)*2))+(BW10*D44*E3)+(AL12*(D44+D46)*E3)</f>
        <v>1.5393804002589984</v>
      </c>
      <c r="D65" t="s">
        <v>78</v>
      </c>
      <c r="BX65" s="2123"/>
      <c r="DD65">
        <f>IF(DG71*DF71&lt;=DE71,DG71*DF71,DE71)</f>
        <v>0</v>
      </c>
    </row>
    <row r="66" spans="2:186" x14ac:dyDescent="0.35">
      <c r="B66" t="s">
        <v>2252</v>
      </c>
      <c r="C66">
        <f ca="1">IF(E6=0,0,CC87)</f>
        <v>0</v>
      </c>
      <c r="D66" t="s">
        <v>31</v>
      </c>
      <c r="BR66" s="511" t="s">
        <v>2259</v>
      </c>
      <c r="BS66" s="511"/>
      <c r="BX66" s="7">
        <f>IF(BT24=0,0,(BW10*BU24/2-PI()*BU24^2/BT24)*BT71)</f>
        <v>0</v>
      </c>
      <c r="CG66" s="542"/>
      <c r="CH66" s="2126" t="s">
        <v>2260</v>
      </c>
      <c r="CI66" s="2126"/>
      <c r="CJ66" s="2126"/>
      <c r="CK66" s="2126"/>
      <c r="CL66" s="2126"/>
      <c r="CM66" s="2126"/>
      <c r="CN66" s="2126"/>
      <c r="CO66" s="2126"/>
      <c r="CP66" s="2126"/>
      <c r="CQ66" s="2126"/>
      <c r="CR66" s="2126"/>
      <c r="CS66" s="2126"/>
      <c r="CT66" s="2126"/>
      <c r="CU66" s="2126"/>
      <c r="CV66" s="2126"/>
      <c r="CW66" s="543">
        <f>ENTRADAS!I461</f>
        <v>12.4</v>
      </c>
      <c r="CX66" s="558">
        <f>AO273</f>
        <v>25</v>
      </c>
      <c r="CY66" s="541"/>
      <c r="CZ66" s="542"/>
      <c r="DA66" s="2126" t="s">
        <v>2261</v>
      </c>
      <c r="DB66" s="2126"/>
      <c r="DC66" s="2126"/>
      <c r="DD66" s="2126"/>
      <c r="DE66" s="2126"/>
      <c r="DF66" s="2126"/>
      <c r="DG66" s="2126"/>
      <c r="DH66" s="2126"/>
      <c r="DI66" s="2126"/>
      <c r="DJ66" s="2126"/>
      <c r="DK66" s="2126"/>
      <c r="DL66" s="2126"/>
      <c r="DM66" s="2126"/>
      <c r="DN66" s="2126"/>
      <c r="DO66" s="2126"/>
      <c r="DP66" s="543">
        <f>ENTRADAS!I462</f>
        <v>12.4</v>
      </c>
      <c r="DQ66" s="558">
        <f>AO274</f>
        <v>31</v>
      </c>
      <c r="DR66" s="541"/>
      <c r="DS66" s="542"/>
      <c r="DT66" s="2126" t="s">
        <v>2262</v>
      </c>
      <c r="DU66" s="2126"/>
      <c r="DV66" s="2126"/>
      <c r="DW66" s="2126"/>
      <c r="DX66" s="2126"/>
      <c r="DY66" s="2126"/>
      <c r="DZ66" s="2126"/>
      <c r="EA66" s="2126"/>
      <c r="EB66" s="2126"/>
      <c r="EC66" s="2126"/>
      <c r="ED66" s="2126"/>
      <c r="EE66" s="2126"/>
      <c r="EF66" s="2126"/>
      <c r="EG66" s="2126"/>
      <c r="EH66" s="2126"/>
      <c r="EI66" s="543">
        <f>ENTRADAS!I463</f>
        <v>15</v>
      </c>
      <c r="EJ66" s="558">
        <f>AO275</f>
        <v>25</v>
      </c>
      <c r="EK66" s="541"/>
      <c r="EL66" s="542"/>
      <c r="EM66" s="2126" t="s">
        <v>2263</v>
      </c>
      <c r="EN66" s="2126"/>
      <c r="EO66" s="2126"/>
      <c r="EP66" s="2126"/>
      <c r="EQ66" s="2126"/>
      <c r="ER66" s="2126"/>
      <c r="ES66" s="2126"/>
      <c r="ET66" s="2126"/>
      <c r="EU66" s="2126"/>
      <c r="EV66" s="2126"/>
      <c r="EW66" s="2126"/>
      <c r="EX66" s="2126"/>
      <c r="EY66" s="2126"/>
      <c r="EZ66" s="2126"/>
      <c r="FA66" s="2126"/>
      <c r="FB66" s="543">
        <f>ENTRADAS!I464</f>
        <v>15</v>
      </c>
      <c r="FC66" s="558">
        <f>AO276</f>
        <v>31</v>
      </c>
      <c r="FD66" s="541"/>
      <c r="FE66" s="542"/>
      <c r="FF66" s="2153" t="s">
        <v>2264</v>
      </c>
      <c r="FG66" s="2126"/>
      <c r="FH66" s="2126"/>
      <c r="FI66" s="2126"/>
      <c r="FJ66" s="2126"/>
      <c r="FK66" s="2126"/>
      <c r="FL66" s="2126"/>
      <c r="FM66" s="2126"/>
      <c r="FN66" s="2126"/>
      <c r="FO66" s="2126"/>
      <c r="FP66" s="2126"/>
      <c r="FQ66" s="2126"/>
      <c r="FR66" s="2126"/>
      <c r="FS66" s="2126"/>
      <c r="FT66" s="2126"/>
      <c r="FU66" s="543">
        <f>ENTRADAS!I465</f>
        <v>15</v>
      </c>
      <c r="FV66" s="558">
        <f>AO277</f>
        <v>35</v>
      </c>
      <c r="FW66" s="541"/>
      <c r="FY66" s="2069" t="s">
        <v>2265</v>
      </c>
      <c r="FZ66" s="1542"/>
      <c r="GA66" s="1542"/>
      <c r="GB66" s="1542"/>
      <c r="GC66" s="1545"/>
    </row>
    <row r="67" spans="2:186" ht="12.75" customHeight="1" x14ac:dyDescent="0.35">
      <c r="B67" t="s">
        <v>2253</v>
      </c>
      <c r="C67">
        <f ca="1">C66*D36</f>
        <v>0</v>
      </c>
      <c r="D67" t="s">
        <v>64</v>
      </c>
      <c r="BS67" s="2123" t="s">
        <v>2186</v>
      </c>
      <c r="BT67" s="2123" t="s">
        <v>2187</v>
      </c>
      <c r="BU67" s="2123" t="s">
        <v>2266</v>
      </c>
      <c r="BV67" s="2123" t="s">
        <v>2189</v>
      </c>
      <c r="BW67" s="2123" t="s">
        <v>2233</v>
      </c>
      <c r="BX67" s="2123" t="s">
        <v>2267</v>
      </c>
      <c r="BY67" s="2123" t="s">
        <v>2268</v>
      </c>
      <c r="BZ67" s="2123" t="s">
        <v>2269</v>
      </c>
      <c r="CA67" s="2123" t="s">
        <v>2270</v>
      </c>
      <c r="CB67" s="2123" t="s">
        <v>2271</v>
      </c>
      <c r="CC67" s="2123" t="s">
        <v>2272</v>
      </c>
      <c r="CD67" s="2123" t="s">
        <v>2273</v>
      </c>
      <c r="CE67" s="2145" t="s">
        <v>2274</v>
      </c>
      <c r="CF67" s="2145" t="s">
        <v>2275</v>
      </c>
      <c r="CG67" s="2137" t="s">
        <v>2276</v>
      </c>
      <c r="CH67" s="2127" t="s">
        <v>2277</v>
      </c>
      <c r="CI67" s="2128" t="s">
        <v>1844</v>
      </c>
      <c r="CJ67" s="2129"/>
      <c r="CK67" s="2130"/>
      <c r="CL67" s="2120" t="s">
        <v>2278</v>
      </c>
      <c r="CM67" s="2120" t="s">
        <v>2279</v>
      </c>
      <c r="CN67" s="2123" t="s">
        <v>2280</v>
      </c>
      <c r="CO67" s="2123" t="s">
        <v>2281</v>
      </c>
      <c r="CP67" s="2120" t="s">
        <v>2282</v>
      </c>
      <c r="CQ67" s="2120" t="s">
        <v>2283</v>
      </c>
      <c r="CR67" s="2120" t="s">
        <v>2284</v>
      </c>
      <c r="CS67" s="2123" t="s">
        <v>2285</v>
      </c>
      <c r="CT67" s="2120" t="s">
        <v>2286</v>
      </c>
      <c r="CU67" s="2120" t="s">
        <v>2287</v>
      </c>
      <c r="CV67" s="2123" t="s">
        <v>2288</v>
      </c>
      <c r="CW67" s="2123" t="s">
        <v>2289</v>
      </c>
      <c r="CX67" s="2123" t="s">
        <v>2290</v>
      </c>
      <c r="CY67" s="2152" t="s">
        <v>2291</v>
      </c>
      <c r="CZ67" s="2137" t="s">
        <v>2276</v>
      </c>
      <c r="DA67" s="2127" t="s">
        <v>2277</v>
      </c>
      <c r="DB67" s="2128" t="s">
        <v>1844</v>
      </c>
      <c r="DC67" s="2129"/>
      <c r="DD67" s="2130"/>
      <c r="DE67" s="2120" t="s">
        <v>2278</v>
      </c>
      <c r="DF67" s="2120" t="s">
        <v>2279</v>
      </c>
      <c r="DG67" s="2123" t="s">
        <v>2280</v>
      </c>
      <c r="DH67" s="2123" t="s">
        <v>2281</v>
      </c>
      <c r="DI67" s="2120" t="s">
        <v>2282</v>
      </c>
      <c r="DJ67" s="2120" t="s">
        <v>2283</v>
      </c>
      <c r="DK67" s="2120" t="s">
        <v>2284</v>
      </c>
      <c r="DL67" s="2123" t="s">
        <v>2285</v>
      </c>
      <c r="DM67" s="2120" t="s">
        <v>2286</v>
      </c>
      <c r="DN67" s="2120" t="s">
        <v>2287</v>
      </c>
      <c r="DO67" s="2123" t="s">
        <v>2288</v>
      </c>
      <c r="DP67" s="2123" t="s">
        <v>2292</v>
      </c>
      <c r="DQ67" s="2123" t="s">
        <v>2290</v>
      </c>
      <c r="DR67" s="2152" t="s">
        <v>2291</v>
      </c>
      <c r="DS67" s="2137" t="s">
        <v>2276</v>
      </c>
      <c r="DT67" s="2127" t="s">
        <v>2277</v>
      </c>
      <c r="DU67" s="2128" t="s">
        <v>1844</v>
      </c>
      <c r="DV67" s="2129"/>
      <c r="DW67" s="2130"/>
      <c r="DX67" s="2120" t="s">
        <v>2278</v>
      </c>
      <c r="DY67" s="2120" t="s">
        <v>2279</v>
      </c>
      <c r="DZ67" s="2123" t="s">
        <v>2280</v>
      </c>
      <c r="EA67" s="2123" t="s">
        <v>2281</v>
      </c>
      <c r="EB67" s="2120" t="s">
        <v>2282</v>
      </c>
      <c r="EC67" s="2120" t="s">
        <v>2283</v>
      </c>
      <c r="ED67" s="2120" t="s">
        <v>2284</v>
      </c>
      <c r="EE67" s="2123" t="s">
        <v>2285</v>
      </c>
      <c r="EF67" s="2120" t="s">
        <v>2286</v>
      </c>
      <c r="EG67" s="2120" t="s">
        <v>2287</v>
      </c>
      <c r="EH67" s="2123" t="s">
        <v>2288</v>
      </c>
      <c r="EI67" s="2123" t="s">
        <v>2289</v>
      </c>
      <c r="EJ67" s="2123" t="s">
        <v>2290</v>
      </c>
      <c r="EK67" s="2152" t="s">
        <v>2291</v>
      </c>
      <c r="EL67" s="2137" t="s">
        <v>2276</v>
      </c>
      <c r="EM67" s="2127" t="s">
        <v>2277</v>
      </c>
      <c r="EN67" s="2128" t="s">
        <v>1844</v>
      </c>
      <c r="EO67" s="2129"/>
      <c r="EP67" s="2130"/>
      <c r="EQ67" s="2120" t="s">
        <v>2278</v>
      </c>
      <c r="ER67" s="2120" t="s">
        <v>2279</v>
      </c>
      <c r="ES67" s="2123" t="s">
        <v>2280</v>
      </c>
      <c r="ET67" s="2123" t="s">
        <v>2281</v>
      </c>
      <c r="EU67" s="2120" t="s">
        <v>2282</v>
      </c>
      <c r="EV67" s="2120" t="s">
        <v>2283</v>
      </c>
      <c r="EW67" s="2120" t="s">
        <v>2284</v>
      </c>
      <c r="EX67" s="2123" t="s">
        <v>2285</v>
      </c>
      <c r="EY67" s="2120" t="s">
        <v>2286</v>
      </c>
      <c r="EZ67" s="2120" t="s">
        <v>2287</v>
      </c>
      <c r="FA67" s="2123" t="s">
        <v>2288</v>
      </c>
      <c r="FB67" s="2123" t="s">
        <v>2289</v>
      </c>
      <c r="FC67" s="2123" t="s">
        <v>2290</v>
      </c>
      <c r="FD67" s="2152" t="s">
        <v>2291</v>
      </c>
      <c r="FE67" s="2137" t="s">
        <v>2276</v>
      </c>
      <c r="FF67" s="2127" t="s">
        <v>2277</v>
      </c>
      <c r="FG67" s="2128" t="s">
        <v>1844</v>
      </c>
      <c r="FH67" s="2129"/>
      <c r="FI67" s="2130"/>
      <c r="FJ67" s="2120" t="s">
        <v>2278</v>
      </c>
      <c r="FK67" s="2120" t="s">
        <v>2279</v>
      </c>
      <c r="FL67" s="2123" t="s">
        <v>2280</v>
      </c>
      <c r="FM67" s="2123" t="s">
        <v>2281</v>
      </c>
      <c r="FN67" s="2120" t="s">
        <v>2282</v>
      </c>
      <c r="FO67" s="2120" t="s">
        <v>2283</v>
      </c>
      <c r="FP67" s="2120" t="s">
        <v>2284</v>
      </c>
      <c r="FQ67" s="2123" t="s">
        <v>2285</v>
      </c>
      <c r="FR67" s="2120" t="s">
        <v>2286</v>
      </c>
      <c r="FS67" s="2120" t="s">
        <v>2287</v>
      </c>
      <c r="FT67" s="2123" t="s">
        <v>2288</v>
      </c>
      <c r="FU67" s="2123" t="s">
        <v>2289</v>
      </c>
      <c r="FV67" s="2123" t="s">
        <v>2290</v>
      </c>
      <c r="FW67" s="2152" t="s">
        <v>2291</v>
      </c>
      <c r="FY67" s="32" t="s">
        <v>2293</v>
      </c>
      <c r="FZ67" s="32" t="s">
        <v>2294</v>
      </c>
      <c r="GA67" s="32" t="s">
        <v>2295</v>
      </c>
      <c r="GB67" s="32" t="s">
        <v>2296</v>
      </c>
      <c r="GC67" s="32" t="s">
        <v>2297</v>
      </c>
    </row>
    <row r="68" spans="2:186" ht="12.75" customHeight="1" x14ac:dyDescent="0.35">
      <c r="B68" t="s">
        <v>2255</v>
      </c>
      <c r="C68">
        <f ca="1">(PI()*(AL9-BW6)^2)*E3+(BZ87*D40*2)</f>
        <v>0</v>
      </c>
      <c r="BS68" s="2123"/>
      <c r="BT68" s="2123"/>
      <c r="BU68" s="2123"/>
      <c r="BV68" s="2123"/>
      <c r="BW68" s="2123"/>
      <c r="BX68" s="2123"/>
      <c r="BY68" s="2123"/>
      <c r="BZ68" s="2123"/>
      <c r="CA68" s="2123"/>
      <c r="CB68" s="2123"/>
      <c r="CC68" s="2123"/>
      <c r="CD68" s="2123"/>
      <c r="CE68" s="2145"/>
      <c r="CF68" s="2145"/>
      <c r="CG68" s="2137"/>
      <c r="CH68" s="2127"/>
      <c r="CI68" s="2131"/>
      <c r="CJ68" s="2132"/>
      <c r="CK68" s="2133"/>
      <c r="CL68" s="2121"/>
      <c r="CM68" s="2121"/>
      <c r="CN68" s="2123"/>
      <c r="CO68" s="2123"/>
      <c r="CP68" s="2121"/>
      <c r="CQ68" s="2121"/>
      <c r="CR68" s="2121"/>
      <c r="CS68" s="2123"/>
      <c r="CT68" s="2121"/>
      <c r="CU68" s="2121"/>
      <c r="CV68" s="2123"/>
      <c r="CW68" s="2123"/>
      <c r="CX68" s="2123"/>
      <c r="CY68" s="2152"/>
      <c r="CZ68" s="2137"/>
      <c r="DA68" s="2127"/>
      <c r="DB68" s="2131"/>
      <c r="DC68" s="2132"/>
      <c r="DD68" s="2133"/>
      <c r="DE68" s="2121"/>
      <c r="DF68" s="2121"/>
      <c r="DG68" s="2123"/>
      <c r="DH68" s="2123"/>
      <c r="DI68" s="2121"/>
      <c r="DJ68" s="2121"/>
      <c r="DK68" s="2121"/>
      <c r="DL68" s="2123"/>
      <c r="DM68" s="2121"/>
      <c r="DN68" s="2121"/>
      <c r="DO68" s="2123"/>
      <c r="DP68" s="2123"/>
      <c r="DQ68" s="2123"/>
      <c r="DR68" s="2152"/>
      <c r="DS68" s="2137"/>
      <c r="DT68" s="2127"/>
      <c r="DU68" s="2131"/>
      <c r="DV68" s="2132"/>
      <c r="DW68" s="2133"/>
      <c r="DX68" s="2121"/>
      <c r="DY68" s="2121"/>
      <c r="DZ68" s="2123"/>
      <c r="EA68" s="2123"/>
      <c r="EB68" s="2121"/>
      <c r="EC68" s="2121"/>
      <c r="ED68" s="2121"/>
      <c r="EE68" s="2123"/>
      <c r="EF68" s="2121"/>
      <c r="EG68" s="2121"/>
      <c r="EH68" s="2123"/>
      <c r="EI68" s="2123"/>
      <c r="EJ68" s="2123"/>
      <c r="EK68" s="2152"/>
      <c r="EL68" s="2137"/>
      <c r="EM68" s="2127"/>
      <c r="EN68" s="2131"/>
      <c r="EO68" s="2132"/>
      <c r="EP68" s="2133"/>
      <c r="EQ68" s="2121"/>
      <c r="ER68" s="2121"/>
      <c r="ES68" s="2123"/>
      <c r="ET68" s="2123"/>
      <c r="EU68" s="2121"/>
      <c r="EV68" s="2121"/>
      <c r="EW68" s="2121"/>
      <c r="EX68" s="2123"/>
      <c r="EY68" s="2121"/>
      <c r="EZ68" s="2121"/>
      <c r="FA68" s="2123"/>
      <c r="FB68" s="2123"/>
      <c r="FC68" s="2123"/>
      <c r="FD68" s="2152"/>
      <c r="FE68" s="2137"/>
      <c r="FF68" s="2127"/>
      <c r="FG68" s="2131"/>
      <c r="FH68" s="2132"/>
      <c r="FI68" s="2133"/>
      <c r="FJ68" s="2121"/>
      <c r="FK68" s="2121"/>
      <c r="FL68" s="2123"/>
      <c r="FM68" s="2123"/>
      <c r="FN68" s="2121"/>
      <c r="FO68" s="2121"/>
      <c r="FP68" s="2121"/>
      <c r="FQ68" s="2123"/>
      <c r="FR68" s="2121"/>
      <c r="FS68" s="2121"/>
      <c r="FT68" s="2123"/>
      <c r="FU68" s="2123"/>
      <c r="FV68" s="2123"/>
      <c r="FW68" s="2152"/>
      <c r="FY68" s="2074" t="s">
        <v>2298</v>
      </c>
      <c r="FZ68" s="2074" t="s">
        <v>2298</v>
      </c>
      <c r="GA68" s="2074" t="s">
        <v>2298</v>
      </c>
      <c r="GB68" s="2074" t="s">
        <v>2298</v>
      </c>
      <c r="GC68" s="2074" t="s">
        <v>2298</v>
      </c>
    </row>
    <row r="69" spans="2:186" x14ac:dyDescent="0.35">
      <c r="B69" t="s">
        <v>2299</v>
      </c>
      <c r="C69">
        <f ca="1">((PI()*(AL9)^2)-(PI()*(AL9-BW6)^2))*E3+(AL9*PI()*D44)*E3</f>
        <v>2.3750440461138833</v>
      </c>
      <c r="E69" t="s">
        <v>2300</v>
      </c>
      <c r="F69">
        <f ca="1">(PI()*(AL9)^2)*E3</f>
        <v>1.5393804002589984</v>
      </c>
      <c r="BS69" s="2123"/>
      <c r="BT69" s="2123"/>
      <c r="BU69" s="2123"/>
      <c r="BV69" s="2123"/>
      <c r="BW69" s="2123"/>
      <c r="BX69" s="2123"/>
      <c r="BY69" s="2123"/>
      <c r="BZ69" s="2123"/>
      <c r="CA69" s="2123"/>
      <c r="CB69" s="2123"/>
      <c r="CC69" s="2123"/>
      <c r="CD69" s="2123"/>
      <c r="CE69" s="2145"/>
      <c r="CF69" s="2145"/>
      <c r="CG69" s="2137"/>
      <c r="CH69" s="2127"/>
      <c r="CI69" s="2131"/>
      <c r="CJ69" s="2132"/>
      <c r="CK69" s="2133"/>
      <c r="CL69" s="2121"/>
      <c r="CM69" s="2121"/>
      <c r="CN69" s="2123"/>
      <c r="CO69" s="2123"/>
      <c r="CP69" s="2121"/>
      <c r="CQ69" s="2121"/>
      <c r="CR69" s="2121"/>
      <c r="CS69" s="2123"/>
      <c r="CT69" s="2121"/>
      <c r="CU69" s="2121"/>
      <c r="CV69" s="2123"/>
      <c r="CW69" s="2123"/>
      <c r="CX69" s="2123"/>
      <c r="CY69" s="2152"/>
      <c r="CZ69" s="2137"/>
      <c r="DA69" s="2127"/>
      <c r="DB69" s="2131"/>
      <c r="DC69" s="2132"/>
      <c r="DD69" s="2133"/>
      <c r="DE69" s="2121"/>
      <c r="DF69" s="2121"/>
      <c r="DG69" s="2123"/>
      <c r="DH69" s="2123"/>
      <c r="DI69" s="2121"/>
      <c r="DJ69" s="2121"/>
      <c r="DK69" s="2121"/>
      <c r="DL69" s="2123"/>
      <c r="DM69" s="2121"/>
      <c r="DN69" s="2121"/>
      <c r="DO69" s="2123"/>
      <c r="DP69" s="2123"/>
      <c r="DQ69" s="2123"/>
      <c r="DR69" s="2152"/>
      <c r="DS69" s="2137"/>
      <c r="DT69" s="2127"/>
      <c r="DU69" s="2131"/>
      <c r="DV69" s="2132"/>
      <c r="DW69" s="2133"/>
      <c r="DX69" s="2121"/>
      <c r="DY69" s="2121"/>
      <c r="DZ69" s="2123"/>
      <c r="EA69" s="2123"/>
      <c r="EB69" s="2121"/>
      <c r="EC69" s="2121"/>
      <c r="ED69" s="2121"/>
      <c r="EE69" s="2123"/>
      <c r="EF69" s="2121"/>
      <c r="EG69" s="2121"/>
      <c r="EH69" s="2123"/>
      <c r="EI69" s="2123"/>
      <c r="EJ69" s="2123"/>
      <c r="EK69" s="2152"/>
      <c r="EL69" s="2137"/>
      <c r="EM69" s="2127"/>
      <c r="EN69" s="2131"/>
      <c r="EO69" s="2132"/>
      <c r="EP69" s="2133"/>
      <c r="EQ69" s="2121"/>
      <c r="ER69" s="2121"/>
      <c r="ES69" s="2123"/>
      <c r="ET69" s="2123"/>
      <c r="EU69" s="2121"/>
      <c r="EV69" s="2121"/>
      <c r="EW69" s="2121"/>
      <c r="EX69" s="2123"/>
      <c r="EY69" s="2121"/>
      <c r="EZ69" s="2121"/>
      <c r="FA69" s="2123"/>
      <c r="FB69" s="2123"/>
      <c r="FC69" s="2123"/>
      <c r="FD69" s="2152"/>
      <c r="FE69" s="2137"/>
      <c r="FF69" s="2127"/>
      <c r="FG69" s="2131"/>
      <c r="FH69" s="2132"/>
      <c r="FI69" s="2133"/>
      <c r="FJ69" s="2121"/>
      <c r="FK69" s="2121"/>
      <c r="FL69" s="2123"/>
      <c r="FM69" s="2123"/>
      <c r="FN69" s="2121"/>
      <c r="FO69" s="2121"/>
      <c r="FP69" s="2121"/>
      <c r="FQ69" s="2123"/>
      <c r="FR69" s="2121"/>
      <c r="FS69" s="2121"/>
      <c r="FT69" s="2123"/>
      <c r="FU69" s="2123"/>
      <c r="FV69" s="2123"/>
      <c r="FW69" s="2152"/>
      <c r="FY69" s="2074"/>
      <c r="FZ69" s="2074"/>
      <c r="GA69" s="2074"/>
      <c r="GB69" s="2074"/>
      <c r="GC69" s="2074"/>
    </row>
    <row r="70" spans="2:186" ht="20.25" customHeight="1" x14ac:dyDescent="0.35">
      <c r="B70" t="s">
        <v>2301</v>
      </c>
      <c r="BS70" s="2123"/>
      <c r="BT70" s="2123"/>
      <c r="BU70" s="2123"/>
      <c r="BV70" s="2123"/>
      <c r="BW70" s="2123"/>
      <c r="BX70" s="2123"/>
      <c r="BY70" s="2123"/>
      <c r="BZ70" s="2123" t="s">
        <v>2302</v>
      </c>
      <c r="CA70" s="2123" t="s">
        <v>2302</v>
      </c>
      <c r="CB70" s="2123" t="s">
        <v>2302</v>
      </c>
      <c r="CC70" s="2123" t="s">
        <v>2302</v>
      </c>
      <c r="CD70" s="2123"/>
      <c r="CE70" s="2145" t="s">
        <v>2302</v>
      </c>
      <c r="CF70" s="2145"/>
      <c r="CG70" s="2137"/>
      <c r="CH70" s="2127"/>
      <c r="CI70" s="2134"/>
      <c r="CJ70" s="2135"/>
      <c r="CK70" s="2136"/>
      <c r="CL70" s="2122"/>
      <c r="CM70" s="2122"/>
      <c r="CN70" s="2123"/>
      <c r="CO70" s="2123"/>
      <c r="CP70" s="2122"/>
      <c r="CQ70" s="2122"/>
      <c r="CR70" s="2122"/>
      <c r="CS70" s="2123"/>
      <c r="CT70" s="2122"/>
      <c r="CU70" s="2122"/>
      <c r="CV70" s="2123"/>
      <c r="CW70" s="2123"/>
      <c r="CX70" s="2123"/>
      <c r="CY70" s="2152"/>
      <c r="CZ70" s="2137"/>
      <c r="DA70" s="2127"/>
      <c r="DB70" s="2134"/>
      <c r="DC70" s="2135"/>
      <c r="DD70" s="2136"/>
      <c r="DE70" s="2122"/>
      <c r="DF70" s="2122"/>
      <c r="DG70" s="2123"/>
      <c r="DH70" s="2123"/>
      <c r="DI70" s="2122"/>
      <c r="DJ70" s="2122"/>
      <c r="DK70" s="2122"/>
      <c r="DL70" s="2123"/>
      <c r="DM70" s="2122"/>
      <c r="DN70" s="2122"/>
      <c r="DO70" s="2123"/>
      <c r="DP70" s="2123"/>
      <c r="DQ70" s="2123"/>
      <c r="DR70" s="2152"/>
      <c r="DS70" s="2137"/>
      <c r="DT70" s="2127"/>
      <c r="DU70" s="2134"/>
      <c r="DV70" s="2135"/>
      <c r="DW70" s="2136"/>
      <c r="DX70" s="2122"/>
      <c r="DY70" s="2122"/>
      <c r="DZ70" s="2123"/>
      <c r="EA70" s="2123"/>
      <c r="EB70" s="2122"/>
      <c r="EC70" s="2122"/>
      <c r="ED70" s="2122"/>
      <c r="EE70" s="2123"/>
      <c r="EF70" s="2122"/>
      <c r="EG70" s="2122"/>
      <c r="EH70" s="2123"/>
      <c r="EI70" s="2123"/>
      <c r="EJ70" s="2123"/>
      <c r="EK70" s="2152"/>
      <c r="EL70" s="2137"/>
      <c r="EM70" s="2127"/>
      <c r="EN70" s="2134"/>
      <c r="EO70" s="2135"/>
      <c r="EP70" s="2136"/>
      <c r="EQ70" s="2122"/>
      <c r="ER70" s="2122"/>
      <c r="ES70" s="2123"/>
      <c r="ET70" s="2123"/>
      <c r="EU70" s="2122"/>
      <c r="EV70" s="2122"/>
      <c r="EW70" s="2122"/>
      <c r="EX70" s="2123"/>
      <c r="EY70" s="2122"/>
      <c r="EZ70" s="2122"/>
      <c r="FA70" s="2123"/>
      <c r="FB70" s="2123"/>
      <c r="FC70" s="2123"/>
      <c r="FD70" s="2152"/>
      <c r="FE70" s="2137"/>
      <c r="FF70" s="2127"/>
      <c r="FG70" s="2134"/>
      <c r="FH70" s="2135"/>
      <c r="FI70" s="2136"/>
      <c r="FJ70" s="2122"/>
      <c r="FK70" s="2122"/>
      <c r="FL70" s="2123"/>
      <c r="FM70" s="2123"/>
      <c r="FN70" s="2122"/>
      <c r="FO70" s="2122"/>
      <c r="FP70" s="2122"/>
      <c r="FQ70" s="2123"/>
      <c r="FR70" s="2122"/>
      <c r="FS70" s="2122"/>
      <c r="FT70" s="2123"/>
      <c r="FU70" s="2123"/>
      <c r="FV70" s="2123"/>
      <c r="FW70" s="2152"/>
      <c r="FY70" s="2074"/>
      <c r="FZ70" s="2074"/>
      <c r="GA70" s="2074"/>
      <c r="GB70" s="2074"/>
      <c r="GC70" s="2074"/>
    </row>
    <row r="71" spans="2:186" x14ac:dyDescent="0.35">
      <c r="B71" t="s">
        <v>2251</v>
      </c>
      <c r="C71">
        <f ca="1">D12*(D14*D31)*2</f>
        <v>0</v>
      </c>
      <c r="D71" t="s">
        <v>78</v>
      </c>
      <c r="BO71">
        <f ca="1">IF(AND(BU71&gt;0,BP71=0,BS72),1,0)</f>
        <v>0</v>
      </c>
      <c r="BP71">
        <f ca="1">IF(BU71=$BW$18,-$BW$18,0)</f>
        <v>0</v>
      </c>
      <c r="BR71" s="2138" t="s">
        <v>2204</v>
      </c>
      <c r="BS71" s="2138"/>
      <c r="BT71" s="470">
        <f>BT24*$E$3</f>
        <v>0</v>
      </c>
      <c r="BU71" s="470">
        <f ca="1">IF(BT72+BT71=0,0,IF(BT72=0,BU24-BU25-$BW$7,BU24-BU25-2*$BW$17))</f>
        <v>0</v>
      </c>
      <c r="BV71" s="81">
        <f ca="1">BW10-(2*$BW$16)</f>
        <v>-5.0000000000000001E-3</v>
      </c>
      <c r="BW71" s="81" t="e">
        <f ca="1">BV45</f>
        <v>#DIV/0!</v>
      </c>
      <c r="BX71" s="470">
        <f ca="1">IF(BT25=0,IF(BT24=0,0,(((PI()*BU24^2)-(PI()*$BW$7^2))/BT24)+(BW10*BU24/2-PI()*BU24^2/BT24)),IF(BT24=0,0,(((PI()*BU24^2)-(PI()*BU45^2))/BT24)+(BW10*BU24/2-PI()*BU24^2/BT24)))</f>
        <v>0</v>
      </c>
      <c r="BY71" s="470">
        <f ca="1">BX71*BT71</f>
        <v>0</v>
      </c>
      <c r="BZ71" s="470">
        <f ca="1">IF(AND(BT24=0,BT25=0),0,IF(BT25+BU25=0,(BU24-$BW$7-$D$42-D40/2)*BT71,(BU24-BU45-$D$42-D40/2)*BT71))</f>
        <v>0</v>
      </c>
      <c r="CA71" s="470">
        <f ca="1">IF(BT25=0,(BU24-$BW$7)*BT71,(BU24-BU45)*BT71)</f>
        <v>0</v>
      </c>
      <c r="CB71" s="32">
        <f>IF(BT71=0,0,BX71*$D$46+((BU71-$D$42-$D$40/2)*(($D$38+$D$39)/2*$D$40))+(($D$42+$D$43)/2*($D$44-$D$46))*CA24)</f>
        <v>0</v>
      </c>
      <c r="CC71" s="32">
        <f>CB71*BT71</f>
        <v>0</v>
      </c>
      <c r="CD71" s="32">
        <f>CB71*2.5</f>
        <v>0</v>
      </c>
      <c r="CE71" s="9">
        <f>CD71*BT71</f>
        <v>0</v>
      </c>
      <c r="CF71" s="711">
        <f>IF(BT71=1,2,0)</f>
        <v>0</v>
      </c>
      <c r="CG71" s="553">
        <f ca="1">IF($BT71-$AD134&lt;0,$BT71,$BT71-$AD134)</f>
        <v>0</v>
      </c>
      <c r="CH71" s="540">
        <f>IF(CL71=0,0,IF(CL71+CM71=0,0,IF(CJ71=FALSE,0,CJ71)))</f>
        <v>0</v>
      </c>
      <c r="CI71" s="539"/>
      <c r="CJ71" s="539">
        <f>CK71</f>
        <v>0</v>
      </c>
      <c r="CK71" s="539">
        <f>IF(CN71*CM71&lt;=CL71,CN71*CM71,CL71)</f>
        <v>0</v>
      </c>
      <c r="CL71" s="539">
        <f t="shared" ref="CL71:CL86" si="47">IF($CD71=0,0,ROUNDDOWN($CX$66/$CD71,0))</f>
        <v>0</v>
      </c>
      <c r="CM71" s="539">
        <f>IF(CL71=0,0,ROUNDDOWN($CW$66/$BU71,0))</f>
        <v>0</v>
      </c>
      <c r="CN71" s="539">
        <f>ROUNDDOWN($BW$5/($BW$2+$BW$3),0)</f>
        <v>4</v>
      </c>
      <c r="CO71" s="470">
        <f t="shared" ref="CO71:CO86" si="48">IF($CD71=0,0,$CX$66-CH71*$CD71)</f>
        <v>0</v>
      </c>
      <c r="CP71" s="539"/>
      <c r="CQ71" s="539"/>
      <c r="CR71" s="539"/>
      <c r="CS71" s="539"/>
      <c r="CT71" s="539"/>
      <c r="CU71" s="539"/>
      <c r="CV71" s="81"/>
      <c r="CW71" s="81"/>
      <c r="CX71" s="81">
        <f>IF(CX$66=0,0,IF($CD71=0,0,IF(CH71=0,0,ROUNDUP(($BT71-CW71)/CH71-CG71/CH71,0))))</f>
        <v>0</v>
      </c>
      <c r="CY71" s="554">
        <f>IF(CX$66=0,0,IF($CD71=0,0,IF(CH71=0,0,ROUNDUP(($BT71-CW71)/CH71,0))))</f>
        <v>0</v>
      </c>
      <c r="CZ71" s="553">
        <f ca="1">IF($BT71-$AD134&lt;0,$BT71,$BT71-$AD134)</f>
        <v>0</v>
      </c>
      <c r="DA71" s="540">
        <f>IF(DE71=0,0,IF(DE71+DF71=0,0,IF(DC71=FALSE,0,DC71)))</f>
        <v>0</v>
      </c>
      <c r="DB71" s="539"/>
      <c r="DC71" s="539">
        <f>DD71</f>
        <v>0</v>
      </c>
      <c r="DD71" s="539">
        <f>IF(DG71*DF71&lt;=DE71,DG71*DF71,DE71)</f>
        <v>0</v>
      </c>
      <c r="DE71" s="539">
        <f t="shared" ref="DE71:DE86" si="49">IF($CD71=0,0,ROUNDDOWN($DQ$66/$CD71,0))</f>
        <v>0</v>
      </c>
      <c r="DF71" s="539">
        <f>IF(DE71=0,0,ROUNDDOWN($DP$66/$BU71,0))</f>
        <v>0</v>
      </c>
      <c r="DG71" s="539">
        <f>ROUNDDOWN($BW$5/($BW$2+$BW$3),0)</f>
        <v>4</v>
      </c>
      <c r="DH71" s="470">
        <f t="shared" ref="DH71:DH86" si="50">IF($CD71=0,0,$DQ$66-DA71*$CD71)</f>
        <v>0</v>
      </c>
      <c r="DI71" s="539"/>
      <c r="DJ71" s="539"/>
      <c r="DK71" s="539"/>
      <c r="DL71" s="539"/>
      <c r="DM71" s="539"/>
      <c r="DN71" s="539"/>
      <c r="DO71" s="81"/>
      <c r="DP71" s="81"/>
      <c r="DQ71" s="81">
        <f>IF(DQ$66=0,0,IF($CD71=0,0,IF(DA71=0,0,ROUNDUP(($BT71-DP71)/DA71-CZ71/DA71,0))))</f>
        <v>0</v>
      </c>
      <c r="DR71" s="554">
        <f>IF(DQ$66=0,0,IF($CD71=0,0,IF(DA71=0,0,ROUNDUP(($BT71-DP71)/DA71,0))))</f>
        <v>0</v>
      </c>
      <c r="DS71" s="553">
        <f ca="1">IF($BT71-$AD134&lt;0,$BT71,$BT71-$AD134)</f>
        <v>0</v>
      </c>
      <c r="DT71" s="540">
        <f>IF(DX71=0,0,IF(DX71+DY71=0,0,IF(DV71=FALSE,0,DV71)))</f>
        <v>0</v>
      </c>
      <c r="DU71" s="539"/>
      <c r="DV71" s="539">
        <f>DW71</f>
        <v>0</v>
      </c>
      <c r="DW71" s="539">
        <f>IF(DZ71*DY71&lt;=DX71,DZ71*DY71,DX71)</f>
        <v>0</v>
      </c>
      <c r="DX71" s="539">
        <f t="shared" ref="DX71:DX86" si="51">IF($CD71=0,0,ROUNDDOWN($EJ$66/$CD71,0))</f>
        <v>0</v>
      </c>
      <c r="DY71" s="539">
        <f>IF(DX71=0,0,ROUNDDOWN($EI$66/$BU71,0))</f>
        <v>0</v>
      </c>
      <c r="DZ71" s="539">
        <f>ROUNDDOWN($BW$5/($BW$2+$BW$3),0)</f>
        <v>4</v>
      </c>
      <c r="EA71" s="470">
        <f t="shared" ref="EA71:EA86" si="52">IF($CD71=0,0,$EJ$66-DT71*$CD71)</f>
        <v>0</v>
      </c>
      <c r="EB71" s="539"/>
      <c r="EC71" s="539"/>
      <c r="ED71" s="539"/>
      <c r="EE71" s="539"/>
      <c r="EF71" s="539"/>
      <c r="EG71" s="539"/>
      <c r="EH71" s="81"/>
      <c r="EI71" s="81"/>
      <c r="EJ71" s="81">
        <f>IF(EJ$66=0,0,IF($CD71=0,0,IF(DT71=0,0,ROUNDUP(($BT71-EI71)/DT71-DS71/DT71,0))))</f>
        <v>0</v>
      </c>
      <c r="EK71" s="554">
        <f>IF(EJ$66=0,0,IF($CD71=0,0,IF(DT71=0,0,ROUNDUP(($BT71-EI71)/DT71,0))))</f>
        <v>0</v>
      </c>
      <c r="EL71" s="553">
        <f ca="1">IF($BT71-$AD134&lt;0,$BT71,$BT71-$AD134)</f>
        <v>0</v>
      </c>
      <c r="EM71" s="540">
        <f>IF(EQ71=0,0,IF(EQ71+ER71=0,0,IF(EO71=FALSE,0,EO71)))</f>
        <v>0</v>
      </c>
      <c r="EN71" s="539"/>
      <c r="EO71" s="539">
        <f>EP71</f>
        <v>0</v>
      </c>
      <c r="EP71" s="539">
        <f>IF(ES71*ER71&lt;=EQ71,ES71*ER71,EQ71)</f>
        <v>0</v>
      </c>
      <c r="EQ71" s="539">
        <f t="shared" ref="EQ71:EQ86" si="53">IF($CD71=0,0,ROUNDDOWN($FC$66/$CD71,0))</f>
        <v>0</v>
      </c>
      <c r="ER71" s="539">
        <f>IF(EQ71=0,0,ROUNDDOWN($FB$66/$BU71,0))</f>
        <v>0</v>
      </c>
      <c r="ES71" s="539">
        <f>ROUNDDOWN($BW$5/($BW$2+$BW$3),0)</f>
        <v>4</v>
      </c>
      <c r="ET71" s="470">
        <f t="shared" ref="ET71:ET86" si="54">IF($CD71=0,0,$FC$66-EM71*$CD71)</f>
        <v>0</v>
      </c>
      <c r="EU71" s="539"/>
      <c r="EV71" s="539"/>
      <c r="EW71" s="539"/>
      <c r="EX71" s="539"/>
      <c r="EY71" s="539"/>
      <c r="EZ71" s="539"/>
      <c r="FA71" s="81"/>
      <c r="FB71" s="81"/>
      <c r="FC71" s="81">
        <f>IF(FC$66=0,0,IF($CD71=0,0,IF(EM71=0,0,ROUNDUP(($BT71-FB71)/EM71-EL71/EM71,0))))</f>
        <v>0</v>
      </c>
      <c r="FD71" s="554">
        <f>IF(FC$66=0,0,IF($CD71=0,0,IF(EM71=0,0,ROUNDUP(($BT71-FB71)/EM71,0))))</f>
        <v>0</v>
      </c>
      <c r="FE71" s="553">
        <f ca="1">IF($BT71-$AD134&lt;0,$BT71,$BT71-$AD134)</f>
        <v>0</v>
      </c>
      <c r="FF71" s="540">
        <f>IF(FJ71=0,0,IF(FJ71+FK71=0,0,IF(FH71=FALSE,0,FH71)))</f>
        <v>0</v>
      </c>
      <c r="FG71" s="539"/>
      <c r="FH71" s="539">
        <f>FI71</f>
        <v>0</v>
      </c>
      <c r="FI71" s="539">
        <f>IF(FL71*FK71&lt;=FJ71,FL71*FK71,FJ71)</f>
        <v>0</v>
      </c>
      <c r="FJ71" s="539">
        <f t="shared" ref="FJ71:FJ86" si="55">IF($CD71=0,0,ROUNDDOWN($FV$66/$CD71,0))</f>
        <v>0</v>
      </c>
      <c r="FK71" s="539">
        <f>IF(FJ71=0,0,ROUNDDOWN($FU$66/$BU71,0))</f>
        <v>0</v>
      </c>
      <c r="FL71" s="539">
        <f>ROUNDDOWN($BW$5/($BW$2+$BW$3),0)</f>
        <v>4</v>
      </c>
      <c r="FM71" s="470">
        <f t="shared" ref="FM71:FM86" si="56">IF($CD71=0,0,$FV$66-FF71*$CD71)</f>
        <v>0</v>
      </c>
      <c r="FN71" s="539"/>
      <c r="FO71" s="539"/>
      <c r="FP71" s="539"/>
      <c r="FQ71" s="539"/>
      <c r="FR71" s="539"/>
      <c r="FS71" s="539"/>
      <c r="FT71" s="81"/>
      <c r="FU71" s="81"/>
      <c r="FV71" s="81">
        <f>IF(FV$66=0,0,IF($CD71=0,0,IF(FF71=0,0,ROUNDUP(($BT71-FU71)/FF71-FE71/FF71,0))))</f>
        <v>0</v>
      </c>
      <c r="FW71" s="554">
        <f>IF(FV$66=0,0,IF($CD71=0,0,IF(FF71=0,0,ROUNDUP(($BT71-FU71)/FF71,0))))</f>
        <v>0</v>
      </c>
      <c r="FY71" s="470"/>
      <c r="FZ71" s="470"/>
      <c r="GA71" s="470"/>
      <c r="GB71" s="470"/>
      <c r="GC71" s="470"/>
    </row>
    <row r="72" spans="2:186" x14ac:dyDescent="0.35">
      <c r="B72" t="s">
        <v>2252</v>
      </c>
      <c r="C72">
        <f ca="1">D12*D14*D15*D31</f>
        <v>0</v>
      </c>
      <c r="D72" t="s">
        <v>31</v>
      </c>
      <c r="BO72">
        <f ca="1">IF(AND(BU72&gt;0,BP72=0,BS73),1,0)</f>
        <v>0</v>
      </c>
      <c r="BP72">
        <f t="shared" ref="BP72:BP86" ca="1" si="57">IF(BU72=$BW$18,-$BW$18,0)</f>
        <v>0</v>
      </c>
      <c r="BQ72">
        <f ca="1">IF(BT72=1,PI()*BU72^2,IF(BT26=0,IF(BT25=0,0,((PI()*BU25^2)-(PI()*$BW$7^2))/BT25),IF(BT25=0,0,((PI()*BU25^2)-(PI()*BU46^2))/BT25)))</f>
        <v>0</v>
      </c>
      <c r="BR72" s="2051" t="s">
        <v>2207</v>
      </c>
      <c r="BS72" s="32">
        <v>1</v>
      </c>
      <c r="BT72" s="470">
        <f ca="1">BT25*$E$3</f>
        <v>0</v>
      </c>
      <c r="BU72" s="387">
        <f t="shared" ref="BU72:BU86" ca="1" si="58">IF(BT73+BT72=0,0,IF(BT72=$E$3*1,$BW$18,IF(BT73=0,BU25-BU26-$BW$7,BU25-BU26-2*$BW$17)))</f>
        <v>0</v>
      </c>
      <c r="BV72" s="531">
        <f ca="1">BV25</f>
        <v>0</v>
      </c>
      <c r="BW72" s="32">
        <f ca="1">BV46</f>
        <v>0</v>
      </c>
      <c r="BX72" s="7">
        <f t="shared" ref="BX72:BX86" ca="1" si="59">IF(BT72=$E$3*1,PI()*BU72^2,IF(BT26=0,IF(BT25=0,0,((PI()*BU25^2)-(PI()*$BW$7^2))/BT25),IF(BT25=0,0,((PI()*BU25^2)-(PI()*BU46^2))/BT25)))</f>
        <v>0</v>
      </c>
      <c r="BY72" s="7">
        <f ca="1">BX72*BT72</f>
        <v>0</v>
      </c>
      <c r="BZ72" s="7">
        <f t="shared" ref="BZ72" ca="1" si="60">IF(BT72=$E$3*1,0,IF(BU72&lt;$D$42,0,IF(AND(BT25=0,BT26=0),0,IF(BT26+BU26=0,(BU25-$BW$7-$D$42-D41/2)*BT72,(BU25-BU46-$D$42-D41/2)*BT72))))</f>
        <v>0</v>
      </c>
      <c r="CA72" s="7">
        <f t="shared" ref="CA72" ca="1" si="61">IF(BT72=$E$3*1,0,IF(BT26=0,(BU25-$BW$7)*BT72,(BU25-BU46)*BT72))</f>
        <v>0</v>
      </c>
      <c r="CB72" s="32">
        <f t="shared" ref="CB72:CB86" ca="1" si="62">IF(BT72=0,0,BX72*$D$46+((BU72-$D$42-$D$40/2)*(($D$38+$D$39)/2*$D$40))+(($D$42+$D$43)/2*($D$44-$D$46))*CA25)</f>
        <v>0</v>
      </c>
      <c r="CC72" s="32">
        <f ca="1">CB72*BT72</f>
        <v>0</v>
      </c>
      <c r="CD72" s="32">
        <f ca="1">CB72*2.5</f>
        <v>0</v>
      </c>
      <c r="CE72" s="9">
        <f ca="1">CD72*BT72</f>
        <v>0</v>
      </c>
      <c r="CF72" s="711">
        <f t="shared" ref="CF72:CF86" ca="1" si="63">IF(BT72=1,2,0)</f>
        <v>0</v>
      </c>
      <c r="CG72" s="553">
        <f ca="1">IF($BT72-$AD135&lt;0,$BT72,$BT72-$AD135)</f>
        <v>0</v>
      </c>
      <c r="CH72" s="540">
        <f t="shared" ref="CH72:CH86" ca="1" si="64">IF(CL72=0,0,IF(CL72+CM72=0,0,IF(CJ72=FALSE,0,CJ72)))</f>
        <v>0</v>
      </c>
      <c r="CI72" s="539"/>
      <c r="CJ72" s="539">
        <f ca="1">CK72</f>
        <v>0</v>
      </c>
      <c r="CK72" s="539">
        <f ca="1">IF(CN72*CM72&lt;=CL72,CN72*CM72,CL72)</f>
        <v>0</v>
      </c>
      <c r="CL72" s="539">
        <f t="shared" ca="1" si="47"/>
        <v>0</v>
      </c>
      <c r="CM72" s="539">
        <f ca="1">IF($BU72=0,0,ROUNDDOWN($CW$66/$BU72,0))</f>
        <v>0</v>
      </c>
      <c r="CN72" s="539">
        <f>ROUNDDOWN($BW$5/($BW$2+$BW$3),0)</f>
        <v>4</v>
      </c>
      <c r="CO72" s="7">
        <f t="shared" ca="1" si="48"/>
        <v>0</v>
      </c>
      <c r="CP72" s="539">
        <f ca="1">IF(CT72+CU72=0,0,IF(AND(CU72+CN71&gt;=CN71,$CW$66-$BU71&lt;$BU72),0,CQ72))</f>
        <v>0</v>
      </c>
      <c r="CQ72" s="539">
        <f ca="1">IF($CD72=0,0,ROUNDDOWN(CO71/$CD72,0))</f>
        <v>0</v>
      </c>
      <c r="CR72" s="539">
        <f ca="1">IF($BU72=0,0,ROUNDDOWN($CW$66/$BU72,0))</f>
        <v>0</v>
      </c>
      <c r="CS72" s="539">
        <f>ROUNDDOWN($BW$5/($BW$2+$BW$3),0)</f>
        <v>4</v>
      </c>
      <c r="CT72" s="539">
        <f ca="1">IF($CW$66-$BU71&gt;=$BU72,IF($BU72=0,0,ROUNDDOWN(($CW$66-$BU71)/$BU72,0)),0)</f>
        <v>0</v>
      </c>
      <c r="CU72" s="539">
        <f ca="1">IF(CH71=CN71,0,IF(CQ72&lt;=CH71,CQ72,0))</f>
        <v>0</v>
      </c>
      <c r="CV72" s="32">
        <f ca="1">IF($CD72=0,0,IF($CD72&lt;CO71,CO71-$CD72,CO71))</f>
        <v>0</v>
      </c>
      <c r="CW72" s="32">
        <f ca="1">IF($CD72=0,0,CP72)</f>
        <v>0</v>
      </c>
      <c r="CX72" s="32">
        <f ca="1">IF(CX$66=0,0,IF($CD72=0,0,IF(CH72=0,0,IF(CW72=0,ROUNDUP(($BT72-CW72)/CH72,0),IF(ROUNDUP(($BT72-CW72)/CH72,0)-ROUNDUP(CG72/CH72,0)&lt;=0,0,ROUNDUP(($BT72-CW72)/CH72,0)-ROUNDUP(CG72/CH72,0))))))</f>
        <v>0</v>
      </c>
      <c r="CY72" s="555">
        <f ca="1">IF(CX$66=0,0,IF($CD72=0,0,IF(CH72=0,0,IF(ROUNDUP(($BT72-CW72)/CH72,0)&lt;=0,0,ROUNDUP(($BT72-CW72)/CH72,0)))))</f>
        <v>0</v>
      </c>
      <c r="CZ72" s="553">
        <f ca="1">IF($BT72-$AD135&lt;0,$BT72,$BT72-$AD135)</f>
        <v>0</v>
      </c>
      <c r="DA72" s="540">
        <f t="shared" ref="DA72:DA77" ca="1" si="65">IF(DE72=0,0,IF(DE72+DF72=0,0,IF(DC72=FALSE,0,DC72)))</f>
        <v>0</v>
      </c>
      <c r="DB72" s="539"/>
      <c r="DC72" s="539">
        <f ca="1">DD72</f>
        <v>0</v>
      </c>
      <c r="DD72" s="539">
        <f ca="1">IF(DG72*DF72&lt;=DE72,DG72*DF72,DE72)</f>
        <v>0</v>
      </c>
      <c r="DE72" s="539">
        <f t="shared" ca="1" si="49"/>
        <v>0</v>
      </c>
      <c r="DF72" s="539">
        <f ca="1">IF($BU72=0,0,ROUNDDOWN($DP$66/$BU72,0))</f>
        <v>0</v>
      </c>
      <c r="DG72" s="539">
        <f>ROUNDDOWN($BW$5/($BW$2+$BW$3),0)</f>
        <v>4</v>
      </c>
      <c r="DH72" s="7">
        <f t="shared" ca="1" si="50"/>
        <v>0</v>
      </c>
      <c r="DI72" s="539">
        <f ca="1">IF(DM72+DN72=0,0,IF(AND(DN72+DG71&gt;=DG71,$DP$66-$BU71&lt;$BU72),0,DJ72))</f>
        <v>0</v>
      </c>
      <c r="DJ72" s="539">
        <f ca="1">IF($CD72=0,0,ROUNDDOWN(DH71/$CD72,0))</f>
        <v>0</v>
      </c>
      <c r="DK72" s="539">
        <f ca="1">IF($BU72=0,0,ROUNDDOWN($DP$66/$BU72,0))</f>
        <v>0</v>
      </c>
      <c r="DL72" s="539">
        <f>ROUNDDOWN($BW$5/($BW$2+$BW$3),0)</f>
        <v>4</v>
      </c>
      <c r="DM72" s="539">
        <f ca="1">IF($DP$66-$BU71&gt;=$BU72,IF($BU72=0,0,ROUNDDOWN(($DP$66-$BU71)/$BU72,0)),0)</f>
        <v>0</v>
      </c>
      <c r="DN72" s="539">
        <f ca="1">IF(DA71=DG71,0,IF(DJ72&lt;=DA71,DJ72,0))</f>
        <v>0</v>
      </c>
      <c r="DO72" s="32">
        <f ca="1">IF($CD72=0,0,IF($CD72&lt;DH71,DH71-$CD72,DH71))</f>
        <v>0</v>
      </c>
      <c r="DP72" s="32">
        <f ca="1">IF($CD72=0,0,DI72)</f>
        <v>0</v>
      </c>
      <c r="DQ72" s="32">
        <f ca="1">IF(DQ$66=0,0,IF($CD72=0,0,IF(DA72=0,0,IF(DP72=0,ROUNDUP(($BT72-DP72)/DA72,0),IF(ROUNDUP(($BT72-DP72)/DA72,0)-ROUNDUP(CZ72/DA72,0)&lt;=0,0,ROUNDUP(($BT72-DP72)/DA72,0)-ROUNDUP(CZ72/DA72,0))))))</f>
        <v>0</v>
      </c>
      <c r="DR72" s="555">
        <f ca="1">IF(DQ$66=0,0,IF($CD72=0,0,IF(DA72=0,0,IF(ROUNDUP(($BT72-DP72)/DA72,0)&lt;=0,0,ROUNDUP(($BT72-DP72)/DA72,0)))))</f>
        <v>0</v>
      </c>
      <c r="DS72" s="553">
        <f ca="1">IF($BT72-$AD135&lt;0,$BT72,$BT72-$AD135)</f>
        <v>0</v>
      </c>
      <c r="DT72" s="540">
        <f t="shared" ref="DT72:DT86" ca="1" si="66">IF(DX72=0,0,IF(DX72+DY72=0,0,IF(DV72=FALSE,0,DV72)))</f>
        <v>0</v>
      </c>
      <c r="DU72" s="539"/>
      <c r="DV72" s="539">
        <f ca="1">DW72</f>
        <v>0</v>
      </c>
      <c r="DW72" s="539">
        <f ca="1">IF(DZ72*DY72&lt;=DX72,DZ72*DY72,DX72)</f>
        <v>0</v>
      </c>
      <c r="DX72" s="539">
        <f t="shared" ca="1" si="51"/>
        <v>0</v>
      </c>
      <c r="DY72" s="539">
        <f t="shared" ref="DY72:DY87" ca="1" si="67">IF($BU72=0,0,ROUNDDOWN($EI$66/$BU72,0))</f>
        <v>0</v>
      </c>
      <c r="DZ72" s="539">
        <f>ROUNDDOWN($BW$5/($BW$2+$BW$3),0)</f>
        <v>4</v>
      </c>
      <c r="EA72" s="7">
        <f t="shared" ca="1" si="52"/>
        <v>0</v>
      </c>
      <c r="EB72" s="539">
        <f t="shared" ref="EB72:EB86" ca="1" si="68">IF(EF72+EG72=0,0,IF(AND(EG72+DZ71&gt;=DZ71,$EI$66-$BU71&lt;$BU72),0,EC72))</f>
        <v>0</v>
      </c>
      <c r="EC72" s="539">
        <f ca="1">IF($CD72=0,0,ROUNDDOWN(EA71/$CD72,0))</f>
        <v>0</v>
      </c>
      <c r="ED72" s="539">
        <f t="shared" ref="ED72:ED87" ca="1" si="69">IF($BU72=0,0,ROUNDDOWN($EI$66/$BU72,0))</f>
        <v>0</v>
      </c>
      <c r="EE72" s="539">
        <f>ROUNDDOWN($BW$5/($BW$2+$BW$3),0)</f>
        <v>4</v>
      </c>
      <c r="EF72" s="539">
        <f t="shared" ref="EF72:EF86" ca="1" si="70">IF($EI$66-$BU71&gt;=$BU72,IF($BU72=0,0,ROUNDDOWN(($EI$66-$BU71)/$BU72,0)),0)</f>
        <v>0</v>
      </c>
      <c r="EG72" s="539">
        <f ca="1">IF(DT71=DZ71,0,IF(EC72&lt;=DT71,EC72,0))</f>
        <v>0</v>
      </c>
      <c r="EH72" s="32">
        <f ca="1">IF($CD72=0,0,IF($CD72&lt;EA71,EA71-$CD72,EA71))</f>
        <v>0</v>
      </c>
      <c r="EI72" s="32">
        <f ca="1">IF($CD72=0,0,EB72)</f>
        <v>0</v>
      </c>
      <c r="EJ72" s="32">
        <f ca="1">IF(EJ$66=0,0,IF($CD72=0,0,IF(DT72=0,0,IF(EI72=0,ROUNDUP(($BT72-EI72)/DT72,0),IF(ROUNDUP(($BT72-EI72)/DT72,0)-ROUNDUP(DS72/DT72,0)&lt;=0,0,ROUNDUP(($BT72-EI72)/DT72,0)-ROUNDUP(DS72/DT72,0))))))</f>
        <v>0</v>
      </c>
      <c r="EK72" s="555">
        <f ca="1">IF(EJ$66=0,0,IF($CD72=0,0,IF(DT72=0,0,IF(ROUNDUP(($BT72-EI72)/DT72,0)&lt;=0,0,ROUNDUP(($BT72-EI72)/DT72,0)))))</f>
        <v>0</v>
      </c>
      <c r="EL72" s="553">
        <f ca="1">IF($BT72-$AD135&lt;0,$BT72,$BT72-$AD135)</f>
        <v>0</v>
      </c>
      <c r="EM72" s="540">
        <f t="shared" ref="EM72:EM86" ca="1" si="71">IF(EQ72=0,0,IF(EQ72+ER72=0,0,IF(EO72=FALSE,0,EO72)))</f>
        <v>0</v>
      </c>
      <c r="EN72" s="539"/>
      <c r="EO72" s="539">
        <f ca="1">EP72</f>
        <v>0</v>
      </c>
      <c r="EP72" s="539">
        <f ca="1">IF(ES72*ER72&lt;=EQ72,ES72*ER72,EQ72)</f>
        <v>0</v>
      </c>
      <c r="EQ72" s="539">
        <f t="shared" ca="1" si="53"/>
        <v>0</v>
      </c>
      <c r="ER72" s="539">
        <f t="shared" ref="ER72:ER87" ca="1" si="72">IF($BU72=0,0,ROUNDDOWN($FB$66/$BU72,0))</f>
        <v>0</v>
      </c>
      <c r="ES72" s="539">
        <f>ROUNDDOWN($BW$5/($BW$2+$BW$3),0)</f>
        <v>4</v>
      </c>
      <c r="ET72" s="7">
        <f t="shared" ca="1" si="54"/>
        <v>0</v>
      </c>
      <c r="EU72" s="539">
        <f t="shared" ref="EU72:EU86" ca="1" si="73">IF(EY72+EZ72=0,0,IF(AND(EZ72+ES71&gt;=ES71,$FB$66-$BU71&lt;$BU72),0,EV72))</f>
        <v>0</v>
      </c>
      <c r="EV72" s="539">
        <f ca="1">IF($CD72=0,0,ROUNDDOWN(ET71/$CD72,0))</f>
        <v>0</v>
      </c>
      <c r="EW72" s="539">
        <f t="shared" ref="EW72:EW87" ca="1" si="74">IF($BU72=0,0,ROUNDDOWN($FB$66/$BU72,0))</f>
        <v>0</v>
      </c>
      <c r="EX72" s="539">
        <f>ROUNDDOWN($BW$5/($BW$2+$BW$3),0)</f>
        <v>4</v>
      </c>
      <c r="EY72" s="539">
        <f t="shared" ref="EY72:EY86" ca="1" si="75">IF($FB$66-$BU71&gt;=$BU72,IF($BU72=0,0,ROUNDDOWN(($FB$66-$BU71)/$BU72,0)),0)</f>
        <v>0</v>
      </c>
      <c r="EZ72" s="539">
        <f ca="1">IF(EM71=ES71,0,IF(EV72&lt;=EM71,EV72,0))</f>
        <v>0</v>
      </c>
      <c r="FA72" s="32">
        <f ca="1">IF($CD72=0,0,IF($CD72&lt;ET71,ET71-$CD72,ET71))</f>
        <v>0</v>
      </c>
      <c r="FB72" s="32">
        <f ca="1">IF($CD72=0,0,EU72)</f>
        <v>0</v>
      </c>
      <c r="FC72" s="32">
        <f ca="1">IF(FC$66=0,0,IF($CD72=0,0,IF(EM72=0,0,IF(FB72=0,ROUNDUP(($BT72-FB72)/EM72,0),IF(ROUNDUP(($BT72-FB72)/EM72,0)-ROUNDUP(EL72/EM72,0)&lt;=0,0,ROUNDUP(($BT72-FB72)/EM72,0)-ROUNDUP(EL72/EM72,0))))))</f>
        <v>0</v>
      </c>
      <c r="FD72" s="555">
        <f ca="1">IF(FC$66=0,0,IF($CD72=0,0,IF(EM72=0,0,IF(ROUNDUP(($BT72-FB72)/EM72,0)&lt;=0,0,ROUNDUP(($BT72-FB72)/EM72,0)))))</f>
        <v>0</v>
      </c>
      <c r="FE72" s="553">
        <f ca="1">IF($BT72-$AD135&lt;0,$BT72,$BT72-$AD135)</f>
        <v>0</v>
      </c>
      <c r="FF72" s="540">
        <f t="shared" ref="FF72:FF86" ca="1" si="76">IF(FJ72=0,0,IF(FJ72+FK72=0,0,IF(FH72=FALSE,0,FH72)))</f>
        <v>0</v>
      </c>
      <c r="FG72" s="539"/>
      <c r="FH72" s="539">
        <f ca="1">FI72</f>
        <v>0</v>
      </c>
      <c r="FI72" s="539">
        <f ca="1">IF(FL72*FK72&lt;=FJ72,FL72*FK72,FJ72)</f>
        <v>0</v>
      </c>
      <c r="FJ72" s="539">
        <f t="shared" ca="1" si="55"/>
        <v>0</v>
      </c>
      <c r="FK72" s="539">
        <f t="shared" ref="FK72:FK87" ca="1" si="77">IF($BU72=0,0,ROUNDDOWN($FU$66/$BU72,0))</f>
        <v>0</v>
      </c>
      <c r="FL72" s="539">
        <f>ROUNDDOWN($BW$5/($BW$2+$BW$3),0)</f>
        <v>4</v>
      </c>
      <c r="FM72" s="7">
        <f t="shared" ca="1" si="56"/>
        <v>0</v>
      </c>
      <c r="FN72" s="539">
        <f t="shared" ref="FN72:FN86" ca="1" si="78">IF(FR72+FS72=0,0,IF(AND(FS72+FL71&gt;=FL71,$FU$66-$BU71&lt;$BU72),0,FO72))</f>
        <v>0</v>
      </c>
      <c r="FO72" s="539">
        <f ca="1">IF($CD72=0,0,ROUNDDOWN(FM71/$CD72,0))</f>
        <v>0</v>
      </c>
      <c r="FP72" s="539">
        <f t="shared" ref="FP72:FP87" ca="1" si="79">IF($BU72=0,0,ROUNDDOWN($FU$66/$BU72,0))</f>
        <v>0</v>
      </c>
      <c r="FQ72" s="539">
        <f>ROUNDDOWN($BW$5/($BW$2+$BW$3),0)</f>
        <v>4</v>
      </c>
      <c r="FR72" s="539">
        <f t="shared" ref="FR72:FR86" ca="1" si="80">IF($FU$66-$BU71&gt;=$BU72,IF($BU72=0,0,ROUNDDOWN(($FU$66-$BU71)/$BU72,0)),0)</f>
        <v>0</v>
      </c>
      <c r="FS72" s="539">
        <f ca="1">IF(FF71=FL71,0,IF(FO72&lt;=FF71,FO72,0))</f>
        <v>0</v>
      </c>
      <c r="FT72" s="32">
        <f ca="1">IF($CD72=0,0,IF($CD72&lt;FM71,FM71-$CD72,FM71))</f>
        <v>0</v>
      </c>
      <c r="FU72" s="32">
        <f ca="1">IF($CD72=0,0,FN72)</f>
        <v>0</v>
      </c>
      <c r="FV72" s="32">
        <f ca="1">IF(FV$66=0,0,IF($CD72=0,0,IF(FF72=0,0,IF(FU72=0,ROUNDUP(($BT72-FU72)/FF72,0),IF(ROUNDUP(($BT72-FU72)/FF72,0)-ROUNDUP(FE72/FF72,0)&lt;=0,0,ROUNDUP(($BT72-FU72)/FF72,0)-ROUNDUP(FE72/FF72,0))))))</f>
        <v>0</v>
      </c>
      <c r="FW72" s="555">
        <f ca="1">IF(FV$66=0,0,IF($CD72=0,0,IF(FF72=0,0,IF(ROUNDUP(($BT72-FU72)/FF72,0)&lt;=0,0,ROUNDUP(($BT72-FU72)/FF72,0)))))</f>
        <v>0</v>
      </c>
      <c r="FX72">
        <f ca="1">IF(FY72&gt;0,1,0)</f>
        <v>0</v>
      </c>
      <c r="FY72" s="7">
        <f ca="1">IF(AND(CW72=0,CO72=0),CO71,0)</f>
        <v>0</v>
      </c>
      <c r="FZ72" s="7">
        <f ca="1">IF(AND(DP72=0,DH72=0),DH71,0)</f>
        <v>0</v>
      </c>
      <c r="GA72" s="7">
        <f ca="1">IF(AND(EI72=0,EA72=0),EA71,0)</f>
        <v>0</v>
      </c>
      <c r="GB72" s="7">
        <f ca="1">IF(AND(FB72=0,ET72=0),ET71,0)</f>
        <v>0</v>
      </c>
      <c r="GC72" s="7">
        <f ca="1">IF(AND(FU72=0,FM72=0),FM71,0)</f>
        <v>0</v>
      </c>
      <c r="GD72" s="627" t="s">
        <v>2303</v>
      </c>
    </row>
    <row r="73" spans="2:186" x14ac:dyDescent="0.35">
      <c r="B73" t="s">
        <v>2253</v>
      </c>
      <c r="C73">
        <f ca="1">C72*D32</f>
        <v>0</v>
      </c>
      <c r="D73" t="s">
        <v>64</v>
      </c>
      <c r="BO73">
        <f ca="1">IF(AND(BU73&gt;0,BP73=0,BS74),1,0)</f>
        <v>0</v>
      </c>
      <c r="BP73">
        <f t="shared" ca="1" si="57"/>
        <v>0</v>
      </c>
      <c r="BR73" s="2051"/>
      <c r="BS73" s="32">
        <v>2</v>
      </c>
      <c r="BT73" s="470">
        <f t="shared" ref="BT73:BT86" ca="1" si="81">BT26*$E$3</f>
        <v>0</v>
      </c>
      <c r="BU73" s="387">
        <f t="shared" ca="1" si="58"/>
        <v>0</v>
      </c>
      <c r="BV73" s="32">
        <f t="shared" ref="BV73:BV81" ca="1" si="82">BV26</f>
        <v>0</v>
      </c>
      <c r="BW73" s="32">
        <f t="shared" ref="BW73:BW81" ca="1" si="83">BV47</f>
        <v>0</v>
      </c>
      <c r="BX73" s="7">
        <f t="shared" ca="1" si="59"/>
        <v>0</v>
      </c>
      <c r="BY73" s="7">
        <f t="shared" ref="BY73:BY86" ca="1" si="84">BX73*BT73</f>
        <v>0</v>
      </c>
      <c r="BZ73" s="7">
        <f t="shared" ref="BZ73:BZ86" ca="1" si="85">IF(BT73=$E$3*1,0,IF(BU73&lt;$D$42,0,IF(AND(BT26=0,BT27=0),0,IF(BT27+BU27=0,(BU26-$BW$7-$D$42-D42/2)*BT73,(BU26-BU47-$D$42-D42/2)*BT73))))</f>
        <v>0</v>
      </c>
      <c r="CA73" s="7">
        <f t="shared" ref="CA73:CA86" ca="1" si="86">IF(BT73=$E$3*1,0,IF(BT27=0,(BU26-$BW$7)*BT73,(BU26-BU47)*BT73))</f>
        <v>0</v>
      </c>
      <c r="CB73" s="32">
        <f t="shared" ca="1" si="62"/>
        <v>0</v>
      </c>
      <c r="CC73" s="32">
        <f ca="1">CB73*BT73</f>
        <v>0</v>
      </c>
      <c r="CD73" s="32">
        <f ca="1">CB73*2.5</f>
        <v>0</v>
      </c>
      <c r="CE73" s="9">
        <f ca="1">CD73*BT73</f>
        <v>0</v>
      </c>
      <c r="CF73" s="711">
        <f t="shared" ca="1" si="63"/>
        <v>0</v>
      </c>
      <c r="CG73" s="553">
        <f t="shared" ref="CG73:CG86" ca="1" si="87">IF($BT73-$AD136&lt;0,$BT73,$BT73-$AD136)</f>
        <v>0</v>
      </c>
      <c r="CH73" s="540">
        <f t="shared" ca="1" si="64"/>
        <v>0</v>
      </c>
      <c r="CI73" s="539"/>
      <c r="CJ73" s="539">
        <f t="shared" ref="CJ73:CJ86" ca="1" si="88">CK73</f>
        <v>0</v>
      </c>
      <c r="CK73" s="539">
        <f t="shared" ref="CK73:CK86" ca="1" si="89">IF(CN73*CM73&lt;=CL73,CN73*CM73,CL73)</f>
        <v>0</v>
      </c>
      <c r="CL73" s="539">
        <f t="shared" ca="1" si="47"/>
        <v>0</v>
      </c>
      <c r="CM73" s="539">
        <f t="shared" ref="CM73:CM87" ca="1" si="90">IF($BU73=0,0,ROUNDDOWN($CW$66/$BU73,0))</f>
        <v>0</v>
      </c>
      <c r="CN73" s="539">
        <f t="shared" ref="CN73:CN86" si="91">ROUNDDOWN($BW$5/($BW$2+$BW$3),0)</f>
        <v>4</v>
      </c>
      <c r="CO73" s="7">
        <f t="shared" ca="1" si="48"/>
        <v>0</v>
      </c>
      <c r="CP73" s="539">
        <f ca="1">IF(CT73+CU73=0,0,IF(AND(CU73+CN72&gt;=CN72,$CW$66-$BU72&lt;$BU73),0,CQ73))</f>
        <v>0</v>
      </c>
      <c r="CQ73" s="539">
        <f t="shared" ref="CQ73:CQ86" ca="1" si="92">IF($CD73=0,0,ROUNDDOWN(CO72/$CD73,0))</f>
        <v>0</v>
      </c>
      <c r="CR73" s="539">
        <f t="shared" ref="CR73:CR87" ca="1" si="93">IF($BU73=0,0,ROUNDDOWN($CW$66/$BU73,0))</f>
        <v>0</v>
      </c>
      <c r="CS73" s="539">
        <f t="shared" ref="CS73:CS86" si="94">ROUNDDOWN($BW$5/($BW$2+$BW$3),0)</f>
        <v>4</v>
      </c>
      <c r="CT73" s="539">
        <f t="shared" ref="CT73:CT85" ca="1" si="95">IF($CW$66-$BU72&gt;=$BU73,IF($BU73=0,0,ROUNDDOWN(($CW$66-$BU72)/$BU73,0)),0)</f>
        <v>0</v>
      </c>
      <c r="CU73" s="539">
        <f t="shared" ref="CU73:CU86" ca="1" si="96">IF(CH72=CN72,0,IF(CQ73&lt;=CH72,CQ73,0))</f>
        <v>0</v>
      </c>
      <c r="CV73" s="32">
        <f t="shared" ref="CV73:CV86" ca="1" si="97">IF($CD73=0,0,IF($CD73&lt;CO72,CO72-$CD73,CO72))</f>
        <v>0</v>
      </c>
      <c r="CW73" s="32">
        <f t="shared" ref="CW73:CW86" ca="1" si="98">IF($CD73=0,0,CP73)</f>
        <v>0</v>
      </c>
      <c r="CX73" s="32">
        <f ca="1">IF(CX$66=0,0,IF($CD73=0,0,IF(CH73=0,0,IF(CW73=0,ROUNDUP(($BT73-CW73)/CH73,0),IF(ROUNDUP(($BT73-CW73)/CH73,0)-ROUNDUP(CG73/CH73,0)&lt;=0,0,ROUNDUP(($BT73-CW73)/CH73,0)-ROUNDUP(CG73/CH73,0))))))</f>
        <v>0</v>
      </c>
      <c r="CY73" s="555">
        <f ca="1">IF(CX$66=0,0,IF($CD73=0,0,IF(CH73=0,0,IF(ROUNDUP(($BT73-CW73)/CH73,0)&lt;=0,0,ROUNDUP(($BT73-CW73)/CH73,0)))))</f>
        <v>0</v>
      </c>
      <c r="CZ73" s="553">
        <f t="shared" ref="CZ73:CZ86" ca="1" si="99">IF($BT73-$AD136&lt;0,$BT73,$BT73-$AD136)</f>
        <v>0</v>
      </c>
      <c r="DA73" s="540">
        <f t="shared" ca="1" si="65"/>
        <v>0</v>
      </c>
      <c r="DB73" s="539"/>
      <c r="DC73" s="539">
        <f t="shared" ref="DC73:DC86" ca="1" si="100">DD73</f>
        <v>0</v>
      </c>
      <c r="DD73" s="539">
        <f t="shared" ref="DD73:DD86" ca="1" si="101">IF(DG73*DF73&lt;=DE73,DG73*DF73,DE73)</f>
        <v>0</v>
      </c>
      <c r="DE73" s="539">
        <f t="shared" ca="1" si="49"/>
        <v>0</v>
      </c>
      <c r="DF73" s="539">
        <f t="shared" ref="DF73:DF87" ca="1" si="102">IF($BU73=0,0,ROUNDDOWN($DP$66/$BU73,0))</f>
        <v>0</v>
      </c>
      <c r="DG73" s="539">
        <f t="shared" ref="DG73:DG86" si="103">ROUNDDOWN($BW$5/($BW$2+$BW$3),0)</f>
        <v>4</v>
      </c>
      <c r="DH73" s="7">
        <f t="shared" ca="1" si="50"/>
        <v>0</v>
      </c>
      <c r="DI73" s="539">
        <f ca="1">IF(DM73+DN73=0,0,IF(AND(DN73+DG72&gt;=DG72,$DP$66-$BU72&lt;$BU73),0,DJ73))</f>
        <v>0</v>
      </c>
      <c r="DJ73" s="539">
        <f ca="1">IF($CD73=0,0,ROUNDDOWN(DH72/$CD73,0))</f>
        <v>0</v>
      </c>
      <c r="DK73" s="539">
        <f ca="1">IF($BU73=0,0,ROUNDDOWN($DP$66/$BU73,0))</f>
        <v>0</v>
      </c>
      <c r="DL73" s="539">
        <f t="shared" ref="DL73:DL86" si="104">ROUNDDOWN($BW$5/($BW$2+$BW$3),0)</f>
        <v>4</v>
      </c>
      <c r="DM73" s="539">
        <f t="shared" ref="DM73:DM86" ca="1" si="105">IF($DP$66-$BU72&gt;=$BU73,IF($BU73=0,0,ROUNDDOWN(($DP$66-$BU72)/$BU73,0)),0)</f>
        <v>0</v>
      </c>
      <c r="DN73" s="539">
        <f ca="1">IF(DA72=DG72,0,IF(DJ73&lt;=DA72,DJ73,0))</f>
        <v>0</v>
      </c>
      <c r="DO73" s="32">
        <f ca="1">IF($CD73=0,0,IF($CD73&lt;DH72,DH72-$CD73,DH72))</f>
        <v>0</v>
      </c>
      <c r="DP73" s="32">
        <f ca="1">IF($CD73=0,0,DI73)</f>
        <v>0</v>
      </c>
      <c r="DQ73" s="32">
        <f ca="1">IF(DQ$66=0,0,IF($CD73=0,0,IF(DA73=0,0,IF(DP73=0,ROUNDUP(($BT73-DP73)/DA73,0),IF(ROUNDUP(($BT73-DP73)/DA73,0)-ROUNDUP(CZ73/DA73,0)&lt;=0,0,ROUNDUP(($BT73-DP73)/DA73,0)-ROUNDUP(CZ73/DA73,0))))))</f>
        <v>0</v>
      </c>
      <c r="DR73" s="555">
        <f ca="1">IF(DQ$66=0,0,IF($CD73=0,0,IF(DA73=0,0,IF(ROUNDUP(($BT73-DP73)/DA73,0)&lt;=0,0,ROUNDUP(($BT73-DP73)/DA73,0)))))</f>
        <v>0</v>
      </c>
      <c r="DS73" s="553">
        <f t="shared" ref="DS73:DS86" ca="1" si="106">IF($BT73-$AD136&lt;0,$BT73,$BT73-$AD136)</f>
        <v>0</v>
      </c>
      <c r="DT73" s="540">
        <f t="shared" ca="1" si="66"/>
        <v>0</v>
      </c>
      <c r="DU73" s="539"/>
      <c r="DV73" s="539">
        <f t="shared" ref="DV73:DV86" ca="1" si="107">DW73</f>
        <v>0</v>
      </c>
      <c r="DW73" s="539">
        <f t="shared" ref="DW73:DW86" ca="1" si="108">IF(DZ73*DY73&lt;=DX73,DZ73*DY73,DX73)</f>
        <v>0</v>
      </c>
      <c r="DX73" s="539">
        <f t="shared" ca="1" si="51"/>
        <v>0</v>
      </c>
      <c r="DY73" s="539">
        <f t="shared" ca="1" si="67"/>
        <v>0</v>
      </c>
      <c r="DZ73" s="539">
        <f t="shared" ref="DZ73:DZ86" si="109">ROUNDDOWN($BW$5/($BW$2+$BW$3),0)</f>
        <v>4</v>
      </c>
      <c r="EA73" s="7">
        <f t="shared" ca="1" si="52"/>
        <v>0</v>
      </c>
      <c r="EB73" s="539">
        <f t="shared" ca="1" si="68"/>
        <v>0</v>
      </c>
      <c r="EC73" s="539">
        <f t="shared" ref="EC73:EC86" ca="1" si="110">IF($CD73=0,0,ROUNDDOWN(EA72/$CD73,0))</f>
        <v>0</v>
      </c>
      <c r="ED73" s="539">
        <f t="shared" ca="1" si="69"/>
        <v>0</v>
      </c>
      <c r="EE73" s="539">
        <f t="shared" ref="EE73:EE86" si="111">ROUNDDOWN($BW$5/($BW$2+$BW$3),0)</f>
        <v>4</v>
      </c>
      <c r="EF73" s="539">
        <f t="shared" ca="1" si="70"/>
        <v>0</v>
      </c>
      <c r="EG73" s="539">
        <f t="shared" ref="EG73:EG86" ca="1" si="112">IF(DT72=DZ72,0,IF(EC73&lt;=DT72,EC73,0))</f>
        <v>0</v>
      </c>
      <c r="EH73" s="32">
        <f t="shared" ref="EH73:EH86" ca="1" si="113">IF($CD73=0,0,IF($CD73&lt;EA72,EA72-$CD73,EA72))</f>
        <v>0</v>
      </c>
      <c r="EI73" s="32">
        <f t="shared" ref="EI73:EI86" ca="1" si="114">IF($CD73=0,0,EB73)</f>
        <v>0</v>
      </c>
      <c r="EJ73" s="32">
        <f ca="1">IF(EJ$66=0,0,IF($CD73=0,0,IF(DT73=0,0,IF(EI73=0,ROUNDUP(($BT73-EI73)/DT73,0),IF(ROUNDUP(($BT73-EI73)/DT73,0)-ROUNDUP(DS73/DT73,0)&lt;=0,0,ROUNDUP(($BT73-EI73)/DT73,0)-ROUNDUP(DS73/DT73,0))))))</f>
        <v>0</v>
      </c>
      <c r="EK73" s="555">
        <f ca="1">IF(EJ$66=0,0,IF($CD73=0,0,IF(DT73=0,0,IF(ROUNDUP(($BT73-EI73)/DT73,0)&lt;=0,0,ROUNDUP(($BT73-EI73)/DT73,0)))))</f>
        <v>0</v>
      </c>
      <c r="EL73" s="553">
        <f t="shared" ref="EL73:EL86" ca="1" si="115">IF($BT73-$AD136&lt;0,$BT73,$BT73-$AD136)</f>
        <v>0</v>
      </c>
      <c r="EM73" s="540">
        <f t="shared" ca="1" si="71"/>
        <v>0</v>
      </c>
      <c r="EN73" s="539"/>
      <c r="EO73" s="539">
        <f t="shared" ref="EO73:EO86" ca="1" si="116">EP73</f>
        <v>0</v>
      </c>
      <c r="EP73" s="539">
        <f t="shared" ref="EP73:EP86" ca="1" si="117">IF(ES73*ER73&lt;=EQ73,ES73*ER73,EQ73)</f>
        <v>0</v>
      </c>
      <c r="EQ73" s="539">
        <f t="shared" ca="1" si="53"/>
        <v>0</v>
      </c>
      <c r="ER73" s="539">
        <f t="shared" ca="1" si="72"/>
        <v>0</v>
      </c>
      <c r="ES73" s="539">
        <f t="shared" ref="ES73:ES86" si="118">ROUNDDOWN($BW$5/($BW$2+$BW$3),0)</f>
        <v>4</v>
      </c>
      <c r="ET73" s="7">
        <f t="shared" ca="1" si="54"/>
        <v>0</v>
      </c>
      <c r="EU73" s="539">
        <f t="shared" ca="1" si="73"/>
        <v>0</v>
      </c>
      <c r="EV73" s="539">
        <f t="shared" ref="EV73:EV86" ca="1" si="119">IF($CD73=0,0,ROUNDDOWN(ET72/$CD73,0))</f>
        <v>0</v>
      </c>
      <c r="EW73" s="539">
        <f t="shared" ca="1" si="74"/>
        <v>0</v>
      </c>
      <c r="EX73" s="539">
        <f t="shared" ref="EX73:EX86" si="120">ROUNDDOWN($BW$5/($BW$2+$BW$3),0)</f>
        <v>4</v>
      </c>
      <c r="EY73" s="539">
        <f t="shared" ca="1" si="75"/>
        <v>0</v>
      </c>
      <c r="EZ73" s="539">
        <f t="shared" ref="EZ73:EZ86" ca="1" si="121">IF(EM72=ES72,0,IF(EV73&lt;=EM72,EV73,0))</f>
        <v>0</v>
      </c>
      <c r="FA73" s="32">
        <f t="shared" ref="FA73:FA86" ca="1" si="122">IF($CD73=0,0,IF($CD73&lt;ET72,ET72-$CD73,ET72))</f>
        <v>0</v>
      </c>
      <c r="FB73" s="32">
        <f t="shared" ref="FB73:FB86" ca="1" si="123">IF($CD73=0,0,EU73)</f>
        <v>0</v>
      </c>
      <c r="FC73" s="32">
        <f ca="1">IF(FC$66=0,0,IF($CD73=0,0,IF(EM73=0,0,IF(FB73=0,ROUNDUP(($BT73-FB73)/EM73,0),IF(ROUNDUP(($BT73-FB73)/EM73,0)-ROUNDUP(EL73/EM73,0)&lt;=0,0,ROUNDUP(($BT73-FB73)/EM73,0)-ROUNDUP(EL73/EM73,0))))))</f>
        <v>0</v>
      </c>
      <c r="FD73" s="555">
        <f ca="1">IF(FC$66=0,0,IF($CD73=0,0,IF(EM73=0,0,IF(ROUNDUP(($BT73-FB73)/EM73,0)&lt;=0,0,ROUNDUP(($BT73-FB73)/EM73,0)))))</f>
        <v>0</v>
      </c>
      <c r="FE73" s="553">
        <f t="shared" ref="FE73:FE86" ca="1" si="124">IF($BT73-$AD136&lt;0,$BT73,$BT73-$AD136)</f>
        <v>0</v>
      </c>
      <c r="FF73" s="540">
        <f t="shared" ca="1" si="76"/>
        <v>0</v>
      </c>
      <c r="FG73" s="539"/>
      <c r="FH73" s="539">
        <f t="shared" ref="FH73:FH86" ca="1" si="125">FI73</f>
        <v>0</v>
      </c>
      <c r="FI73" s="539">
        <f t="shared" ref="FI73:FI86" ca="1" si="126">IF(FL73*FK73&lt;=FJ73,FL73*FK73,FJ73)</f>
        <v>0</v>
      </c>
      <c r="FJ73" s="539">
        <f t="shared" ca="1" si="55"/>
        <v>0</v>
      </c>
      <c r="FK73" s="539">
        <f t="shared" ca="1" si="77"/>
        <v>0</v>
      </c>
      <c r="FL73" s="539">
        <f t="shared" ref="FL73:FL86" si="127">ROUNDDOWN($BW$5/($BW$2+$BW$3),0)</f>
        <v>4</v>
      </c>
      <c r="FM73" s="7">
        <f t="shared" ca="1" si="56"/>
        <v>0</v>
      </c>
      <c r="FN73" s="539">
        <f t="shared" ca="1" si="78"/>
        <v>0</v>
      </c>
      <c r="FO73" s="539">
        <f t="shared" ref="FO73:FO86" ca="1" si="128">IF($CD73=0,0,ROUNDDOWN(FM72/$CD73,0))</f>
        <v>0</v>
      </c>
      <c r="FP73" s="539">
        <f t="shared" ca="1" si="79"/>
        <v>0</v>
      </c>
      <c r="FQ73" s="539">
        <f t="shared" ref="FQ73:FQ86" si="129">ROUNDDOWN($BW$5/($BW$2+$BW$3),0)</f>
        <v>4</v>
      </c>
      <c r="FR73" s="539">
        <f t="shared" ca="1" si="80"/>
        <v>0</v>
      </c>
      <c r="FS73" s="539">
        <f t="shared" ref="FS73:FS86" ca="1" si="130">IF(FF72=FL72,0,IF(FO73&lt;=FF72,FO73,0))</f>
        <v>0</v>
      </c>
      <c r="FT73" s="32">
        <f t="shared" ref="FT73:FT86" ca="1" si="131">IF($CD73=0,0,IF($CD73&lt;FM72,FM72-$CD73,FM72))</f>
        <v>0</v>
      </c>
      <c r="FU73" s="32">
        <f t="shared" ref="FU73:FU86" ca="1" si="132">IF($CD73=0,0,FN73)</f>
        <v>0</v>
      </c>
      <c r="FV73" s="32">
        <f ca="1">IF(FV$66=0,0,IF($CD73=0,0,IF(FF73=0,0,IF(FU73=0,ROUNDUP(($BT73-FU73)/FF73,0),IF(ROUNDUP(($BT73-FU73)/FF73,0)-ROUNDUP(FE73/FF73,0)&lt;=0,0,ROUNDUP(($BT73-FU73)/FF73,0)-ROUNDUP(FE73/FF73,0))))))</f>
        <v>0</v>
      </c>
      <c r="FW73" s="555">
        <f ca="1">IF(FV$66=0,0,IF($CD73=0,0,IF(FF73=0,0,IF(ROUNDUP(($BT73-FU73)/FF73,0)&lt;=0,0,ROUNDUP(($BT73-FU73)/FF73,0)))))</f>
        <v>0</v>
      </c>
      <c r="FX73">
        <f t="shared" ref="FX73:FX86" ca="1" si="133">IF(FY73&gt;0,1,0)</f>
        <v>0</v>
      </c>
      <c r="FY73" s="7">
        <f t="shared" ref="FY73:FY86" ca="1" si="134">IF(AND(CW73=0,CO73=0),CO72,0)</f>
        <v>0</v>
      </c>
      <c r="FZ73" s="7">
        <f ca="1">IF(AND(DP73=0,DH73=0),DH72,0)</f>
        <v>0</v>
      </c>
      <c r="GA73" s="7">
        <f t="shared" ref="GA73:GA86" ca="1" si="135">IF(AND(EI73=0,EA73=0),EA72,0)</f>
        <v>0</v>
      </c>
      <c r="GB73" s="7">
        <f t="shared" ref="GB73:GB85" ca="1" si="136">IF(AND(FB73=0,ET73=0),ET72,0)</f>
        <v>0</v>
      </c>
      <c r="GC73" s="7">
        <f t="shared" ref="GC73:GC86" ca="1" si="137">IF(AND(FU73=0,FM73=0),FM72,0)</f>
        <v>0</v>
      </c>
      <c r="GD73" s="627" t="s">
        <v>2304</v>
      </c>
    </row>
    <row r="74" spans="2:186" x14ac:dyDescent="0.35">
      <c r="B74" t="s">
        <v>2255</v>
      </c>
      <c r="C74">
        <f ca="1">D12*(D14*D31)*2</f>
        <v>0</v>
      </c>
      <c r="D74" t="s">
        <v>78</v>
      </c>
      <c r="BO74">
        <f ca="1">IF(AND(BU74&gt;0,BP74=0,BS75),1,0)</f>
        <v>0</v>
      </c>
      <c r="BP74">
        <f ca="1">IF(BU74=$BW$18,-$BW$18,0)</f>
        <v>0</v>
      </c>
      <c r="BR74" s="2051"/>
      <c r="BS74" s="32">
        <v>3</v>
      </c>
      <c r="BT74" s="470">
        <f t="shared" ca="1" si="81"/>
        <v>0</v>
      </c>
      <c r="BU74" s="387">
        <f ca="1">IF(BT75+BT74=0,0,IF(BT74=$E$3*1,$BW$18,IF(BT75=0,BU27-BU28-$BW$7,BU27-BU28-2*$BW$17)))</f>
        <v>0</v>
      </c>
      <c r="BV74" s="32">
        <f t="shared" ca="1" si="82"/>
        <v>0</v>
      </c>
      <c r="BW74" s="32">
        <f t="shared" ca="1" si="83"/>
        <v>0</v>
      </c>
      <c r="BX74" s="7">
        <f t="shared" ca="1" si="59"/>
        <v>0</v>
      </c>
      <c r="BY74" s="7">
        <f ca="1">BX74*BT74</f>
        <v>0</v>
      </c>
      <c r="BZ74" s="7">
        <f t="shared" ca="1" si="85"/>
        <v>0</v>
      </c>
      <c r="CA74" s="7">
        <f t="shared" ca="1" si="86"/>
        <v>0</v>
      </c>
      <c r="CB74" s="32">
        <f t="shared" ca="1" si="62"/>
        <v>0</v>
      </c>
      <c r="CC74" s="32">
        <f t="shared" ref="CC74:CC86" ca="1" si="138">CB74*BT74</f>
        <v>0</v>
      </c>
      <c r="CD74" s="32">
        <f t="shared" ref="CD74:CD86" ca="1" si="139">CB74*2.5</f>
        <v>0</v>
      </c>
      <c r="CE74" s="9">
        <f t="shared" ref="CE74:CE86" ca="1" si="140">CD74*BT74</f>
        <v>0</v>
      </c>
      <c r="CF74" s="711">
        <f t="shared" ca="1" si="63"/>
        <v>0</v>
      </c>
      <c r="CG74" s="553">
        <f t="shared" ca="1" si="87"/>
        <v>0</v>
      </c>
      <c r="CH74" s="540">
        <f t="shared" ca="1" si="64"/>
        <v>0</v>
      </c>
      <c r="CI74" s="539"/>
      <c r="CJ74" s="539">
        <f t="shared" ca="1" si="88"/>
        <v>0</v>
      </c>
      <c r="CK74" s="539">
        <f t="shared" ca="1" si="89"/>
        <v>0</v>
      </c>
      <c r="CL74" s="539">
        <f t="shared" ca="1" si="47"/>
        <v>0</v>
      </c>
      <c r="CM74" s="539">
        <f t="shared" ca="1" si="90"/>
        <v>0</v>
      </c>
      <c r="CN74" s="539">
        <f t="shared" si="91"/>
        <v>4</v>
      </c>
      <c r="CO74" s="7">
        <f t="shared" ca="1" si="48"/>
        <v>0</v>
      </c>
      <c r="CP74" s="539">
        <f ca="1">IF(CT74+CU74=0,0,IF(AND(CU74+CN73&gt;=CN73,$CW$66-$BU73&lt;$BU74),0,CQ74))</f>
        <v>0</v>
      </c>
      <c r="CQ74" s="539">
        <f t="shared" ca="1" si="92"/>
        <v>0</v>
      </c>
      <c r="CR74" s="539">
        <f t="shared" ca="1" si="93"/>
        <v>0</v>
      </c>
      <c r="CS74" s="539">
        <f t="shared" si="94"/>
        <v>4</v>
      </c>
      <c r="CT74" s="539">
        <f t="shared" ca="1" si="95"/>
        <v>0</v>
      </c>
      <c r="CU74" s="539">
        <f ca="1">IF(CH73=CN73,0,IF(CQ74&lt;=CH73,CQ74,0))</f>
        <v>0</v>
      </c>
      <c r="CV74" s="32">
        <f t="shared" ca="1" si="97"/>
        <v>0</v>
      </c>
      <c r="CW74" s="32">
        <f t="shared" ca="1" si="98"/>
        <v>0</v>
      </c>
      <c r="CX74" s="32">
        <f ca="1">IF(CX$66=0,0,IF($CD74=0,0,IF(CH74=0,0,IF(CW74=0,ROUNDUP(($BT74-CW74)/CH74,0),IF(ROUNDUP(($BT74-CW74)/CH74,0)-ROUNDUP(CG74/CH74,0)&lt;=0,0,ROUNDUP(($BT74-CW74)/CH74,0)-ROUNDUP(CG74/CH74,0))))))</f>
        <v>0</v>
      </c>
      <c r="CY74" s="555">
        <f ca="1">IF(CX$66=0,0,IF($CD74=0,0,IF(CH74=0,0,IF(ROUNDUP(($BT74-CW74)/CH74,0)&lt;=0,0,ROUNDUP(($BT74-CW74)/CH74,0)))))</f>
        <v>0</v>
      </c>
      <c r="CZ74" s="553">
        <f t="shared" ca="1" si="99"/>
        <v>0</v>
      </c>
      <c r="DA74" s="540">
        <f t="shared" ca="1" si="65"/>
        <v>0</v>
      </c>
      <c r="DB74" s="539"/>
      <c r="DC74" s="539">
        <f t="shared" ca="1" si="100"/>
        <v>0</v>
      </c>
      <c r="DD74" s="539">
        <f t="shared" ca="1" si="101"/>
        <v>0</v>
      </c>
      <c r="DE74" s="539">
        <f t="shared" ca="1" si="49"/>
        <v>0</v>
      </c>
      <c r="DF74" s="539">
        <f ca="1">IF($BU74=0,0,ROUNDDOWN($DP$66/$BU74,0))</f>
        <v>0</v>
      </c>
      <c r="DG74" s="539">
        <f t="shared" si="103"/>
        <v>4</v>
      </c>
      <c r="DH74" s="7">
        <f t="shared" ca="1" si="50"/>
        <v>0</v>
      </c>
      <c r="DI74" s="539">
        <f t="shared" ref="DI74:DI86" ca="1" si="141">IF(DM74+DN74=0,0,IF(AND(DN74+DG73&gt;=DG73,$DP$66-$BU73&lt;$BU74),0,DJ74))</f>
        <v>0</v>
      </c>
      <c r="DJ74" s="539">
        <f ca="1">IF($CD74=0,0,ROUNDDOWN(DH73/$CD74,0))</f>
        <v>0</v>
      </c>
      <c r="DK74" s="539">
        <f t="shared" ref="DK74:DK87" ca="1" si="142">IF($BU74=0,0,ROUNDDOWN($DP$66/$BU74,0))</f>
        <v>0</v>
      </c>
      <c r="DL74" s="539">
        <f t="shared" si="104"/>
        <v>4</v>
      </c>
      <c r="DM74" s="539">
        <f t="shared" ca="1" si="105"/>
        <v>0</v>
      </c>
      <c r="DN74" s="539">
        <f t="shared" ref="DN74:DN86" ca="1" si="143">IF(DA73=DG73,0,IF(DJ74&lt;=DA73,DJ74,0))</f>
        <v>0</v>
      </c>
      <c r="DO74" s="32">
        <f ca="1">IF($CD74=0,0,IF($CD74&lt;DH73,DH73-$CD74,DH73))</f>
        <v>0</v>
      </c>
      <c r="DP74" s="32">
        <f ca="1">IF($CD74=0,0,DI74)</f>
        <v>0</v>
      </c>
      <c r="DQ74" s="32">
        <f ca="1">IF(DQ$66=0,0,IF($CD74=0,0,IF(DA74=0,0,IF(DP74=0,ROUNDUP(($BT74-DP74)/DA74,0),IF(ROUNDUP(($BT74-DP74)/DA74,0)-ROUNDUP(CZ74/DA74,0)&lt;=0,0,ROUNDUP(($BT74-DP74)/DA74,0)-ROUNDUP(CZ74/DA74,0))))))</f>
        <v>0</v>
      </c>
      <c r="DR74" s="555">
        <f ca="1">IF(DQ$66=0,0,IF($CD74=0,0,IF(DA74=0,0,IF(ROUNDUP(($BT74-DP74)/DA74,0)&lt;=0,0,ROUNDUP(($BT74-DP74)/DA74,0)))))</f>
        <v>0</v>
      </c>
      <c r="DS74" s="553">
        <f t="shared" ca="1" si="106"/>
        <v>0</v>
      </c>
      <c r="DT74" s="540">
        <f t="shared" ca="1" si="66"/>
        <v>0</v>
      </c>
      <c r="DU74" s="539"/>
      <c r="DV74" s="539">
        <f t="shared" ca="1" si="107"/>
        <v>0</v>
      </c>
      <c r="DW74" s="539">
        <f t="shared" ca="1" si="108"/>
        <v>0</v>
      </c>
      <c r="DX74" s="539">
        <f t="shared" ca="1" si="51"/>
        <v>0</v>
      </c>
      <c r="DY74" s="539">
        <f t="shared" ca="1" si="67"/>
        <v>0</v>
      </c>
      <c r="DZ74" s="539">
        <f t="shared" si="109"/>
        <v>4</v>
      </c>
      <c r="EA74" s="7">
        <f t="shared" ca="1" si="52"/>
        <v>0</v>
      </c>
      <c r="EB74" s="539">
        <f t="shared" ca="1" si="68"/>
        <v>0</v>
      </c>
      <c r="EC74" s="539">
        <f t="shared" ca="1" si="110"/>
        <v>0</v>
      </c>
      <c r="ED74" s="539">
        <f t="shared" ca="1" si="69"/>
        <v>0</v>
      </c>
      <c r="EE74" s="539">
        <f t="shared" si="111"/>
        <v>4</v>
      </c>
      <c r="EF74" s="539">
        <f t="shared" ca="1" si="70"/>
        <v>0</v>
      </c>
      <c r="EG74" s="539">
        <f t="shared" ca="1" si="112"/>
        <v>0</v>
      </c>
      <c r="EH74" s="32">
        <f t="shared" ca="1" si="113"/>
        <v>0</v>
      </c>
      <c r="EI74" s="32">
        <f t="shared" ca="1" si="114"/>
        <v>0</v>
      </c>
      <c r="EJ74" s="32">
        <f ca="1">IF(EJ$66=0,0,IF($CD74=0,0,IF(DT74=0,0,IF(EI74=0,ROUNDUP(($BT74-EI74)/DT74,0),IF(ROUNDUP(($BT74-EI74)/DT74,0)-ROUNDUP(DS74/DT74,0)&lt;=0,0,ROUNDUP(($BT74-EI74)/DT74,0)-ROUNDUP(DS74/DT74,0))))))</f>
        <v>0</v>
      </c>
      <c r="EK74" s="555">
        <f ca="1">IF(EJ$66=0,0,IF($CD74=0,0,IF(DT74=0,0,IF(ROUNDUP(($BT74-EI74)/DT74,0)&lt;=0,0,ROUNDUP(($BT74-EI74)/DT74,0)))))</f>
        <v>0</v>
      </c>
      <c r="EL74" s="553">
        <f t="shared" ca="1" si="115"/>
        <v>0</v>
      </c>
      <c r="EM74" s="540">
        <f t="shared" ca="1" si="71"/>
        <v>0</v>
      </c>
      <c r="EN74" s="539"/>
      <c r="EO74" s="539">
        <f t="shared" ca="1" si="116"/>
        <v>0</v>
      </c>
      <c r="EP74" s="539">
        <f t="shared" ca="1" si="117"/>
        <v>0</v>
      </c>
      <c r="EQ74" s="539">
        <f t="shared" ca="1" si="53"/>
        <v>0</v>
      </c>
      <c r="ER74" s="539">
        <f t="shared" ca="1" si="72"/>
        <v>0</v>
      </c>
      <c r="ES74" s="539">
        <f t="shared" si="118"/>
        <v>4</v>
      </c>
      <c r="ET74" s="7">
        <f t="shared" ca="1" si="54"/>
        <v>0</v>
      </c>
      <c r="EU74" s="539">
        <f t="shared" ca="1" si="73"/>
        <v>0</v>
      </c>
      <c r="EV74" s="539">
        <f t="shared" ca="1" si="119"/>
        <v>0</v>
      </c>
      <c r="EW74" s="539">
        <f t="shared" ca="1" si="74"/>
        <v>0</v>
      </c>
      <c r="EX74" s="539">
        <f t="shared" si="120"/>
        <v>4</v>
      </c>
      <c r="EY74" s="539">
        <f t="shared" ca="1" si="75"/>
        <v>0</v>
      </c>
      <c r="EZ74" s="539">
        <f t="shared" ca="1" si="121"/>
        <v>0</v>
      </c>
      <c r="FA74" s="32">
        <f t="shared" ca="1" si="122"/>
        <v>0</v>
      </c>
      <c r="FB74" s="32">
        <f t="shared" ca="1" si="123"/>
        <v>0</v>
      </c>
      <c r="FC74" s="32">
        <f ca="1">IF(FC$66=0,0,IF($CD74=0,0,IF(EM74=0,0,IF(FB74=0,ROUNDUP(($BT74-FB74)/EM74,0),IF(ROUNDUP(($BT74-FB74)/EM74,0)-ROUNDUP(EL74/EM74,0)&lt;=0,0,ROUNDUP(($BT74-FB74)/EM74,0)-ROUNDUP(EL74/EM74,0))))))</f>
        <v>0</v>
      </c>
      <c r="FD74" s="555">
        <f ca="1">IF(FC$66=0,0,IF($CD74=0,0,IF(EM74=0,0,IF(ROUNDUP(($BT74-FB74)/EM74,0)&lt;=0,0,ROUNDUP(($BT74-FB74)/EM74,0)))))</f>
        <v>0</v>
      </c>
      <c r="FE74" s="553">
        <f t="shared" ca="1" si="124"/>
        <v>0</v>
      </c>
      <c r="FF74" s="540">
        <f t="shared" ca="1" si="76"/>
        <v>0</v>
      </c>
      <c r="FG74" s="539"/>
      <c r="FH74" s="539">
        <f t="shared" ca="1" si="125"/>
        <v>0</v>
      </c>
      <c r="FI74" s="539">
        <f t="shared" ca="1" si="126"/>
        <v>0</v>
      </c>
      <c r="FJ74" s="539">
        <f t="shared" ca="1" si="55"/>
        <v>0</v>
      </c>
      <c r="FK74" s="539">
        <f t="shared" ca="1" si="77"/>
        <v>0</v>
      </c>
      <c r="FL74" s="539">
        <f t="shared" si="127"/>
        <v>4</v>
      </c>
      <c r="FM74" s="7">
        <f t="shared" ca="1" si="56"/>
        <v>0</v>
      </c>
      <c r="FN74" s="539">
        <f t="shared" ca="1" si="78"/>
        <v>0</v>
      </c>
      <c r="FO74" s="539">
        <f t="shared" ca="1" si="128"/>
        <v>0</v>
      </c>
      <c r="FP74" s="539">
        <f t="shared" ca="1" si="79"/>
        <v>0</v>
      </c>
      <c r="FQ74" s="539">
        <f t="shared" si="129"/>
        <v>4</v>
      </c>
      <c r="FR74" s="539">
        <f t="shared" ca="1" si="80"/>
        <v>0</v>
      </c>
      <c r="FS74" s="539">
        <f t="shared" ca="1" si="130"/>
        <v>0</v>
      </c>
      <c r="FT74" s="32">
        <f t="shared" ca="1" si="131"/>
        <v>0</v>
      </c>
      <c r="FU74" s="32">
        <f ca="1">IF($CD74=0,0,FN74)</f>
        <v>0</v>
      </c>
      <c r="FV74" s="32">
        <f ca="1">IF(FV$66=0,0,IF($CD74=0,0,IF(FF74=0,0,IF(FU74=0,ROUNDUP(($BT74-FU74)/FF74,0),IF(ROUNDUP(($BT74-FU74)/FF74,0)-ROUNDUP(FE74/FF74,0)&lt;=0,0,ROUNDUP(($BT74-FU74)/FF74,0)-ROUNDUP(FE74/FF74,0))))))</f>
        <v>0</v>
      </c>
      <c r="FW74" s="555">
        <f ca="1">IF(FV$66=0,0,IF($CD74=0,0,IF(FF74=0,0,IF(ROUNDUP(($BT74-FU74)/FF74,0)&lt;=0,0,ROUNDUP(($BT74-FU74)/FF74,0)))))</f>
        <v>0</v>
      </c>
      <c r="FX74">
        <f t="shared" ca="1" si="133"/>
        <v>0</v>
      </c>
      <c r="FY74" s="7">
        <f t="shared" ca="1" si="134"/>
        <v>0</v>
      </c>
      <c r="FZ74" s="7">
        <f t="shared" ref="FZ74:FZ86" ca="1" si="144">IF(AND(DP74=0,DH74=0),DH73,0)</f>
        <v>0</v>
      </c>
      <c r="GA74" s="7">
        <f t="shared" ca="1" si="135"/>
        <v>0</v>
      </c>
      <c r="GB74" s="7">
        <f t="shared" ca="1" si="136"/>
        <v>0</v>
      </c>
      <c r="GC74" s="7">
        <f t="shared" ca="1" si="137"/>
        <v>0</v>
      </c>
      <c r="GD74" s="627" t="s">
        <v>2305</v>
      </c>
    </row>
    <row r="75" spans="2:186" x14ac:dyDescent="0.35">
      <c r="B75" t="s">
        <v>2306</v>
      </c>
      <c r="D75">
        <f ca="1">BT87*4</f>
        <v>0</v>
      </c>
      <c r="E75" t="s">
        <v>46</v>
      </c>
      <c r="BO75">
        <f t="shared" ref="BO75:BO86" ca="1" si="145">IF(AND(BU75&gt;0,BP75=0,BS76),1,0)</f>
        <v>0</v>
      </c>
      <c r="BP75">
        <f t="shared" ca="1" si="57"/>
        <v>0</v>
      </c>
      <c r="BR75" s="2051"/>
      <c r="BS75" s="32">
        <v>4</v>
      </c>
      <c r="BT75" s="470">
        <f t="shared" ca="1" si="81"/>
        <v>0</v>
      </c>
      <c r="BU75" s="387">
        <f t="shared" ca="1" si="58"/>
        <v>0</v>
      </c>
      <c r="BV75" s="32">
        <f t="shared" ca="1" si="82"/>
        <v>0</v>
      </c>
      <c r="BW75" s="32">
        <f t="shared" ca="1" si="83"/>
        <v>0</v>
      </c>
      <c r="BX75" s="7">
        <f t="shared" ca="1" si="59"/>
        <v>0</v>
      </c>
      <c r="BY75" s="7">
        <f t="shared" ca="1" si="84"/>
        <v>0</v>
      </c>
      <c r="BZ75" s="7">
        <f t="shared" ca="1" si="85"/>
        <v>0</v>
      </c>
      <c r="CA75" s="7">
        <f t="shared" ca="1" si="86"/>
        <v>0</v>
      </c>
      <c r="CB75" s="32">
        <f t="shared" ca="1" si="62"/>
        <v>0</v>
      </c>
      <c r="CC75" s="32">
        <f t="shared" ca="1" si="138"/>
        <v>0</v>
      </c>
      <c r="CD75" s="32">
        <f ca="1">CB75*2.5</f>
        <v>0</v>
      </c>
      <c r="CE75" s="9">
        <f ca="1">CD75*BT75</f>
        <v>0</v>
      </c>
      <c r="CF75" s="711">
        <f t="shared" ca="1" si="63"/>
        <v>0</v>
      </c>
      <c r="CG75" s="553">
        <f t="shared" ca="1" si="87"/>
        <v>0</v>
      </c>
      <c r="CH75" s="540">
        <f t="shared" ca="1" si="64"/>
        <v>0</v>
      </c>
      <c r="CI75" s="539"/>
      <c r="CJ75" s="539">
        <f t="shared" ca="1" si="88"/>
        <v>0</v>
      </c>
      <c r="CK75" s="539">
        <f t="shared" ca="1" si="89"/>
        <v>0</v>
      </c>
      <c r="CL75" s="539">
        <f t="shared" ca="1" si="47"/>
        <v>0</v>
      </c>
      <c r="CM75" s="539">
        <f t="shared" ca="1" si="90"/>
        <v>0</v>
      </c>
      <c r="CN75" s="539">
        <f t="shared" si="91"/>
        <v>4</v>
      </c>
      <c r="CO75" s="7">
        <f t="shared" ca="1" si="48"/>
        <v>0</v>
      </c>
      <c r="CP75" s="539">
        <f t="shared" ref="CP75:CP86" ca="1" si="146">IF(CT75+CU75=0,0,IF(AND(CU75+CN74&gt;=CN74,$CW$66-$BU74&lt;$BU75),0,CQ75))</f>
        <v>0</v>
      </c>
      <c r="CQ75" s="539">
        <f t="shared" ca="1" si="92"/>
        <v>0</v>
      </c>
      <c r="CR75" s="539">
        <f t="shared" ca="1" si="93"/>
        <v>0</v>
      </c>
      <c r="CS75" s="539">
        <f t="shared" si="94"/>
        <v>4</v>
      </c>
      <c r="CT75" s="539">
        <f t="shared" ca="1" si="95"/>
        <v>0</v>
      </c>
      <c r="CU75" s="539">
        <f t="shared" ca="1" si="96"/>
        <v>0</v>
      </c>
      <c r="CV75" s="32">
        <f t="shared" ca="1" si="97"/>
        <v>0</v>
      </c>
      <c r="CW75" s="32">
        <f t="shared" ca="1" si="98"/>
        <v>0</v>
      </c>
      <c r="CX75" s="32">
        <f ca="1">IF(CX$66=0,0,IF($CD75=0,0,IF(CH75=0,0,IF(CW75=0,ROUNDUP(($BT75-CW75)/CH75,0),IF(ROUNDUP(($BT75-CW75)/CH75,0)-ROUNDUP(CG75/CH75,0)&lt;=0,0,ROUNDUP(($BT75-CW75)/CH75,0)-ROUNDUP(CG75/CH75,0))))))</f>
        <v>0</v>
      </c>
      <c r="CY75" s="555">
        <f ca="1">IF(CX$66=0,0,IF($CD75=0,0,IF(CH75=0,0,IF(ROUNDUP(($BT75-CW75)/CH75,0)&lt;=0,0,ROUNDUP(($BT75-CW75)/CH75,0)))))</f>
        <v>0</v>
      </c>
      <c r="CZ75" s="553">
        <f t="shared" ca="1" si="99"/>
        <v>0</v>
      </c>
      <c r="DA75" s="540">
        <f t="shared" ca="1" si="65"/>
        <v>0</v>
      </c>
      <c r="DB75" s="539"/>
      <c r="DC75" s="539">
        <f t="shared" ca="1" si="100"/>
        <v>0</v>
      </c>
      <c r="DD75" s="539">
        <f t="shared" ca="1" si="101"/>
        <v>0</v>
      </c>
      <c r="DE75" s="539">
        <f t="shared" ca="1" si="49"/>
        <v>0</v>
      </c>
      <c r="DF75" s="539">
        <f t="shared" ca="1" si="102"/>
        <v>0</v>
      </c>
      <c r="DG75" s="539">
        <f t="shared" si="103"/>
        <v>4</v>
      </c>
      <c r="DH75" s="7">
        <f t="shared" ca="1" si="50"/>
        <v>0</v>
      </c>
      <c r="DI75" s="539">
        <f t="shared" ca="1" si="141"/>
        <v>0</v>
      </c>
      <c r="DJ75" s="539">
        <f t="shared" ref="DJ75:DJ86" ca="1" si="147">IF($CD75=0,0,ROUNDDOWN(DH74/$CD75,0))</f>
        <v>0</v>
      </c>
      <c r="DK75" s="539">
        <f t="shared" ca="1" si="142"/>
        <v>0</v>
      </c>
      <c r="DL75" s="539">
        <f t="shared" si="104"/>
        <v>4</v>
      </c>
      <c r="DM75" s="539">
        <f t="shared" ca="1" si="105"/>
        <v>0</v>
      </c>
      <c r="DN75" s="539">
        <f t="shared" ca="1" si="143"/>
        <v>0</v>
      </c>
      <c r="DO75" s="32">
        <f ca="1">IF($CD75=0,0,IF($CD75&lt;DH74,DH74-$CD75,DH74))</f>
        <v>0</v>
      </c>
      <c r="DP75" s="32">
        <f ca="1">IF($CD75=0,0,DI75)</f>
        <v>0</v>
      </c>
      <c r="DQ75" s="32">
        <f ca="1">IF(DQ$66=0,0,IF($CD75=0,0,IF(DA75=0,0,IF(DP75=0,ROUNDUP(($BT75-DP75)/DA75,0),IF(ROUNDUP(($BT75-DP75)/DA75,0)-ROUNDUP(CZ75/DA75,0)&lt;=0,0,ROUNDUP(($BT75-DP75)/DA75,0)-ROUNDUP(CZ75/DA75,0))))))</f>
        <v>0</v>
      </c>
      <c r="DR75" s="555">
        <f ca="1">IF(DQ$66=0,0,IF($CD75=0,0,IF(DA75=0,0,IF(ROUNDUP(($BT75-DP75)/DA75,0)&lt;=0,0,ROUNDUP(($BT75-DP75)/DA75,0)))))</f>
        <v>0</v>
      </c>
      <c r="DS75" s="553">
        <f t="shared" ca="1" si="106"/>
        <v>0</v>
      </c>
      <c r="DT75" s="540">
        <f t="shared" ca="1" si="66"/>
        <v>0</v>
      </c>
      <c r="DU75" s="539"/>
      <c r="DV75" s="539">
        <f t="shared" ca="1" si="107"/>
        <v>0</v>
      </c>
      <c r="DW75" s="539">
        <f t="shared" ca="1" si="108"/>
        <v>0</v>
      </c>
      <c r="DX75" s="539">
        <f t="shared" ca="1" si="51"/>
        <v>0</v>
      </c>
      <c r="DY75" s="539">
        <f t="shared" ca="1" si="67"/>
        <v>0</v>
      </c>
      <c r="DZ75" s="539">
        <f t="shared" si="109"/>
        <v>4</v>
      </c>
      <c r="EA75" s="7">
        <f t="shared" ca="1" si="52"/>
        <v>0</v>
      </c>
      <c r="EB75" s="539">
        <f t="shared" ca="1" si="68"/>
        <v>0</v>
      </c>
      <c r="EC75" s="539">
        <f t="shared" ca="1" si="110"/>
        <v>0</v>
      </c>
      <c r="ED75" s="539">
        <f t="shared" ca="1" si="69"/>
        <v>0</v>
      </c>
      <c r="EE75" s="539">
        <f t="shared" si="111"/>
        <v>4</v>
      </c>
      <c r="EF75" s="539">
        <f t="shared" ca="1" si="70"/>
        <v>0</v>
      </c>
      <c r="EG75" s="539">
        <f t="shared" ca="1" si="112"/>
        <v>0</v>
      </c>
      <c r="EH75" s="32">
        <f t="shared" ca="1" si="113"/>
        <v>0</v>
      </c>
      <c r="EI75" s="32">
        <f t="shared" ca="1" si="114"/>
        <v>0</v>
      </c>
      <c r="EJ75" s="32">
        <f ca="1">IF(EJ$66=0,0,IF($CD75=0,0,IF(DT75=0,0,IF(EI75=0,ROUNDUP(($BT75-EI75)/DT75,0),IF(ROUNDUP(($BT75-EI75)/DT75,0)-ROUNDUP(DS75/DT75,0)&lt;=0,0,ROUNDUP(($BT75-EI75)/DT75,0)-ROUNDUP(DS75/DT75,0))))))</f>
        <v>0</v>
      </c>
      <c r="EK75" s="555">
        <f ca="1">IF(EJ$66=0,0,IF($CD75=0,0,IF(DT75=0,0,IF(ROUNDUP(($BT75-EI75)/DT75,0)&lt;=0,0,ROUNDUP(($BT75-EI75)/DT75,0)))))</f>
        <v>0</v>
      </c>
      <c r="EL75" s="553">
        <f t="shared" ca="1" si="115"/>
        <v>0</v>
      </c>
      <c r="EM75" s="540">
        <f t="shared" ca="1" si="71"/>
        <v>0</v>
      </c>
      <c r="EN75" s="539"/>
      <c r="EO75" s="539">
        <f t="shared" ca="1" si="116"/>
        <v>0</v>
      </c>
      <c r="EP75" s="539">
        <f t="shared" ca="1" si="117"/>
        <v>0</v>
      </c>
      <c r="EQ75" s="539">
        <f t="shared" ca="1" si="53"/>
        <v>0</v>
      </c>
      <c r="ER75" s="539">
        <f t="shared" ca="1" si="72"/>
        <v>0</v>
      </c>
      <c r="ES75" s="539">
        <f t="shared" si="118"/>
        <v>4</v>
      </c>
      <c r="ET75" s="7">
        <f t="shared" ca="1" si="54"/>
        <v>0</v>
      </c>
      <c r="EU75" s="539">
        <f t="shared" ca="1" si="73"/>
        <v>0</v>
      </c>
      <c r="EV75" s="539">
        <f t="shared" ca="1" si="119"/>
        <v>0</v>
      </c>
      <c r="EW75" s="539">
        <f t="shared" ca="1" si="74"/>
        <v>0</v>
      </c>
      <c r="EX75" s="539">
        <f t="shared" si="120"/>
        <v>4</v>
      </c>
      <c r="EY75" s="539">
        <f t="shared" ca="1" si="75"/>
        <v>0</v>
      </c>
      <c r="EZ75" s="539">
        <f t="shared" ca="1" si="121"/>
        <v>0</v>
      </c>
      <c r="FA75" s="32">
        <f t="shared" ca="1" si="122"/>
        <v>0</v>
      </c>
      <c r="FB75" s="32">
        <f t="shared" ca="1" si="123"/>
        <v>0</v>
      </c>
      <c r="FC75" s="32">
        <f ca="1">IF(FC$66=0,0,IF($CD75=0,0,IF(EM75=0,0,IF(FB75=0,ROUNDUP(($BT75-FB75)/EM75,0),IF(ROUNDUP(($BT75-FB75)/EM75,0)-ROUNDUP(EL75/EM75,0)&lt;=0,0,ROUNDUP(($BT75-FB75)/EM75,0)-ROUNDUP(EL75/EM75,0))))))</f>
        <v>0</v>
      </c>
      <c r="FD75" s="555">
        <f ca="1">IF(FC$66=0,0,IF($CD75=0,0,IF(EM75=0,0,IF(ROUNDUP(($BT75-FB75)/EM75,0)&lt;=0,0,ROUNDUP(($BT75-FB75)/EM75,0)))))</f>
        <v>0</v>
      </c>
      <c r="FE75" s="553">
        <f t="shared" ca="1" si="124"/>
        <v>0</v>
      </c>
      <c r="FF75" s="540">
        <f t="shared" ca="1" si="76"/>
        <v>0</v>
      </c>
      <c r="FG75" s="539"/>
      <c r="FH75" s="539">
        <f t="shared" ca="1" si="125"/>
        <v>0</v>
      </c>
      <c r="FI75" s="539">
        <f t="shared" ca="1" si="126"/>
        <v>0</v>
      </c>
      <c r="FJ75" s="539">
        <f t="shared" ca="1" si="55"/>
        <v>0</v>
      </c>
      <c r="FK75" s="539">
        <f t="shared" ca="1" si="77"/>
        <v>0</v>
      </c>
      <c r="FL75" s="539">
        <f t="shared" si="127"/>
        <v>4</v>
      </c>
      <c r="FM75" s="7">
        <f t="shared" ca="1" si="56"/>
        <v>0</v>
      </c>
      <c r="FN75" s="539">
        <f t="shared" ca="1" si="78"/>
        <v>0</v>
      </c>
      <c r="FO75" s="539">
        <f t="shared" ca="1" si="128"/>
        <v>0</v>
      </c>
      <c r="FP75" s="539">
        <f t="shared" ca="1" si="79"/>
        <v>0</v>
      </c>
      <c r="FQ75" s="539">
        <f t="shared" si="129"/>
        <v>4</v>
      </c>
      <c r="FR75" s="539">
        <f t="shared" ca="1" si="80"/>
        <v>0</v>
      </c>
      <c r="FS75" s="539">
        <f t="shared" ca="1" si="130"/>
        <v>0</v>
      </c>
      <c r="FT75" s="32">
        <f t="shared" ca="1" si="131"/>
        <v>0</v>
      </c>
      <c r="FU75" s="32">
        <f t="shared" ca="1" si="132"/>
        <v>0</v>
      </c>
      <c r="FV75" s="32">
        <f ca="1">IF(FV$66=0,0,IF($CD75=0,0,IF(FF75=0,0,IF(FU75=0,ROUNDUP(($BT75-FU75)/FF75,0),IF(ROUNDUP(($BT75-FU75)/FF75,0)-ROUNDUP(FE75/FF75,0)&lt;=0,0,ROUNDUP(($BT75-FU75)/FF75,0)-ROUNDUP(FE75/FF75,0))))))</f>
        <v>0</v>
      </c>
      <c r="FW75" s="555">
        <f ca="1">IF(FV$66=0,0,IF($CD75=0,0,IF(FF75=0,0,IF(ROUNDUP(($BT75-FU75)/FF75,0)&lt;=0,0,ROUNDUP(($BT75-FU75)/FF75,0)))))</f>
        <v>0</v>
      </c>
      <c r="FX75">
        <f t="shared" ca="1" si="133"/>
        <v>0</v>
      </c>
      <c r="FY75" s="7">
        <f t="shared" ca="1" si="134"/>
        <v>0</v>
      </c>
      <c r="FZ75" s="7">
        <f t="shared" ca="1" si="144"/>
        <v>0</v>
      </c>
      <c r="GA75" s="7">
        <f t="shared" ca="1" si="135"/>
        <v>0</v>
      </c>
      <c r="GB75" s="7">
        <f t="shared" ca="1" si="136"/>
        <v>0</v>
      </c>
      <c r="GC75" s="7">
        <f t="shared" ca="1" si="137"/>
        <v>0</v>
      </c>
      <c r="GD75" s="627" t="s">
        <v>2307</v>
      </c>
    </row>
    <row r="76" spans="2:186" x14ac:dyDescent="0.35">
      <c r="B76" t="s">
        <v>2308</v>
      </c>
      <c r="D76">
        <f ca="1">(0.06*0.03*CA87)+(AL12*0.05*D44*E3)+((D14+0.1)*(D14+0.1)*0.1*D12)</f>
        <v>0</v>
      </c>
      <c r="E76" t="s">
        <v>31</v>
      </c>
      <c r="BO76">
        <f t="shared" ca="1" si="145"/>
        <v>0</v>
      </c>
      <c r="BP76">
        <f t="shared" ca="1" si="57"/>
        <v>0</v>
      </c>
      <c r="BR76" s="2051"/>
      <c r="BS76" s="32">
        <v>5</v>
      </c>
      <c r="BT76" s="470">
        <f t="shared" ca="1" si="81"/>
        <v>0</v>
      </c>
      <c r="BU76" s="387">
        <f t="shared" ca="1" si="58"/>
        <v>0</v>
      </c>
      <c r="BV76" s="32">
        <f t="shared" ca="1" si="82"/>
        <v>0</v>
      </c>
      <c r="BW76" s="32">
        <f t="shared" ca="1" si="83"/>
        <v>0</v>
      </c>
      <c r="BX76" s="7">
        <f t="shared" ca="1" si="59"/>
        <v>0</v>
      </c>
      <c r="BY76" s="7">
        <f t="shared" ca="1" si="84"/>
        <v>0</v>
      </c>
      <c r="BZ76" s="7">
        <f t="shared" ca="1" si="85"/>
        <v>0</v>
      </c>
      <c r="CA76" s="7">
        <f t="shared" ca="1" si="86"/>
        <v>0</v>
      </c>
      <c r="CB76" s="32">
        <f t="shared" ca="1" si="62"/>
        <v>0</v>
      </c>
      <c r="CC76" s="32">
        <f t="shared" ca="1" si="138"/>
        <v>0</v>
      </c>
      <c r="CD76" s="32">
        <f t="shared" ca="1" si="139"/>
        <v>0</v>
      </c>
      <c r="CE76" s="9">
        <f t="shared" ca="1" si="140"/>
        <v>0</v>
      </c>
      <c r="CF76" s="711">
        <f t="shared" ca="1" si="63"/>
        <v>0</v>
      </c>
      <c r="CG76" s="553">
        <f t="shared" ca="1" si="87"/>
        <v>0</v>
      </c>
      <c r="CH76" s="540">
        <f t="shared" ca="1" si="64"/>
        <v>0</v>
      </c>
      <c r="CI76" s="539"/>
      <c r="CJ76" s="539">
        <f t="shared" ca="1" si="88"/>
        <v>0</v>
      </c>
      <c r="CK76" s="539">
        <f t="shared" ca="1" si="89"/>
        <v>0</v>
      </c>
      <c r="CL76" s="539">
        <f t="shared" ca="1" si="47"/>
        <v>0</v>
      </c>
      <c r="CM76" s="539">
        <f t="shared" ca="1" si="90"/>
        <v>0</v>
      </c>
      <c r="CN76" s="539">
        <f t="shared" si="91"/>
        <v>4</v>
      </c>
      <c r="CO76" s="7">
        <f t="shared" ca="1" si="48"/>
        <v>0</v>
      </c>
      <c r="CP76" s="539">
        <f t="shared" ca="1" si="146"/>
        <v>0</v>
      </c>
      <c r="CQ76" s="539">
        <f t="shared" ca="1" si="92"/>
        <v>0</v>
      </c>
      <c r="CR76" s="539">
        <f t="shared" ca="1" si="93"/>
        <v>0</v>
      </c>
      <c r="CS76" s="539">
        <f t="shared" si="94"/>
        <v>4</v>
      </c>
      <c r="CT76" s="539">
        <f t="shared" ca="1" si="95"/>
        <v>0</v>
      </c>
      <c r="CU76" s="539">
        <f t="shared" ca="1" si="96"/>
        <v>0</v>
      </c>
      <c r="CV76" s="32">
        <f t="shared" ca="1" si="97"/>
        <v>0</v>
      </c>
      <c r="CW76" s="32">
        <f t="shared" ca="1" si="98"/>
        <v>0</v>
      </c>
      <c r="CX76" s="32">
        <f t="shared" ref="CX76:CX86" ca="1" si="148">IF(CX$66=0,0,IF($CD76=0,0,IF(CH76=0,0,IF(CW76=0,ROUNDUP(($BT76-CW76)/CH76,0),IF(ROUNDUP(($BT76-CW76)/CH76,0)-ROUNDUP(CG76/CH76,0)&lt;=0,0,ROUNDUP(($BT76-CW76)/CH76,0)-ROUNDUP(CG76/CH76,0))))))</f>
        <v>0</v>
      </c>
      <c r="CY76" s="555">
        <f t="shared" ref="CY76:CY86" ca="1" si="149">IF(CX$66=0,0,IF($CD76=0,0,IF(CH76=0,0,IF(ROUNDUP(($BT76-CW76)/CH76,0)&lt;=0,0,ROUNDUP(($BT76-CW76)/CH76,0)))))</f>
        <v>0</v>
      </c>
      <c r="CZ76" s="553">
        <f t="shared" ca="1" si="99"/>
        <v>0</v>
      </c>
      <c r="DA76" s="540">
        <f t="shared" ca="1" si="65"/>
        <v>0</v>
      </c>
      <c r="DB76" s="539"/>
      <c r="DC76" s="539">
        <f t="shared" ca="1" si="100"/>
        <v>0</v>
      </c>
      <c r="DD76" s="539">
        <f t="shared" ca="1" si="101"/>
        <v>0</v>
      </c>
      <c r="DE76" s="539">
        <f t="shared" ca="1" si="49"/>
        <v>0</v>
      </c>
      <c r="DF76" s="539">
        <f t="shared" ca="1" si="102"/>
        <v>0</v>
      </c>
      <c r="DG76" s="539">
        <f t="shared" si="103"/>
        <v>4</v>
      </c>
      <c r="DH76" s="7">
        <f t="shared" ca="1" si="50"/>
        <v>0</v>
      </c>
      <c r="DI76" s="539">
        <f t="shared" ca="1" si="141"/>
        <v>0</v>
      </c>
      <c r="DJ76" s="539">
        <f t="shared" ca="1" si="147"/>
        <v>0</v>
      </c>
      <c r="DK76" s="539">
        <f t="shared" ca="1" si="142"/>
        <v>0</v>
      </c>
      <c r="DL76" s="539">
        <f t="shared" si="104"/>
        <v>4</v>
      </c>
      <c r="DM76" s="539">
        <f t="shared" ca="1" si="105"/>
        <v>0</v>
      </c>
      <c r="DN76" s="539">
        <f t="shared" ca="1" si="143"/>
        <v>0</v>
      </c>
      <c r="DO76" s="32">
        <f ca="1">IF($CD76=0,0,IF($CD76&lt;DH75,DH75-$CD76,DH75))</f>
        <v>0</v>
      </c>
      <c r="DP76" s="32">
        <f ca="1">IF($CD76=0,0,DI76)</f>
        <v>0</v>
      </c>
      <c r="DQ76" s="32">
        <f t="shared" ref="DQ76:DQ86" ca="1" si="150">IF(DQ$66=0,0,IF($CD76=0,0,IF(DA76=0,0,IF(DP76=0,ROUNDUP(($BT76-DP76)/DA76,0),IF(ROUNDUP(($BT76-DP76)/DA76,0)-ROUNDUP(CZ76/DA76,0)&lt;=0,0,ROUNDUP(($BT76-DP76)/DA76,0)-ROUNDUP(CZ76/DA76,0))))))</f>
        <v>0</v>
      </c>
      <c r="DR76" s="555">
        <f t="shared" ref="DR76:DR86" ca="1" si="151">IF(DQ$66=0,0,IF($CD76=0,0,IF(DA76=0,0,IF(ROUNDUP(($BT76-DP76)/DA76,0)&lt;=0,0,ROUNDUP(($BT76-DP76)/DA76,0)))))</f>
        <v>0</v>
      </c>
      <c r="DS76" s="553">
        <f t="shared" ca="1" si="106"/>
        <v>0</v>
      </c>
      <c r="DT76" s="540">
        <f t="shared" ca="1" si="66"/>
        <v>0</v>
      </c>
      <c r="DU76" s="539"/>
      <c r="DV76" s="539">
        <f t="shared" ca="1" si="107"/>
        <v>0</v>
      </c>
      <c r="DW76" s="539">
        <f t="shared" ca="1" si="108"/>
        <v>0</v>
      </c>
      <c r="DX76" s="539">
        <f t="shared" ca="1" si="51"/>
        <v>0</v>
      </c>
      <c r="DY76" s="539">
        <f t="shared" ca="1" si="67"/>
        <v>0</v>
      </c>
      <c r="DZ76" s="539">
        <f t="shared" si="109"/>
        <v>4</v>
      </c>
      <c r="EA76" s="7">
        <f t="shared" ca="1" si="52"/>
        <v>0</v>
      </c>
      <c r="EB76" s="539">
        <f t="shared" ca="1" si="68"/>
        <v>0</v>
      </c>
      <c r="EC76" s="539">
        <f t="shared" ca="1" si="110"/>
        <v>0</v>
      </c>
      <c r="ED76" s="539">
        <f t="shared" ca="1" si="69"/>
        <v>0</v>
      </c>
      <c r="EE76" s="539">
        <f t="shared" si="111"/>
        <v>4</v>
      </c>
      <c r="EF76" s="539">
        <f t="shared" ca="1" si="70"/>
        <v>0</v>
      </c>
      <c r="EG76" s="539">
        <f t="shared" ca="1" si="112"/>
        <v>0</v>
      </c>
      <c r="EH76" s="32">
        <f t="shared" ca="1" si="113"/>
        <v>0</v>
      </c>
      <c r="EI76" s="32">
        <f t="shared" ca="1" si="114"/>
        <v>0</v>
      </c>
      <c r="EJ76" s="32">
        <f t="shared" ref="EJ76:EJ86" ca="1" si="152">IF(EJ$66=0,0,IF($CD76=0,0,IF(DT76=0,0,IF(EI76=0,ROUNDUP(($BT76-EI76)/DT76,0),IF(ROUNDUP(($BT76-EI76)/DT76,0)-ROUNDUP(DS76/DT76,0)&lt;=0,0,ROUNDUP(($BT76-EI76)/DT76,0)-ROUNDUP(DS76/DT76,0))))))</f>
        <v>0</v>
      </c>
      <c r="EK76" s="555">
        <f t="shared" ref="EK76:EK86" ca="1" si="153">IF(EJ$66=0,0,IF($CD76=0,0,IF(DT76=0,0,IF(ROUNDUP(($BT76-EI76)/DT76,0)&lt;=0,0,ROUNDUP(($BT76-EI76)/DT76,0)))))</f>
        <v>0</v>
      </c>
      <c r="EL76" s="553">
        <f t="shared" ca="1" si="115"/>
        <v>0</v>
      </c>
      <c r="EM76" s="540">
        <f t="shared" ca="1" si="71"/>
        <v>0</v>
      </c>
      <c r="EN76" s="539"/>
      <c r="EO76" s="539">
        <f t="shared" ca="1" si="116"/>
        <v>0</v>
      </c>
      <c r="EP76" s="539">
        <f t="shared" ca="1" si="117"/>
        <v>0</v>
      </c>
      <c r="EQ76" s="539">
        <f t="shared" ca="1" si="53"/>
        <v>0</v>
      </c>
      <c r="ER76" s="539">
        <f t="shared" ca="1" si="72"/>
        <v>0</v>
      </c>
      <c r="ES76" s="539">
        <f t="shared" si="118"/>
        <v>4</v>
      </c>
      <c r="ET76" s="7">
        <f t="shared" ca="1" si="54"/>
        <v>0</v>
      </c>
      <c r="EU76" s="539">
        <f t="shared" ca="1" si="73"/>
        <v>0</v>
      </c>
      <c r="EV76" s="539">
        <f t="shared" ca="1" si="119"/>
        <v>0</v>
      </c>
      <c r="EW76" s="539">
        <f t="shared" ca="1" si="74"/>
        <v>0</v>
      </c>
      <c r="EX76" s="539">
        <f t="shared" si="120"/>
        <v>4</v>
      </c>
      <c r="EY76" s="539">
        <f t="shared" ca="1" si="75"/>
        <v>0</v>
      </c>
      <c r="EZ76" s="539">
        <f t="shared" ca="1" si="121"/>
        <v>0</v>
      </c>
      <c r="FA76" s="32">
        <f t="shared" ca="1" si="122"/>
        <v>0</v>
      </c>
      <c r="FB76" s="32">
        <f t="shared" ca="1" si="123"/>
        <v>0</v>
      </c>
      <c r="FC76" s="32">
        <f t="shared" ref="FC76:FC86" ca="1" si="154">IF(FC$66=0,0,IF($CD76=0,0,IF(EM76=0,0,IF(FB76=0,ROUNDUP(($BT76-FB76)/EM76,0),IF(ROUNDUP(($BT76-FB76)/EM76,0)-ROUNDUP(EL76/EM76,0)&lt;=0,0,ROUNDUP(($BT76-FB76)/EM76,0)-ROUNDUP(EL76/EM76,0))))))</f>
        <v>0</v>
      </c>
      <c r="FD76" s="555">
        <f t="shared" ref="FD76:FD86" ca="1" si="155">IF(FC$66=0,0,IF($CD76=0,0,IF(EM76=0,0,IF(ROUNDUP(($BT76-FB76)/EM76,0)&lt;=0,0,ROUNDUP(($BT76-FB76)/EM76,0)))))</f>
        <v>0</v>
      </c>
      <c r="FE76" s="553">
        <f t="shared" ca="1" si="124"/>
        <v>0</v>
      </c>
      <c r="FF76" s="540">
        <f t="shared" ca="1" si="76"/>
        <v>0</v>
      </c>
      <c r="FG76" s="539"/>
      <c r="FH76" s="539">
        <f t="shared" ca="1" si="125"/>
        <v>0</v>
      </c>
      <c r="FI76" s="539">
        <f t="shared" ca="1" si="126"/>
        <v>0</v>
      </c>
      <c r="FJ76" s="539">
        <f t="shared" ca="1" si="55"/>
        <v>0</v>
      </c>
      <c r="FK76" s="539">
        <f t="shared" ca="1" si="77"/>
        <v>0</v>
      </c>
      <c r="FL76" s="539">
        <f t="shared" si="127"/>
        <v>4</v>
      </c>
      <c r="FM76" s="7">
        <f t="shared" ca="1" si="56"/>
        <v>0</v>
      </c>
      <c r="FN76" s="539">
        <f t="shared" ca="1" si="78"/>
        <v>0</v>
      </c>
      <c r="FO76" s="539">
        <f t="shared" ca="1" si="128"/>
        <v>0</v>
      </c>
      <c r="FP76" s="539">
        <f t="shared" ca="1" si="79"/>
        <v>0</v>
      </c>
      <c r="FQ76" s="539">
        <f t="shared" si="129"/>
        <v>4</v>
      </c>
      <c r="FR76" s="539">
        <f t="shared" ca="1" si="80"/>
        <v>0</v>
      </c>
      <c r="FS76" s="539">
        <f t="shared" ca="1" si="130"/>
        <v>0</v>
      </c>
      <c r="FT76" s="32">
        <f t="shared" ca="1" si="131"/>
        <v>0</v>
      </c>
      <c r="FU76" s="32">
        <f t="shared" ca="1" si="132"/>
        <v>0</v>
      </c>
      <c r="FV76" s="32">
        <f t="shared" ref="FV76:FV86" ca="1" si="156">IF(FV$66=0,0,IF($CD76=0,0,IF(FF76=0,0,IF(FU76=0,ROUNDUP(($BT76-FU76)/FF76,0),IF(ROUNDUP(($BT76-FU76)/FF76,0)-ROUNDUP(FE76/FF76,0)&lt;=0,0,ROUNDUP(($BT76-FU76)/FF76,0)-ROUNDUP(FE76/FF76,0))))))</f>
        <v>0</v>
      </c>
      <c r="FW76" s="555">
        <f t="shared" ref="FW76:FW86" ca="1" si="157">IF(FV$66=0,0,IF($CD76=0,0,IF(FF76=0,0,IF(ROUNDUP(($BT76-FU76)/FF76,0)&lt;=0,0,ROUNDUP(($BT76-FU76)/FF76,0)))))</f>
        <v>0</v>
      </c>
      <c r="FX76">
        <f t="shared" ca="1" si="133"/>
        <v>0</v>
      </c>
      <c r="FY76" s="7">
        <f t="shared" ca="1" si="134"/>
        <v>0</v>
      </c>
      <c r="FZ76" s="7">
        <f t="shared" ca="1" si="144"/>
        <v>0</v>
      </c>
      <c r="GA76" s="7">
        <f t="shared" ca="1" si="135"/>
        <v>0</v>
      </c>
      <c r="GB76" s="7">
        <f t="shared" ca="1" si="136"/>
        <v>0</v>
      </c>
      <c r="GC76" s="7">
        <f t="shared" ca="1" si="137"/>
        <v>0</v>
      </c>
      <c r="GD76" s="627" t="s">
        <v>2309</v>
      </c>
    </row>
    <row r="77" spans="2:186" x14ac:dyDescent="0.35">
      <c r="B77" t="s">
        <v>2310</v>
      </c>
      <c r="D77">
        <f ca="1">E5*PI()*E3</f>
        <v>0</v>
      </c>
      <c r="E77" t="s">
        <v>20</v>
      </c>
      <c r="BO77">
        <f t="shared" ca="1" si="145"/>
        <v>0</v>
      </c>
      <c r="BP77">
        <f t="shared" ca="1" si="57"/>
        <v>0</v>
      </c>
      <c r="BR77" s="2051"/>
      <c r="BS77" s="32">
        <v>6</v>
      </c>
      <c r="BT77" s="470">
        <f t="shared" ca="1" si="81"/>
        <v>0</v>
      </c>
      <c r="BU77" s="387">
        <f t="shared" ca="1" si="58"/>
        <v>0</v>
      </c>
      <c r="BV77" s="32">
        <f t="shared" ca="1" si="82"/>
        <v>0</v>
      </c>
      <c r="BW77" s="32">
        <f t="shared" ca="1" si="83"/>
        <v>0</v>
      </c>
      <c r="BX77" s="7">
        <f t="shared" ca="1" si="59"/>
        <v>0</v>
      </c>
      <c r="BY77" s="7">
        <f t="shared" ca="1" si="84"/>
        <v>0</v>
      </c>
      <c r="BZ77" s="7">
        <f t="shared" ca="1" si="85"/>
        <v>0</v>
      </c>
      <c r="CA77" s="7">
        <f t="shared" ca="1" si="86"/>
        <v>0</v>
      </c>
      <c r="CB77" s="32">
        <f t="shared" ca="1" si="62"/>
        <v>0</v>
      </c>
      <c r="CC77" s="32">
        <f t="shared" ca="1" si="138"/>
        <v>0</v>
      </c>
      <c r="CD77" s="32">
        <f t="shared" ca="1" si="139"/>
        <v>0</v>
      </c>
      <c r="CE77" s="9">
        <f t="shared" ca="1" si="140"/>
        <v>0</v>
      </c>
      <c r="CF77" s="711">
        <f t="shared" ca="1" si="63"/>
        <v>0</v>
      </c>
      <c r="CG77" s="553">
        <f t="shared" ca="1" si="87"/>
        <v>0</v>
      </c>
      <c r="CH77" s="540">
        <f t="shared" ca="1" si="64"/>
        <v>0</v>
      </c>
      <c r="CI77" s="539"/>
      <c r="CJ77" s="539">
        <f t="shared" ca="1" si="88"/>
        <v>0</v>
      </c>
      <c r="CK77" s="539">
        <f t="shared" ca="1" si="89"/>
        <v>0</v>
      </c>
      <c r="CL77" s="539">
        <f t="shared" ca="1" si="47"/>
        <v>0</v>
      </c>
      <c r="CM77" s="539">
        <f t="shared" ca="1" si="90"/>
        <v>0</v>
      </c>
      <c r="CN77" s="539">
        <f t="shared" si="91"/>
        <v>4</v>
      </c>
      <c r="CO77" s="7">
        <f t="shared" ca="1" si="48"/>
        <v>0</v>
      </c>
      <c r="CP77" s="539">
        <f t="shared" ca="1" si="146"/>
        <v>0</v>
      </c>
      <c r="CQ77" s="539">
        <f t="shared" ca="1" si="92"/>
        <v>0</v>
      </c>
      <c r="CR77" s="539">
        <f t="shared" ca="1" si="93"/>
        <v>0</v>
      </c>
      <c r="CS77" s="539">
        <f t="shared" si="94"/>
        <v>4</v>
      </c>
      <c r="CT77" s="539">
        <f t="shared" ca="1" si="95"/>
        <v>0</v>
      </c>
      <c r="CU77" s="539">
        <f t="shared" ca="1" si="96"/>
        <v>0</v>
      </c>
      <c r="CV77" s="32">
        <f t="shared" ca="1" si="97"/>
        <v>0</v>
      </c>
      <c r="CW77" s="32">
        <f t="shared" ca="1" si="98"/>
        <v>0</v>
      </c>
      <c r="CX77" s="32">
        <f t="shared" ca="1" si="148"/>
        <v>0</v>
      </c>
      <c r="CY77" s="555">
        <f t="shared" ca="1" si="149"/>
        <v>0</v>
      </c>
      <c r="CZ77" s="553">
        <f t="shared" ca="1" si="99"/>
        <v>0</v>
      </c>
      <c r="DA77" s="540">
        <f t="shared" ca="1" si="65"/>
        <v>0</v>
      </c>
      <c r="DB77" s="539"/>
      <c r="DC77" s="539">
        <f t="shared" ca="1" si="100"/>
        <v>0</v>
      </c>
      <c r="DD77" s="539">
        <f t="shared" ca="1" si="101"/>
        <v>0</v>
      </c>
      <c r="DE77" s="539">
        <f t="shared" ca="1" si="49"/>
        <v>0</v>
      </c>
      <c r="DF77" s="539">
        <f ca="1">IF($BU77=0,0,ROUNDDOWN($DP$66/$BU77,0))</f>
        <v>0</v>
      </c>
      <c r="DG77" s="539">
        <f>ROUNDDOWN($BW$5/($BW$2+$BW$3),0)</f>
        <v>4</v>
      </c>
      <c r="DH77" s="7">
        <f t="shared" ca="1" si="50"/>
        <v>0</v>
      </c>
      <c r="DI77" s="539">
        <f ca="1">IF(DM77+DN77=0,0,IF(AND(DN77+DG76&gt;=DG76,$DP$66-$BU76&lt;$BU77),0,DJ77))</f>
        <v>0</v>
      </c>
      <c r="DJ77" s="539">
        <f t="shared" ca="1" si="147"/>
        <v>0</v>
      </c>
      <c r="DK77" s="539">
        <f t="shared" ca="1" si="142"/>
        <v>0</v>
      </c>
      <c r="DL77" s="539">
        <f t="shared" si="104"/>
        <v>4</v>
      </c>
      <c r="DM77" s="539">
        <f t="shared" ca="1" si="105"/>
        <v>0</v>
      </c>
      <c r="DN77" s="539">
        <f ca="1">IF(DA76=DG76,0,IF(DJ77&lt;=DA76,DJ77,0))</f>
        <v>0</v>
      </c>
      <c r="DO77" s="32">
        <f t="shared" ref="DO77:DO86" ca="1" si="158">IF($CD77=0,0,IF($CD77&lt;DH76,DH76-$CD77,DH76))</f>
        <v>0</v>
      </c>
      <c r="DP77" s="32">
        <f t="shared" ref="DP77:DP86" ca="1" si="159">IF($CD77=0,0,DI77)</f>
        <v>0</v>
      </c>
      <c r="DQ77" s="32">
        <f t="shared" ca="1" si="150"/>
        <v>0</v>
      </c>
      <c r="DR77" s="555">
        <f t="shared" ca="1" si="151"/>
        <v>0</v>
      </c>
      <c r="DS77" s="553">
        <f t="shared" ca="1" si="106"/>
        <v>0</v>
      </c>
      <c r="DT77" s="540">
        <f t="shared" ca="1" si="66"/>
        <v>0</v>
      </c>
      <c r="DU77" s="539"/>
      <c r="DV77" s="539">
        <f t="shared" ca="1" si="107"/>
        <v>0</v>
      </c>
      <c r="DW77" s="539">
        <f t="shared" ca="1" si="108"/>
        <v>0</v>
      </c>
      <c r="DX77" s="539">
        <f t="shared" ca="1" si="51"/>
        <v>0</v>
      </c>
      <c r="DY77" s="539">
        <f t="shared" ca="1" si="67"/>
        <v>0</v>
      </c>
      <c r="DZ77" s="539">
        <f t="shared" si="109"/>
        <v>4</v>
      </c>
      <c r="EA77" s="7">
        <f t="shared" ca="1" si="52"/>
        <v>0</v>
      </c>
      <c r="EB77" s="539">
        <f t="shared" ca="1" si="68"/>
        <v>0</v>
      </c>
      <c r="EC77" s="539">
        <f t="shared" ca="1" si="110"/>
        <v>0</v>
      </c>
      <c r="ED77" s="539">
        <f t="shared" ca="1" si="69"/>
        <v>0</v>
      </c>
      <c r="EE77" s="539">
        <f t="shared" si="111"/>
        <v>4</v>
      </c>
      <c r="EF77" s="539">
        <f t="shared" ca="1" si="70"/>
        <v>0</v>
      </c>
      <c r="EG77" s="539">
        <f t="shared" ca="1" si="112"/>
        <v>0</v>
      </c>
      <c r="EH77" s="32">
        <f t="shared" ca="1" si="113"/>
        <v>0</v>
      </c>
      <c r="EI77" s="32">
        <f t="shared" ca="1" si="114"/>
        <v>0</v>
      </c>
      <c r="EJ77" s="32">
        <f t="shared" ca="1" si="152"/>
        <v>0</v>
      </c>
      <c r="EK77" s="555">
        <f t="shared" ca="1" si="153"/>
        <v>0</v>
      </c>
      <c r="EL77" s="553">
        <f t="shared" ca="1" si="115"/>
        <v>0</v>
      </c>
      <c r="EM77" s="540">
        <f t="shared" ca="1" si="71"/>
        <v>0</v>
      </c>
      <c r="EN77" s="539"/>
      <c r="EO77" s="539">
        <f t="shared" ca="1" si="116"/>
        <v>0</v>
      </c>
      <c r="EP77" s="539">
        <f t="shared" ca="1" si="117"/>
        <v>0</v>
      </c>
      <c r="EQ77" s="539">
        <f t="shared" ca="1" si="53"/>
        <v>0</v>
      </c>
      <c r="ER77" s="539">
        <f t="shared" ca="1" si="72"/>
        <v>0</v>
      </c>
      <c r="ES77" s="539">
        <f t="shared" si="118"/>
        <v>4</v>
      </c>
      <c r="ET77" s="7">
        <f t="shared" ca="1" si="54"/>
        <v>0</v>
      </c>
      <c r="EU77" s="539">
        <f t="shared" ca="1" si="73"/>
        <v>0</v>
      </c>
      <c r="EV77" s="539">
        <f t="shared" ca="1" si="119"/>
        <v>0</v>
      </c>
      <c r="EW77" s="539">
        <f t="shared" ca="1" si="74"/>
        <v>0</v>
      </c>
      <c r="EX77" s="539">
        <f t="shared" si="120"/>
        <v>4</v>
      </c>
      <c r="EY77" s="539">
        <f t="shared" ca="1" si="75"/>
        <v>0</v>
      </c>
      <c r="EZ77" s="539">
        <f t="shared" ca="1" si="121"/>
        <v>0</v>
      </c>
      <c r="FA77" s="32">
        <f t="shared" ca="1" si="122"/>
        <v>0</v>
      </c>
      <c r="FB77" s="32">
        <f t="shared" ca="1" si="123"/>
        <v>0</v>
      </c>
      <c r="FC77" s="32">
        <f t="shared" ca="1" si="154"/>
        <v>0</v>
      </c>
      <c r="FD77" s="555">
        <f t="shared" ca="1" si="155"/>
        <v>0</v>
      </c>
      <c r="FE77" s="553">
        <f t="shared" ca="1" si="124"/>
        <v>0</v>
      </c>
      <c r="FF77" s="540">
        <f t="shared" ca="1" si="76"/>
        <v>0</v>
      </c>
      <c r="FG77" s="539"/>
      <c r="FH77" s="539">
        <f t="shared" ca="1" si="125"/>
        <v>0</v>
      </c>
      <c r="FI77" s="539">
        <f t="shared" ca="1" si="126"/>
        <v>0</v>
      </c>
      <c r="FJ77" s="539">
        <f t="shared" ca="1" si="55"/>
        <v>0</v>
      </c>
      <c r="FK77" s="539">
        <f t="shared" ca="1" si="77"/>
        <v>0</v>
      </c>
      <c r="FL77" s="539">
        <f t="shared" si="127"/>
        <v>4</v>
      </c>
      <c r="FM77" s="7">
        <f t="shared" ca="1" si="56"/>
        <v>0</v>
      </c>
      <c r="FN77" s="539">
        <f t="shared" ca="1" si="78"/>
        <v>0</v>
      </c>
      <c r="FO77" s="539">
        <f t="shared" ca="1" si="128"/>
        <v>0</v>
      </c>
      <c r="FP77" s="539">
        <f t="shared" ca="1" si="79"/>
        <v>0</v>
      </c>
      <c r="FQ77" s="539">
        <f t="shared" si="129"/>
        <v>4</v>
      </c>
      <c r="FR77" s="539">
        <f t="shared" ca="1" si="80"/>
        <v>0</v>
      </c>
      <c r="FS77" s="539">
        <f t="shared" ca="1" si="130"/>
        <v>0</v>
      </c>
      <c r="FT77" s="32">
        <f t="shared" ca="1" si="131"/>
        <v>0</v>
      </c>
      <c r="FU77" s="32">
        <f t="shared" ca="1" si="132"/>
        <v>0</v>
      </c>
      <c r="FV77" s="32">
        <f t="shared" ca="1" si="156"/>
        <v>0</v>
      </c>
      <c r="FW77" s="555">
        <f t="shared" ca="1" si="157"/>
        <v>0</v>
      </c>
      <c r="FX77">
        <f t="shared" ca="1" si="133"/>
        <v>0</v>
      </c>
      <c r="FY77" s="7">
        <f t="shared" ca="1" si="134"/>
        <v>0</v>
      </c>
      <c r="FZ77" s="7">
        <f t="shared" ca="1" si="144"/>
        <v>0</v>
      </c>
      <c r="GA77" s="7">
        <f t="shared" ca="1" si="135"/>
        <v>0</v>
      </c>
      <c r="GB77" s="7">
        <f t="shared" ca="1" si="136"/>
        <v>0</v>
      </c>
      <c r="GC77" s="7">
        <f t="shared" ca="1" si="137"/>
        <v>0</v>
      </c>
      <c r="GD77" s="627" t="s">
        <v>2311</v>
      </c>
    </row>
    <row r="78" spans="2:186" x14ac:dyDescent="0.35">
      <c r="B78" t="s">
        <v>2312</v>
      </c>
      <c r="F78" s="4">
        <f ca="1">(CA87)*0.15+AL12*0.15*E3</f>
        <v>0</v>
      </c>
      <c r="G78" t="s">
        <v>78</v>
      </c>
      <c r="BO78">
        <f t="shared" ca="1" si="145"/>
        <v>0</v>
      </c>
      <c r="BP78">
        <f t="shared" ca="1" si="57"/>
        <v>0</v>
      </c>
      <c r="BR78" s="2051"/>
      <c r="BS78" s="32">
        <v>7</v>
      </c>
      <c r="BT78" s="470">
        <f t="shared" ca="1" si="81"/>
        <v>0</v>
      </c>
      <c r="BU78" s="387">
        <f t="shared" ca="1" si="58"/>
        <v>0</v>
      </c>
      <c r="BV78" s="32">
        <f t="shared" ca="1" si="82"/>
        <v>0</v>
      </c>
      <c r="BW78" s="32">
        <f t="shared" ca="1" si="83"/>
        <v>0</v>
      </c>
      <c r="BX78" s="7">
        <f t="shared" ca="1" si="59"/>
        <v>0</v>
      </c>
      <c r="BY78" s="7">
        <f t="shared" ca="1" si="84"/>
        <v>0</v>
      </c>
      <c r="BZ78" s="7">
        <f t="shared" ca="1" si="85"/>
        <v>0</v>
      </c>
      <c r="CA78" s="7">
        <f t="shared" ca="1" si="86"/>
        <v>0</v>
      </c>
      <c r="CB78" s="32">
        <f t="shared" ca="1" si="62"/>
        <v>0</v>
      </c>
      <c r="CC78" s="32">
        <f t="shared" ca="1" si="138"/>
        <v>0</v>
      </c>
      <c r="CD78" s="32">
        <f t="shared" ca="1" si="139"/>
        <v>0</v>
      </c>
      <c r="CE78" s="9">
        <f t="shared" ca="1" si="140"/>
        <v>0</v>
      </c>
      <c r="CF78" s="711">
        <f t="shared" ca="1" si="63"/>
        <v>0</v>
      </c>
      <c r="CG78" s="553">
        <f t="shared" ca="1" si="87"/>
        <v>0</v>
      </c>
      <c r="CH78" s="540">
        <f t="shared" ca="1" si="64"/>
        <v>0</v>
      </c>
      <c r="CI78" s="539"/>
      <c r="CJ78" s="539">
        <f t="shared" ca="1" si="88"/>
        <v>0</v>
      </c>
      <c r="CK78" s="539">
        <f t="shared" ca="1" si="89"/>
        <v>0</v>
      </c>
      <c r="CL78" s="539">
        <f t="shared" ca="1" si="47"/>
        <v>0</v>
      </c>
      <c r="CM78" s="539">
        <f t="shared" ca="1" si="90"/>
        <v>0</v>
      </c>
      <c r="CN78" s="539">
        <f t="shared" si="91"/>
        <v>4</v>
      </c>
      <c r="CO78" s="7">
        <f t="shared" ca="1" si="48"/>
        <v>0</v>
      </c>
      <c r="CP78" s="539">
        <f t="shared" ca="1" si="146"/>
        <v>0</v>
      </c>
      <c r="CQ78" s="539">
        <f t="shared" ca="1" si="92"/>
        <v>0</v>
      </c>
      <c r="CR78" s="539">
        <f t="shared" ca="1" si="93"/>
        <v>0</v>
      </c>
      <c r="CS78" s="539">
        <f t="shared" si="94"/>
        <v>4</v>
      </c>
      <c r="CT78" s="539">
        <f t="shared" ca="1" si="95"/>
        <v>0</v>
      </c>
      <c r="CU78" s="539">
        <f t="shared" ca="1" si="96"/>
        <v>0</v>
      </c>
      <c r="CV78" s="32">
        <f t="shared" ca="1" si="97"/>
        <v>0</v>
      </c>
      <c r="CW78" s="32">
        <f t="shared" ca="1" si="98"/>
        <v>0</v>
      </c>
      <c r="CX78" s="32">
        <f t="shared" ca="1" si="148"/>
        <v>0</v>
      </c>
      <c r="CY78" s="555">
        <f t="shared" ca="1" si="149"/>
        <v>0</v>
      </c>
      <c r="CZ78" s="553">
        <f t="shared" ca="1" si="99"/>
        <v>0</v>
      </c>
      <c r="DA78" s="540">
        <f t="shared" ref="DA78:DA86" ca="1" si="160">IF(DE78=0,0,IF(DE78+DF78=0,0,IF(DC78=FALSE,0,DC78)))</f>
        <v>0</v>
      </c>
      <c r="DB78" s="539"/>
      <c r="DC78" s="539">
        <f t="shared" ca="1" si="100"/>
        <v>0</v>
      </c>
      <c r="DD78" s="539">
        <f t="shared" ca="1" si="101"/>
        <v>0</v>
      </c>
      <c r="DE78" s="539">
        <f t="shared" ca="1" si="49"/>
        <v>0</v>
      </c>
      <c r="DF78" s="539">
        <f t="shared" ca="1" si="102"/>
        <v>0</v>
      </c>
      <c r="DG78" s="539">
        <f t="shared" si="103"/>
        <v>4</v>
      </c>
      <c r="DH78" s="7">
        <f t="shared" ca="1" si="50"/>
        <v>0</v>
      </c>
      <c r="DI78" s="539">
        <f t="shared" ca="1" si="141"/>
        <v>0</v>
      </c>
      <c r="DJ78" s="539">
        <f t="shared" ca="1" si="147"/>
        <v>0</v>
      </c>
      <c r="DK78" s="539">
        <f t="shared" ca="1" si="142"/>
        <v>0</v>
      </c>
      <c r="DL78" s="539">
        <f t="shared" si="104"/>
        <v>4</v>
      </c>
      <c r="DM78" s="539">
        <f t="shared" ca="1" si="105"/>
        <v>0</v>
      </c>
      <c r="DN78" s="539">
        <f t="shared" ca="1" si="143"/>
        <v>0</v>
      </c>
      <c r="DO78" s="32">
        <f t="shared" ca="1" si="158"/>
        <v>0</v>
      </c>
      <c r="DP78" s="32">
        <f t="shared" ca="1" si="159"/>
        <v>0</v>
      </c>
      <c r="DQ78" s="32">
        <f t="shared" ca="1" si="150"/>
        <v>0</v>
      </c>
      <c r="DR78" s="555">
        <f t="shared" ca="1" si="151"/>
        <v>0</v>
      </c>
      <c r="DS78" s="553">
        <f t="shared" ca="1" si="106"/>
        <v>0</v>
      </c>
      <c r="DT78" s="540">
        <f t="shared" ca="1" si="66"/>
        <v>0</v>
      </c>
      <c r="DU78" s="539"/>
      <c r="DV78" s="539">
        <f t="shared" ca="1" si="107"/>
        <v>0</v>
      </c>
      <c r="DW78" s="539">
        <f t="shared" ca="1" si="108"/>
        <v>0</v>
      </c>
      <c r="DX78" s="539">
        <f t="shared" ca="1" si="51"/>
        <v>0</v>
      </c>
      <c r="DY78" s="539">
        <f t="shared" ca="1" si="67"/>
        <v>0</v>
      </c>
      <c r="DZ78" s="539">
        <f t="shared" si="109"/>
        <v>4</v>
      </c>
      <c r="EA78" s="7">
        <f t="shared" ca="1" si="52"/>
        <v>0</v>
      </c>
      <c r="EB78" s="539">
        <f t="shared" ca="1" si="68"/>
        <v>0</v>
      </c>
      <c r="EC78" s="539">
        <f t="shared" ca="1" si="110"/>
        <v>0</v>
      </c>
      <c r="ED78" s="539">
        <f t="shared" ca="1" si="69"/>
        <v>0</v>
      </c>
      <c r="EE78" s="539">
        <f t="shared" si="111"/>
        <v>4</v>
      </c>
      <c r="EF78" s="539">
        <f t="shared" ca="1" si="70"/>
        <v>0</v>
      </c>
      <c r="EG78" s="539">
        <f t="shared" ca="1" si="112"/>
        <v>0</v>
      </c>
      <c r="EH78" s="32">
        <f t="shared" ca="1" si="113"/>
        <v>0</v>
      </c>
      <c r="EI78" s="32">
        <f t="shared" ca="1" si="114"/>
        <v>0</v>
      </c>
      <c r="EJ78" s="32">
        <f t="shared" ca="1" si="152"/>
        <v>0</v>
      </c>
      <c r="EK78" s="555">
        <f t="shared" ca="1" si="153"/>
        <v>0</v>
      </c>
      <c r="EL78" s="553">
        <f t="shared" ca="1" si="115"/>
        <v>0</v>
      </c>
      <c r="EM78" s="540">
        <f t="shared" ca="1" si="71"/>
        <v>0</v>
      </c>
      <c r="EN78" s="539"/>
      <c r="EO78" s="539">
        <f t="shared" ca="1" si="116"/>
        <v>0</v>
      </c>
      <c r="EP78" s="539">
        <f t="shared" ca="1" si="117"/>
        <v>0</v>
      </c>
      <c r="EQ78" s="539">
        <f t="shared" ca="1" si="53"/>
        <v>0</v>
      </c>
      <c r="ER78" s="539">
        <f t="shared" ca="1" si="72"/>
        <v>0</v>
      </c>
      <c r="ES78" s="539">
        <f t="shared" si="118"/>
        <v>4</v>
      </c>
      <c r="ET78" s="7">
        <f t="shared" ca="1" si="54"/>
        <v>0</v>
      </c>
      <c r="EU78" s="539">
        <f t="shared" ca="1" si="73"/>
        <v>0</v>
      </c>
      <c r="EV78" s="539">
        <f t="shared" ca="1" si="119"/>
        <v>0</v>
      </c>
      <c r="EW78" s="539">
        <f t="shared" ca="1" si="74"/>
        <v>0</v>
      </c>
      <c r="EX78" s="539">
        <f t="shared" si="120"/>
        <v>4</v>
      </c>
      <c r="EY78" s="539">
        <f t="shared" ca="1" si="75"/>
        <v>0</v>
      </c>
      <c r="EZ78" s="539">
        <f t="shared" ca="1" si="121"/>
        <v>0</v>
      </c>
      <c r="FA78" s="32">
        <f t="shared" ca="1" si="122"/>
        <v>0</v>
      </c>
      <c r="FB78" s="32">
        <f t="shared" ca="1" si="123"/>
        <v>0</v>
      </c>
      <c r="FC78" s="32">
        <f t="shared" ca="1" si="154"/>
        <v>0</v>
      </c>
      <c r="FD78" s="555">
        <f t="shared" ca="1" si="155"/>
        <v>0</v>
      </c>
      <c r="FE78" s="553">
        <f t="shared" ca="1" si="124"/>
        <v>0</v>
      </c>
      <c r="FF78" s="540">
        <f t="shared" ca="1" si="76"/>
        <v>0</v>
      </c>
      <c r="FG78" s="539"/>
      <c r="FH78" s="539">
        <f t="shared" ca="1" si="125"/>
        <v>0</v>
      </c>
      <c r="FI78" s="539">
        <f t="shared" ca="1" si="126"/>
        <v>0</v>
      </c>
      <c r="FJ78" s="539">
        <f t="shared" ca="1" si="55"/>
        <v>0</v>
      </c>
      <c r="FK78" s="539">
        <f t="shared" ca="1" si="77"/>
        <v>0</v>
      </c>
      <c r="FL78" s="539">
        <f t="shared" si="127"/>
        <v>4</v>
      </c>
      <c r="FM78" s="7">
        <f t="shared" ca="1" si="56"/>
        <v>0</v>
      </c>
      <c r="FN78" s="539">
        <f t="shared" ca="1" si="78"/>
        <v>0</v>
      </c>
      <c r="FO78" s="539">
        <f t="shared" ca="1" si="128"/>
        <v>0</v>
      </c>
      <c r="FP78" s="539">
        <f t="shared" ca="1" si="79"/>
        <v>0</v>
      </c>
      <c r="FQ78" s="539">
        <f t="shared" si="129"/>
        <v>4</v>
      </c>
      <c r="FR78" s="539">
        <f t="shared" ca="1" si="80"/>
        <v>0</v>
      </c>
      <c r="FS78" s="539">
        <f t="shared" ca="1" si="130"/>
        <v>0</v>
      </c>
      <c r="FT78" s="32">
        <f t="shared" ca="1" si="131"/>
        <v>0</v>
      </c>
      <c r="FU78" s="32">
        <f t="shared" ca="1" si="132"/>
        <v>0</v>
      </c>
      <c r="FV78" s="32">
        <f t="shared" ca="1" si="156"/>
        <v>0</v>
      </c>
      <c r="FW78" s="555">
        <f t="shared" ca="1" si="157"/>
        <v>0</v>
      </c>
      <c r="FX78">
        <f t="shared" ca="1" si="133"/>
        <v>0</v>
      </c>
      <c r="FY78" s="7">
        <f t="shared" ca="1" si="134"/>
        <v>0</v>
      </c>
      <c r="FZ78" s="7">
        <f t="shared" ca="1" si="144"/>
        <v>0</v>
      </c>
      <c r="GA78" s="7">
        <f t="shared" ca="1" si="135"/>
        <v>0</v>
      </c>
      <c r="GB78" s="7">
        <f t="shared" ca="1" si="136"/>
        <v>0</v>
      </c>
      <c r="GC78" s="7">
        <f t="shared" ca="1" si="137"/>
        <v>0</v>
      </c>
      <c r="GD78" s="627" t="s">
        <v>2313</v>
      </c>
    </row>
    <row r="79" spans="2:186" x14ac:dyDescent="0.35">
      <c r="BO79">
        <f t="shared" ca="1" si="145"/>
        <v>0</v>
      </c>
      <c r="BP79">
        <f t="shared" ca="1" si="57"/>
        <v>0</v>
      </c>
      <c r="BR79" s="2051"/>
      <c r="BS79" s="32">
        <v>8</v>
      </c>
      <c r="BT79" s="470">
        <f t="shared" ca="1" si="81"/>
        <v>0</v>
      </c>
      <c r="BU79" s="387">
        <f t="shared" ca="1" si="58"/>
        <v>0</v>
      </c>
      <c r="BV79" s="32">
        <f t="shared" ca="1" si="82"/>
        <v>0</v>
      </c>
      <c r="BW79" s="32">
        <f t="shared" ca="1" si="83"/>
        <v>0</v>
      </c>
      <c r="BX79" s="7">
        <f t="shared" ca="1" si="59"/>
        <v>0</v>
      </c>
      <c r="BY79" s="7">
        <f t="shared" ca="1" si="84"/>
        <v>0</v>
      </c>
      <c r="BZ79" s="7">
        <f t="shared" ca="1" si="85"/>
        <v>0</v>
      </c>
      <c r="CA79" s="7">
        <f t="shared" ca="1" si="86"/>
        <v>0</v>
      </c>
      <c r="CB79" s="32">
        <f t="shared" ca="1" si="62"/>
        <v>0</v>
      </c>
      <c r="CC79" s="32">
        <f t="shared" ca="1" si="138"/>
        <v>0</v>
      </c>
      <c r="CD79" s="32">
        <f t="shared" ca="1" si="139"/>
        <v>0</v>
      </c>
      <c r="CE79" s="9">
        <f t="shared" ca="1" si="140"/>
        <v>0</v>
      </c>
      <c r="CF79" s="711">
        <f t="shared" ca="1" si="63"/>
        <v>0</v>
      </c>
      <c r="CG79" s="553">
        <f t="shared" ca="1" si="87"/>
        <v>0</v>
      </c>
      <c r="CH79" s="540">
        <f t="shared" ca="1" si="64"/>
        <v>0</v>
      </c>
      <c r="CI79" s="539"/>
      <c r="CJ79" s="539">
        <f t="shared" ca="1" si="88"/>
        <v>0</v>
      </c>
      <c r="CK79" s="539">
        <f t="shared" ca="1" si="89"/>
        <v>0</v>
      </c>
      <c r="CL79" s="539">
        <f t="shared" ca="1" si="47"/>
        <v>0</v>
      </c>
      <c r="CM79" s="539">
        <f t="shared" ca="1" si="90"/>
        <v>0</v>
      </c>
      <c r="CN79" s="539">
        <f t="shared" si="91"/>
        <v>4</v>
      </c>
      <c r="CO79" s="7">
        <f t="shared" ca="1" si="48"/>
        <v>0</v>
      </c>
      <c r="CP79" s="539">
        <f t="shared" ca="1" si="146"/>
        <v>0</v>
      </c>
      <c r="CQ79" s="539">
        <f t="shared" ca="1" si="92"/>
        <v>0</v>
      </c>
      <c r="CR79" s="539">
        <f t="shared" ca="1" si="93"/>
        <v>0</v>
      </c>
      <c r="CS79" s="539">
        <f t="shared" si="94"/>
        <v>4</v>
      </c>
      <c r="CT79" s="539">
        <f t="shared" ca="1" si="95"/>
        <v>0</v>
      </c>
      <c r="CU79" s="539">
        <f t="shared" ca="1" si="96"/>
        <v>0</v>
      </c>
      <c r="CV79" s="32">
        <f t="shared" ca="1" si="97"/>
        <v>0</v>
      </c>
      <c r="CW79" s="32">
        <f t="shared" ca="1" si="98"/>
        <v>0</v>
      </c>
      <c r="CX79" s="32">
        <f t="shared" ca="1" si="148"/>
        <v>0</v>
      </c>
      <c r="CY79" s="555">
        <f t="shared" ca="1" si="149"/>
        <v>0</v>
      </c>
      <c r="CZ79" s="553">
        <f t="shared" ca="1" si="99"/>
        <v>0</v>
      </c>
      <c r="DA79" s="540">
        <f t="shared" ca="1" si="160"/>
        <v>0</v>
      </c>
      <c r="DB79" s="539"/>
      <c r="DC79" s="539">
        <f t="shared" ca="1" si="100"/>
        <v>0</v>
      </c>
      <c r="DD79" s="539">
        <f t="shared" ca="1" si="101"/>
        <v>0</v>
      </c>
      <c r="DE79" s="539">
        <f t="shared" ca="1" si="49"/>
        <v>0</v>
      </c>
      <c r="DF79" s="539">
        <f ca="1">IF($BU79=0,0,ROUNDDOWN($DP$66/$BU79,0))</f>
        <v>0</v>
      </c>
      <c r="DG79" s="539">
        <f>ROUNDDOWN($BW$5/($BW$2+$BW$3),0)</f>
        <v>4</v>
      </c>
      <c r="DH79" s="7">
        <f t="shared" ca="1" si="50"/>
        <v>0</v>
      </c>
      <c r="DI79" s="539">
        <f t="shared" ca="1" si="141"/>
        <v>0</v>
      </c>
      <c r="DJ79" s="539">
        <f t="shared" ca="1" si="147"/>
        <v>0</v>
      </c>
      <c r="DK79" s="539">
        <f ca="1">IF($BU79=0,0,ROUNDDOWN($DP$66/$BU79,0))</f>
        <v>0</v>
      </c>
      <c r="DL79" s="539">
        <f t="shared" si="104"/>
        <v>4</v>
      </c>
      <c r="DM79" s="539">
        <f t="shared" ca="1" si="105"/>
        <v>0</v>
      </c>
      <c r="DN79" s="539">
        <f t="shared" ca="1" si="143"/>
        <v>0</v>
      </c>
      <c r="DO79" s="32">
        <f t="shared" ca="1" si="158"/>
        <v>0</v>
      </c>
      <c r="DP79" s="32">
        <f t="shared" ca="1" si="159"/>
        <v>0</v>
      </c>
      <c r="DQ79" s="32">
        <f t="shared" ca="1" si="150"/>
        <v>0</v>
      </c>
      <c r="DR79" s="555">
        <f t="shared" ca="1" si="151"/>
        <v>0</v>
      </c>
      <c r="DS79" s="553">
        <f t="shared" ca="1" si="106"/>
        <v>0</v>
      </c>
      <c r="DT79" s="540">
        <f t="shared" ca="1" si="66"/>
        <v>0</v>
      </c>
      <c r="DU79" s="539"/>
      <c r="DV79" s="539">
        <f t="shared" ca="1" si="107"/>
        <v>0</v>
      </c>
      <c r="DW79" s="539">
        <f t="shared" ca="1" si="108"/>
        <v>0</v>
      </c>
      <c r="DX79" s="539">
        <f t="shared" ca="1" si="51"/>
        <v>0</v>
      </c>
      <c r="DY79" s="539">
        <f t="shared" ca="1" si="67"/>
        <v>0</v>
      </c>
      <c r="DZ79" s="539">
        <f t="shared" si="109"/>
        <v>4</v>
      </c>
      <c r="EA79" s="7">
        <f t="shared" ca="1" si="52"/>
        <v>0</v>
      </c>
      <c r="EB79" s="539">
        <f t="shared" ca="1" si="68"/>
        <v>0</v>
      </c>
      <c r="EC79" s="539">
        <f t="shared" ca="1" si="110"/>
        <v>0</v>
      </c>
      <c r="ED79" s="539">
        <f t="shared" ca="1" si="69"/>
        <v>0</v>
      </c>
      <c r="EE79" s="539">
        <f t="shared" si="111"/>
        <v>4</v>
      </c>
      <c r="EF79" s="539">
        <f t="shared" ca="1" si="70"/>
        <v>0</v>
      </c>
      <c r="EG79" s="539">
        <f t="shared" ca="1" si="112"/>
        <v>0</v>
      </c>
      <c r="EH79" s="32">
        <f t="shared" ca="1" si="113"/>
        <v>0</v>
      </c>
      <c r="EI79" s="32">
        <f t="shared" ca="1" si="114"/>
        <v>0</v>
      </c>
      <c r="EJ79" s="32">
        <f t="shared" ca="1" si="152"/>
        <v>0</v>
      </c>
      <c r="EK79" s="555">
        <f t="shared" ca="1" si="153"/>
        <v>0</v>
      </c>
      <c r="EL79" s="553">
        <f t="shared" ca="1" si="115"/>
        <v>0</v>
      </c>
      <c r="EM79" s="540">
        <f t="shared" ca="1" si="71"/>
        <v>0</v>
      </c>
      <c r="EN79" s="539"/>
      <c r="EO79" s="539">
        <f t="shared" ca="1" si="116"/>
        <v>0</v>
      </c>
      <c r="EP79" s="539">
        <f t="shared" ca="1" si="117"/>
        <v>0</v>
      </c>
      <c r="EQ79" s="539">
        <f t="shared" ca="1" si="53"/>
        <v>0</v>
      </c>
      <c r="ER79" s="539">
        <f t="shared" ca="1" si="72"/>
        <v>0</v>
      </c>
      <c r="ES79" s="539">
        <f t="shared" si="118"/>
        <v>4</v>
      </c>
      <c r="ET79" s="7">
        <f t="shared" ca="1" si="54"/>
        <v>0</v>
      </c>
      <c r="EU79" s="539">
        <f t="shared" ca="1" si="73"/>
        <v>0</v>
      </c>
      <c r="EV79" s="539">
        <f t="shared" ca="1" si="119"/>
        <v>0</v>
      </c>
      <c r="EW79" s="539">
        <f t="shared" ca="1" si="74"/>
        <v>0</v>
      </c>
      <c r="EX79" s="539">
        <f t="shared" si="120"/>
        <v>4</v>
      </c>
      <c r="EY79" s="539">
        <f t="shared" ca="1" si="75"/>
        <v>0</v>
      </c>
      <c r="EZ79" s="539">
        <f t="shared" ca="1" si="121"/>
        <v>0</v>
      </c>
      <c r="FA79" s="32">
        <f t="shared" ca="1" si="122"/>
        <v>0</v>
      </c>
      <c r="FB79" s="32">
        <f t="shared" ca="1" si="123"/>
        <v>0</v>
      </c>
      <c r="FC79" s="32">
        <f t="shared" ca="1" si="154"/>
        <v>0</v>
      </c>
      <c r="FD79" s="555">
        <f t="shared" ca="1" si="155"/>
        <v>0</v>
      </c>
      <c r="FE79" s="553">
        <f t="shared" ca="1" si="124"/>
        <v>0</v>
      </c>
      <c r="FF79" s="540">
        <f t="shared" ca="1" si="76"/>
        <v>0</v>
      </c>
      <c r="FG79" s="539"/>
      <c r="FH79" s="539">
        <f t="shared" ca="1" si="125"/>
        <v>0</v>
      </c>
      <c r="FI79" s="539">
        <f t="shared" ca="1" si="126"/>
        <v>0</v>
      </c>
      <c r="FJ79" s="539">
        <f t="shared" ca="1" si="55"/>
        <v>0</v>
      </c>
      <c r="FK79" s="539">
        <f t="shared" ca="1" si="77"/>
        <v>0</v>
      </c>
      <c r="FL79" s="539">
        <f t="shared" si="127"/>
        <v>4</v>
      </c>
      <c r="FM79" s="7">
        <f t="shared" ca="1" si="56"/>
        <v>0</v>
      </c>
      <c r="FN79" s="539">
        <f t="shared" ca="1" si="78"/>
        <v>0</v>
      </c>
      <c r="FO79" s="539">
        <f t="shared" ca="1" si="128"/>
        <v>0</v>
      </c>
      <c r="FP79" s="539">
        <f t="shared" ca="1" si="79"/>
        <v>0</v>
      </c>
      <c r="FQ79" s="539">
        <f t="shared" si="129"/>
        <v>4</v>
      </c>
      <c r="FR79" s="539">
        <f t="shared" ca="1" si="80"/>
        <v>0</v>
      </c>
      <c r="FS79" s="539">
        <f t="shared" ca="1" si="130"/>
        <v>0</v>
      </c>
      <c r="FT79" s="32">
        <f t="shared" ca="1" si="131"/>
        <v>0</v>
      </c>
      <c r="FU79" s="32">
        <f t="shared" ca="1" si="132"/>
        <v>0</v>
      </c>
      <c r="FV79" s="32">
        <f t="shared" ca="1" si="156"/>
        <v>0</v>
      </c>
      <c r="FW79" s="555">
        <f t="shared" ca="1" si="157"/>
        <v>0</v>
      </c>
      <c r="FX79">
        <f t="shared" ca="1" si="133"/>
        <v>0</v>
      </c>
      <c r="FY79" s="7">
        <f t="shared" ca="1" si="134"/>
        <v>0</v>
      </c>
      <c r="FZ79" s="7">
        <f t="shared" ca="1" si="144"/>
        <v>0</v>
      </c>
      <c r="GA79" s="7">
        <f t="shared" ca="1" si="135"/>
        <v>0</v>
      </c>
      <c r="GB79" s="7">
        <f t="shared" ca="1" si="136"/>
        <v>0</v>
      </c>
      <c r="GC79" s="7">
        <f t="shared" ca="1" si="137"/>
        <v>0</v>
      </c>
      <c r="GD79" s="627" t="s">
        <v>2314</v>
      </c>
    </row>
    <row r="80" spans="2:186" x14ac:dyDescent="0.35">
      <c r="B80" t="s">
        <v>1535</v>
      </c>
      <c r="BO80">
        <f t="shared" ca="1" si="145"/>
        <v>0</v>
      </c>
      <c r="BP80">
        <f t="shared" ca="1" si="57"/>
        <v>0</v>
      </c>
      <c r="BR80" s="2051"/>
      <c r="BS80" s="32">
        <v>9</v>
      </c>
      <c r="BT80" s="470">
        <f t="shared" ca="1" si="81"/>
        <v>0</v>
      </c>
      <c r="BU80" s="387">
        <f t="shared" ca="1" si="58"/>
        <v>0</v>
      </c>
      <c r="BV80" s="32">
        <f t="shared" ca="1" si="82"/>
        <v>0</v>
      </c>
      <c r="BW80" s="32">
        <f t="shared" ca="1" si="83"/>
        <v>0</v>
      </c>
      <c r="BX80" s="7">
        <f t="shared" ca="1" si="59"/>
        <v>0</v>
      </c>
      <c r="BY80" s="7">
        <f t="shared" ca="1" si="84"/>
        <v>0</v>
      </c>
      <c r="BZ80" s="7">
        <f t="shared" ca="1" si="85"/>
        <v>0</v>
      </c>
      <c r="CA80" s="7">
        <f t="shared" ca="1" si="86"/>
        <v>0</v>
      </c>
      <c r="CB80" s="32">
        <f t="shared" ca="1" si="62"/>
        <v>0</v>
      </c>
      <c r="CC80" s="32">
        <f t="shared" ca="1" si="138"/>
        <v>0</v>
      </c>
      <c r="CD80" s="32">
        <f t="shared" ca="1" si="139"/>
        <v>0</v>
      </c>
      <c r="CE80" s="9">
        <f t="shared" ca="1" si="140"/>
        <v>0</v>
      </c>
      <c r="CF80" s="711">
        <f t="shared" ca="1" si="63"/>
        <v>0</v>
      </c>
      <c r="CG80" s="553">
        <f t="shared" ca="1" si="87"/>
        <v>0</v>
      </c>
      <c r="CH80" s="540">
        <f t="shared" ca="1" si="64"/>
        <v>0</v>
      </c>
      <c r="CI80" s="539"/>
      <c r="CJ80" s="539">
        <f t="shared" ca="1" si="88"/>
        <v>0</v>
      </c>
      <c r="CK80" s="539">
        <f t="shared" ca="1" si="89"/>
        <v>0</v>
      </c>
      <c r="CL80" s="539">
        <f t="shared" ca="1" si="47"/>
        <v>0</v>
      </c>
      <c r="CM80" s="539">
        <f t="shared" ca="1" si="90"/>
        <v>0</v>
      </c>
      <c r="CN80" s="539">
        <f t="shared" si="91"/>
        <v>4</v>
      </c>
      <c r="CO80" s="7">
        <f t="shared" ca="1" si="48"/>
        <v>0</v>
      </c>
      <c r="CP80" s="539">
        <f t="shared" ca="1" si="146"/>
        <v>0</v>
      </c>
      <c r="CQ80" s="539">
        <f t="shared" ca="1" si="92"/>
        <v>0</v>
      </c>
      <c r="CR80" s="539">
        <f t="shared" ca="1" si="93"/>
        <v>0</v>
      </c>
      <c r="CS80" s="539">
        <f t="shared" si="94"/>
        <v>4</v>
      </c>
      <c r="CT80" s="539">
        <f t="shared" ca="1" si="95"/>
        <v>0</v>
      </c>
      <c r="CU80" s="539">
        <f t="shared" ca="1" si="96"/>
        <v>0</v>
      </c>
      <c r="CV80" s="32">
        <f t="shared" ca="1" si="97"/>
        <v>0</v>
      </c>
      <c r="CW80" s="32">
        <f t="shared" ca="1" si="98"/>
        <v>0</v>
      </c>
      <c r="CX80" s="32">
        <f t="shared" ca="1" si="148"/>
        <v>0</v>
      </c>
      <c r="CY80" s="555">
        <f t="shared" ca="1" si="149"/>
        <v>0</v>
      </c>
      <c r="CZ80" s="553">
        <f t="shared" ca="1" si="99"/>
        <v>0</v>
      </c>
      <c r="DA80" s="540">
        <f t="shared" ca="1" si="160"/>
        <v>0</v>
      </c>
      <c r="DB80" s="539"/>
      <c r="DC80" s="539">
        <f t="shared" ca="1" si="100"/>
        <v>0</v>
      </c>
      <c r="DD80" s="539">
        <f t="shared" ca="1" si="101"/>
        <v>0</v>
      </c>
      <c r="DE80" s="539">
        <f t="shared" ca="1" si="49"/>
        <v>0</v>
      </c>
      <c r="DF80" s="539">
        <f t="shared" ca="1" si="102"/>
        <v>0</v>
      </c>
      <c r="DG80" s="539">
        <f t="shared" si="103"/>
        <v>4</v>
      </c>
      <c r="DH80" s="7">
        <f t="shared" ca="1" si="50"/>
        <v>0</v>
      </c>
      <c r="DI80" s="539">
        <f t="shared" ca="1" si="141"/>
        <v>0</v>
      </c>
      <c r="DJ80" s="539">
        <f t="shared" ca="1" si="147"/>
        <v>0</v>
      </c>
      <c r="DK80" s="539">
        <f t="shared" ca="1" si="142"/>
        <v>0</v>
      </c>
      <c r="DL80" s="539">
        <f t="shared" si="104"/>
        <v>4</v>
      </c>
      <c r="DM80" s="539">
        <f t="shared" ca="1" si="105"/>
        <v>0</v>
      </c>
      <c r="DN80" s="539">
        <f t="shared" ca="1" si="143"/>
        <v>0</v>
      </c>
      <c r="DO80" s="32">
        <f t="shared" ca="1" si="158"/>
        <v>0</v>
      </c>
      <c r="DP80" s="32">
        <f t="shared" ca="1" si="159"/>
        <v>0</v>
      </c>
      <c r="DQ80" s="32">
        <f t="shared" ca="1" si="150"/>
        <v>0</v>
      </c>
      <c r="DR80" s="555">
        <f t="shared" ca="1" si="151"/>
        <v>0</v>
      </c>
      <c r="DS80" s="553">
        <f t="shared" ca="1" si="106"/>
        <v>0</v>
      </c>
      <c r="DT80" s="540">
        <f t="shared" ca="1" si="66"/>
        <v>0</v>
      </c>
      <c r="DU80" s="539"/>
      <c r="DV80" s="539">
        <f t="shared" ca="1" si="107"/>
        <v>0</v>
      </c>
      <c r="DW80" s="539">
        <f t="shared" ca="1" si="108"/>
        <v>0</v>
      </c>
      <c r="DX80" s="539">
        <f t="shared" ca="1" si="51"/>
        <v>0</v>
      </c>
      <c r="DY80" s="539">
        <f t="shared" ca="1" si="67"/>
        <v>0</v>
      </c>
      <c r="DZ80" s="539">
        <f t="shared" si="109"/>
        <v>4</v>
      </c>
      <c r="EA80" s="7">
        <f t="shared" ca="1" si="52"/>
        <v>0</v>
      </c>
      <c r="EB80" s="539">
        <f t="shared" ca="1" si="68"/>
        <v>0</v>
      </c>
      <c r="EC80" s="539">
        <f t="shared" ca="1" si="110"/>
        <v>0</v>
      </c>
      <c r="ED80" s="539">
        <f t="shared" ca="1" si="69"/>
        <v>0</v>
      </c>
      <c r="EE80" s="539">
        <f t="shared" si="111"/>
        <v>4</v>
      </c>
      <c r="EF80" s="539">
        <f t="shared" ca="1" si="70"/>
        <v>0</v>
      </c>
      <c r="EG80" s="539">
        <f t="shared" ca="1" si="112"/>
        <v>0</v>
      </c>
      <c r="EH80" s="32">
        <f t="shared" ca="1" si="113"/>
        <v>0</v>
      </c>
      <c r="EI80" s="32">
        <f t="shared" ca="1" si="114"/>
        <v>0</v>
      </c>
      <c r="EJ80" s="32">
        <f t="shared" ca="1" si="152"/>
        <v>0</v>
      </c>
      <c r="EK80" s="555">
        <f t="shared" ca="1" si="153"/>
        <v>0</v>
      </c>
      <c r="EL80" s="553">
        <f t="shared" ca="1" si="115"/>
        <v>0</v>
      </c>
      <c r="EM80" s="540">
        <f t="shared" ca="1" si="71"/>
        <v>0</v>
      </c>
      <c r="EN80" s="539"/>
      <c r="EO80" s="539">
        <f t="shared" ca="1" si="116"/>
        <v>0</v>
      </c>
      <c r="EP80" s="539">
        <f t="shared" ca="1" si="117"/>
        <v>0</v>
      </c>
      <c r="EQ80" s="539">
        <f t="shared" ca="1" si="53"/>
        <v>0</v>
      </c>
      <c r="ER80" s="539">
        <f t="shared" ca="1" si="72"/>
        <v>0</v>
      </c>
      <c r="ES80" s="539">
        <f t="shared" si="118"/>
        <v>4</v>
      </c>
      <c r="ET80" s="7">
        <f t="shared" ca="1" si="54"/>
        <v>0</v>
      </c>
      <c r="EU80" s="539">
        <f t="shared" ca="1" si="73"/>
        <v>0</v>
      </c>
      <c r="EV80" s="539">
        <f t="shared" ca="1" si="119"/>
        <v>0</v>
      </c>
      <c r="EW80" s="539">
        <f t="shared" ca="1" si="74"/>
        <v>0</v>
      </c>
      <c r="EX80" s="539">
        <f t="shared" si="120"/>
        <v>4</v>
      </c>
      <c r="EY80" s="539">
        <f t="shared" ca="1" si="75"/>
        <v>0</v>
      </c>
      <c r="EZ80" s="539">
        <f t="shared" ca="1" si="121"/>
        <v>0</v>
      </c>
      <c r="FA80" s="32">
        <f t="shared" ca="1" si="122"/>
        <v>0</v>
      </c>
      <c r="FB80" s="32">
        <f t="shared" ca="1" si="123"/>
        <v>0</v>
      </c>
      <c r="FC80" s="32">
        <f t="shared" ca="1" si="154"/>
        <v>0</v>
      </c>
      <c r="FD80" s="555">
        <f t="shared" ca="1" si="155"/>
        <v>0</v>
      </c>
      <c r="FE80" s="553">
        <f t="shared" ca="1" si="124"/>
        <v>0</v>
      </c>
      <c r="FF80" s="540">
        <f t="shared" ca="1" si="76"/>
        <v>0</v>
      </c>
      <c r="FG80" s="539"/>
      <c r="FH80" s="539">
        <f t="shared" ca="1" si="125"/>
        <v>0</v>
      </c>
      <c r="FI80" s="539">
        <f t="shared" ca="1" si="126"/>
        <v>0</v>
      </c>
      <c r="FJ80" s="539">
        <f t="shared" ca="1" si="55"/>
        <v>0</v>
      </c>
      <c r="FK80" s="539">
        <f t="shared" ca="1" si="77"/>
        <v>0</v>
      </c>
      <c r="FL80" s="539">
        <f t="shared" si="127"/>
        <v>4</v>
      </c>
      <c r="FM80" s="7">
        <f t="shared" ca="1" si="56"/>
        <v>0</v>
      </c>
      <c r="FN80" s="539">
        <f t="shared" ca="1" si="78"/>
        <v>0</v>
      </c>
      <c r="FO80" s="539">
        <f t="shared" ca="1" si="128"/>
        <v>0</v>
      </c>
      <c r="FP80" s="539">
        <f t="shared" ca="1" si="79"/>
        <v>0</v>
      </c>
      <c r="FQ80" s="539">
        <f t="shared" si="129"/>
        <v>4</v>
      </c>
      <c r="FR80" s="539">
        <f t="shared" ca="1" si="80"/>
        <v>0</v>
      </c>
      <c r="FS80" s="539">
        <f t="shared" ca="1" si="130"/>
        <v>0</v>
      </c>
      <c r="FT80" s="32">
        <f t="shared" ca="1" si="131"/>
        <v>0</v>
      </c>
      <c r="FU80" s="32">
        <f t="shared" ca="1" si="132"/>
        <v>0</v>
      </c>
      <c r="FV80" s="32">
        <f t="shared" ca="1" si="156"/>
        <v>0</v>
      </c>
      <c r="FW80" s="555">
        <f t="shared" ca="1" si="157"/>
        <v>0</v>
      </c>
      <c r="FX80">
        <f t="shared" ca="1" si="133"/>
        <v>0</v>
      </c>
      <c r="FY80" s="7">
        <f t="shared" ca="1" si="134"/>
        <v>0</v>
      </c>
      <c r="FZ80" s="7">
        <f t="shared" ca="1" si="144"/>
        <v>0</v>
      </c>
      <c r="GA80" s="7">
        <f t="shared" ca="1" si="135"/>
        <v>0</v>
      </c>
      <c r="GB80" s="7">
        <f t="shared" ca="1" si="136"/>
        <v>0</v>
      </c>
      <c r="GC80" s="7">
        <f t="shared" ca="1" si="137"/>
        <v>0</v>
      </c>
      <c r="GD80" s="627" t="s">
        <v>2315</v>
      </c>
    </row>
    <row r="81" spans="2:186" x14ac:dyDescent="0.35">
      <c r="E81" s="9" t="s">
        <v>2316</v>
      </c>
      <c r="F81" s="10"/>
      <c r="G81" s="6">
        <f>ENTRADAS!G1068</f>
        <v>0</v>
      </c>
      <c r="BO81">
        <f t="shared" ca="1" si="145"/>
        <v>0</v>
      </c>
      <c r="BP81">
        <f t="shared" ca="1" si="57"/>
        <v>0</v>
      </c>
      <c r="BR81" s="2051"/>
      <c r="BS81" s="32">
        <v>10</v>
      </c>
      <c r="BT81" s="470">
        <f t="shared" ca="1" si="81"/>
        <v>0</v>
      </c>
      <c r="BU81" s="387">
        <f t="shared" ca="1" si="58"/>
        <v>0</v>
      </c>
      <c r="BV81" s="32">
        <f t="shared" ca="1" si="82"/>
        <v>0</v>
      </c>
      <c r="BW81" s="32">
        <f t="shared" ca="1" si="83"/>
        <v>0</v>
      </c>
      <c r="BX81" s="7">
        <f t="shared" ca="1" si="59"/>
        <v>0</v>
      </c>
      <c r="BY81" s="7">
        <f t="shared" ca="1" si="84"/>
        <v>0</v>
      </c>
      <c r="BZ81" s="7">
        <f t="shared" ca="1" si="85"/>
        <v>0</v>
      </c>
      <c r="CA81" s="7">
        <f t="shared" ca="1" si="86"/>
        <v>0</v>
      </c>
      <c r="CB81" s="32">
        <f t="shared" ca="1" si="62"/>
        <v>0</v>
      </c>
      <c r="CC81" s="32">
        <f t="shared" ca="1" si="138"/>
        <v>0</v>
      </c>
      <c r="CD81" s="32">
        <f t="shared" ca="1" si="139"/>
        <v>0</v>
      </c>
      <c r="CE81" s="9">
        <f t="shared" ca="1" si="140"/>
        <v>0</v>
      </c>
      <c r="CF81" s="711">
        <f t="shared" ca="1" si="63"/>
        <v>0</v>
      </c>
      <c r="CG81" s="553">
        <f t="shared" ca="1" si="87"/>
        <v>0</v>
      </c>
      <c r="CH81" s="540">
        <f t="shared" ca="1" si="64"/>
        <v>0</v>
      </c>
      <c r="CI81" s="539"/>
      <c r="CJ81" s="539">
        <f t="shared" ca="1" si="88"/>
        <v>0</v>
      </c>
      <c r="CK81" s="539">
        <f t="shared" ca="1" si="89"/>
        <v>0</v>
      </c>
      <c r="CL81" s="539">
        <f t="shared" ca="1" si="47"/>
        <v>0</v>
      </c>
      <c r="CM81" s="539">
        <f t="shared" ca="1" si="90"/>
        <v>0</v>
      </c>
      <c r="CN81" s="539">
        <f t="shared" si="91"/>
        <v>4</v>
      </c>
      <c r="CO81" s="7">
        <f t="shared" ca="1" si="48"/>
        <v>0</v>
      </c>
      <c r="CP81" s="539">
        <f t="shared" ca="1" si="146"/>
        <v>0</v>
      </c>
      <c r="CQ81" s="539">
        <f t="shared" ca="1" si="92"/>
        <v>0</v>
      </c>
      <c r="CR81" s="539">
        <f t="shared" ca="1" si="93"/>
        <v>0</v>
      </c>
      <c r="CS81" s="539">
        <f t="shared" si="94"/>
        <v>4</v>
      </c>
      <c r="CT81" s="539">
        <f t="shared" ca="1" si="95"/>
        <v>0</v>
      </c>
      <c r="CU81" s="539">
        <f t="shared" ca="1" si="96"/>
        <v>0</v>
      </c>
      <c r="CV81" s="32">
        <f t="shared" ca="1" si="97"/>
        <v>0</v>
      </c>
      <c r="CW81" s="32">
        <f t="shared" ca="1" si="98"/>
        <v>0</v>
      </c>
      <c r="CX81" s="32">
        <f t="shared" ca="1" si="148"/>
        <v>0</v>
      </c>
      <c r="CY81" s="555">
        <f t="shared" ca="1" si="149"/>
        <v>0</v>
      </c>
      <c r="CZ81" s="553">
        <f t="shared" ca="1" si="99"/>
        <v>0</v>
      </c>
      <c r="DA81" s="540">
        <f t="shared" ca="1" si="160"/>
        <v>0</v>
      </c>
      <c r="DB81" s="539"/>
      <c r="DC81" s="539">
        <f t="shared" ca="1" si="100"/>
        <v>0</v>
      </c>
      <c r="DD81" s="539">
        <f t="shared" ca="1" si="101"/>
        <v>0</v>
      </c>
      <c r="DE81" s="539">
        <f t="shared" ca="1" si="49"/>
        <v>0</v>
      </c>
      <c r="DF81" s="539">
        <f t="shared" ca="1" si="102"/>
        <v>0</v>
      </c>
      <c r="DG81" s="539">
        <f t="shared" si="103"/>
        <v>4</v>
      </c>
      <c r="DH81" s="7">
        <f t="shared" ca="1" si="50"/>
        <v>0</v>
      </c>
      <c r="DI81" s="539">
        <f t="shared" ca="1" si="141"/>
        <v>0</v>
      </c>
      <c r="DJ81" s="539">
        <f t="shared" ca="1" si="147"/>
        <v>0</v>
      </c>
      <c r="DK81" s="539">
        <f t="shared" ca="1" si="142"/>
        <v>0</v>
      </c>
      <c r="DL81" s="539">
        <f t="shared" si="104"/>
        <v>4</v>
      </c>
      <c r="DM81" s="539">
        <f t="shared" ca="1" si="105"/>
        <v>0</v>
      </c>
      <c r="DN81" s="539">
        <f t="shared" ca="1" si="143"/>
        <v>0</v>
      </c>
      <c r="DO81" s="32">
        <f t="shared" ca="1" si="158"/>
        <v>0</v>
      </c>
      <c r="DP81" s="32">
        <f t="shared" ca="1" si="159"/>
        <v>0</v>
      </c>
      <c r="DQ81" s="32">
        <f t="shared" ca="1" si="150"/>
        <v>0</v>
      </c>
      <c r="DR81" s="555">
        <f t="shared" ca="1" si="151"/>
        <v>0</v>
      </c>
      <c r="DS81" s="553">
        <f t="shared" ca="1" si="106"/>
        <v>0</v>
      </c>
      <c r="DT81" s="540">
        <f t="shared" ca="1" si="66"/>
        <v>0</v>
      </c>
      <c r="DU81" s="539"/>
      <c r="DV81" s="539">
        <f t="shared" ca="1" si="107"/>
        <v>0</v>
      </c>
      <c r="DW81" s="539">
        <f t="shared" ca="1" si="108"/>
        <v>0</v>
      </c>
      <c r="DX81" s="539">
        <f t="shared" ca="1" si="51"/>
        <v>0</v>
      </c>
      <c r="DY81" s="539">
        <f t="shared" ca="1" si="67"/>
        <v>0</v>
      </c>
      <c r="DZ81" s="539">
        <f t="shared" si="109"/>
        <v>4</v>
      </c>
      <c r="EA81" s="7">
        <f t="shared" ca="1" si="52"/>
        <v>0</v>
      </c>
      <c r="EB81" s="539">
        <f t="shared" ca="1" si="68"/>
        <v>0</v>
      </c>
      <c r="EC81" s="539">
        <f t="shared" ca="1" si="110"/>
        <v>0</v>
      </c>
      <c r="ED81" s="539">
        <f t="shared" ca="1" si="69"/>
        <v>0</v>
      </c>
      <c r="EE81" s="539">
        <f t="shared" si="111"/>
        <v>4</v>
      </c>
      <c r="EF81" s="539">
        <f t="shared" ca="1" si="70"/>
        <v>0</v>
      </c>
      <c r="EG81" s="539">
        <f t="shared" ca="1" si="112"/>
        <v>0</v>
      </c>
      <c r="EH81" s="32">
        <f t="shared" ca="1" si="113"/>
        <v>0</v>
      </c>
      <c r="EI81" s="32">
        <f t="shared" ca="1" si="114"/>
        <v>0</v>
      </c>
      <c r="EJ81" s="32">
        <f t="shared" ca="1" si="152"/>
        <v>0</v>
      </c>
      <c r="EK81" s="555">
        <f t="shared" ca="1" si="153"/>
        <v>0</v>
      </c>
      <c r="EL81" s="553">
        <f t="shared" ca="1" si="115"/>
        <v>0</v>
      </c>
      <c r="EM81" s="540">
        <f t="shared" ca="1" si="71"/>
        <v>0</v>
      </c>
      <c r="EN81" s="539"/>
      <c r="EO81" s="539">
        <f t="shared" ca="1" si="116"/>
        <v>0</v>
      </c>
      <c r="EP81" s="539">
        <f t="shared" ca="1" si="117"/>
        <v>0</v>
      </c>
      <c r="EQ81" s="539">
        <f t="shared" ca="1" si="53"/>
        <v>0</v>
      </c>
      <c r="ER81" s="539">
        <f t="shared" ca="1" si="72"/>
        <v>0</v>
      </c>
      <c r="ES81" s="539">
        <f t="shared" si="118"/>
        <v>4</v>
      </c>
      <c r="ET81" s="7">
        <f t="shared" ca="1" si="54"/>
        <v>0</v>
      </c>
      <c r="EU81" s="539">
        <f t="shared" ca="1" si="73"/>
        <v>0</v>
      </c>
      <c r="EV81" s="539">
        <f t="shared" ca="1" si="119"/>
        <v>0</v>
      </c>
      <c r="EW81" s="539">
        <f t="shared" ca="1" si="74"/>
        <v>0</v>
      </c>
      <c r="EX81" s="539">
        <f t="shared" si="120"/>
        <v>4</v>
      </c>
      <c r="EY81" s="539">
        <f t="shared" ca="1" si="75"/>
        <v>0</v>
      </c>
      <c r="EZ81" s="539">
        <f t="shared" ca="1" si="121"/>
        <v>0</v>
      </c>
      <c r="FA81" s="32">
        <f t="shared" ca="1" si="122"/>
        <v>0</v>
      </c>
      <c r="FB81" s="32">
        <f t="shared" ca="1" si="123"/>
        <v>0</v>
      </c>
      <c r="FC81" s="32">
        <f t="shared" ca="1" si="154"/>
        <v>0</v>
      </c>
      <c r="FD81" s="555">
        <f t="shared" ca="1" si="155"/>
        <v>0</v>
      </c>
      <c r="FE81" s="553">
        <f t="shared" ca="1" si="124"/>
        <v>0</v>
      </c>
      <c r="FF81" s="540">
        <f t="shared" ca="1" si="76"/>
        <v>0</v>
      </c>
      <c r="FG81" s="539"/>
      <c r="FH81" s="539">
        <f t="shared" ca="1" si="125"/>
        <v>0</v>
      </c>
      <c r="FI81" s="539">
        <f t="shared" ca="1" si="126"/>
        <v>0</v>
      </c>
      <c r="FJ81" s="539">
        <f t="shared" ca="1" si="55"/>
        <v>0</v>
      </c>
      <c r="FK81" s="539">
        <f t="shared" ca="1" si="77"/>
        <v>0</v>
      </c>
      <c r="FL81" s="539">
        <f t="shared" si="127"/>
        <v>4</v>
      </c>
      <c r="FM81" s="7">
        <f t="shared" ca="1" si="56"/>
        <v>0</v>
      </c>
      <c r="FN81" s="539">
        <f t="shared" ca="1" si="78"/>
        <v>0</v>
      </c>
      <c r="FO81" s="539">
        <f t="shared" ca="1" si="128"/>
        <v>0</v>
      </c>
      <c r="FP81" s="539">
        <f t="shared" ca="1" si="79"/>
        <v>0</v>
      </c>
      <c r="FQ81" s="539">
        <f t="shared" si="129"/>
        <v>4</v>
      </c>
      <c r="FR81" s="539">
        <f t="shared" ca="1" si="80"/>
        <v>0</v>
      </c>
      <c r="FS81" s="539">
        <f t="shared" ca="1" si="130"/>
        <v>0</v>
      </c>
      <c r="FT81" s="32">
        <f t="shared" ca="1" si="131"/>
        <v>0</v>
      </c>
      <c r="FU81" s="32">
        <f t="shared" ca="1" si="132"/>
        <v>0</v>
      </c>
      <c r="FV81" s="32">
        <f t="shared" ca="1" si="156"/>
        <v>0</v>
      </c>
      <c r="FW81" s="555">
        <f t="shared" ca="1" si="157"/>
        <v>0</v>
      </c>
      <c r="FX81">
        <f t="shared" ca="1" si="133"/>
        <v>0</v>
      </c>
      <c r="FY81" s="7">
        <f t="shared" ca="1" si="134"/>
        <v>0</v>
      </c>
      <c r="FZ81" s="7">
        <f t="shared" ca="1" si="144"/>
        <v>0</v>
      </c>
      <c r="GA81" s="7">
        <f t="shared" ca="1" si="135"/>
        <v>0</v>
      </c>
      <c r="GB81" s="7">
        <f t="shared" ca="1" si="136"/>
        <v>0</v>
      </c>
      <c r="GC81" s="7">
        <f t="shared" ca="1" si="137"/>
        <v>0</v>
      </c>
      <c r="GD81" s="627" t="s">
        <v>2317</v>
      </c>
    </row>
    <row r="82" spans="2:186" x14ac:dyDescent="0.35">
      <c r="B82" t="s">
        <v>1759</v>
      </c>
      <c r="BO82">
        <f t="shared" ca="1" si="145"/>
        <v>0</v>
      </c>
      <c r="BP82">
        <f t="shared" ca="1" si="57"/>
        <v>0</v>
      </c>
      <c r="BR82" s="2051"/>
      <c r="BS82" s="32">
        <v>11</v>
      </c>
      <c r="BT82" s="470">
        <f t="shared" ca="1" si="81"/>
        <v>0</v>
      </c>
      <c r="BU82" s="387">
        <f t="shared" ca="1" si="58"/>
        <v>0</v>
      </c>
      <c r="BV82" s="32">
        <f ca="1">BV35</f>
        <v>0</v>
      </c>
      <c r="BW82" s="32">
        <f ca="1">BV56</f>
        <v>0</v>
      </c>
      <c r="BX82" s="7">
        <f t="shared" ca="1" si="59"/>
        <v>0</v>
      </c>
      <c r="BY82" s="7">
        <f t="shared" ca="1" si="84"/>
        <v>0</v>
      </c>
      <c r="BZ82" s="7">
        <f t="shared" ca="1" si="85"/>
        <v>0</v>
      </c>
      <c r="CA82" s="7">
        <f t="shared" ca="1" si="86"/>
        <v>0</v>
      </c>
      <c r="CB82" s="32">
        <f t="shared" ca="1" si="62"/>
        <v>0</v>
      </c>
      <c r="CC82" s="32">
        <f t="shared" ca="1" si="138"/>
        <v>0</v>
      </c>
      <c r="CD82" s="32">
        <f t="shared" ca="1" si="139"/>
        <v>0</v>
      </c>
      <c r="CE82" s="9">
        <f t="shared" ca="1" si="140"/>
        <v>0</v>
      </c>
      <c r="CF82" s="711">
        <f t="shared" ca="1" si="63"/>
        <v>0</v>
      </c>
      <c r="CG82" s="553">
        <f t="shared" ca="1" si="87"/>
        <v>0</v>
      </c>
      <c r="CH82" s="540">
        <f t="shared" ca="1" si="64"/>
        <v>0</v>
      </c>
      <c r="CI82" s="539"/>
      <c r="CJ82" s="539">
        <f t="shared" ca="1" si="88"/>
        <v>0</v>
      </c>
      <c r="CK82" s="539">
        <f t="shared" ca="1" si="89"/>
        <v>0</v>
      </c>
      <c r="CL82" s="539">
        <f t="shared" ca="1" si="47"/>
        <v>0</v>
      </c>
      <c r="CM82" s="539">
        <f t="shared" ca="1" si="90"/>
        <v>0</v>
      </c>
      <c r="CN82" s="539">
        <f t="shared" si="91"/>
        <v>4</v>
      </c>
      <c r="CO82" s="7">
        <f t="shared" ca="1" si="48"/>
        <v>0</v>
      </c>
      <c r="CP82" s="539">
        <f t="shared" ca="1" si="146"/>
        <v>0</v>
      </c>
      <c r="CQ82" s="539">
        <f t="shared" ca="1" si="92"/>
        <v>0</v>
      </c>
      <c r="CR82" s="539">
        <f t="shared" ca="1" si="93"/>
        <v>0</v>
      </c>
      <c r="CS82" s="539">
        <f t="shared" si="94"/>
        <v>4</v>
      </c>
      <c r="CT82" s="539">
        <f t="shared" ca="1" si="95"/>
        <v>0</v>
      </c>
      <c r="CU82" s="539">
        <f t="shared" ca="1" si="96"/>
        <v>0</v>
      </c>
      <c r="CV82" s="32">
        <f t="shared" ca="1" si="97"/>
        <v>0</v>
      </c>
      <c r="CW82" s="32">
        <f t="shared" ca="1" si="98"/>
        <v>0</v>
      </c>
      <c r="CX82" s="32">
        <f t="shared" ca="1" si="148"/>
        <v>0</v>
      </c>
      <c r="CY82" s="555">
        <f t="shared" ca="1" si="149"/>
        <v>0</v>
      </c>
      <c r="CZ82" s="553">
        <f t="shared" ca="1" si="99"/>
        <v>0</v>
      </c>
      <c r="DA82" s="540">
        <f t="shared" ca="1" si="160"/>
        <v>0</v>
      </c>
      <c r="DB82" s="539"/>
      <c r="DC82" s="539">
        <f t="shared" ca="1" si="100"/>
        <v>0</v>
      </c>
      <c r="DD82" s="539">
        <f t="shared" ca="1" si="101"/>
        <v>0</v>
      </c>
      <c r="DE82" s="539">
        <f t="shared" ca="1" si="49"/>
        <v>0</v>
      </c>
      <c r="DF82" s="539">
        <f t="shared" ca="1" si="102"/>
        <v>0</v>
      </c>
      <c r="DG82" s="539">
        <f t="shared" si="103"/>
        <v>4</v>
      </c>
      <c r="DH82" s="7">
        <f t="shared" ca="1" si="50"/>
        <v>0</v>
      </c>
      <c r="DI82" s="539">
        <f t="shared" ca="1" si="141"/>
        <v>0</v>
      </c>
      <c r="DJ82" s="539">
        <f t="shared" ca="1" si="147"/>
        <v>0</v>
      </c>
      <c r="DK82" s="539">
        <f t="shared" ca="1" si="142"/>
        <v>0</v>
      </c>
      <c r="DL82" s="539">
        <f t="shared" si="104"/>
        <v>4</v>
      </c>
      <c r="DM82" s="539">
        <f t="shared" ca="1" si="105"/>
        <v>0</v>
      </c>
      <c r="DN82" s="539">
        <f t="shared" ca="1" si="143"/>
        <v>0</v>
      </c>
      <c r="DO82" s="32">
        <f t="shared" ca="1" si="158"/>
        <v>0</v>
      </c>
      <c r="DP82" s="32">
        <f t="shared" ca="1" si="159"/>
        <v>0</v>
      </c>
      <c r="DQ82" s="32">
        <f t="shared" ca="1" si="150"/>
        <v>0</v>
      </c>
      <c r="DR82" s="555">
        <f t="shared" ca="1" si="151"/>
        <v>0</v>
      </c>
      <c r="DS82" s="553">
        <f t="shared" ca="1" si="106"/>
        <v>0</v>
      </c>
      <c r="DT82" s="540">
        <f t="shared" ca="1" si="66"/>
        <v>0</v>
      </c>
      <c r="DU82" s="539"/>
      <c r="DV82" s="539">
        <f t="shared" ca="1" si="107"/>
        <v>0</v>
      </c>
      <c r="DW82" s="539">
        <f t="shared" ca="1" si="108"/>
        <v>0</v>
      </c>
      <c r="DX82" s="539">
        <f t="shared" ca="1" si="51"/>
        <v>0</v>
      </c>
      <c r="DY82" s="539">
        <f t="shared" ca="1" si="67"/>
        <v>0</v>
      </c>
      <c r="DZ82" s="539">
        <f t="shared" si="109"/>
        <v>4</v>
      </c>
      <c r="EA82" s="7">
        <f t="shared" ca="1" si="52"/>
        <v>0</v>
      </c>
      <c r="EB82" s="539">
        <f t="shared" ca="1" si="68"/>
        <v>0</v>
      </c>
      <c r="EC82" s="539">
        <f t="shared" ca="1" si="110"/>
        <v>0</v>
      </c>
      <c r="ED82" s="539">
        <f t="shared" ca="1" si="69"/>
        <v>0</v>
      </c>
      <c r="EE82" s="539">
        <f t="shared" si="111"/>
        <v>4</v>
      </c>
      <c r="EF82" s="539">
        <f t="shared" ca="1" si="70"/>
        <v>0</v>
      </c>
      <c r="EG82" s="539">
        <f t="shared" ca="1" si="112"/>
        <v>0</v>
      </c>
      <c r="EH82" s="32">
        <f t="shared" ca="1" si="113"/>
        <v>0</v>
      </c>
      <c r="EI82" s="32">
        <f t="shared" ca="1" si="114"/>
        <v>0</v>
      </c>
      <c r="EJ82" s="32">
        <f t="shared" ca="1" si="152"/>
        <v>0</v>
      </c>
      <c r="EK82" s="555">
        <f t="shared" ca="1" si="153"/>
        <v>0</v>
      </c>
      <c r="EL82" s="553">
        <f t="shared" ca="1" si="115"/>
        <v>0</v>
      </c>
      <c r="EM82" s="540">
        <f t="shared" ca="1" si="71"/>
        <v>0</v>
      </c>
      <c r="EN82" s="539"/>
      <c r="EO82" s="539">
        <f t="shared" ca="1" si="116"/>
        <v>0</v>
      </c>
      <c r="EP82" s="539">
        <f t="shared" ca="1" si="117"/>
        <v>0</v>
      </c>
      <c r="EQ82" s="539">
        <f t="shared" ca="1" si="53"/>
        <v>0</v>
      </c>
      <c r="ER82" s="539">
        <f t="shared" ca="1" si="72"/>
        <v>0</v>
      </c>
      <c r="ES82" s="539">
        <f t="shared" si="118"/>
        <v>4</v>
      </c>
      <c r="ET82" s="7">
        <f t="shared" ca="1" si="54"/>
        <v>0</v>
      </c>
      <c r="EU82" s="539">
        <f t="shared" ca="1" si="73"/>
        <v>0</v>
      </c>
      <c r="EV82" s="539">
        <f t="shared" ca="1" si="119"/>
        <v>0</v>
      </c>
      <c r="EW82" s="539">
        <f t="shared" ca="1" si="74"/>
        <v>0</v>
      </c>
      <c r="EX82" s="539">
        <f t="shared" si="120"/>
        <v>4</v>
      </c>
      <c r="EY82" s="539">
        <f t="shared" ca="1" si="75"/>
        <v>0</v>
      </c>
      <c r="EZ82" s="539">
        <f t="shared" ca="1" si="121"/>
        <v>0</v>
      </c>
      <c r="FA82" s="32">
        <f t="shared" ca="1" si="122"/>
        <v>0</v>
      </c>
      <c r="FB82" s="32">
        <f t="shared" ca="1" si="123"/>
        <v>0</v>
      </c>
      <c r="FC82" s="32">
        <f t="shared" ca="1" si="154"/>
        <v>0</v>
      </c>
      <c r="FD82" s="555">
        <f t="shared" ca="1" si="155"/>
        <v>0</v>
      </c>
      <c r="FE82" s="553">
        <f t="shared" ca="1" si="124"/>
        <v>0</v>
      </c>
      <c r="FF82" s="540">
        <f t="shared" ca="1" si="76"/>
        <v>0</v>
      </c>
      <c r="FG82" s="539"/>
      <c r="FH82" s="539">
        <f t="shared" ca="1" si="125"/>
        <v>0</v>
      </c>
      <c r="FI82" s="539">
        <f t="shared" ca="1" si="126"/>
        <v>0</v>
      </c>
      <c r="FJ82" s="539">
        <f t="shared" ca="1" si="55"/>
        <v>0</v>
      </c>
      <c r="FK82" s="539">
        <f t="shared" ca="1" si="77"/>
        <v>0</v>
      </c>
      <c r="FL82" s="539">
        <f t="shared" si="127"/>
        <v>4</v>
      </c>
      <c r="FM82" s="7">
        <f t="shared" ca="1" si="56"/>
        <v>0</v>
      </c>
      <c r="FN82" s="539">
        <f t="shared" ca="1" si="78"/>
        <v>0</v>
      </c>
      <c r="FO82" s="539">
        <f t="shared" ca="1" si="128"/>
        <v>0</v>
      </c>
      <c r="FP82" s="539">
        <f t="shared" ca="1" si="79"/>
        <v>0</v>
      </c>
      <c r="FQ82" s="539">
        <f t="shared" si="129"/>
        <v>4</v>
      </c>
      <c r="FR82" s="539">
        <f t="shared" ca="1" si="80"/>
        <v>0</v>
      </c>
      <c r="FS82" s="539">
        <f t="shared" ca="1" si="130"/>
        <v>0</v>
      </c>
      <c r="FT82" s="32">
        <f t="shared" ca="1" si="131"/>
        <v>0</v>
      </c>
      <c r="FU82" s="32">
        <f t="shared" ca="1" si="132"/>
        <v>0</v>
      </c>
      <c r="FV82" s="32">
        <f t="shared" ca="1" si="156"/>
        <v>0</v>
      </c>
      <c r="FW82" s="555">
        <f t="shared" ca="1" si="157"/>
        <v>0</v>
      </c>
      <c r="FX82">
        <f t="shared" ca="1" si="133"/>
        <v>0</v>
      </c>
      <c r="FY82" s="7">
        <f t="shared" ca="1" si="134"/>
        <v>0</v>
      </c>
      <c r="FZ82" s="7">
        <f t="shared" ca="1" si="144"/>
        <v>0</v>
      </c>
      <c r="GA82" s="7">
        <f t="shared" ca="1" si="135"/>
        <v>0</v>
      </c>
      <c r="GB82" s="7">
        <f t="shared" ca="1" si="136"/>
        <v>0</v>
      </c>
      <c r="GC82" s="7">
        <f t="shared" ca="1" si="137"/>
        <v>0</v>
      </c>
      <c r="GD82" s="627" t="s">
        <v>2318</v>
      </c>
    </row>
    <row r="83" spans="2:186" x14ac:dyDescent="0.35">
      <c r="C83" t="s">
        <v>2319</v>
      </c>
      <c r="H83" s="4">
        <f>ENTRADAS!F948</f>
        <v>8</v>
      </c>
      <c r="I83" t="s">
        <v>1802</v>
      </c>
      <c r="BO83">
        <f t="shared" ca="1" si="145"/>
        <v>0</v>
      </c>
      <c r="BP83">
        <f t="shared" ca="1" si="57"/>
        <v>0</v>
      </c>
      <c r="BR83" s="2051"/>
      <c r="BS83" s="32">
        <v>12</v>
      </c>
      <c r="BT83" s="470">
        <f t="shared" ca="1" si="81"/>
        <v>0</v>
      </c>
      <c r="BU83" s="387">
        <f t="shared" ca="1" si="58"/>
        <v>0</v>
      </c>
      <c r="BV83" s="32">
        <f ca="1">BV36</f>
        <v>0</v>
      </c>
      <c r="BW83" s="32">
        <f ca="1">BV57</f>
        <v>0</v>
      </c>
      <c r="BX83" s="7">
        <f t="shared" ca="1" si="59"/>
        <v>0</v>
      </c>
      <c r="BY83" s="7">
        <f t="shared" ca="1" si="84"/>
        <v>0</v>
      </c>
      <c r="BZ83" s="7">
        <f t="shared" ca="1" si="85"/>
        <v>0</v>
      </c>
      <c r="CA83" s="7">
        <f t="shared" ca="1" si="86"/>
        <v>0</v>
      </c>
      <c r="CB83" s="32">
        <f t="shared" ca="1" si="62"/>
        <v>0</v>
      </c>
      <c r="CC83" s="32">
        <f t="shared" ca="1" si="138"/>
        <v>0</v>
      </c>
      <c r="CD83" s="32">
        <f t="shared" ca="1" si="139"/>
        <v>0</v>
      </c>
      <c r="CE83" s="9">
        <f t="shared" ca="1" si="140"/>
        <v>0</v>
      </c>
      <c r="CF83" s="711">
        <f t="shared" ca="1" si="63"/>
        <v>0</v>
      </c>
      <c r="CG83" s="553">
        <f t="shared" ca="1" si="87"/>
        <v>0</v>
      </c>
      <c r="CH83" s="540">
        <f t="shared" ca="1" si="64"/>
        <v>0</v>
      </c>
      <c r="CI83" s="539"/>
      <c r="CJ83" s="539">
        <f t="shared" ca="1" si="88"/>
        <v>0</v>
      </c>
      <c r="CK83" s="539">
        <f t="shared" ca="1" si="89"/>
        <v>0</v>
      </c>
      <c r="CL83" s="539">
        <f t="shared" ca="1" si="47"/>
        <v>0</v>
      </c>
      <c r="CM83" s="539">
        <f t="shared" ca="1" si="90"/>
        <v>0</v>
      </c>
      <c r="CN83" s="539">
        <f t="shared" si="91"/>
        <v>4</v>
      </c>
      <c r="CO83" s="7">
        <f t="shared" ca="1" si="48"/>
        <v>0</v>
      </c>
      <c r="CP83" s="539">
        <f t="shared" ca="1" si="146"/>
        <v>0</v>
      </c>
      <c r="CQ83" s="539">
        <f t="shared" ca="1" si="92"/>
        <v>0</v>
      </c>
      <c r="CR83" s="539">
        <f t="shared" ca="1" si="93"/>
        <v>0</v>
      </c>
      <c r="CS83" s="539">
        <f t="shared" si="94"/>
        <v>4</v>
      </c>
      <c r="CT83" s="539">
        <f t="shared" ca="1" si="95"/>
        <v>0</v>
      </c>
      <c r="CU83" s="539">
        <f t="shared" ca="1" si="96"/>
        <v>0</v>
      </c>
      <c r="CV83" s="32">
        <f t="shared" ca="1" si="97"/>
        <v>0</v>
      </c>
      <c r="CW83" s="32">
        <f t="shared" ca="1" si="98"/>
        <v>0</v>
      </c>
      <c r="CX83" s="32">
        <f t="shared" ca="1" si="148"/>
        <v>0</v>
      </c>
      <c r="CY83" s="555">
        <f t="shared" ca="1" si="149"/>
        <v>0</v>
      </c>
      <c r="CZ83" s="553">
        <f t="shared" ca="1" si="99"/>
        <v>0</v>
      </c>
      <c r="DA83" s="540">
        <f t="shared" ca="1" si="160"/>
        <v>0</v>
      </c>
      <c r="DB83" s="539"/>
      <c r="DC83" s="539">
        <f t="shared" ca="1" si="100"/>
        <v>0</v>
      </c>
      <c r="DD83" s="539">
        <f t="shared" ca="1" si="101"/>
        <v>0</v>
      </c>
      <c r="DE83" s="539">
        <f t="shared" ca="1" si="49"/>
        <v>0</v>
      </c>
      <c r="DF83" s="539">
        <f t="shared" ca="1" si="102"/>
        <v>0</v>
      </c>
      <c r="DG83" s="539">
        <f t="shared" si="103"/>
        <v>4</v>
      </c>
      <c r="DH83" s="7">
        <f t="shared" ca="1" si="50"/>
        <v>0</v>
      </c>
      <c r="DI83" s="539">
        <f t="shared" ca="1" si="141"/>
        <v>0</v>
      </c>
      <c r="DJ83" s="539">
        <f t="shared" ca="1" si="147"/>
        <v>0</v>
      </c>
      <c r="DK83" s="539">
        <f t="shared" ca="1" si="142"/>
        <v>0</v>
      </c>
      <c r="DL83" s="539">
        <f t="shared" si="104"/>
        <v>4</v>
      </c>
      <c r="DM83" s="539">
        <f t="shared" ca="1" si="105"/>
        <v>0</v>
      </c>
      <c r="DN83" s="539">
        <f t="shared" ca="1" si="143"/>
        <v>0</v>
      </c>
      <c r="DO83" s="32">
        <f t="shared" ca="1" si="158"/>
        <v>0</v>
      </c>
      <c r="DP83" s="32">
        <f t="shared" ca="1" si="159"/>
        <v>0</v>
      </c>
      <c r="DQ83" s="32">
        <f t="shared" ca="1" si="150"/>
        <v>0</v>
      </c>
      <c r="DR83" s="555">
        <f t="shared" ca="1" si="151"/>
        <v>0</v>
      </c>
      <c r="DS83" s="553">
        <f t="shared" ca="1" si="106"/>
        <v>0</v>
      </c>
      <c r="DT83" s="540">
        <f t="shared" ca="1" si="66"/>
        <v>0</v>
      </c>
      <c r="DU83" s="539"/>
      <c r="DV83" s="539">
        <f t="shared" ca="1" si="107"/>
        <v>0</v>
      </c>
      <c r="DW83" s="539">
        <f t="shared" ca="1" si="108"/>
        <v>0</v>
      </c>
      <c r="DX83" s="539">
        <f t="shared" ca="1" si="51"/>
        <v>0</v>
      </c>
      <c r="DY83" s="539">
        <f t="shared" ca="1" si="67"/>
        <v>0</v>
      </c>
      <c r="DZ83" s="539">
        <f t="shared" si="109"/>
        <v>4</v>
      </c>
      <c r="EA83" s="7">
        <f t="shared" ca="1" si="52"/>
        <v>0</v>
      </c>
      <c r="EB83" s="539">
        <f t="shared" ca="1" si="68"/>
        <v>0</v>
      </c>
      <c r="EC83" s="539">
        <f t="shared" ca="1" si="110"/>
        <v>0</v>
      </c>
      <c r="ED83" s="539">
        <f t="shared" ca="1" si="69"/>
        <v>0</v>
      </c>
      <c r="EE83" s="539">
        <f t="shared" si="111"/>
        <v>4</v>
      </c>
      <c r="EF83" s="539">
        <f t="shared" ca="1" si="70"/>
        <v>0</v>
      </c>
      <c r="EG83" s="539">
        <f t="shared" ca="1" si="112"/>
        <v>0</v>
      </c>
      <c r="EH83" s="32">
        <f t="shared" ca="1" si="113"/>
        <v>0</v>
      </c>
      <c r="EI83" s="32">
        <f t="shared" ca="1" si="114"/>
        <v>0</v>
      </c>
      <c r="EJ83" s="32">
        <f t="shared" ca="1" si="152"/>
        <v>0</v>
      </c>
      <c r="EK83" s="555">
        <f t="shared" ca="1" si="153"/>
        <v>0</v>
      </c>
      <c r="EL83" s="553">
        <f t="shared" ca="1" si="115"/>
        <v>0</v>
      </c>
      <c r="EM83" s="540">
        <f t="shared" ca="1" si="71"/>
        <v>0</v>
      </c>
      <c r="EN83" s="539"/>
      <c r="EO83" s="539">
        <f t="shared" ca="1" si="116"/>
        <v>0</v>
      </c>
      <c r="EP83" s="539">
        <f t="shared" ca="1" si="117"/>
        <v>0</v>
      </c>
      <c r="EQ83" s="539">
        <f t="shared" ca="1" si="53"/>
        <v>0</v>
      </c>
      <c r="ER83" s="539">
        <f t="shared" ca="1" si="72"/>
        <v>0</v>
      </c>
      <c r="ES83" s="539">
        <f t="shared" si="118"/>
        <v>4</v>
      </c>
      <c r="ET83" s="7">
        <f t="shared" ca="1" si="54"/>
        <v>0</v>
      </c>
      <c r="EU83" s="539">
        <f t="shared" ca="1" si="73"/>
        <v>0</v>
      </c>
      <c r="EV83" s="539">
        <f t="shared" ca="1" si="119"/>
        <v>0</v>
      </c>
      <c r="EW83" s="539">
        <f t="shared" ca="1" si="74"/>
        <v>0</v>
      </c>
      <c r="EX83" s="539">
        <f t="shared" si="120"/>
        <v>4</v>
      </c>
      <c r="EY83" s="539">
        <f t="shared" ca="1" si="75"/>
        <v>0</v>
      </c>
      <c r="EZ83" s="539">
        <f t="shared" ca="1" si="121"/>
        <v>0</v>
      </c>
      <c r="FA83" s="32">
        <f t="shared" ca="1" si="122"/>
        <v>0</v>
      </c>
      <c r="FB83" s="32">
        <f t="shared" ca="1" si="123"/>
        <v>0</v>
      </c>
      <c r="FC83" s="32">
        <f t="shared" ca="1" si="154"/>
        <v>0</v>
      </c>
      <c r="FD83" s="555">
        <f t="shared" ca="1" si="155"/>
        <v>0</v>
      </c>
      <c r="FE83" s="553">
        <f t="shared" ca="1" si="124"/>
        <v>0</v>
      </c>
      <c r="FF83" s="540">
        <f t="shared" ca="1" si="76"/>
        <v>0</v>
      </c>
      <c r="FG83" s="539"/>
      <c r="FH83" s="539">
        <f t="shared" ca="1" si="125"/>
        <v>0</v>
      </c>
      <c r="FI83" s="539">
        <f t="shared" ca="1" si="126"/>
        <v>0</v>
      </c>
      <c r="FJ83" s="539">
        <f t="shared" ca="1" si="55"/>
        <v>0</v>
      </c>
      <c r="FK83" s="539">
        <f t="shared" ca="1" si="77"/>
        <v>0</v>
      </c>
      <c r="FL83" s="539">
        <f t="shared" si="127"/>
        <v>4</v>
      </c>
      <c r="FM83" s="7">
        <f t="shared" ca="1" si="56"/>
        <v>0</v>
      </c>
      <c r="FN83" s="539">
        <f t="shared" ca="1" si="78"/>
        <v>0</v>
      </c>
      <c r="FO83" s="539">
        <f t="shared" ca="1" si="128"/>
        <v>0</v>
      </c>
      <c r="FP83" s="539">
        <f t="shared" ca="1" si="79"/>
        <v>0</v>
      </c>
      <c r="FQ83" s="539">
        <f t="shared" si="129"/>
        <v>4</v>
      </c>
      <c r="FR83" s="539">
        <f t="shared" ca="1" si="80"/>
        <v>0</v>
      </c>
      <c r="FS83" s="539">
        <f t="shared" ca="1" si="130"/>
        <v>0</v>
      </c>
      <c r="FT83" s="32">
        <f t="shared" ca="1" si="131"/>
        <v>0</v>
      </c>
      <c r="FU83" s="32">
        <f t="shared" ca="1" si="132"/>
        <v>0</v>
      </c>
      <c r="FV83" s="32">
        <f t="shared" ca="1" si="156"/>
        <v>0</v>
      </c>
      <c r="FW83" s="555">
        <f t="shared" ca="1" si="157"/>
        <v>0</v>
      </c>
      <c r="FX83">
        <f t="shared" ca="1" si="133"/>
        <v>0</v>
      </c>
      <c r="FY83" s="7">
        <f t="shared" ca="1" si="134"/>
        <v>0</v>
      </c>
      <c r="FZ83" s="7">
        <f t="shared" ca="1" si="144"/>
        <v>0</v>
      </c>
      <c r="GA83" s="7">
        <f t="shared" ca="1" si="135"/>
        <v>0</v>
      </c>
      <c r="GB83" s="7">
        <f t="shared" ca="1" si="136"/>
        <v>0</v>
      </c>
      <c r="GC83" s="7">
        <f t="shared" ca="1" si="137"/>
        <v>0</v>
      </c>
      <c r="GD83" s="627" t="s">
        <v>2320</v>
      </c>
    </row>
    <row r="84" spans="2:186" x14ac:dyDescent="0.35">
      <c r="J84" s="433" t="s">
        <v>2321</v>
      </c>
      <c r="K84" s="13" t="s">
        <v>2322</v>
      </c>
      <c r="L84" s="14"/>
      <c r="M84" s="14"/>
      <c r="N84" s="14"/>
      <c r="O84" s="15"/>
      <c r="BO84">
        <f t="shared" ca="1" si="145"/>
        <v>0</v>
      </c>
      <c r="BP84">
        <f t="shared" ca="1" si="57"/>
        <v>0</v>
      </c>
      <c r="BR84" s="2051"/>
      <c r="BS84" s="32">
        <v>13</v>
      </c>
      <c r="BT84" s="470">
        <f t="shared" ca="1" si="81"/>
        <v>0</v>
      </c>
      <c r="BU84" s="387">
        <f t="shared" ca="1" si="58"/>
        <v>0</v>
      </c>
      <c r="BV84" s="32">
        <f ca="1">BV37</f>
        <v>0</v>
      </c>
      <c r="BW84" s="32">
        <f ca="1">BV58</f>
        <v>0</v>
      </c>
      <c r="BX84" s="7">
        <f t="shared" ca="1" si="59"/>
        <v>0</v>
      </c>
      <c r="BY84" s="7">
        <f t="shared" ca="1" si="84"/>
        <v>0</v>
      </c>
      <c r="BZ84" s="7">
        <f t="shared" ca="1" si="85"/>
        <v>0</v>
      </c>
      <c r="CA84" s="7">
        <f t="shared" ca="1" si="86"/>
        <v>0</v>
      </c>
      <c r="CB84" s="32">
        <f t="shared" ca="1" si="62"/>
        <v>0</v>
      </c>
      <c r="CC84" s="32">
        <f t="shared" ca="1" si="138"/>
        <v>0</v>
      </c>
      <c r="CD84" s="32">
        <f t="shared" ca="1" si="139"/>
        <v>0</v>
      </c>
      <c r="CE84" s="9">
        <f t="shared" ca="1" si="140"/>
        <v>0</v>
      </c>
      <c r="CF84" s="711">
        <f t="shared" ca="1" si="63"/>
        <v>0</v>
      </c>
      <c r="CG84" s="553">
        <f t="shared" ca="1" si="87"/>
        <v>0</v>
      </c>
      <c r="CH84" s="540">
        <f t="shared" ca="1" si="64"/>
        <v>0</v>
      </c>
      <c r="CI84" s="539"/>
      <c r="CJ84" s="539">
        <f t="shared" ca="1" si="88"/>
        <v>0</v>
      </c>
      <c r="CK84" s="539">
        <f t="shared" ca="1" si="89"/>
        <v>0</v>
      </c>
      <c r="CL84" s="539">
        <f t="shared" ca="1" si="47"/>
        <v>0</v>
      </c>
      <c r="CM84" s="539">
        <f t="shared" ca="1" si="90"/>
        <v>0</v>
      </c>
      <c r="CN84" s="539">
        <f t="shared" si="91"/>
        <v>4</v>
      </c>
      <c r="CO84" s="7">
        <f t="shared" ca="1" si="48"/>
        <v>0</v>
      </c>
      <c r="CP84" s="539">
        <f t="shared" ca="1" si="146"/>
        <v>0</v>
      </c>
      <c r="CQ84" s="539">
        <f t="shared" ca="1" si="92"/>
        <v>0</v>
      </c>
      <c r="CR84" s="539">
        <f t="shared" ca="1" si="93"/>
        <v>0</v>
      </c>
      <c r="CS84" s="539">
        <f t="shared" si="94"/>
        <v>4</v>
      </c>
      <c r="CT84" s="539">
        <f t="shared" ca="1" si="95"/>
        <v>0</v>
      </c>
      <c r="CU84" s="539">
        <f t="shared" ca="1" si="96"/>
        <v>0</v>
      </c>
      <c r="CV84" s="32">
        <f t="shared" ca="1" si="97"/>
        <v>0</v>
      </c>
      <c r="CW84" s="32">
        <f t="shared" ca="1" si="98"/>
        <v>0</v>
      </c>
      <c r="CX84" s="32">
        <f t="shared" ca="1" si="148"/>
        <v>0</v>
      </c>
      <c r="CY84" s="555">
        <f t="shared" ca="1" si="149"/>
        <v>0</v>
      </c>
      <c r="CZ84" s="553">
        <f t="shared" ca="1" si="99"/>
        <v>0</v>
      </c>
      <c r="DA84" s="540">
        <f t="shared" ca="1" si="160"/>
        <v>0</v>
      </c>
      <c r="DB84" s="539"/>
      <c r="DC84" s="539">
        <f t="shared" ca="1" si="100"/>
        <v>0</v>
      </c>
      <c r="DD84" s="539">
        <f t="shared" ca="1" si="101"/>
        <v>0</v>
      </c>
      <c r="DE84" s="539">
        <f t="shared" ca="1" si="49"/>
        <v>0</v>
      </c>
      <c r="DF84" s="539">
        <f t="shared" ca="1" si="102"/>
        <v>0</v>
      </c>
      <c r="DG84" s="539">
        <f t="shared" si="103"/>
        <v>4</v>
      </c>
      <c r="DH84" s="7">
        <f t="shared" ca="1" si="50"/>
        <v>0</v>
      </c>
      <c r="DI84" s="539">
        <f t="shared" ca="1" si="141"/>
        <v>0</v>
      </c>
      <c r="DJ84" s="539">
        <f t="shared" ca="1" si="147"/>
        <v>0</v>
      </c>
      <c r="DK84" s="539">
        <f t="shared" ca="1" si="142"/>
        <v>0</v>
      </c>
      <c r="DL84" s="539">
        <f t="shared" si="104"/>
        <v>4</v>
      </c>
      <c r="DM84" s="539">
        <f t="shared" ca="1" si="105"/>
        <v>0</v>
      </c>
      <c r="DN84" s="539">
        <f t="shared" ca="1" si="143"/>
        <v>0</v>
      </c>
      <c r="DO84" s="32">
        <f t="shared" ca="1" si="158"/>
        <v>0</v>
      </c>
      <c r="DP84" s="32">
        <f t="shared" ca="1" si="159"/>
        <v>0</v>
      </c>
      <c r="DQ84" s="32">
        <f t="shared" ca="1" si="150"/>
        <v>0</v>
      </c>
      <c r="DR84" s="555">
        <f t="shared" ca="1" si="151"/>
        <v>0</v>
      </c>
      <c r="DS84" s="553">
        <f t="shared" ca="1" si="106"/>
        <v>0</v>
      </c>
      <c r="DT84" s="540">
        <f t="shared" ca="1" si="66"/>
        <v>0</v>
      </c>
      <c r="DU84" s="539"/>
      <c r="DV84" s="539">
        <f t="shared" ca="1" si="107"/>
        <v>0</v>
      </c>
      <c r="DW84" s="539">
        <f t="shared" ca="1" si="108"/>
        <v>0</v>
      </c>
      <c r="DX84" s="539">
        <f t="shared" ca="1" si="51"/>
        <v>0</v>
      </c>
      <c r="DY84" s="539">
        <f t="shared" ca="1" si="67"/>
        <v>0</v>
      </c>
      <c r="DZ84" s="539">
        <f t="shared" si="109"/>
        <v>4</v>
      </c>
      <c r="EA84" s="7">
        <f t="shared" ca="1" si="52"/>
        <v>0</v>
      </c>
      <c r="EB84" s="539">
        <f t="shared" ca="1" si="68"/>
        <v>0</v>
      </c>
      <c r="EC84" s="539">
        <f t="shared" ca="1" si="110"/>
        <v>0</v>
      </c>
      <c r="ED84" s="539">
        <f t="shared" ca="1" si="69"/>
        <v>0</v>
      </c>
      <c r="EE84" s="539">
        <f t="shared" si="111"/>
        <v>4</v>
      </c>
      <c r="EF84" s="539">
        <f t="shared" ca="1" si="70"/>
        <v>0</v>
      </c>
      <c r="EG84" s="539">
        <f t="shared" ca="1" si="112"/>
        <v>0</v>
      </c>
      <c r="EH84" s="32">
        <f t="shared" ca="1" si="113"/>
        <v>0</v>
      </c>
      <c r="EI84" s="32">
        <f t="shared" ca="1" si="114"/>
        <v>0</v>
      </c>
      <c r="EJ84" s="32">
        <f t="shared" ca="1" si="152"/>
        <v>0</v>
      </c>
      <c r="EK84" s="555">
        <f t="shared" ca="1" si="153"/>
        <v>0</v>
      </c>
      <c r="EL84" s="553">
        <f t="shared" ca="1" si="115"/>
        <v>0</v>
      </c>
      <c r="EM84" s="540">
        <f t="shared" ca="1" si="71"/>
        <v>0</v>
      </c>
      <c r="EN84" s="539"/>
      <c r="EO84" s="539">
        <f t="shared" ca="1" si="116"/>
        <v>0</v>
      </c>
      <c r="EP84" s="539">
        <f t="shared" ca="1" si="117"/>
        <v>0</v>
      </c>
      <c r="EQ84" s="539">
        <f t="shared" ca="1" si="53"/>
        <v>0</v>
      </c>
      <c r="ER84" s="539">
        <f t="shared" ca="1" si="72"/>
        <v>0</v>
      </c>
      <c r="ES84" s="539">
        <f t="shared" si="118"/>
        <v>4</v>
      </c>
      <c r="ET84" s="7">
        <f t="shared" ca="1" si="54"/>
        <v>0</v>
      </c>
      <c r="EU84" s="539">
        <f t="shared" ca="1" si="73"/>
        <v>0</v>
      </c>
      <c r="EV84" s="539">
        <f t="shared" ca="1" si="119"/>
        <v>0</v>
      </c>
      <c r="EW84" s="539">
        <f t="shared" ca="1" si="74"/>
        <v>0</v>
      </c>
      <c r="EX84" s="539">
        <f t="shared" si="120"/>
        <v>4</v>
      </c>
      <c r="EY84" s="539">
        <f t="shared" ca="1" si="75"/>
        <v>0</v>
      </c>
      <c r="EZ84" s="539">
        <f t="shared" ca="1" si="121"/>
        <v>0</v>
      </c>
      <c r="FA84" s="32">
        <f t="shared" ca="1" si="122"/>
        <v>0</v>
      </c>
      <c r="FB84" s="32">
        <f t="shared" ca="1" si="123"/>
        <v>0</v>
      </c>
      <c r="FC84" s="32">
        <f t="shared" ca="1" si="154"/>
        <v>0</v>
      </c>
      <c r="FD84" s="555">
        <f t="shared" ca="1" si="155"/>
        <v>0</v>
      </c>
      <c r="FE84" s="553">
        <f t="shared" ca="1" si="124"/>
        <v>0</v>
      </c>
      <c r="FF84" s="540">
        <f t="shared" ca="1" si="76"/>
        <v>0</v>
      </c>
      <c r="FG84" s="539"/>
      <c r="FH84" s="539">
        <f t="shared" ca="1" si="125"/>
        <v>0</v>
      </c>
      <c r="FI84" s="539">
        <f t="shared" ca="1" si="126"/>
        <v>0</v>
      </c>
      <c r="FJ84" s="539">
        <f t="shared" ca="1" si="55"/>
        <v>0</v>
      </c>
      <c r="FK84" s="539">
        <f t="shared" ca="1" si="77"/>
        <v>0</v>
      </c>
      <c r="FL84" s="539">
        <f t="shared" si="127"/>
        <v>4</v>
      </c>
      <c r="FM84" s="7">
        <f t="shared" ca="1" si="56"/>
        <v>0</v>
      </c>
      <c r="FN84" s="539">
        <f t="shared" ca="1" si="78"/>
        <v>0</v>
      </c>
      <c r="FO84" s="539">
        <f t="shared" ca="1" si="128"/>
        <v>0</v>
      </c>
      <c r="FP84" s="539">
        <f t="shared" ca="1" si="79"/>
        <v>0</v>
      </c>
      <c r="FQ84" s="539">
        <f t="shared" si="129"/>
        <v>4</v>
      </c>
      <c r="FR84" s="539">
        <f t="shared" ca="1" si="80"/>
        <v>0</v>
      </c>
      <c r="FS84" s="539">
        <f t="shared" ca="1" si="130"/>
        <v>0</v>
      </c>
      <c r="FT84" s="32">
        <f t="shared" ca="1" si="131"/>
        <v>0</v>
      </c>
      <c r="FU84" s="32">
        <f t="shared" ca="1" si="132"/>
        <v>0</v>
      </c>
      <c r="FV84" s="32">
        <f t="shared" ca="1" si="156"/>
        <v>0</v>
      </c>
      <c r="FW84" s="555">
        <f t="shared" ca="1" si="157"/>
        <v>0</v>
      </c>
      <c r="FX84">
        <f t="shared" ca="1" si="133"/>
        <v>0</v>
      </c>
      <c r="FY84" s="7">
        <f t="shared" ca="1" si="134"/>
        <v>0</v>
      </c>
      <c r="FZ84" s="7">
        <f t="shared" ca="1" si="144"/>
        <v>0</v>
      </c>
      <c r="GA84" s="7">
        <f t="shared" ca="1" si="135"/>
        <v>0</v>
      </c>
      <c r="GB84" s="7">
        <f t="shared" ca="1" si="136"/>
        <v>0</v>
      </c>
      <c r="GC84" s="7">
        <f t="shared" ca="1" si="137"/>
        <v>0</v>
      </c>
      <c r="GD84" s="627" t="s">
        <v>2323</v>
      </c>
    </row>
    <row r="85" spans="2:186" x14ac:dyDescent="0.35">
      <c r="C85" t="s">
        <v>2324</v>
      </c>
      <c r="H85">
        <f ca="1">IF(D12=0,0,IF(E5&lt;=30.15,0.5,IF($E$3=1,J85,K85)))</f>
        <v>0</v>
      </c>
      <c r="I85" t="str">
        <f ca="1">IF(H85=1,"dia","dias")</f>
        <v>dias</v>
      </c>
      <c r="J85" s="386">
        <f ca="1">IF(E6=0,0,IF(G81="X",Q85,P85))</f>
        <v>0</v>
      </c>
      <c r="K85" s="18">
        <f ca="1">IF(G81="X",S85,R85)</f>
        <v>0</v>
      </c>
      <c r="L85" s="3"/>
      <c r="M85" s="3"/>
      <c r="N85" s="3"/>
      <c r="O85" s="17"/>
      <c r="P85" s="32">
        <f ca="1">IF(E6=0,0,D12/E3/H83)</f>
        <v>0</v>
      </c>
      <c r="Q85" s="32">
        <f ca="1">IF(E6=0,0,ROUNDUP(D12/E3/H83,0))</f>
        <v>0</v>
      </c>
      <c r="R85" s="32">
        <f ca="1">J85*(1.2^$E$3)</f>
        <v>0</v>
      </c>
      <c r="S85" s="32">
        <f ca="1">ROUNDUP(J85*(1.2^$E$3),0)</f>
        <v>0</v>
      </c>
      <c r="BO85">
        <f t="shared" ca="1" si="145"/>
        <v>0</v>
      </c>
      <c r="BP85">
        <f t="shared" ca="1" si="57"/>
        <v>0</v>
      </c>
      <c r="BR85" s="2051"/>
      <c r="BS85" s="32">
        <v>14</v>
      </c>
      <c r="BT85" s="470">
        <f t="shared" ca="1" si="81"/>
        <v>0</v>
      </c>
      <c r="BU85" s="387">
        <f t="shared" ca="1" si="58"/>
        <v>0</v>
      </c>
      <c r="BV85" s="32">
        <f ca="1">BV38</f>
        <v>0</v>
      </c>
      <c r="BW85" s="32">
        <f ca="1">BV59</f>
        <v>0</v>
      </c>
      <c r="BX85" s="7">
        <f t="shared" ca="1" si="59"/>
        <v>0</v>
      </c>
      <c r="BY85" s="7">
        <f t="shared" ca="1" si="84"/>
        <v>0</v>
      </c>
      <c r="BZ85" s="7">
        <f t="shared" ca="1" si="85"/>
        <v>0</v>
      </c>
      <c r="CA85" s="7">
        <f t="shared" ca="1" si="86"/>
        <v>0</v>
      </c>
      <c r="CB85" s="32">
        <f t="shared" ca="1" si="62"/>
        <v>0</v>
      </c>
      <c r="CC85" s="32">
        <f t="shared" ca="1" si="138"/>
        <v>0</v>
      </c>
      <c r="CD85" s="32">
        <f t="shared" ca="1" si="139"/>
        <v>0</v>
      </c>
      <c r="CE85" s="9">
        <f t="shared" ca="1" si="140"/>
        <v>0</v>
      </c>
      <c r="CF85" s="711">
        <f t="shared" ca="1" si="63"/>
        <v>0</v>
      </c>
      <c r="CG85" s="553">
        <f t="shared" ca="1" si="87"/>
        <v>0</v>
      </c>
      <c r="CH85" s="540">
        <f t="shared" ca="1" si="64"/>
        <v>0</v>
      </c>
      <c r="CI85" s="539"/>
      <c r="CJ85" s="539">
        <f t="shared" ca="1" si="88"/>
        <v>0</v>
      </c>
      <c r="CK85" s="539">
        <f t="shared" ca="1" si="89"/>
        <v>0</v>
      </c>
      <c r="CL85" s="539">
        <f t="shared" ca="1" si="47"/>
        <v>0</v>
      </c>
      <c r="CM85" s="539">
        <f t="shared" ca="1" si="90"/>
        <v>0</v>
      </c>
      <c r="CN85" s="539">
        <f t="shared" si="91"/>
        <v>4</v>
      </c>
      <c r="CO85" s="7">
        <f t="shared" ca="1" si="48"/>
        <v>0</v>
      </c>
      <c r="CP85" s="539">
        <f t="shared" ca="1" si="146"/>
        <v>0</v>
      </c>
      <c r="CQ85" s="539">
        <f t="shared" ca="1" si="92"/>
        <v>0</v>
      </c>
      <c r="CR85" s="539">
        <f t="shared" ca="1" si="93"/>
        <v>0</v>
      </c>
      <c r="CS85" s="539">
        <f t="shared" si="94"/>
        <v>4</v>
      </c>
      <c r="CT85" s="539">
        <f t="shared" ca="1" si="95"/>
        <v>0</v>
      </c>
      <c r="CU85" s="539">
        <f t="shared" ca="1" si="96"/>
        <v>0</v>
      </c>
      <c r="CV85" s="32">
        <f t="shared" ca="1" si="97"/>
        <v>0</v>
      </c>
      <c r="CW85" s="32">
        <f t="shared" ca="1" si="98"/>
        <v>0</v>
      </c>
      <c r="CX85" s="32">
        <f t="shared" ca="1" si="148"/>
        <v>0</v>
      </c>
      <c r="CY85" s="555">
        <f t="shared" ca="1" si="149"/>
        <v>0</v>
      </c>
      <c r="CZ85" s="553">
        <f t="shared" ca="1" si="99"/>
        <v>0</v>
      </c>
      <c r="DA85" s="540">
        <f t="shared" ca="1" si="160"/>
        <v>0</v>
      </c>
      <c r="DB85" s="539"/>
      <c r="DC85" s="539">
        <f t="shared" ca="1" si="100"/>
        <v>0</v>
      </c>
      <c r="DD85" s="539">
        <f t="shared" ca="1" si="101"/>
        <v>0</v>
      </c>
      <c r="DE85" s="539">
        <f t="shared" ca="1" si="49"/>
        <v>0</v>
      </c>
      <c r="DF85" s="539">
        <f t="shared" ca="1" si="102"/>
        <v>0</v>
      </c>
      <c r="DG85" s="539">
        <f t="shared" si="103"/>
        <v>4</v>
      </c>
      <c r="DH85" s="7">
        <f t="shared" ca="1" si="50"/>
        <v>0</v>
      </c>
      <c r="DI85" s="539">
        <f t="shared" ca="1" si="141"/>
        <v>0</v>
      </c>
      <c r="DJ85" s="539">
        <f t="shared" ca="1" si="147"/>
        <v>0</v>
      </c>
      <c r="DK85" s="539">
        <f t="shared" ca="1" si="142"/>
        <v>0</v>
      </c>
      <c r="DL85" s="539">
        <f t="shared" si="104"/>
        <v>4</v>
      </c>
      <c r="DM85" s="539">
        <f t="shared" ca="1" si="105"/>
        <v>0</v>
      </c>
      <c r="DN85" s="539">
        <f t="shared" ca="1" si="143"/>
        <v>0</v>
      </c>
      <c r="DO85" s="32">
        <f t="shared" ca="1" si="158"/>
        <v>0</v>
      </c>
      <c r="DP85" s="32">
        <f t="shared" ca="1" si="159"/>
        <v>0</v>
      </c>
      <c r="DQ85" s="32">
        <f t="shared" ca="1" si="150"/>
        <v>0</v>
      </c>
      <c r="DR85" s="555">
        <f t="shared" ca="1" si="151"/>
        <v>0</v>
      </c>
      <c r="DS85" s="553">
        <f t="shared" ca="1" si="106"/>
        <v>0</v>
      </c>
      <c r="DT85" s="540">
        <f t="shared" ca="1" si="66"/>
        <v>0</v>
      </c>
      <c r="DU85" s="539"/>
      <c r="DV85" s="539">
        <f t="shared" ca="1" si="107"/>
        <v>0</v>
      </c>
      <c r="DW85" s="539">
        <f t="shared" ca="1" si="108"/>
        <v>0</v>
      </c>
      <c r="DX85" s="539">
        <f t="shared" ca="1" si="51"/>
        <v>0</v>
      </c>
      <c r="DY85" s="539">
        <f t="shared" ca="1" si="67"/>
        <v>0</v>
      </c>
      <c r="DZ85" s="539">
        <f t="shared" si="109"/>
        <v>4</v>
      </c>
      <c r="EA85" s="7">
        <f t="shared" ca="1" si="52"/>
        <v>0</v>
      </c>
      <c r="EB85" s="539">
        <f t="shared" ca="1" si="68"/>
        <v>0</v>
      </c>
      <c r="EC85" s="539">
        <f t="shared" ca="1" si="110"/>
        <v>0</v>
      </c>
      <c r="ED85" s="539">
        <f t="shared" ca="1" si="69"/>
        <v>0</v>
      </c>
      <c r="EE85" s="539">
        <f t="shared" si="111"/>
        <v>4</v>
      </c>
      <c r="EF85" s="539">
        <f t="shared" ca="1" si="70"/>
        <v>0</v>
      </c>
      <c r="EG85" s="539">
        <f t="shared" ca="1" si="112"/>
        <v>0</v>
      </c>
      <c r="EH85" s="32">
        <f t="shared" ca="1" si="113"/>
        <v>0</v>
      </c>
      <c r="EI85" s="32">
        <f t="shared" ca="1" si="114"/>
        <v>0</v>
      </c>
      <c r="EJ85" s="32">
        <f t="shared" ca="1" si="152"/>
        <v>0</v>
      </c>
      <c r="EK85" s="555">
        <f t="shared" ca="1" si="153"/>
        <v>0</v>
      </c>
      <c r="EL85" s="553">
        <f t="shared" ca="1" si="115"/>
        <v>0</v>
      </c>
      <c r="EM85" s="540">
        <f t="shared" ca="1" si="71"/>
        <v>0</v>
      </c>
      <c r="EN85" s="539"/>
      <c r="EO85" s="539">
        <f t="shared" ca="1" si="116"/>
        <v>0</v>
      </c>
      <c r="EP85" s="539">
        <f t="shared" ca="1" si="117"/>
        <v>0</v>
      </c>
      <c r="EQ85" s="539">
        <f t="shared" ca="1" si="53"/>
        <v>0</v>
      </c>
      <c r="ER85" s="539">
        <f t="shared" ca="1" si="72"/>
        <v>0</v>
      </c>
      <c r="ES85" s="539">
        <f t="shared" si="118"/>
        <v>4</v>
      </c>
      <c r="ET85" s="7">
        <f t="shared" ca="1" si="54"/>
        <v>0</v>
      </c>
      <c r="EU85" s="539">
        <f t="shared" ca="1" si="73"/>
        <v>0</v>
      </c>
      <c r="EV85" s="539">
        <f t="shared" ca="1" si="119"/>
        <v>0</v>
      </c>
      <c r="EW85" s="539">
        <f t="shared" ca="1" si="74"/>
        <v>0</v>
      </c>
      <c r="EX85" s="539">
        <f t="shared" si="120"/>
        <v>4</v>
      </c>
      <c r="EY85" s="539">
        <f t="shared" ca="1" si="75"/>
        <v>0</v>
      </c>
      <c r="EZ85" s="539">
        <f t="shared" ca="1" si="121"/>
        <v>0</v>
      </c>
      <c r="FA85" s="32">
        <f t="shared" ca="1" si="122"/>
        <v>0</v>
      </c>
      <c r="FB85" s="32">
        <f t="shared" ca="1" si="123"/>
        <v>0</v>
      </c>
      <c r="FC85" s="32">
        <f t="shared" ca="1" si="154"/>
        <v>0</v>
      </c>
      <c r="FD85" s="555">
        <f t="shared" ca="1" si="155"/>
        <v>0</v>
      </c>
      <c r="FE85" s="553">
        <f t="shared" ca="1" si="124"/>
        <v>0</v>
      </c>
      <c r="FF85" s="540">
        <f t="shared" ca="1" si="76"/>
        <v>0</v>
      </c>
      <c r="FG85" s="539"/>
      <c r="FH85" s="539">
        <f t="shared" ca="1" si="125"/>
        <v>0</v>
      </c>
      <c r="FI85" s="539">
        <f t="shared" ca="1" si="126"/>
        <v>0</v>
      </c>
      <c r="FJ85" s="539">
        <f t="shared" ca="1" si="55"/>
        <v>0</v>
      </c>
      <c r="FK85" s="539">
        <f t="shared" ca="1" si="77"/>
        <v>0</v>
      </c>
      <c r="FL85" s="539">
        <f t="shared" si="127"/>
        <v>4</v>
      </c>
      <c r="FM85" s="7">
        <f t="shared" ca="1" si="56"/>
        <v>0</v>
      </c>
      <c r="FN85" s="539">
        <f t="shared" ca="1" si="78"/>
        <v>0</v>
      </c>
      <c r="FO85" s="539">
        <f t="shared" ca="1" si="128"/>
        <v>0</v>
      </c>
      <c r="FP85" s="539">
        <f t="shared" ca="1" si="79"/>
        <v>0</v>
      </c>
      <c r="FQ85" s="539">
        <f t="shared" si="129"/>
        <v>4</v>
      </c>
      <c r="FR85" s="539">
        <f t="shared" ca="1" si="80"/>
        <v>0</v>
      </c>
      <c r="FS85" s="539">
        <f t="shared" ca="1" si="130"/>
        <v>0</v>
      </c>
      <c r="FT85" s="32">
        <f t="shared" ca="1" si="131"/>
        <v>0</v>
      </c>
      <c r="FU85" s="32">
        <f t="shared" ca="1" si="132"/>
        <v>0</v>
      </c>
      <c r="FV85" s="32">
        <f t="shared" ca="1" si="156"/>
        <v>0</v>
      </c>
      <c r="FW85" s="555">
        <f t="shared" ca="1" si="157"/>
        <v>0</v>
      </c>
      <c r="FX85">
        <f t="shared" ca="1" si="133"/>
        <v>0</v>
      </c>
      <c r="FY85" s="7">
        <f t="shared" ca="1" si="134"/>
        <v>0</v>
      </c>
      <c r="FZ85" s="7">
        <f t="shared" ca="1" si="144"/>
        <v>0</v>
      </c>
      <c r="GA85" s="7">
        <f t="shared" ca="1" si="135"/>
        <v>0</v>
      </c>
      <c r="GB85" s="7">
        <f t="shared" ca="1" si="136"/>
        <v>0</v>
      </c>
      <c r="GC85" s="7">
        <f t="shared" ca="1" si="137"/>
        <v>0</v>
      </c>
      <c r="GD85" s="627" t="s">
        <v>2325</v>
      </c>
    </row>
    <row r="86" spans="2:186" ht="13.15" thickBot="1" x14ac:dyDescent="0.4">
      <c r="BO86">
        <f t="shared" ca="1" si="145"/>
        <v>0</v>
      </c>
      <c r="BP86">
        <f t="shared" ca="1" si="57"/>
        <v>0</v>
      </c>
      <c r="BR86" s="2051"/>
      <c r="BS86" s="32">
        <v>15</v>
      </c>
      <c r="BT86" s="470">
        <f t="shared" ca="1" si="81"/>
        <v>0</v>
      </c>
      <c r="BU86" s="387">
        <f t="shared" ca="1" si="58"/>
        <v>0</v>
      </c>
      <c r="BV86" s="32">
        <f ca="1">BV39</f>
        <v>0</v>
      </c>
      <c r="BW86" s="32">
        <f ca="1">BV60</f>
        <v>0</v>
      </c>
      <c r="BX86" s="7">
        <f t="shared" ca="1" si="59"/>
        <v>0</v>
      </c>
      <c r="BY86" s="7">
        <f t="shared" ca="1" si="84"/>
        <v>0</v>
      </c>
      <c r="BZ86" s="7">
        <f t="shared" ca="1" si="85"/>
        <v>0</v>
      </c>
      <c r="CA86" s="7">
        <f t="shared" ca="1" si="86"/>
        <v>0</v>
      </c>
      <c r="CB86" s="32">
        <f t="shared" ca="1" si="62"/>
        <v>0</v>
      </c>
      <c r="CC86" s="32">
        <f t="shared" ca="1" si="138"/>
        <v>0</v>
      </c>
      <c r="CD86" s="32">
        <f t="shared" ca="1" si="139"/>
        <v>0</v>
      </c>
      <c r="CE86" s="9">
        <f t="shared" ca="1" si="140"/>
        <v>0</v>
      </c>
      <c r="CF86" s="711">
        <f t="shared" ca="1" si="63"/>
        <v>0</v>
      </c>
      <c r="CG86" s="553">
        <f t="shared" ca="1" si="87"/>
        <v>0</v>
      </c>
      <c r="CH86" s="540">
        <f t="shared" ca="1" si="64"/>
        <v>0</v>
      </c>
      <c r="CI86" s="539"/>
      <c r="CJ86" s="539">
        <f t="shared" ca="1" si="88"/>
        <v>0</v>
      </c>
      <c r="CK86" s="539">
        <f t="shared" ca="1" si="89"/>
        <v>0</v>
      </c>
      <c r="CL86" s="539">
        <f t="shared" ca="1" si="47"/>
        <v>0</v>
      </c>
      <c r="CM86" s="539">
        <f t="shared" ca="1" si="90"/>
        <v>0</v>
      </c>
      <c r="CN86" s="539">
        <f t="shared" si="91"/>
        <v>4</v>
      </c>
      <c r="CO86" s="7">
        <f t="shared" ca="1" si="48"/>
        <v>0</v>
      </c>
      <c r="CP86" s="539" t="e">
        <f t="shared" ca="1" si="146"/>
        <v>#DIV/0!</v>
      </c>
      <c r="CQ86" s="539">
        <f t="shared" ca="1" si="92"/>
        <v>0</v>
      </c>
      <c r="CR86" s="539">
        <f t="shared" ca="1" si="93"/>
        <v>0</v>
      </c>
      <c r="CS86" s="539">
        <f t="shared" si="94"/>
        <v>4</v>
      </c>
      <c r="CT86" s="539" t="e">
        <f ca="1">IF($CW$66-$BU85&gt;=$BU86,ROUNDDOWN(($CW$66-$BU85)/$BU86,0),0)</f>
        <v>#DIV/0!</v>
      </c>
      <c r="CU86" s="539">
        <f t="shared" ca="1" si="96"/>
        <v>0</v>
      </c>
      <c r="CV86" s="32">
        <f t="shared" ca="1" si="97"/>
        <v>0</v>
      </c>
      <c r="CW86" s="32">
        <f t="shared" ca="1" si="98"/>
        <v>0</v>
      </c>
      <c r="CX86" s="32">
        <f t="shared" ca="1" si="148"/>
        <v>0</v>
      </c>
      <c r="CY86" s="555">
        <f t="shared" ca="1" si="149"/>
        <v>0</v>
      </c>
      <c r="CZ86" s="553">
        <f t="shared" ca="1" si="99"/>
        <v>0</v>
      </c>
      <c r="DA86" s="540">
        <f t="shared" ca="1" si="160"/>
        <v>0</v>
      </c>
      <c r="DB86" s="539"/>
      <c r="DC86" s="539">
        <f t="shared" ca="1" si="100"/>
        <v>0</v>
      </c>
      <c r="DD86" s="539">
        <f t="shared" ca="1" si="101"/>
        <v>0</v>
      </c>
      <c r="DE86" s="539">
        <f t="shared" ca="1" si="49"/>
        <v>0</v>
      </c>
      <c r="DF86" s="539">
        <f t="shared" ca="1" si="102"/>
        <v>0</v>
      </c>
      <c r="DG86" s="539">
        <f t="shared" si="103"/>
        <v>4</v>
      </c>
      <c r="DH86" s="7">
        <f t="shared" ca="1" si="50"/>
        <v>0</v>
      </c>
      <c r="DI86" s="539">
        <f t="shared" ca="1" si="141"/>
        <v>0</v>
      </c>
      <c r="DJ86" s="539">
        <f t="shared" ca="1" si="147"/>
        <v>0</v>
      </c>
      <c r="DK86" s="539">
        <f t="shared" ca="1" si="142"/>
        <v>0</v>
      </c>
      <c r="DL86" s="539">
        <f t="shared" si="104"/>
        <v>4</v>
      </c>
      <c r="DM86" s="539">
        <f t="shared" ca="1" si="105"/>
        <v>0</v>
      </c>
      <c r="DN86" s="539">
        <f t="shared" ca="1" si="143"/>
        <v>0</v>
      </c>
      <c r="DO86" s="32">
        <f t="shared" ca="1" si="158"/>
        <v>0</v>
      </c>
      <c r="DP86" s="32">
        <f t="shared" ca="1" si="159"/>
        <v>0</v>
      </c>
      <c r="DQ86" s="32">
        <f t="shared" ca="1" si="150"/>
        <v>0</v>
      </c>
      <c r="DR86" s="555">
        <f t="shared" ca="1" si="151"/>
        <v>0</v>
      </c>
      <c r="DS86" s="553">
        <f t="shared" ca="1" si="106"/>
        <v>0</v>
      </c>
      <c r="DT86" s="540">
        <f t="shared" ca="1" si="66"/>
        <v>0</v>
      </c>
      <c r="DU86" s="539"/>
      <c r="DV86" s="539">
        <f t="shared" ca="1" si="107"/>
        <v>0</v>
      </c>
      <c r="DW86" s="539">
        <f t="shared" ca="1" si="108"/>
        <v>0</v>
      </c>
      <c r="DX86" s="539">
        <f t="shared" ca="1" si="51"/>
        <v>0</v>
      </c>
      <c r="DY86" s="539">
        <f t="shared" ca="1" si="67"/>
        <v>0</v>
      </c>
      <c r="DZ86" s="539">
        <f t="shared" si="109"/>
        <v>4</v>
      </c>
      <c r="EA86" s="7">
        <f t="shared" ca="1" si="52"/>
        <v>0</v>
      </c>
      <c r="EB86" s="539">
        <f t="shared" ca="1" si="68"/>
        <v>0</v>
      </c>
      <c r="EC86" s="539">
        <f t="shared" ca="1" si="110"/>
        <v>0</v>
      </c>
      <c r="ED86" s="539">
        <f t="shared" ca="1" si="69"/>
        <v>0</v>
      </c>
      <c r="EE86" s="539">
        <f t="shared" si="111"/>
        <v>4</v>
      </c>
      <c r="EF86" s="539">
        <f t="shared" ca="1" si="70"/>
        <v>0</v>
      </c>
      <c r="EG86" s="539">
        <f t="shared" ca="1" si="112"/>
        <v>0</v>
      </c>
      <c r="EH86" s="32">
        <f t="shared" ca="1" si="113"/>
        <v>0</v>
      </c>
      <c r="EI86" s="32">
        <f t="shared" ca="1" si="114"/>
        <v>0</v>
      </c>
      <c r="EJ86" s="32">
        <f t="shared" ca="1" si="152"/>
        <v>0</v>
      </c>
      <c r="EK86" s="555">
        <f t="shared" ca="1" si="153"/>
        <v>0</v>
      </c>
      <c r="EL86" s="553">
        <f t="shared" ca="1" si="115"/>
        <v>0</v>
      </c>
      <c r="EM86" s="540">
        <f t="shared" ca="1" si="71"/>
        <v>0</v>
      </c>
      <c r="EN86" s="539"/>
      <c r="EO86" s="539">
        <f t="shared" ca="1" si="116"/>
        <v>0</v>
      </c>
      <c r="EP86" s="539">
        <f t="shared" ca="1" si="117"/>
        <v>0</v>
      </c>
      <c r="EQ86" s="539">
        <f t="shared" ca="1" si="53"/>
        <v>0</v>
      </c>
      <c r="ER86" s="539">
        <f t="shared" ca="1" si="72"/>
        <v>0</v>
      </c>
      <c r="ES86" s="539">
        <f t="shared" si="118"/>
        <v>4</v>
      </c>
      <c r="ET86" s="7">
        <f t="shared" ca="1" si="54"/>
        <v>0</v>
      </c>
      <c r="EU86" s="539">
        <f t="shared" ca="1" si="73"/>
        <v>0</v>
      </c>
      <c r="EV86" s="539">
        <f t="shared" ca="1" si="119"/>
        <v>0</v>
      </c>
      <c r="EW86" s="539">
        <f t="shared" ca="1" si="74"/>
        <v>0</v>
      </c>
      <c r="EX86" s="539">
        <f t="shared" si="120"/>
        <v>4</v>
      </c>
      <c r="EY86" s="539">
        <f t="shared" ca="1" si="75"/>
        <v>0</v>
      </c>
      <c r="EZ86" s="539">
        <f t="shared" ca="1" si="121"/>
        <v>0</v>
      </c>
      <c r="FA86" s="32">
        <f t="shared" ca="1" si="122"/>
        <v>0</v>
      </c>
      <c r="FB86" s="32">
        <f t="shared" ca="1" si="123"/>
        <v>0</v>
      </c>
      <c r="FC86" s="32">
        <f t="shared" ca="1" si="154"/>
        <v>0</v>
      </c>
      <c r="FD86" s="555">
        <f t="shared" ca="1" si="155"/>
        <v>0</v>
      </c>
      <c r="FE86" s="553">
        <f t="shared" ca="1" si="124"/>
        <v>0</v>
      </c>
      <c r="FF86" s="540">
        <f t="shared" ca="1" si="76"/>
        <v>0</v>
      </c>
      <c r="FG86" s="539"/>
      <c r="FH86" s="539">
        <f t="shared" ca="1" si="125"/>
        <v>0</v>
      </c>
      <c r="FI86" s="539">
        <f t="shared" ca="1" si="126"/>
        <v>0</v>
      </c>
      <c r="FJ86" s="539">
        <f t="shared" ca="1" si="55"/>
        <v>0</v>
      </c>
      <c r="FK86" s="539">
        <f t="shared" ca="1" si="77"/>
        <v>0</v>
      </c>
      <c r="FL86" s="539">
        <f t="shared" si="127"/>
        <v>4</v>
      </c>
      <c r="FM86" s="7">
        <f t="shared" ca="1" si="56"/>
        <v>0</v>
      </c>
      <c r="FN86" s="539">
        <f t="shared" ca="1" si="78"/>
        <v>0</v>
      </c>
      <c r="FO86" s="539">
        <f t="shared" ca="1" si="128"/>
        <v>0</v>
      </c>
      <c r="FP86" s="539">
        <f t="shared" ca="1" si="79"/>
        <v>0</v>
      </c>
      <c r="FQ86" s="539">
        <f t="shared" si="129"/>
        <v>4</v>
      </c>
      <c r="FR86" s="539">
        <f t="shared" ca="1" si="80"/>
        <v>0</v>
      </c>
      <c r="FS86" s="539">
        <f t="shared" ca="1" si="130"/>
        <v>0</v>
      </c>
      <c r="FT86" s="32">
        <f t="shared" ca="1" si="131"/>
        <v>0</v>
      </c>
      <c r="FU86" s="32">
        <f t="shared" ca="1" si="132"/>
        <v>0</v>
      </c>
      <c r="FV86" s="32">
        <f t="shared" ca="1" si="156"/>
        <v>0</v>
      </c>
      <c r="FW86" s="555">
        <f t="shared" ca="1" si="157"/>
        <v>0</v>
      </c>
      <c r="FX86">
        <f t="shared" ca="1" si="133"/>
        <v>0</v>
      </c>
      <c r="FY86" s="7">
        <f t="shared" ca="1" si="134"/>
        <v>0</v>
      </c>
      <c r="FZ86" s="7">
        <f t="shared" ca="1" si="144"/>
        <v>0</v>
      </c>
      <c r="GA86" s="7">
        <f t="shared" ca="1" si="135"/>
        <v>0</v>
      </c>
      <c r="GB86" s="7">
        <f ca="1">IF(AND(FB86=0,ET86=0),ET85,0)</f>
        <v>0</v>
      </c>
      <c r="GC86" s="7">
        <f t="shared" ca="1" si="137"/>
        <v>0</v>
      </c>
      <c r="GD86" s="627" t="s">
        <v>2326</v>
      </c>
    </row>
    <row r="87" spans="2:186" ht="13.15" thickBot="1" x14ac:dyDescent="0.4">
      <c r="B87" t="s">
        <v>2327</v>
      </c>
      <c r="BR87" s="427" t="s">
        <v>1485</v>
      </c>
      <c r="BS87" s="32"/>
      <c r="BT87" s="275">
        <f ca="1">SUM(BT71:BT86)</f>
        <v>0</v>
      </c>
      <c r="BU87" s="689">
        <f ca="1">IF(SUM(BO71:BO86)&lt;=1,0,(SUM(BU71:BU85)+SUM(BP71:BP86))/SUM(BO71:BO86))</f>
        <v>0</v>
      </c>
      <c r="BV87" s="6"/>
      <c r="BW87" s="32"/>
      <c r="BX87" s="250"/>
      <c r="BY87" s="7">
        <f ca="1">SUM(BY71:BY86)</f>
        <v>0</v>
      </c>
      <c r="BZ87" s="7">
        <f ca="1">SUM(BZ71:BZ86)</f>
        <v>0</v>
      </c>
      <c r="CA87" s="7">
        <f ca="1">SUM(CA71:CA86)</f>
        <v>0</v>
      </c>
      <c r="CB87" s="7"/>
      <c r="CC87" s="7">
        <f ca="1">SUM(CC71:CC86)</f>
        <v>0</v>
      </c>
      <c r="CD87" s="7"/>
      <c r="CE87" s="275">
        <f ca="1">SUM(CE71:CE86)</f>
        <v>0</v>
      </c>
      <c r="CG87" s="518" t="str">
        <f>AD150</f>
        <v>total</v>
      </c>
      <c r="CH87" s="538"/>
      <c r="CI87" s="538"/>
      <c r="CJ87" s="538"/>
      <c r="CK87" s="538"/>
      <c r="CL87" s="538"/>
      <c r="CM87" s="538">
        <f t="shared" ca="1" si="90"/>
        <v>0</v>
      </c>
      <c r="CN87" s="538"/>
      <c r="CO87" s="519"/>
      <c r="CP87" s="519"/>
      <c r="CQ87" s="519"/>
      <c r="CR87" s="519">
        <f t="shared" ca="1" si="93"/>
        <v>0</v>
      </c>
      <c r="CS87" s="519"/>
      <c r="CT87" s="519"/>
      <c r="CU87" s="519"/>
      <c r="CV87" s="519"/>
      <c r="CW87" s="519"/>
      <c r="CX87" s="557">
        <f ca="1">SUM(CX71:CX86)</f>
        <v>0</v>
      </c>
      <c r="CY87" s="556">
        <f ca="1">SUM(CY71:CY86)</f>
        <v>0</v>
      </c>
      <c r="CZ87" s="518"/>
      <c r="DA87" s="538"/>
      <c r="DB87" s="538"/>
      <c r="DC87" s="538"/>
      <c r="DD87" s="538"/>
      <c r="DE87" s="538"/>
      <c r="DF87" s="538">
        <f t="shared" ca="1" si="102"/>
        <v>0</v>
      </c>
      <c r="DG87" s="538"/>
      <c r="DH87" s="519"/>
      <c r="DI87" s="519"/>
      <c r="DJ87" s="519"/>
      <c r="DK87" s="519">
        <f t="shared" ca="1" si="142"/>
        <v>0</v>
      </c>
      <c r="DL87" s="519"/>
      <c r="DM87" s="519"/>
      <c r="DN87" s="519"/>
      <c r="DO87" s="519"/>
      <c r="DP87" s="519"/>
      <c r="DQ87" s="557">
        <f ca="1">SUM(DQ71:DQ86)</f>
        <v>0</v>
      </c>
      <c r="DR87" s="556">
        <f ca="1">SUM(DR71:DR86)</f>
        <v>0</v>
      </c>
      <c r="DS87" s="518"/>
      <c r="DT87" s="538"/>
      <c r="DU87" s="538"/>
      <c r="DV87" s="538"/>
      <c r="DW87" s="538"/>
      <c r="DX87" s="538"/>
      <c r="DY87" s="538">
        <f t="shared" ca="1" si="67"/>
        <v>0</v>
      </c>
      <c r="DZ87" s="538"/>
      <c r="EA87" s="519"/>
      <c r="EB87" s="519"/>
      <c r="EC87" s="519"/>
      <c r="ED87" s="519">
        <f t="shared" ca="1" si="69"/>
        <v>0</v>
      </c>
      <c r="EE87" s="519"/>
      <c r="EF87" s="519"/>
      <c r="EG87" s="519"/>
      <c r="EH87" s="519"/>
      <c r="EI87" s="519"/>
      <c r="EJ87" s="557">
        <f ca="1">SUM(EJ71:EJ86)</f>
        <v>0</v>
      </c>
      <c r="EK87" s="556">
        <f ca="1">SUM(EK71:EK86)</f>
        <v>0</v>
      </c>
      <c r="EL87" s="518"/>
      <c r="EM87" s="538"/>
      <c r="EN87" s="538"/>
      <c r="EO87" s="538"/>
      <c r="EP87" s="538"/>
      <c r="EQ87" s="538"/>
      <c r="ER87" s="538">
        <f t="shared" ca="1" si="72"/>
        <v>0</v>
      </c>
      <c r="ES87" s="538"/>
      <c r="ET87" s="519"/>
      <c r="EU87" s="519"/>
      <c r="EV87" s="519"/>
      <c r="EW87" s="519">
        <f t="shared" ca="1" si="74"/>
        <v>0</v>
      </c>
      <c r="EX87" s="519"/>
      <c r="EY87" s="519"/>
      <c r="EZ87" s="519"/>
      <c r="FA87" s="519"/>
      <c r="FB87" s="519"/>
      <c r="FC87" s="557">
        <f ca="1">SUM(FC71:FC86)</f>
        <v>0</v>
      </c>
      <c r="FD87" s="556">
        <f ca="1">SUM(FD71:FD86)</f>
        <v>0</v>
      </c>
      <c r="FE87" s="518"/>
      <c r="FF87" s="538"/>
      <c r="FG87" s="538"/>
      <c r="FH87" s="538"/>
      <c r="FI87" s="538"/>
      <c r="FJ87" s="538"/>
      <c r="FK87" s="538">
        <f t="shared" ca="1" si="77"/>
        <v>0</v>
      </c>
      <c r="FL87" s="538"/>
      <c r="FM87" s="519"/>
      <c r="FN87" s="519"/>
      <c r="FO87" s="519"/>
      <c r="FP87" s="519">
        <f t="shared" ca="1" si="79"/>
        <v>0</v>
      </c>
      <c r="FQ87" s="519"/>
      <c r="FR87" s="519"/>
      <c r="FS87" s="519"/>
      <c r="FT87" s="519"/>
      <c r="FU87" s="519"/>
      <c r="FV87" s="557">
        <f ca="1">SUM(FV71:FV86)</f>
        <v>0</v>
      </c>
      <c r="FW87" s="556">
        <f ca="1">SUM(FW71:FW86)</f>
        <v>0</v>
      </c>
      <c r="FY87" s="572">
        <f ca="1">LARGE(FY72:FY86,1)</f>
        <v>0</v>
      </c>
      <c r="FZ87" s="570">
        <f ca="1">LARGE(FZ72:FZ86,1)</f>
        <v>0</v>
      </c>
      <c r="GA87" s="570">
        <f ca="1">LARGE(GA72:GA86,1)</f>
        <v>0</v>
      </c>
      <c r="GB87" s="570">
        <f ca="1">LARGE(GB72:GB86,1)</f>
        <v>0</v>
      </c>
      <c r="GC87" s="571">
        <f ca="1">LARGE(GC72:GC86,1)</f>
        <v>0</v>
      </c>
    </row>
    <row r="88" spans="2:186" ht="13.15" thickBot="1" x14ac:dyDescent="0.4">
      <c r="C88" t="s">
        <v>2328</v>
      </c>
      <c r="H88" s="4">
        <f>ENTRADAS!F963</f>
        <v>12</v>
      </c>
      <c r="I88" t="s">
        <v>1802</v>
      </c>
      <c r="BU88" s="690" t="s">
        <v>2329</v>
      </c>
      <c r="FY88" s="2120" t="s">
        <v>2330</v>
      </c>
      <c r="FZ88" s="2120" t="s">
        <v>2330</v>
      </c>
      <c r="GA88" s="2120" t="s">
        <v>2330</v>
      </c>
      <c r="GB88" s="2120" t="s">
        <v>2330</v>
      </c>
      <c r="GC88" s="2120" t="s">
        <v>2330</v>
      </c>
    </row>
    <row r="89" spans="2:186" ht="14.1" customHeight="1" x14ac:dyDescent="0.35">
      <c r="J89" s="433" t="s">
        <v>2321</v>
      </c>
      <c r="K89" s="13" t="s">
        <v>2322</v>
      </c>
      <c r="L89" s="14"/>
      <c r="M89" s="14"/>
      <c r="N89" s="14"/>
      <c r="O89" s="15"/>
      <c r="CA89" s="2146" t="s">
        <v>2331</v>
      </c>
      <c r="CB89" s="2149" t="s">
        <v>2276</v>
      </c>
      <c r="CC89" s="2142" t="s">
        <v>2332</v>
      </c>
      <c r="CD89" s="2142" t="s">
        <v>2333</v>
      </c>
      <c r="CE89" s="2142" t="s">
        <v>2334</v>
      </c>
      <c r="CF89" s="2120" t="s">
        <v>2335</v>
      </c>
      <c r="CG89" s="2120" t="s">
        <v>2336</v>
      </c>
      <c r="CH89" s="2130" t="s">
        <v>2337</v>
      </c>
      <c r="CI89" s="2120" t="s">
        <v>2338</v>
      </c>
      <c r="CK89" s="1318" t="s">
        <v>2339</v>
      </c>
      <c r="CL89" s="1319"/>
      <c r="CM89" s="1319"/>
      <c r="CN89" s="1319"/>
      <c r="CO89" s="1319"/>
      <c r="CP89" s="1319"/>
      <c r="CQ89" s="1400"/>
      <c r="CS89" s="1446" t="s">
        <v>2340</v>
      </c>
      <c r="CT89" s="1446" t="s">
        <v>2341</v>
      </c>
      <c r="CU89" s="1318" t="s">
        <v>2342</v>
      </c>
      <c r="CV89" s="1319"/>
      <c r="CW89" s="1319"/>
      <c r="CX89" s="1319"/>
      <c r="CY89" s="1319"/>
      <c r="CZ89" s="1400"/>
      <c r="DB89" s="1446" t="s">
        <v>2340</v>
      </c>
      <c r="DC89" s="1446" t="s">
        <v>2343</v>
      </c>
      <c r="DD89" s="1352" t="s">
        <v>2344</v>
      </c>
      <c r="DE89" s="1352"/>
      <c r="DF89" s="1352"/>
      <c r="DG89" s="1352"/>
      <c r="DH89" s="1352"/>
      <c r="DI89" s="1352"/>
      <c r="DJ89" s="1446" t="s">
        <v>2345</v>
      </c>
      <c r="DK89" s="2074" t="s">
        <v>2346</v>
      </c>
      <c r="DM89" s="2074" t="s">
        <v>2347</v>
      </c>
      <c r="DN89" s="2074" t="s">
        <v>2348</v>
      </c>
      <c r="FY89" s="2121"/>
      <c r="FZ89" s="2121"/>
      <c r="GA89" s="2121"/>
      <c r="GB89" s="2121"/>
      <c r="GC89" s="2121"/>
    </row>
    <row r="90" spans="2:186" ht="14.1" customHeight="1" x14ac:dyDescent="0.35">
      <c r="C90" t="s">
        <v>2349</v>
      </c>
      <c r="H90">
        <f ca="1">IF(D29=0,0,IF(E5&lt;=30.15,0.5,IF($E$3=1,J90,IF(E6=0,0,K90))))</f>
        <v>0</v>
      </c>
      <c r="I90" t="str">
        <f ca="1">IF(H90=1,"dia","dias")</f>
        <v>dias</v>
      </c>
      <c r="J90" s="386">
        <f ca="1">IF(E6=0,0,IF(G81="X",Q90,P90))</f>
        <v>0</v>
      </c>
      <c r="K90" s="18">
        <f ca="1">IF(G81="X",S90,R90)</f>
        <v>0</v>
      </c>
      <c r="L90" s="3"/>
      <c r="M90" s="3"/>
      <c r="N90" s="3"/>
      <c r="O90" s="17"/>
      <c r="P90" s="32">
        <f ca="1">IF(E6=0,0,(D29/E3/H88))</f>
        <v>0</v>
      </c>
      <c r="Q90" s="32">
        <f ca="1">IF(E6=0,0,ROUNDUP(D29/E3/H88,0))</f>
        <v>0</v>
      </c>
      <c r="R90" s="32">
        <f ca="1">J90*1.2^$E$3</f>
        <v>0</v>
      </c>
      <c r="S90" s="32">
        <f ca="1">ROUNDUP(J90*1.2^$E$3,0)</f>
        <v>0</v>
      </c>
      <c r="CA90" s="2147"/>
      <c r="CB90" s="2150"/>
      <c r="CC90" s="2143"/>
      <c r="CD90" s="2143"/>
      <c r="CE90" s="2143"/>
      <c r="CF90" s="2121"/>
      <c r="CG90" s="2121"/>
      <c r="CH90" s="2133"/>
      <c r="CI90" s="2121"/>
      <c r="CK90" s="1418"/>
      <c r="CL90" s="1482"/>
      <c r="CM90" s="1482"/>
      <c r="CN90" s="1482"/>
      <c r="CO90" s="1482"/>
      <c r="CP90" s="1482"/>
      <c r="CQ90" s="1419"/>
      <c r="CS90" s="1446"/>
      <c r="CT90" s="1446"/>
      <c r="CU90" s="1418"/>
      <c r="CV90" s="1482"/>
      <c r="CW90" s="1482"/>
      <c r="CX90" s="1482"/>
      <c r="CY90" s="1482"/>
      <c r="CZ90" s="1419"/>
      <c r="DB90" s="1446"/>
      <c r="DC90" s="1446"/>
      <c r="DD90" s="1352"/>
      <c r="DE90" s="1352"/>
      <c r="DF90" s="1352"/>
      <c r="DG90" s="1352"/>
      <c r="DH90" s="1352"/>
      <c r="DI90" s="1352"/>
      <c r="DJ90" s="1446"/>
      <c r="DK90" s="2074"/>
      <c r="DM90" s="2074"/>
      <c r="DN90" s="2074"/>
      <c r="FY90" s="2121"/>
      <c r="FZ90" s="2121"/>
      <c r="GA90" s="2121"/>
      <c r="GB90" s="2121"/>
      <c r="GC90" s="2121"/>
    </row>
    <row r="91" spans="2:186" ht="14.1" customHeight="1" x14ac:dyDescent="0.35">
      <c r="CA91" s="2147"/>
      <c r="CB91" s="2150"/>
      <c r="CC91" s="2143"/>
      <c r="CD91" s="2143"/>
      <c r="CE91" s="2143"/>
      <c r="CF91" s="2121"/>
      <c r="CG91" s="2121"/>
      <c r="CH91" s="2133"/>
      <c r="CI91" s="2121"/>
      <c r="CK91" s="1418"/>
      <c r="CL91" s="1482"/>
      <c r="CM91" s="1482"/>
      <c r="CN91" s="1482"/>
      <c r="CO91" s="1482"/>
      <c r="CP91" s="1482"/>
      <c r="CQ91" s="1419"/>
      <c r="CS91" s="1446"/>
      <c r="CT91" s="1446"/>
      <c r="CU91" s="1418"/>
      <c r="CV91" s="1482"/>
      <c r="CW91" s="1482"/>
      <c r="CX91" s="1482"/>
      <c r="CY91" s="1482"/>
      <c r="CZ91" s="1419"/>
      <c r="DB91" s="1446"/>
      <c r="DC91" s="1446"/>
      <c r="DD91" s="1352"/>
      <c r="DE91" s="1352"/>
      <c r="DF91" s="1352"/>
      <c r="DG91" s="1352"/>
      <c r="DH91" s="1352"/>
      <c r="DI91" s="1352"/>
      <c r="DJ91" s="1446"/>
      <c r="DK91" s="2074"/>
      <c r="DM91" s="2074"/>
      <c r="DN91" s="2074"/>
      <c r="FY91" s="2122"/>
      <c r="FZ91" s="2122"/>
      <c r="GA91" s="2122"/>
      <c r="GB91" s="2122"/>
      <c r="GC91" s="2122"/>
    </row>
    <row r="92" spans="2:186" ht="14.1" customHeight="1" x14ac:dyDescent="0.35">
      <c r="B92" t="s">
        <v>2350</v>
      </c>
      <c r="CA92" s="2148"/>
      <c r="CB92" s="2151"/>
      <c r="CC92" s="2144"/>
      <c r="CD92" s="2144"/>
      <c r="CE92" s="2144"/>
      <c r="CF92" s="2122"/>
      <c r="CG92" s="2122"/>
      <c r="CH92" s="2136"/>
      <c r="CI92" s="2121"/>
      <c r="CK92" s="1471"/>
      <c r="CL92" s="1472"/>
      <c r="CM92" s="1472"/>
      <c r="CN92" s="1472"/>
      <c r="CO92" s="1472"/>
      <c r="CP92" s="1472"/>
      <c r="CQ92" s="1473"/>
      <c r="CR92" s="627"/>
      <c r="CS92" s="1446"/>
      <c r="CT92" s="1446"/>
      <c r="CU92" s="1471"/>
      <c r="CV92" s="1472"/>
      <c r="CW92" s="1472"/>
      <c r="CX92" s="1472"/>
      <c r="CY92" s="1472"/>
      <c r="CZ92" s="1473"/>
      <c r="DB92" s="1442"/>
      <c r="DC92" s="1442"/>
      <c r="DD92" s="1352"/>
      <c r="DE92" s="1352"/>
      <c r="DF92" s="1352"/>
      <c r="DG92" s="1352"/>
      <c r="DH92" s="1352"/>
      <c r="DI92" s="1352"/>
      <c r="DJ92" s="1446"/>
      <c r="DK92" s="2074"/>
      <c r="DM92" s="2074"/>
      <c r="DN92" s="2074"/>
      <c r="FY92" s="32">
        <f ca="1">IF(FY87&gt;=$AA$170,IF($AA$170=0,0,ROUNDDOWN(FY87/$AA$170,0)),0)</f>
        <v>0</v>
      </c>
      <c r="FZ92" s="32">
        <f ca="1">IF(FZ87&gt;=$AA$170,IF($AA$170=0,0,ROUNDDOWN(FZ87/$AA$170,0)),0)</f>
        <v>0</v>
      </c>
      <c r="GA92" s="32">
        <f ca="1">IF(GA87&gt;=$AA$170,IF($AA$170=0,0,ROUNDDOWN(GA87/$AA$170,0)),0)</f>
        <v>0</v>
      </c>
      <c r="GB92" s="32">
        <f ca="1">IF(GB87&gt;=$AA$170,IF($AA$170=0,0,ROUNDDOWN(GB87/$AA$170,0)),0)</f>
        <v>0</v>
      </c>
      <c r="GC92" s="32">
        <f ca="1">IF(GC87&gt;=$AA$170,IF($AA$170=0,0,ROUNDDOWN(GC87/$AA$170,0)),0)</f>
        <v>0</v>
      </c>
    </row>
    <row r="93" spans="2:186" ht="75" customHeight="1" x14ac:dyDescent="0.35">
      <c r="C93" t="s">
        <v>2351</v>
      </c>
      <c r="H93" s="4">
        <f>ENTRADAS!F984</f>
        <v>15</v>
      </c>
      <c r="I93" t="s">
        <v>1802</v>
      </c>
      <c r="BY93" s="562" t="s">
        <v>2204</v>
      </c>
      <c r="BZ93" s="563"/>
      <c r="CA93" s="7">
        <f t="shared" ref="CA93:CA108" si="161">BT71</f>
        <v>0</v>
      </c>
      <c r="CB93" s="7">
        <f t="shared" ref="CB93:CB108" ca="1" si="162">AB134</f>
        <v>0</v>
      </c>
      <c r="CC93" s="7">
        <f t="shared" ref="CC93:CC108" ca="1" si="163">R134</f>
        <v>0</v>
      </c>
      <c r="CD93" s="7">
        <f ca="1">CB93</f>
        <v>0</v>
      </c>
      <c r="CE93" s="7">
        <f t="shared" ref="CE93:CE108" ca="1" si="164">P135</f>
        <v>0</v>
      </c>
      <c r="CF93" s="32">
        <f ca="1">Y134</f>
        <v>0</v>
      </c>
      <c r="CG93" s="32">
        <f ca="1">U135</f>
        <v>0</v>
      </c>
      <c r="CH93" s="32">
        <f ca="1">V134</f>
        <v>0</v>
      </c>
      <c r="CI93" s="32">
        <f t="shared" ref="CI93:CI108" ca="1" si="165">AD134</f>
        <v>0</v>
      </c>
      <c r="CK93" s="1702">
        <f ca="1">IF(CA94&gt;0,IF(CB93=0,0,CC93&amp;" lajes: { L-"&amp;CJ110&amp;" = "&amp;CD93&amp;" pç  + L-"&amp;CJ111&amp;" = "&amp;CE93&amp;" pç } "&amp;" transportadas em "&amp;CF93&amp;" carretas das paredes"&amp;"  "&amp;"
sendo: "&amp;" { "&amp;CH93&amp;" pç L-"&amp;CJ110&amp;" + "&amp;CG93&amp;" pç L-"&amp;CJ111&amp;" }  transportadas em cada carreta de paredes"),IF(CB93=0,0,CC93&amp;" lajes: { L-"&amp;CJ110&amp;" = "&amp;CD93&amp;" pç  } "&amp;" transportadas em "&amp;CF93&amp;" carretas das paredes"
&amp;"---"&amp;"
sendo: "&amp;" { "&amp;CH93&amp;" pç L-"&amp;CJ110&amp;" }  transportadas em cada carreta de paredes"))</f>
        <v>0</v>
      </c>
      <c r="CL93" s="2119"/>
      <c r="CM93" s="2119"/>
      <c r="CN93" s="2119"/>
      <c r="CO93" s="2119"/>
      <c r="CP93" s="2119"/>
      <c r="CQ93" s="1703"/>
      <c r="CS93" s="433">
        <f t="shared" ref="CS93:CS108" ca="1" si="166">IF($C$166="X",CH71,IF($C$169="X",DA71,IF($C$172="X",DT71,IF($C$175="X",EM71,IF($C$178="X",FH71,0)))))</f>
        <v>0</v>
      </c>
      <c r="CT93" s="433">
        <f t="shared" ref="CT93:CT108" ca="1" si="167">IF($C$166="X",CX71,IF($C$169="X",DQ71,IF($C$172="X",EJ71,IF($C$175="X",FC71,IF($C$178="X",FV71,0)))))</f>
        <v>0</v>
      </c>
      <c r="CU93" s="2160">
        <f ca="1">IF($FZ$100="L-1",IF(CI93=0,0,IF(CT93&lt;=1,IF(CT93=0,0,CI93&amp;" laje L-"&amp;CJ110&amp;" transportada em "&amp;CT93&amp;" carretas somente com lajes"&amp;"--"&amp;"sendo "&amp;CS93&amp;" lajes no máximo transportadas em cada carreta ")&amp;IF(DJ93&gt;0," e mais "&amp;DJ93&amp;" lajes L-"&amp;CJ111,0),IF(CT93=0,0,CI93&amp;" lajes L-"&amp;CJ110&amp;" transportadas em "&amp;CT93&amp;" carretas somente com lajes"&amp;"--"&amp;"sendo "&amp;CS93&amp;" lajes no máximo transportadas em cada carreta ")&amp;IF(DJ93&gt;0," e mais "&amp;DJ93&amp;" lajes L-"&amp;CJ111&amp;" por carreta","-"))&amp;"----"&amp;" e mais"&amp;GA98&amp;" pilares em cada carreta"),IF(CI93=0,0,IF(CT93&lt;=1,IF(CT93=0,0,CI93&amp;" laje L-"&amp;CJ110&amp;" transportada em "&amp;CT93&amp;" carretas somente com lajes"&amp;"--"&amp;"sendo "&amp;CS93&amp;" lajes no máximo transportadas em cada carreta ")&amp;IF(DJ93&gt;0," e mais "&amp;DJ93&amp;" lajes L-"&amp;CJ111,0),IF(CT93=0,0,CI93&amp;" lajes L-"&amp;CJ110&amp;" transportadas em "&amp;CT93&amp;" carretas somente com lajes"&amp;"--"&amp;"sendo "&amp;CS93&amp;" lajes no máximo transportadas em cada carreta ")&amp;IF(DJ93&gt;0," e mais "&amp;DJ93&amp;" lajes L-"&amp;CJ111&amp;" por carreta",0))))</f>
        <v>0</v>
      </c>
      <c r="CV93" s="2161"/>
      <c r="CW93" s="2161"/>
      <c r="CX93" s="2161"/>
      <c r="CY93" s="2161"/>
      <c r="CZ93" s="2162"/>
      <c r="DB93" s="32">
        <f t="shared" ref="DB93:DB108" ca="1" si="168">IF($C$166="X",CH71,IF($C$169="X",DA71,IF($C$172="X",DT71,IF($C$175="X",EM71,IF($C$178="X",FH71,0)))))</f>
        <v>0</v>
      </c>
      <c r="DC93" s="32">
        <f t="shared" ref="DC93:DC108" ca="1" si="169">IF($C$166="X",CY71,IF($C$169="X",DR71,IF($C$172="X",EK71,IF($C$175="X",FD71,IF($C$178="X",FW71,0)))))</f>
        <v>0</v>
      </c>
      <c r="DD93" s="2163" t="str">
        <f ca="1">IF(DD110&lt;&gt;0,DD110,IF(ENTRADAS!$E$1075="x",0,IF(DK93&lt;=1,IF(DC93=0,0,DK93&amp;" laje L-"&amp;CJ110&amp;" transportada em "&amp;DC93&amp;" carretas somente com lajes"&amp;"--"&amp;"sendo "&amp;DB93&amp;" lajes L-"&amp;CJ110&amp;" no máximo transportadas em cada carreta---- ")&amp;IF(DJ93&gt;0," e mais "&amp;DJ93&amp;" lajes L-"&amp;CJ111,0),IF(DC93=0,0,DK93&amp;" lajes L-"&amp;CJ110&amp;" transportadas em "&amp;DC93&amp;" carretas somente com lajes"&amp;"--"&amp;"sendo "&amp;DB93&amp;" lajes L-"&amp;CJ110&amp;" no máximo transportadas em cada carreta---- ")&amp;IF(DJ93&gt;0," e mais "&amp;DJ93&amp;" lajes L-"&amp;CJ111&amp;" por carreta",0))))</f>
        <v>00</v>
      </c>
      <c r="DE93" s="2163"/>
      <c r="DF93" s="2163"/>
      <c r="DG93" s="2163"/>
      <c r="DH93" s="2163"/>
      <c r="DI93" s="2163"/>
      <c r="DJ93" s="386">
        <f>IF(ENTRADAS!C1081="X",CW72,IF(ENTRADAS!C1084="X",DP72,IF(ENTRADAS!C1087="X",EI72,IF(ENTRADAS!C1090="X",FB72,IF(ENTRADAS!C1093="X",FU72,0)))))</f>
        <v>0</v>
      </c>
      <c r="DK93" s="569">
        <f>BT71</f>
        <v>0</v>
      </c>
      <c r="DL93" s="565"/>
      <c r="DM93" s="564">
        <f ca="1">IF(DN93=0,0,IF($C$166="X",AQ273,IF($C$169="X",AQ274,IF($C$172="X",AQ275,IF($C$175="X",AQ276,IF($C$178="X",AQ277,0))))))</f>
        <v>0</v>
      </c>
      <c r="DN93" s="564">
        <f ca="1">IF(GA98=0,IF($C$166="X",AT273,IF($C$169="X",AT274,IF($C$172="X",AT275,IF($C$175="X",AT276,IF($C$178="X",AT277,0))))),ROUNDDOWN((D12-GA98)*AA170/VLOOKUP($A$162,C166:O208,13,0),0))</f>
        <v>0</v>
      </c>
      <c r="DO93" s="8"/>
      <c r="DP93" s="8"/>
      <c r="DQ93" s="8"/>
      <c r="DR93" s="8"/>
      <c r="DS93" s="8"/>
      <c r="FX93" s="2155" t="s">
        <v>2352</v>
      </c>
      <c r="FY93" s="1046" t="s">
        <v>2353</v>
      </c>
      <c r="FZ93" s="1046" t="s">
        <v>2353</v>
      </c>
      <c r="GA93" s="1046" t="s">
        <v>2353</v>
      </c>
      <c r="GB93" s="1046" t="s">
        <v>2353</v>
      </c>
      <c r="GC93" s="1046" t="s">
        <v>2353</v>
      </c>
    </row>
    <row r="94" spans="2:186" ht="55.5" customHeight="1" x14ac:dyDescent="0.35">
      <c r="J94" s="433" t="s">
        <v>2321</v>
      </c>
      <c r="K94" s="13" t="s">
        <v>2354</v>
      </c>
      <c r="L94" s="14"/>
      <c r="M94" s="14"/>
      <c r="N94" s="14"/>
      <c r="O94" s="15"/>
      <c r="BY94" s="559" t="s">
        <v>2207</v>
      </c>
      <c r="BZ94" s="32">
        <v>1</v>
      </c>
      <c r="CA94" s="7">
        <f t="shared" ca="1" si="161"/>
        <v>0</v>
      </c>
      <c r="CB94" s="7">
        <f t="shared" ca="1" si="162"/>
        <v>0</v>
      </c>
      <c r="CC94" s="7">
        <f t="shared" ca="1" si="163"/>
        <v>0</v>
      </c>
      <c r="CD94" s="7">
        <f t="shared" ref="CD94:CD108" ca="1" si="170">CB94-P135</f>
        <v>0</v>
      </c>
      <c r="CE94" s="7">
        <f t="shared" ca="1" si="164"/>
        <v>0</v>
      </c>
      <c r="CF94" s="385">
        <f t="shared" ref="CF94:CF108" ca="1" si="171">ROUNDUP(AA135,0)</f>
        <v>0</v>
      </c>
      <c r="CG94" s="32">
        <f t="shared" ref="CG94:CG108" ca="1" si="172">U136</f>
        <v>0</v>
      </c>
      <c r="CH94" s="32">
        <f ca="1">IF(CF94=0,0,ROUNDDOWN(CD94/AA135,0))</f>
        <v>0</v>
      </c>
      <c r="CI94" s="32">
        <f t="shared" ca="1" si="165"/>
        <v>0</v>
      </c>
      <c r="CK94" s="1702">
        <f ca="1">IF(CA95&gt;0,IF(CB94=0,0,CC94&amp;" lajes: { L-"&amp;CJ111&amp;" = "&amp;CD94&amp;" pç  + L-"&amp;CJ112&amp;" = "&amp;CE94&amp;" pç } "&amp;" transportadas em "&amp;CF94&amp;" carretas das paredes"&amp;"  "&amp;"
sendo: "&amp;" { "&amp;CH94&amp;" pç L-"&amp;CJ111&amp;" + "&amp;CG94&amp;" pç L-"&amp;CJ112&amp;" }  transportadas em cada carreta de paredes"),IF(CB94=0,0,CC94&amp;" lajes: { L-"&amp;CJ111&amp;" = "&amp;CD94&amp;" pç  } "&amp;" transportadas em "&amp;CF94&amp;" carretas das paredes"
&amp;"---"&amp;"
sendo: "&amp;" { "&amp;CH94&amp;" pç L-"&amp;CJ111&amp;" }  transportadas em cada carreta de paredes"))</f>
        <v>0</v>
      </c>
      <c r="CL94" s="2119"/>
      <c r="CM94" s="2119"/>
      <c r="CN94" s="2119"/>
      <c r="CO94" s="2119"/>
      <c r="CP94" s="2119"/>
      <c r="CQ94" s="1703"/>
      <c r="CS94" s="433">
        <f t="shared" ca="1" si="166"/>
        <v>0</v>
      </c>
      <c r="CT94" s="433">
        <f t="shared" ca="1" si="167"/>
        <v>0</v>
      </c>
      <c r="CU94" s="1702">
        <f ca="1">IF($FZ$100="L-2",IF(CI94=0,0,IF(CT94&lt;=1,IF(CT94=0,0,CI94-DJ93&amp;" laje L-"&amp;CJ111&amp;" transportada em "&amp;CT94&amp;" carretas somente com lajes"&amp;"--"&amp;"sendo "&amp;CS94&amp;" lajes no máximo transportadas em cada carreta ")&amp;IF(DJ94&gt;0," e mais "&amp;DJ94&amp;" lajes L-"&amp;CJ112,0),IF(CT94=0,0,CI94-DJ93&amp;" lajes L-"&amp;CJ111&amp;" transportadas em "&amp;CT94&amp;" carretas somente com lajes"&amp;"--"&amp;"sendo "&amp;CS94&amp;" lajes no máximo transportadas em cada carreta ")&amp;IF(DJ94&gt;0," e mais "&amp;DJ94&amp;" lajes L-"&amp;CJ112&amp;" por carreta","-"&amp;" ---- "&amp;$GA$98&amp;" pilares em cada carreta"))),IF(CI94=0,0,IF(CT94&lt;=1,IF(CT94=0,0,CI94-DJ93&amp;" laje L-"&amp;CJ111&amp;" transportada em "&amp;CT94&amp;" carretas somente com lajes"&amp;"--"&amp;"sendo "&amp;CS94&amp;" lajes no máximo transportadas em cada carreta ")&amp;IF(DJ94&gt;0," e mais "&amp;DJ94&amp;" lajes L-"&amp;CJ112,0),IF(CT94=0,0,CI94-DJ93&amp;" lajes L-"&amp;CJ111&amp;" transportadas em "&amp;CT94&amp;" carretas somente com lajes"&amp;"--"&amp;"sendo "&amp;CS94&amp;" lajes no máximo transportadas em cada carreta ")&amp;IF(DJ94&gt;0," e mais "&amp;DJ94&amp;" lajes L-"&amp;CJ112&amp;" por carreta",0))))</f>
        <v>0</v>
      </c>
      <c r="CV94" s="2119"/>
      <c r="CW94" s="2119"/>
      <c r="CX94" s="2119"/>
      <c r="CY94" s="2119"/>
      <c r="CZ94" s="1703"/>
      <c r="DB94" s="32">
        <f t="shared" ca="1" si="168"/>
        <v>0</v>
      </c>
      <c r="DC94" s="32">
        <f t="shared" ca="1" si="169"/>
        <v>0</v>
      </c>
      <c r="DD94" s="1702" t="str">
        <f ca="1">IF(DD111&lt;&gt;0,DD111,IF(ENTRADAS!$E$1075="x",0,IF(DK94&lt;=1,IF(DC94=0,0,DK94&amp;" laje L-"&amp;CJ111&amp;" transportada em "&amp;DC94&amp;" carretas somente com lajes"&amp;"--"&amp;"sendo "&amp;DB94&amp;" lajes L-"&amp;CJ111&amp;" no máximo transportadas em cada carreta---- ")&amp;IF(DJ94&gt;0," e mais "&amp;DJ94&amp;" lajes L-"&amp;CJ112,0),IF(DC94=0,0,DK94&amp;" lajes L-"&amp;CJ111&amp;" transportadas em "&amp;DC94&amp;" carretas somente com lajes"&amp;"--"&amp;"sendo "&amp;DB94&amp;" lajes L-"&amp;CJ111&amp;" no máximo transportadas em cada carreta---- ")&amp;IF(DJ94&gt;0," e mais "&amp;DJ94&amp;" lajes L-"&amp;CJ112&amp;" por carreta",0))))</f>
        <v>00</v>
      </c>
      <c r="DE94" s="2119"/>
      <c r="DF94" s="2119"/>
      <c r="DG94" s="2119"/>
      <c r="DH94" s="2119"/>
      <c r="DI94" s="1703"/>
      <c r="DJ94" s="32">
        <f>IF(ENTRADAS!C1082="X",CW73,IF(ENTRADAS!C1085="X",DP73,IF(ENTRADAS!C1088="X",EI73,IF(ENTRADAS!C1091="X",FB73,IF(ENTRADAS!C1094="X",FU73,0)))))</f>
        <v>0</v>
      </c>
      <c r="DK94" s="569">
        <f ca="1">BT72-DJ93</f>
        <v>0</v>
      </c>
      <c r="FX94" s="2156"/>
      <c r="FY94" s="386">
        <f ca="1">$AA$170+(0.5*2.5)</f>
        <v>1.25</v>
      </c>
      <c r="FZ94" s="386">
        <f ca="1">$AA$170+(0.5*2.5)</f>
        <v>1.25</v>
      </c>
      <c r="GA94" s="386">
        <f ca="1">$AA$170+(0.5*2.5)</f>
        <v>1.25</v>
      </c>
      <c r="GB94" s="386">
        <f ca="1">$AA$170+(0.5*2.5)</f>
        <v>1.25</v>
      </c>
      <c r="GC94" s="386">
        <f ca="1">$AA$170+(0.5*2.5)</f>
        <v>1.25</v>
      </c>
    </row>
    <row r="95" spans="2:186" ht="45.75" customHeight="1" x14ac:dyDescent="0.35">
      <c r="C95" t="s">
        <v>2355</v>
      </c>
      <c r="H95">
        <f ca="1">IF($E$3=1,J95,K95)</f>
        <v>0</v>
      </c>
      <c r="I95" t="str">
        <f ca="1">IF(H95=1,"dia","dias")</f>
        <v>dias</v>
      </c>
      <c r="J95" s="386">
        <f ca="1">IF(E6=0,0,IF(G81="X",Q95,P95))</f>
        <v>0</v>
      </c>
      <c r="K95" s="18">
        <f ca="1">IF(G81="X",S95,R95)</f>
        <v>0</v>
      </c>
      <c r="L95" s="3"/>
      <c r="M95" s="3"/>
      <c r="N95" s="3"/>
      <c r="O95" s="17"/>
      <c r="P95" s="32">
        <f ca="1">IF(E6=0,0,D35/E3/H93)</f>
        <v>0</v>
      </c>
      <c r="Q95" s="32">
        <f ca="1">IF(E6=0,0,ROUNDUP((D35/E3/H93),0))</f>
        <v>0</v>
      </c>
      <c r="R95" s="32">
        <f ca="1">J95*1.3^$E$3</f>
        <v>0</v>
      </c>
      <c r="S95" s="32">
        <f ca="1">ROUNDUP(J95*1.3^$E$3,0)</f>
        <v>0</v>
      </c>
      <c r="BY95" s="560"/>
      <c r="BZ95" s="32">
        <v>2</v>
      </c>
      <c r="CA95" s="7">
        <f t="shared" ca="1" si="161"/>
        <v>0</v>
      </c>
      <c r="CB95" s="7">
        <f t="shared" ca="1" si="162"/>
        <v>0</v>
      </c>
      <c r="CC95" s="7">
        <f t="shared" ca="1" si="163"/>
        <v>0</v>
      </c>
      <c r="CD95" s="7">
        <f t="shared" ca="1" si="170"/>
        <v>0</v>
      </c>
      <c r="CE95" s="7">
        <f t="shared" ca="1" si="164"/>
        <v>0</v>
      </c>
      <c r="CF95" s="32">
        <f t="shared" ca="1" si="171"/>
        <v>0</v>
      </c>
      <c r="CG95" s="32">
        <f t="shared" ca="1" si="172"/>
        <v>0</v>
      </c>
      <c r="CH95" s="32">
        <f t="shared" ref="CH95:CH108" ca="1" si="173">IF(CF95=0,0,ROUNDDOWN(CD95/AA136,0))</f>
        <v>0</v>
      </c>
      <c r="CI95" s="32">
        <f t="shared" ca="1" si="165"/>
        <v>0</v>
      </c>
      <c r="CK95" s="1702">
        <f ca="1">IF(CA96&gt;0,IF(CB95=0,0,CC95&amp;" lajes: { L-"&amp;CJ112&amp;" = "&amp;CD95&amp;" pç  + L-"&amp;CJ113&amp;" = "&amp;CE95&amp;" pç } "&amp;" transportadas em "&amp;CF95&amp;" carretas das paredes"&amp;"  "&amp;"
sendo: "&amp;" { "&amp;CH95&amp;" pç L-"&amp;CJ112&amp;" + "&amp;CG95&amp;" pç L-"&amp;CJ113&amp;" }  transportadas em cada carreta de paredes"),IF(CB95=0,0,CC95&amp;" lajes: { L-"&amp;CJ112&amp;" = "&amp;CD95&amp;" pç  } "&amp;" transportadas em "&amp;CF95&amp;" carretas das paredes"
&amp;"---"&amp;"
sendo: "&amp;" { "&amp;CH95&amp;" pç L-"&amp;CJ112&amp;" }  transportadas em cada carreta de paredes"))</f>
        <v>0</v>
      </c>
      <c r="CL95" s="2119"/>
      <c r="CM95" s="2119"/>
      <c r="CN95" s="2119"/>
      <c r="CO95" s="2119"/>
      <c r="CP95" s="2119"/>
      <c r="CQ95" s="1703"/>
      <c r="CS95" s="433">
        <f t="shared" ca="1" si="166"/>
        <v>0</v>
      </c>
      <c r="CT95" s="433">
        <f t="shared" ca="1" si="167"/>
        <v>0</v>
      </c>
      <c r="CU95" s="1702">
        <f ca="1">IF($FZ$100="L-3",IF(CI95=0,0,IF(CT95&lt;=1,IF(CT95=0,0,CI95-DJ94&amp;" laje L-"&amp;CJ112&amp;" transportada em "&amp;CT95&amp;" carretas somente com lajes"&amp;"--"&amp;"sendo "&amp;CS95&amp;" lajes no máximo transportadas em cada carreta ")&amp;IF(DJ95&gt;0," e mais "&amp;DJ95&amp;" lajes L-"&amp;CJ113,0),IF(CT95=0,0,CI95-DJ94&amp;" lajes L-"&amp;CJ112&amp;" transportadas em "&amp;CT95&amp;" carretas somente com lajes"&amp;"--"&amp;"sendo "&amp;CS95&amp;" lajes no máximo transportadas em cada carreta ")&amp;IF(DJ95&gt;0," e mais "&amp;DJ95&amp;" lajes L-"&amp;CJ113&amp;" por carreta","-"&amp;" ---- "&amp;$GA$98&amp;" pilares em cada carreta"))),IF(CI95=0,0,IF(CT95&lt;=1,IF(CT95=0,0,CI95-DJ94&amp;" laje L-"&amp;CJ112&amp;" transportada em "&amp;CT95&amp;" carretas somente com lajes"&amp;"--"&amp;"sendo "&amp;CS95&amp;" lajes no máximo transportadas em cada carreta ")&amp;IF(DJ95&gt;0," e mais "&amp;DJ95&amp;" lajes L-"&amp;CJ113,0),IF(CT95=0,0,CI95-DJ94&amp;" lajes L-"&amp;CJ112&amp;" transportadas em "&amp;CT95&amp;" carretas somente com lajes"&amp;"--"&amp;"sendo "&amp;CS95&amp;" lajes no máximo transportadas em cada carreta ")&amp;IF(DJ95&gt;0," e mais "&amp;DJ95&amp;" lajes L-"&amp;CJ113&amp;" por carreta",0))))</f>
        <v>0</v>
      </c>
      <c r="CV95" s="2119"/>
      <c r="CW95" s="2119"/>
      <c r="CX95" s="2119"/>
      <c r="CY95" s="2119"/>
      <c r="CZ95" s="1703"/>
      <c r="DB95" s="32">
        <f t="shared" ca="1" si="168"/>
        <v>0</v>
      </c>
      <c r="DC95" s="32">
        <f t="shared" ca="1" si="169"/>
        <v>0</v>
      </c>
      <c r="DD95" s="1702" t="str">
        <f ca="1">IF(DD112&lt;&gt;0,DD112,IF(ENTRADAS!$E$1075="x",0,IF(DK95&lt;=1,IF(DC95=0,0,DK95&amp;" laje L-"&amp;CJ112&amp;" transportada em "&amp;DC95&amp;" carretas somente com lajes"&amp;"--"&amp;"sendo "&amp;DB95&amp;" lajes L-"&amp;CJ112&amp;" no máximo transportadas em cada carreta---- ")&amp;IF(DJ95&gt;0," e mais "&amp;DJ95&amp;" lajes L-"&amp;CJ113,0),IF(DC95=0,0,DK95&amp;" lajes L-"&amp;CJ112&amp;" transportadas em "&amp;DC95&amp;" carretas somente com lajes"&amp;"--"&amp;"sendo "&amp;DB95&amp;" lajes L-"&amp;CJ112&amp;" no máximo transportadas em cada carreta---- ")&amp;IF(DJ95&gt;0," e mais "&amp;DJ95&amp;" lajes L-"&amp;CJ113&amp;" por carreta",0))))</f>
        <v>00</v>
      </c>
      <c r="DE95" s="2119"/>
      <c r="DF95" s="2119"/>
      <c r="DG95" s="2119"/>
      <c r="DH95" s="2119"/>
      <c r="DI95" s="1703"/>
      <c r="DJ95" s="32">
        <f>IF(ENTRADAS!C1083="X",CW74,IF(ENTRADAS!C1086="X",DP74,IF(ENTRADAS!C1089="X",EI74,IF(ENTRADAS!C1092="X",FB74,IF(ENTRADAS!C1095="X",FU74,0)))))</f>
        <v>0</v>
      </c>
      <c r="DK95" s="569">
        <f ca="1">BT73-DJ94</f>
        <v>0</v>
      </c>
      <c r="FX95" s="2157"/>
      <c r="FY95" s="573" t="s">
        <v>2356</v>
      </c>
      <c r="FZ95" s="573" t="s">
        <v>2356</v>
      </c>
      <c r="GA95" s="573" t="s">
        <v>2356</v>
      </c>
      <c r="GB95" s="573" t="s">
        <v>2356</v>
      </c>
      <c r="GC95" s="573" t="s">
        <v>2356</v>
      </c>
    </row>
    <row r="96" spans="2:186" ht="18.75" customHeight="1" x14ac:dyDescent="0.35">
      <c r="BY96" s="560"/>
      <c r="BZ96" s="32">
        <v>3</v>
      </c>
      <c r="CA96" s="7">
        <f t="shared" ca="1" si="161"/>
        <v>0</v>
      </c>
      <c r="CB96" s="7">
        <f t="shared" ca="1" si="162"/>
        <v>0</v>
      </c>
      <c r="CC96" s="7">
        <f t="shared" ca="1" si="163"/>
        <v>0</v>
      </c>
      <c r="CD96" s="7">
        <f t="shared" ca="1" si="170"/>
        <v>0</v>
      </c>
      <c r="CE96" s="7">
        <f t="shared" ca="1" si="164"/>
        <v>0</v>
      </c>
      <c r="CF96" s="32">
        <f t="shared" ca="1" si="171"/>
        <v>0</v>
      </c>
      <c r="CG96" s="32">
        <f t="shared" ca="1" si="172"/>
        <v>0</v>
      </c>
      <c r="CH96" s="32">
        <f t="shared" ca="1" si="173"/>
        <v>0</v>
      </c>
      <c r="CI96" s="32">
        <f t="shared" ca="1" si="165"/>
        <v>0</v>
      </c>
      <c r="CK96" s="1702">
        <f t="shared" ref="CK96:CK108" ca="1" si="174">IF(CA97&gt;0,IF(CB96=0,0,CC96&amp;" lajes: { L-"&amp;CJ113&amp;" = "&amp;CD96&amp;" pç  + L-"&amp;CJ114&amp;" = "&amp;CE96&amp;" pç } "&amp;" transportadas em "&amp;CF96&amp;" carretas das paredes"&amp;"  "&amp;"
sendo: "&amp;" { "&amp;CH96&amp;" pç L-"&amp;CJ113&amp;" + "&amp;CG96&amp;" pç L-"&amp;CJ114&amp;" }  transportadas em cada carreta de paredes"),IF(CB96=0,0,CC96&amp;" lajes: { L-"&amp;CJ113&amp;" = "&amp;CD96&amp;" pç  } "&amp;" transportadas em "&amp;CF96&amp;" carretas das paredes"
&amp;"---"&amp;"
sendo: "&amp;" { "&amp;CH96&amp;" pç L-"&amp;CJ113&amp;" }  transportadas em cada carreta de paredes"))</f>
        <v>0</v>
      </c>
      <c r="CL96" s="2119"/>
      <c r="CM96" s="2119"/>
      <c r="CN96" s="2119"/>
      <c r="CO96" s="2119"/>
      <c r="CP96" s="2119"/>
      <c r="CQ96" s="1703"/>
      <c r="CS96" s="433">
        <f t="shared" ca="1" si="166"/>
        <v>0</v>
      </c>
      <c r="CT96" s="433">
        <f t="shared" ca="1" si="167"/>
        <v>0</v>
      </c>
      <c r="CU96" s="1702">
        <f ca="1">IF($FZ$100="L-4",IF(CI96=0,0,IF(CT96&lt;=1,IF(CT96=0,0,CI96-DJ95&amp;" laje L-"&amp;CJ113&amp;" transportada em "&amp;CT96&amp;" carretas somente com lajes"&amp;"--"&amp;"sendo "&amp;CS96&amp;" lajes no máximo transportadas em cada carreta ")&amp;IF(DJ96&gt;0," e mais "&amp;DJ96&amp;" lajes L-"&amp;CJ114,0),IF(CT96=0,0,CI96-DJ95&amp;" lajes L-"&amp;CJ113&amp;" transportadas em "&amp;CT96&amp;" carretas somente com lajes"&amp;"--"&amp;"sendo "&amp;CS96&amp;" lajes no máximo transportadas em cada carreta ")&amp;IF(DJ96&gt;0," e mais "&amp;DJ96&amp;" lajes L-"&amp;CJ114&amp;" por carreta","-"&amp;" ---- "&amp;$GA$98&amp;" pilares em cada carreta"))),IF(CI96=0,0,IF(CT96&lt;=1,IF(CT96=0,0,CI96-DJ95&amp;" laje L-"&amp;CJ113&amp;" transportada em "&amp;CT96&amp;" carretas somente com lajes"&amp;"--"&amp;"sendo "&amp;CS96&amp;" lajes no máximo transportadas em cada carreta ")&amp;IF(DJ96&gt;0," e mais "&amp;DJ96&amp;" lajes L-"&amp;CJ114,0),IF(CT96=0,0,CI96-DJ95&amp;" lajes L-"&amp;CJ113&amp;" transportadas em "&amp;CT96&amp;" carretas somente com lajes"&amp;"--"&amp;"sendo "&amp;CS96&amp;" lajes no máximo transportadas em cada carreta ")&amp;IF(DJ96&gt;0," e mais "&amp;DJ96&amp;" lajes L-"&amp;CJ114&amp;" por carreta",0))))</f>
        <v>0</v>
      </c>
      <c r="CV96" s="2119"/>
      <c r="CW96" s="2119"/>
      <c r="CX96" s="2119"/>
      <c r="CY96" s="2119"/>
      <c r="CZ96" s="1703"/>
      <c r="DB96" s="32">
        <f t="shared" ca="1" si="168"/>
        <v>0</v>
      </c>
      <c r="DC96" s="32">
        <f t="shared" ca="1" si="169"/>
        <v>0</v>
      </c>
      <c r="DD96" s="1702" t="str">
        <f ca="1">IF(DD113&lt;&gt;0,DD113,IF(ENTRADAS!$E$1075="x",0,IF(DK96&lt;=1,IF(DC96=0,0,DK96&amp;" laje L-"&amp;CJ113&amp;" transportada em "&amp;DC96&amp;" carretas somente com lajes"&amp;"--"&amp;"sendo "&amp;DB96&amp;" lajes L-"&amp;CJ113&amp;" no máximo transportadas em cada carreta---- ")&amp;IF(DJ96&gt;0," e mais "&amp;DJ96&amp;" lajes L-"&amp;CJ114,0),IF(DC96=0,0,DK96&amp;" lajes L-"&amp;CJ113&amp;" transportadas em "&amp;DC96&amp;" carretas somente com lajes"&amp;"--"&amp;"sendo "&amp;DB96&amp;" lajes L-"&amp;CJ113&amp;" no máximo transportadas em cada carreta---- ")&amp;IF(DJ96&gt;0," e mais "&amp;DJ96&amp;" lajes L-"&amp;CJ114&amp;" por carreta",0))))</f>
        <v>00</v>
      </c>
      <c r="DE96" s="2119"/>
      <c r="DF96" s="2119"/>
      <c r="DG96" s="2119"/>
      <c r="DH96" s="2119"/>
      <c r="DI96" s="1703"/>
      <c r="DJ96" s="32">
        <f>IF(ENTRADAS!C1084="X",CW75,IF(ENTRADAS!C1087="X",DP75,IF(ENTRADAS!C1090="X",EI75,IF(ENTRADAS!C1093="X",FB75,IF(ENTRADAS!C1096="X",FU75,0)))))</f>
        <v>0</v>
      </c>
      <c r="DK96" s="569">
        <f t="shared" ref="DK96:DK108" ca="1" si="175">BT74-DJ95</f>
        <v>0</v>
      </c>
      <c r="FU96" s="2158" t="s">
        <v>2357</v>
      </c>
      <c r="FV96" s="2158"/>
      <c r="FW96" s="2159"/>
      <c r="FX96" s="1223" t="s">
        <v>35</v>
      </c>
      <c r="FY96" s="32">
        <f ca="1">IF($FX$96="X",FY92,IF(FY92=0,0,IF((FY92-1)*$AA$170+(1*FY94)&gt;FY87,FY92-1,FY92)))</f>
        <v>0</v>
      </c>
      <c r="FZ96" s="32">
        <f ca="1">IF($FX$96="X",FZ92,IF(FZ92=0,0,IF((FZ92-1)*$AA$170+(1*FZ94)&gt;FZ87,FZ92-1,FZ92)))</f>
        <v>0</v>
      </c>
      <c r="GA96" s="32">
        <f ca="1">IF($FX$96="X",GA92,IF(GA92=0,0,IF((GA92-1)*$AA$170+(1*GA94)&gt;GA87,GA92-1,GA92)))</f>
        <v>0</v>
      </c>
      <c r="GB96" s="32">
        <f ca="1">IF($FX$96="X",GB92,IF(GB92=0,0,IF((GB92-1)*$AA$170+(1*GB94)&gt;GB87,GB92-1,GB92)))</f>
        <v>0</v>
      </c>
      <c r="GC96" s="32">
        <f ca="1">IF($FX$96="X",GC92,IF(GC92=0,0,IF((GC92-1)*$AA$170+(1*GC94)&gt;GC87,GC92-1,GC92)))</f>
        <v>0</v>
      </c>
    </row>
    <row r="97" spans="2:183" x14ac:dyDescent="0.35">
      <c r="B97" t="s">
        <v>2358</v>
      </c>
      <c r="BY97" s="560"/>
      <c r="BZ97" s="32">
        <v>4</v>
      </c>
      <c r="CA97" s="7">
        <f t="shared" ca="1" si="161"/>
        <v>0</v>
      </c>
      <c r="CB97" s="7">
        <f t="shared" ca="1" si="162"/>
        <v>0</v>
      </c>
      <c r="CC97" s="7">
        <f t="shared" ca="1" si="163"/>
        <v>0</v>
      </c>
      <c r="CD97" s="7">
        <f t="shared" ca="1" si="170"/>
        <v>0</v>
      </c>
      <c r="CE97" s="7">
        <f t="shared" ca="1" si="164"/>
        <v>0</v>
      </c>
      <c r="CF97" s="32">
        <f t="shared" ca="1" si="171"/>
        <v>0</v>
      </c>
      <c r="CG97" s="32">
        <f t="shared" ca="1" si="172"/>
        <v>0</v>
      </c>
      <c r="CH97" s="32">
        <f t="shared" ca="1" si="173"/>
        <v>0</v>
      </c>
      <c r="CI97" s="32">
        <f t="shared" ca="1" si="165"/>
        <v>0</v>
      </c>
      <c r="CK97" s="1702">
        <f t="shared" ca="1" si="174"/>
        <v>0</v>
      </c>
      <c r="CL97" s="2119"/>
      <c r="CM97" s="2119"/>
      <c r="CN97" s="2119"/>
      <c r="CO97" s="2119"/>
      <c r="CP97" s="2119"/>
      <c r="CQ97" s="1703"/>
      <c r="CS97" s="433">
        <f t="shared" ca="1" si="166"/>
        <v>0</v>
      </c>
      <c r="CT97" s="433">
        <f t="shared" ca="1" si="167"/>
        <v>0</v>
      </c>
      <c r="CU97" s="1702">
        <f ca="1">IF($FZ$100="L-5",IF(CI97=0,0,IF(CT97&lt;=1,IF(CT97=0,0,CI97-DJ96&amp;" laje L-"&amp;CJ114&amp;" transportada em "&amp;CT97&amp;" carretas somente com lajes"&amp;"--"&amp;"sendo "&amp;CS97&amp;" lajes no máximo transportadas em cada carreta ")&amp;IF(DJ97&gt;0," e mais "&amp;DJ97&amp;" lajes L-"&amp;CJ115,0),IF(CT97=0,0,CI97-DJ96&amp;" lajes L-"&amp;CJ114&amp;" transportadas em "&amp;CT97&amp;" carretas somente com lajes"&amp;"--"&amp;"sendo "&amp;CS97&amp;" lajes no máximo transportadas em cada carreta ")&amp;IF(DJ97&gt;0," e mais "&amp;DJ97&amp;" lajes L-"&amp;CJ115&amp;" por carreta","-"&amp;" ---- "&amp;$GA$98&amp;" pilares em cada carreta"))),IF(CI97=0,0,IF(CT97&lt;=1,IF(CT97=0,0,CI97-DJ96&amp;" laje L-"&amp;CJ114&amp;" transportada em "&amp;CT97&amp;" carretas somente com lajes"&amp;"--"&amp;"sendo "&amp;CS97&amp;" lajes no máximo transportadas em cada carreta ")&amp;IF(DJ97&gt;0," e mais "&amp;DJ97&amp;" lajes L-"&amp;CJ115,0),IF(CT97=0,0,CI97-DJ96&amp;" lajes L-"&amp;CJ114&amp;" transportadas em "&amp;CT97&amp;" carretas somente com lajes"&amp;"--"&amp;"sendo "&amp;CS97&amp;" lajes no máximo transportadas em cada carreta ")&amp;IF(DJ97&gt;0," e mais "&amp;DJ97&amp;" lajes L-"&amp;CJ115&amp;" por carreta",0))))</f>
        <v>0</v>
      </c>
      <c r="CV97" s="2119"/>
      <c r="CW97" s="2119"/>
      <c r="CX97" s="2119"/>
      <c r="CY97" s="2119"/>
      <c r="CZ97" s="1703"/>
      <c r="DB97" s="32">
        <f t="shared" ca="1" si="168"/>
        <v>0</v>
      </c>
      <c r="DC97" s="32">
        <f t="shared" ca="1" si="169"/>
        <v>0</v>
      </c>
      <c r="DD97" s="1702" t="str">
        <f ca="1">IF(DD114&lt;&gt;0,DD114,IF(ENTRADAS!$E$1075="x",0,IF(DK97&lt;=1,IF(DC97=0,0,DK97&amp;" laje L-"&amp;CJ114&amp;" transportada em "&amp;DC97&amp;" carretas somente com lajes"&amp;"--"&amp;"sendo "&amp;DB97&amp;" lajes L-"&amp;CJ114&amp;" no máximo transportadas em cada carreta---- ")&amp;IF(DJ97&gt;0," e mais "&amp;DJ97&amp;" lajes L-"&amp;CJ115,0),IF(DC97=0,0,DK97&amp;" lajes L-"&amp;CJ114&amp;" transportadas em "&amp;DC97&amp;" carretas somente com lajes"&amp;"--"&amp;"sendo "&amp;DB97&amp;" lajes L-"&amp;CJ114&amp;" no máximo transportadas em cada carreta---- ")&amp;IF(DJ97&gt;0," e mais "&amp;DJ97&amp;" lajes L-"&amp;CJ115&amp;" por carreta",0))))</f>
        <v>00</v>
      </c>
      <c r="DE97" s="2119"/>
      <c r="DF97" s="2119"/>
      <c r="DG97" s="2119"/>
      <c r="DH97" s="2119"/>
      <c r="DI97" s="1703"/>
      <c r="DJ97" s="32">
        <f>IF(ENTRADAS!C1085="X",CW76,IF(ENTRADAS!C1088="X",DP76,IF(ENTRADAS!C1091="X",EI76,IF(ENTRADAS!C1094="X",FB76,IF(ENTRADAS!C1097="X",FU76,0)))))</f>
        <v>0</v>
      </c>
      <c r="DK97" s="569">
        <f t="shared" ca="1" si="175"/>
        <v>0</v>
      </c>
      <c r="GA97">
        <f ca="1">IF($C$166="X",FY96,IF($C$169="X",FZ96,IF($C$172="X",GA96,IF($C$175="X",GB96,IF($C$178="X",GC96,0)))))</f>
        <v>0</v>
      </c>
    </row>
    <row r="98" spans="2:183" x14ac:dyDescent="0.35">
      <c r="C98" t="s">
        <v>2359</v>
      </c>
      <c r="H98">
        <v>8</v>
      </c>
      <c r="I98" t="s">
        <v>1802</v>
      </c>
      <c r="BY98" s="560"/>
      <c r="BZ98" s="32">
        <v>5</v>
      </c>
      <c r="CA98" s="7">
        <f t="shared" ca="1" si="161"/>
        <v>0</v>
      </c>
      <c r="CB98" s="7">
        <f t="shared" ca="1" si="162"/>
        <v>0</v>
      </c>
      <c r="CC98" s="7">
        <f t="shared" ca="1" si="163"/>
        <v>0</v>
      </c>
      <c r="CD98" s="7">
        <f t="shared" ca="1" si="170"/>
        <v>0</v>
      </c>
      <c r="CE98" s="7">
        <f t="shared" ca="1" si="164"/>
        <v>0</v>
      </c>
      <c r="CF98" s="32">
        <f t="shared" ca="1" si="171"/>
        <v>0</v>
      </c>
      <c r="CG98" s="32">
        <f t="shared" ca="1" si="172"/>
        <v>0</v>
      </c>
      <c r="CH98" s="32">
        <f t="shared" ca="1" si="173"/>
        <v>0</v>
      </c>
      <c r="CI98" s="32">
        <f t="shared" ca="1" si="165"/>
        <v>0</v>
      </c>
      <c r="CK98" s="1702">
        <f t="shared" ca="1" si="174"/>
        <v>0</v>
      </c>
      <c r="CL98" s="2119"/>
      <c r="CM98" s="2119"/>
      <c r="CN98" s="2119"/>
      <c r="CO98" s="2119"/>
      <c r="CP98" s="2119"/>
      <c r="CQ98" s="1703"/>
      <c r="CS98" s="433">
        <f t="shared" ca="1" si="166"/>
        <v>0</v>
      </c>
      <c r="CT98" s="433">
        <f t="shared" ca="1" si="167"/>
        <v>0</v>
      </c>
      <c r="CU98" s="1702">
        <f ca="1">IF($FZ$100="L-6",IF(CI98=0,0,IF(CT98&lt;=1,IF(CT98=0,0,CI98-DJ97&amp;" laje L-"&amp;CJ115&amp;" transportada em "&amp;CT98&amp;" carretas somente com lajes"&amp;"--"&amp;"sendo "&amp;CS98&amp;" lajes no máximo transportadas em cada carreta ")&amp;IF(DJ98&gt;0," e mais "&amp;DJ98&amp;" lajes L-"&amp;CJ116,0),IF(CT98=0,0,CI98-DJ97&amp;" lajes L-"&amp;CJ115&amp;" transportadas em "&amp;CT98&amp;" carretas somente com lajes"&amp;"--"&amp;"sendo "&amp;CS98&amp;" lajes no máximo transportadas em cada carreta ")&amp;IF(DJ98&gt;0," e mais "&amp;DJ98&amp;" lajes L-"&amp;CJ116&amp;" por carreta","-"&amp;" ---- "&amp;$GA$98&amp;" pilares em cada carreta"))),IF(CI98=0,0,IF(CT98&lt;=1,IF(CT98=0,0,CI98-DJ97&amp;" laje L-"&amp;CJ115&amp;" transportada em "&amp;CT98&amp;" carretas somente com lajes"&amp;"--"&amp;"sendo "&amp;CS98&amp;" lajes no máximo transportadas em cada carreta ")&amp;IF(DJ98&gt;0," e mais "&amp;DJ98&amp;" lajes L-"&amp;CJ116,0),IF(CT98=0,0,CI98-DJ97&amp;" lajes L-"&amp;CJ115&amp;" transportadas em "&amp;CT98&amp;" carretas somente com lajes"&amp;"--"&amp;"sendo "&amp;CS98&amp;" lajes no máximo transportadas em cada carreta ")&amp;IF(DJ98&gt;0," e mais "&amp;DJ98&amp;" lajes L-"&amp;CJ116&amp;" por carreta",0))))</f>
        <v>0</v>
      </c>
      <c r="CV98" s="2119"/>
      <c r="CW98" s="2119"/>
      <c r="CX98" s="2119"/>
      <c r="CY98" s="2119"/>
      <c r="CZ98" s="1703"/>
      <c r="DB98" s="32">
        <f t="shared" ca="1" si="168"/>
        <v>0</v>
      </c>
      <c r="DC98" s="32">
        <f t="shared" ca="1" si="169"/>
        <v>0</v>
      </c>
      <c r="DD98" s="1702" t="str">
        <f ca="1">IF(DD115&lt;&gt;0,DD115,IF(ENTRADAS!$E$1075="x",0,IF(DK98&lt;=1,IF(DC98=0,0,DK98&amp;" laje L-"&amp;CJ115&amp;" transportada em "&amp;DC98&amp;" carretas somente com lajes"&amp;"--"&amp;"sendo "&amp;DB98&amp;" lajes L-"&amp;CJ115&amp;" no máximo transportadas em cada carreta---- ")&amp;IF(DJ98&gt;0," e mais "&amp;DJ98&amp;" lajes L-"&amp;CJ116,0),IF(DC98=0,0,DK98&amp;" lajes L-"&amp;CJ115&amp;" transportadas em "&amp;DC98&amp;" carretas somente com lajes"&amp;"--"&amp;"sendo "&amp;DB98&amp;" lajes L-"&amp;CJ115&amp;" no máximo transportadas em cada carreta---- ")&amp;IF(DJ98&gt;0," e mais "&amp;DJ98&amp;" lajes L-"&amp;CJ116&amp;" por carreta",0))))</f>
        <v>00</v>
      </c>
      <c r="DE98" s="2119"/>
      <c r="DF98" s="2119"/>
      <c r="DG98" s="2119"/>
      <c r="DH98" s="2119"/>
      <c r="DI98" s="1703"/>
      <c r="DJ98" s="32">
        <f>IF(ENTRADAS!C1086="X",CW77,IF(ENTRADAS!C1089="X",DP77,IF(ENTRADAS!C1092="X",EI77,IF(ENTRADAS!C1095="X",FB77,IF(ENTRADAS!C1098="X",FU77,0)))))</f>
        <v>0</v>
      </c>
      <c r="DK98" s="569">
        <f t="shared" ca="1" si="175"/>
        <v>0</v>
      </c>
      <c r="FU98" t="s">
        <v>2357</v>
      </c>
      <c r="FW98" s="5"/>
      <c r="FX98" s="5"/>
      <c r="FY98" s="575" t="s">
        <v>35</v>
      </c>
      <c r="FZ98" s="630" t="s">
        <v>2360</v>
      </c>
      <c r="GA98" s="32">
        <f>IF(FY98="X",0,IF(ENTRADAS!E1075="X",IF(SUM(CI93:CI108)=0,0,IF(GA97&gt;=D12,D12,GA97)),IF(GA97&gt;=D12,D12,GA97)))</f>
        <v>0</v>
      </c>
    </row>
    <row r="99" spans="2:183" x14ac:dyDescent="0.35">
      <c r="BY99" s="560"/>
      <c r="BZ99" s="32">
        <v>6</v>
      </c>
      <c r="CA99" s="7">
        <f t="shared" ca="1" si="161"/>
        <v>0</v>
      </c>
      <c r="CB99" s="7">
        <f t="shared" ca="1" si="162"/>
        <v>0</v>
      </c>
      <c r="CC99" s="7">
        <f t="shared" ca="1" si="163"/>
        <v>0</v>
      </c>
      <c r="CD99" s="7">
        <f t="shared" ca="1" si="170"/>
        <v>0</v>
      </c>
      <c r="CE99" s="7">
        <f t="shared" ca="1" si="164"/>
        <v>0</v>
      </c>
      <c r="CF99" s="32">
        <f t="shared" ca="1" si="171"/>
        <v>0</v>
      </c>
      <c r="CG99" s="32">
        <f t="shared" ca="1" si="172"/>
        <v>0</v>
      </c>
      <c r="CH99" s="32">
        <f t="shared" ca="1" si="173"/>
        <v>0</v>
      </c>
      <c r="CI99" s="32">
        <f t="shared" ca="1" si="165"/>
        <v>0</v>
      </c>
      <c r="CK99" s="1702">
        <f t="shared" ca="1" si="174"/>
        <v>0</v>
      </c>
      <c r="CL99" s="2119"/>
      <c r="CM99" s="2119"/>
      <c r="CN99" s="2119"/>
      <c r="CO99" s="2119"/>
      <c r="CP99" s="2119"/>
      <c r="CQ99" s="1703"/>
      <c r="CS99" s="433">
        <f t="shared" ca="1" si="166"/>
        <v>0</v>
      </c>
      <c r="CT99" s="433">
        <f t="shared" ca="1" si="167"/>
        <v>0</v>
      </c>
      <c r="CU99" s="1702">
        <f ca="1">IF($FZ$100="L-7",IF(CI99=0,0,IF(CT99&lt;=1,IF(CT99=0,0,CI99-DJ98&amp;" laje L-"&amp;CJ116&amp;" transportada em "&amp;CT99&amp;" carretas somente com lajes"&amp;"--"&amp;"sendo "&amp;CS99&amp;" lajes no máximo transportadas em cada carreta ")&amp;IF(DJ99&gt;0," e mais "&amp;DJ99&amp;" lajes L-"&amp;CJ117,0),IF(CT99=0,0,CI99-DJ98&amp;" lajes L-"&amp;CJ116&amp;" transportadas em "&amp;CT99&amp;" carretas somente com lajes"&amp;"--"&amp;"sendo "&amp;CS99&amp;" lajes no máximo transportadas em cada carreta ")&amp;IF(DJ99&gt;0," e mais "&amp;DJ99&amp;" lajes L-"&amp;CJ117&amp;" por carreta","-"&amp;" ---- "&amp;$GA$98&amp;" pilares em cada carreta"))),IF(CI99=0,0,IF(CT99&lt;=1,IF(CT99=0,0,CI99-DJ98&amp;" laje L-"&amp;CJ116&amp;" transportada em "&amp;CT99&amp;" carretas somente com lajes"&amp;"--"&amp;"sendo "&amp;CS99&amp;" lajes no máximo transportadas em cada carreta ")&amp;IF(DJ99&gt;0," e mais "&amp;DJ99&amp;" lajes L-"&amp;CJ117,0),IF(CT99=0,0,CI99-DJ98&amp;" lajes L-"&amp;CJ116&amp;" transportadas em "&amp;CT99&amp;" carretas somente com lajes"&amp;"--"&amp;"sendo "&amp;CS99&amp;" lajes no máximo transportadas em cada carreta ")&amp;IF(DJ99&gt;0," e mais "&amp;DJ99&amp;" lajes L-"&amp;CJ117&amp;" por carreta",0))))</f>
        <v>0</v>
      </c>
      <c r="CV99" s="2119"/>
      <c r="CW99" s="2119"/>
      <c r="CX99" s="2119"/>
      <c r="CY99" s="2119"/>
      <c r="CZ99" s="1703"/>
      <c r="DB99" s="32">
        <f t="shared" ca="1" si="168"/>
        <v>0</v>
      </c>
      <c r="DC99" s="32">
        <f t="shared" ca="1" si="169"/>
        <v>0</v>
      </c>
      <c r="DD99" s="1702" t="str">
        <f ca="1">IF(DD116&lt;&gt;0,DD116,IF(ENTRADAS!$E$1075="x",0,IF(DK99&lt;=1,IF(DC99=0,0,DK99&amp;" laje L-"&amp;CJ116&amp;" transportada em "&amp;DC99&amp;" carretas somente com lajes"&amp;"--"&amp;"sendo "&amp;DB99&amp;" lajes L-"&amp;CJ116&amp;" no máximo transportadas em cada carreta---- ")&amp;IF(DJ99&gt;0," e mais "&amp;DJ99&amp;" lajes L-"&amp;CJ117,0),IF(DC99=0,0,DK99&amp;" lajes L-"&amp;CJ116&amp;" transportadas em "&amp;DC99&amp;" carretas somente com lajes"&amp;"--"&amp;"sendo "&amp;DB99&amp;" lajes L-"&amp;CJ116&amp;" no máximo transportadas em cada carreta---- ")&amp;IF(DJ99&gt;0," e mais "&amp;DJ99&amp;" lajes L-"&amp;CJ117&amp;" por carreta",0))))</f>
        <v>00</v>
      </c>
      <c r="DE99" s="2119"/>
      <c r="DF99" s="2119"/>
      <c r="DG99" s="2119"/>
      <c r="DH99" s="2119"/>
      <c r="DI99" s="1703"/>
      <c r="DJ99" s="32">
        <f>IF(ENTRADAS!C1087="X",CW78,IF(ENTRADAS!C1090="X",DP78,IF(ENTRADAS!C1093="X",EI78,IF(ENTRADAS!C1096="X",FB78,IF(ENTRADAS!C1099="X",FU78,0)))))</f>
        <v>0</v>
      </c>
      <c r="DK99" s="569">
        <f t="shared" ca="1" si="175"/>
        <v>0</v>
      </c>
    </row>
    <row r="100" spans="2:183" x14ac:dyDescent="0.35">
      <c r="C100" t="s">
        <v>2361</v>
      </c>
      <c r="H100">
        <f ca="1">IF(G81="X",Q100,P100)</f>
        <v>0</v>
      </c>
      <c r="I100" t="str">
        <f ca="1">IF(H100=1,"dia","dias")</f>
        <v>dias</v>
      </c>
      <c r="P100" s="32">
        <f ca="1">IF(D12=0,0,IF(E5&lt;=30.15,0.5,D12/H98))</f>
        <v>0</v>
      </c>
      <c r="Q100" s="32">
        <f ca="1">IF(D12=0,0,IF(E5&lt;=30.15,0.5,ROUNDUP((D12/H98),0)))</f>
        <v>0</v>
      </c>
      <c r="BY100" s="560"/>
      <c r="BZ100" s="32">
        <v>7</v>
      </c>
      <c r="CA100" s="7">
        <f t="shared" ca="1" si="161"/>
        <v>0</v>
      </c>
      <c r="CB100" s="7">
        <f t="shared" ca="1" si="162"/>
        <v>0</v>
      </c>
      <c r="CC100" s="7">
        <f t="shared" ca="1" si="163"/>
        <v>0</v>
      </c>
      <c r="CD100" s="7">
        <f t="shared" ca="1" si="170"/>
        <v>0</v>
      </c>
      <c r="CE100" s="7">
        <f t="shared" ca="1" si="164"/>
        <v>0</v>
      </c>
      <c r="CF100" s="32">
        <f t="shared" ca="1" si="171"/>
        <v>0</v>
      </c>
      <c r="CG100" s="32">
        <f t="shared" ca="1" si="172"/>
        <v>0</v>
      </c>
      <c r="CH100" s="32">
        <f t="shared" ca="1" si="173"/>
        <v>0</v>
      </c>
      <c r="CI100" s="32">
        <f t="shared" ca="1" si="165"/>
        <v>0</v>
      </c>
      <c r="CK100" s="1702">
        <f t="shared" ca="1" si="174"/>
        <v>0</v>
      </c>
      <c r="CL100" s="2119"/>
      <c r="CM100" s="2119"/>
      <c r="CN100" s="2119"/>
      <c r="CO100" s="2119"/>
      <c r="CP100" s="2119"/>
      <c r="CQ100" s="1703"/>
      <c r="CS100" s="433">
        <f t="shared" ca="1" si="166"/>
        <v>0</v>
      </c>
      <c r="CT100" s="433">
        <f t="shared" ca="1" si="167"/>
        <v>0</v>
      </c>
      <c r="CU100" s="1702">
        <f ca="1">IF($FZ$100="L-8",IF(CI100=0,0,IF(CT100&lt;=1,IF(CT100=0,0,CI100-DJ99&amp;" laje L-"&amp;CJ117&amp;" transportada em "&amp;CT100&amp;" carretas somente com lajes"&amp;"--"&amp;"sendo "&amp;CS100&amp;" lajes no máximo transportadas em cada carreta ")&amp;IF(DJ100&gt;0," e mais "&amp;DJ100&amp;" lajes L-"&amp;CJ118,0),IF(CT100=0,0,CI100-DJ99&amp;" lajes L-"&amp;CJ117&amp;" transportadas em "&amp;CT100&amp;" carretas somente com lajes"&amp;"--"&amp;"sendo "&amp;CS100&amp;" lajes no máximo transportadas em cada carreta ")&amp;IF(DJ100&gt;0," e mais "&amp;DJ100&amp;" lajes L-"&amp;CJ118&amp;" por carreta","-"&amp;" ---- "&amp;$GA$98&amp;" pilares em cada carreta"))),IF(CI100=0,0,IF(CT100&lt;=1,IF(CT100=0,0,CI100-DJ99&amp;" laje L-"&amp;CJ117&amp;" transportada em "&amp;CT100&amp;" carretas somente com lajes"&amp;"--"&amp;"sendo "&amp;CS100&amp;" lajes no máximo transportadas em cada carreta ")&amp;IF(DJ100&gt;0," e mais "&amp;DJ100&amp;" lajes L-"&amp;CJ118,0),IF(CT100=0,0,CI100-DJ99&amp;" lajes L-"&amp;CJ117&amp;" transportadas em "&amp;CT100&amp;" carretas somente com lajes"&amp;"--"&amp;"sendo "&amp;CS100&amp;" lajes no máximo transportadas em cada carreta ")&amp;IF(DJ100&gt;0," e mais "&amp;DJ100&amp;" lajes L-"&amp;CJ118&amp;" por carreta",0))))</f>
        <v>0</v>
      </c>
      <c r="CV100" s="2119"/>
      <c r="CW100" s="2119"/>
      <c r="CX100" s="2119"/>
      <c r="CY100" s="2119"/>
      <c r="CZ100" s="1703"/>
      <c r="DB100" s="32">
        <f t="shared" ca="1" si="168"/>
        <v>0</v>
      </c>
      <c r="DC100" s="32">
        <f t="shared" ca="1" si="169"/>
        <v>0</v>
      </c>
      <c r="DD100" s="1702" t="str">
        <f ca="1">IF(DD117&lt;&gt;0,DD117,IF(ENTRADAS!$E$1075="x",0,IF(DK100&lt;=1,IF(DC100=0,0,DK100&amp;" laje L-"&amp;CJ117&amp;" transportada em "&amp;DC100&amp;" carretas somente com lajes"&amp;"--"&amp;"sendo "&amp;DB100&amp;" lajes L-"&amp;CJ117&amp;" no máximo transportadas em cada carreta---- ")&amp;IF(DJ100&gt;0," e mais "&amp;DJ100&amp;" lajes L-"&amp;CJ118,0),IF(DC100=0,0,DK100&amp;" lajes L-"&amp;CJ117&amp;" transportadas em "&amp;DC100&amp;" carretas somente com lajes"&amp;"--"&amp;"sendo "&amp;DB100&amp;" lajes L-"&amp;CJ117&amp;" no máximo transportadas em cada carreta---- ")&amp;IF(DJ100&gt;0," e mais "&amp;DJ100&amp;" lajes L-"&amp;CJ118&amp;" por carreta",0))))</f>
        <v>00</v>
      </c>
      <c r="DE100" s="2119"/>
      <c r="DF100" s="2119"/>
      <c r="DG100" s="2119"/>
      <c r="DH100" s="2119"/>
      <c r="DI100" s="1703"/>
      <c r="DJ100" s="32">
        <f>IF(ENTRADAS!C1088="X",CW79,IF(ENTRADAS!C1091="X",DP79,IF(ENTRADAS!C1094="X",EI79,IF(ENTRADAS!C1097="X",FB79,IF(ENTRADAS!C1100="X",FU79,0)))))</f>
        <v>0</v>
      </c>
      <c r="DK100" s="569">
        <f t="shared" ca="1" si="175"/>
        <v>0</v>
      </c>
      <c r="FZ100" s="32">
        <f>IF(GA98=0,0,VLOOKUP(1,FX72:GD86,7,0))</f>
        <v>0</v>
      </c>
      <c r="GA100" s="627" t="s">
        <v>2362</v>
      </c>
    </row>
    <row r="101" spans="2:183" x14ac:dyDescent="0.35">
      <c r="BY101" s="560"/>
      <c r="BZ101" s="32">
        <v>8</v>
      </c>
      <c r="CA101" s="7">
        <f t="shared" ca="1" si="161"/>
        <v>0</v>
      </c>
      <c r="CB101" s="7">
        <f t="shared" ca="1" si="162"/>
        <v>0</v>
      </c>
      <c r="CC101" s="7">
        <f t="shared" ca="1" si="163"/>
        <v>0</v>
      </c>
      <c r="CD101" s="7">
        <f t="shared" ca="1" si="170"/>
        <v>0</v>
      </c>
      <c r="CE101" s="7">
        <f t="shared" ca="1" si="164"/>
        <v>0</v>
      </c>
      <c r="CF101" s="32">
        <f t="shared" ca="1" si="171"/>
        <v>0</v>
      </c>
      <c r="CG101" s="32">
        <f t="shared" ca="1" si="172"/>
        <v>0</v>
      </c>
      <c r="CH101" s="32">
        <f t="shared" ca="1" si="173"/>
        <v>0</v>
      </c>
      <c r="CI101" s="32">
        <f t="shared" ca="1" si="165"/>
        <v>0</v>
      </c>
      <c r="CK101" s="1702">
        <f t="shared" ca="1" si="174"/>
        <v>0</v>
      </c>
      <c r="CL101" s="2119"/>
      <c r="CM101" s="2119"/>
      <c r="CN101" s="2119"/>
      <c r="CO101" s="2119"/>
      <c r="CP101" s="2119"/>
      <c r="CQ101" s="1703"/>
      <c r="CS101" s="433">
        <f t="shared" ca="1" si="166"/>
        <v>0</v>
      </c>
      <c r="CT101" s="433">
        <f t="shared" ca="1" si="167"/>
        <v>0</v>
      </c>
      <c r="CU101" s="1702">
        <f ca="1">IF($FZ$100="L-9",IF(CI101=0,0,IF(CT101&lt;=1,IF(CT101=0,0,CI101-DJ100&amp;" laje L-"&amp;CJ118&amp;" transportada em "&amp;CT101&amp;" carretas somente com lajes"&amp;"--"&amp;"sendo "&amp;CS101&amp;" lajes no máximo transportadas em cada carreta ")&amp;IF(DJ101&gt;0," e mais "&amp;DJ101&amp;" lajes L-"&amp;CJ119,0),IF(CT101=0,0,CI101-DJ100&amp;" lajes L-"&amp;CJ118&amp;" transportadas em "&amp;CT101&amp;" carretas somente com lajes"&amp;"--"&amp;"sendo "&amp;CS101&amp;" lajes no máximo transportadas em cada carreta ")&amp;IF(DJ101&gt;0," e mais "&amp;DJ101&amp;" lajes L-"&amp;CJ119&amp;" por carreta","-"&amp;" ---- "&amp;$GA$98&amp;" pilares em cada carreta"))),IF(CI101=0,0,IF(CT101&lt;=1,IF(CT101=0,0,CI101-DJ100&amp;" laje L-"&amp;CJ118&amp;" transportada em "&amp;CT101&amp;" carretas somente com lajes"&amp;"--"&amp;"sendo "&amp;CS101&amp;" lajes no máximo transportadas em cada carreta ")&amp;IF(DJ101&gt;0," e mais "&amp;DJ101&amp;" lajes L-"&amp;CJ119,0),IF(CT101=0,0,CI101-DJ100&amp;" lajes L-"&amp;CJ118&amp;" transportadas em "&amp;CT101&amp;" carretas somente com lajes"&amp;"--"&amp;"sendo "&amp;CS101&amp;" lajes no máximo transportadas em cada carreta ")&amp;IF(DJ101&gt;0," e mais "&amp;DJ101&amp;" lajes L-"&amp;CJ119&amp;" por carreta",0))))</f>
        <v>0</v>
      </c>
      <c r="CV101" s="2119"/>
      <c r="CW101" s="2119"/>
      <c r="CX101" s="2119"/>
      <c r="CY101" s="2119"/>
      <c r="CZ101" s="1703"/>
      <c r="DB101" s="32">
        <f t="shared" ca="1" si="168"/>
        <v>0</v>
      </c>
      <c r="DC101" s="32">
        <f t="shared" ca="1" si="169"/>
        <v>0</v>
      </c>
      <c r="DD101" s="1702" t="str">
        <f ca="1">IF(DD118&lt;&gt;0,DD118,IF(ENTRADAS!$E$1075="x",0,IF(DK101&lt;=1,IF(DC101=0,0,DK101&amp;" laje L-"&amp;CJ118&amp;" transportada em "&amp;DC101&amp;" carretas somente com lajes"&amp;"--"&amp;"sendo "&amp;DB101&amp;" lajes L-"&amp;CJ118&amp;" no máximo transportadas em cada carreta---- ")&amp;IF(DJ101&gt;0," e mais "&amp;DJ101&amp;" lajes L-"&amp;CJ119,0),IF(DC101=0,0,DK101&amp;" lajes L-"&amp;CJ118&amp;" transportadas em "&amp;DC101&amp;" carretas somente com lajes"&amp;"--"&amp;"sendo "&amp;DB101&amp;" lajes L-"&amp;CJ118&amp;" no máximo transportadas em cada carreta---- ")&amp;IF(DJ101&gt;0," e mais "&amp;DJ101&amp;" lajes L-"&amp;CJ119&amp;" por carreta",0))))</f>
        <v>00</v>
      </c>
      <c r="DE101" s="2119"/>
      <c r="DF101" s="2119"/>
      <c r="DG101" s="2119"/>
      <c r="DH101" s="2119"/>
      <c r="DI101" s="1703"/>
      <c r="DJ101" s="32">
        <f>IF(ENTRADAS!C1089="X",CW80,IF(ENTRADAS!C1092="X",DP80,IF(ENTRADAS!C1095="X",EI80,IF(ENTRADAS!C1098="X",FB80,IF(ENTRADAS!C1101="X",FU80,0)))))</f>
        <v>0</v>
      </c>
      <c r="DK101" s="569">
        <f t="shared" ca="1" si="175"/>
        <v>0</v>
      </c>
    </row>
    <row r="102" spans="2:183" x14ac:dyDescent="0.35">
      <c r="B102" t="s">
        <v>2363</v>
      </c>
      <c r="H102">
        <v>8</v>
      </c>
      <c r="I102" t="s">
        <v>1802</v>
      </c>
      <c r="BY102" s="560"/>
      <c r="BZ102" s="32">
        <v>9</v>
      </c>
      <c r="CA102" s="7">
        <f t="shared" ca="1" si="161"/>
        <v>0</v>
      </c>
      <c r="CB102" s="7">
        <f t="shared" ca="1" si="162"/>
        <v>0</v>
      </c>
      <c r="CC102" s="7">
        <f t="shared" ca="1" si="163"/>
        <v>0</v>
      </c>
      <c r="CD102" s="7">
        <f t="shared" ca="1" si="170"/>
        <v>0</v>
      </c>
      <c r="CE102" s="7">
        <f t="shared" ca="1" si="164"/>
        <v>0</v>
      </c>
      <c r="CF102" s="32">
        <f t="shared" ca="1" si="171"/>
        <v>0</v>
      </c>
      <c r="CG102" s="32">
        <f t="shared" ca="1" si="172"/>
        <v>0</v>
      </c>
      <c r="CH102" s="32">
        <f t="shared" ca="1" si="173"/>
        <v>0</v>
      </c>
      <c r="CI102" s="32">
        <f t="shared" ca="1" si="165"/>
        <v>0</v>
      </c>
      <c r="CK102" s="1702">
        <f t="shared" ca="1" si="174"/>
        <v>0</v>
      </c>
      <c r="CL102" s="2119"/>
      <c r="CM102" s="2119"/>
      <c r="CN102" s="2119"/>
      <c r="CO102" s="2119"/>
      <c r="CP102" s="2119"/>
      <c r="CQ102" s="1703"/>
      <c r="CS102" s="433">
        <f t="shared" ca="1" si="166"/>
        <v>0</v>
      </c>
      <c r="CT102" s="433">
        <f t="shared" ca="1" si="167"/>
        <v>0</v>
      </c>
      <c r="CU102" s="1702">
        <f ca="1">IF($FZ$100="L-10",IF(CI102=0,0,IF(CT102&lt;=1,IF(CT102=0,0,CI102-DJ101&amp;" laje L-"&amp;CJ119&amp;" transportada em "&amp;CT102&amp;" carretas somente com lajes"&amp;"--"&amp;"sendo "&amp;CS102&amp;" lajes no máximo transportadas em cada carreta ")&amp;IF(DJ102&gt;0," e mais "&amp;DJ102&amp;" lajes L-"&amp;CJ120,0),IF(CT102=0,0,CI102-DJ101&amp;" lajes L-"&amp;CJ119&amp;" transportadas em "&amp;CT102&amp;" carretas somente com lajes"&amp;"--"&amp;"sendo "&amp;CS102&amp;" lajes no máximo transportadas em cada carreta ")&amp;IF(DJ102&gt;0," e mais "&amp;DJ102&amp;" lajes L-"&amp;CJ120&amp;" por carreta","-"&amp;" ---- "&amp;$GA$98&amp;" pilares em cada carreta"))),IF(CI102=0,0,IF(CT102&lt;=1,IF(CT102=0,0,CI102-DJ101&amp;" laje L-"&amp;CJ119&amp;" transportada em "&amp;CT102&amp;" carretas somente com lajes"&amp;"--"&amp;"sendo "&amp;CS102&amp;" lajes no máximo transportadas em cada carreta ")&amp;IF(DJ102&gt;0," e mais "&amp;DJ102&amp;" lajes L-"&amp;CJ120,0),IF(CT102=0,0,CI102-DJ101&amp;" lajes L-"&amp;CJ119&amp;" transportadas em "&amp;CT102&amp;" carretas somente com lajes"&amp;"--"&amp;"sendo "&amp;CS102&amp;" lajes no máximo transportadas em cada carreta ")&amp;IF(DJ102&gt;0," e mais "&amp;DJ102&amp;" lajes L-"&amp;CJ120&amp;" por carreta",0))))</f>
        <v>0</v>
      </c>
      <c r="CV102" s="2119"/>
      <c r="CW102" s="2119"/>
      <c r="CX102" s="2119"/>
      <c r="CY102" s="2119"/>
      <c r="CZ102" s="1703"/>
      <c r="DB102" s="32">
        <f t="shared" ca="1" si="168"/>
        <v>0</v>
      </c>
      <c r="DC102" s="32">
        <f t="shared" ca="1" si="169"/>
        <v>0</v>
      </c>
      <c r="DD102" s="1702" t="str">
        <f ca="1">IF(DD119&lt;&gt;0,DD119,IF(ENTRADAS!$E$1075="x",0,IF(DK102&lt;=1,IF(DC102=0,0,DK102&amp;" laje L-"&amp;CJ119&amp;" transportada em "&amp;DC102&amp;" carretas somente com lajes"&amp;"--"&amp;"sendo "&amp;DB102&amp;" lajes L-"&amp;CJ119&amp;" no máximo transportadas em cada carreta---- ")&amp;IF(DJ102&gt;0," e mais "&amp;DJ102&amp;" lajes L-"&amp;CJ120,0),IF(DC102=0,0,DK102&amp;" lajes L-"&amp;CJ119&amp;" transportadas em "&amp;DC102&amp;" carretas somente com lajes"&amp;"--"&amp;"sendo "&amp;DB102&amp;" lajes L-"&amp;CJ119&amp;" no máximo transportadas em cada carreta---- ")&amp;IF(DJ102&gt;0," e mais "&amp;DJ102&amp;" lajes L-"&amp;CJ120&amp;" por carreta",0))))</f>
        <v>00</v>
      </c>
      <c r="DE102" s="2119"/>
      <c r="DF102" s="2119"/>
      <c r="DG102" s="2119"/>
      <c r="DH102" s="2119"/>
      <c r="DI102" s="1703"/>
      <c r="DJ102" s="32">
        <f>IF(ENTRADAS!C1090="X",CW81,IF(ENTRADAS!C1093="X",DP81,IF(ENTRADAS!C1096="X",EI81,IF(ENTRADAS!C1099="X",FB81,IF(ENTRADAS!C1102="X",FU81,0)))))</f>
        <v>0</v>
      </c>
      <c r="DK102" s="569">
        <f t="shared" ca="1" si="175"/>
        <v>0</v>
      </c>
    </row>
    <row r="103" spans="2:183" x14ac:dyDescent="0.35">
      <c r="BY103" s="560"/>
      <c r="BZ103" s="32">
        <v>10</v>
      </c>
      <c r="CA103" s="7">
        <f t="shared" ca="1" si="161"/>
        <v>0</v>
      </c>
      <c r="CB103" s="7">
        <f t="shared" ca="1" si="162"/>
        <v>0</v>
      </c>
      <c r="CC103" s="7">
        <f t="shared" ca="1" si="163"/>
        <v>0</v>
      </c>
      <c r="CD103" s="7">
        <f t="shared" ca="1" si="170"/>
        <v>0</v>
      </c>
      <c r="CE103" s="7">
        <f t="shared" ca="1" si="164"/>
        <v>0</v>
      </c>
      <c r="CF103" s="32">
        <f t="shared" ca="1" si="171"/>
        <v>0</v>
      </c>
      <c r="CG103" s="32">
        <f t="shared" ca="1" si="172"/>
        <v>0</v>
      </c>
      <c r="CH103" s="32">
        <f t="shared" ca="1" si="173"/>
        <v>0</v>
      </c>
      <c r="CI103" s="32">
        <f t="shared" ca="1" si="165"/>
        <v>0</v>
      </c>
      <c r="CK103" s="1702">
        <f t="shared" ca="1" si="174"/>
        <v>0</v>
      </c>
      <c r="CL103" s="2119"/>
      <c r="CM103" s="2119"/>
      <c r="CN103" s="2119"/>
      <c r="CO103" s="2119"/>
      <c r="CP103" s="2119"/>
      <c r="CQ103" s="1703"/>
      <c r="CS103" s="433">
        <f t="shared" ca="1" si="166"/>
        <v>0</v>
      </c>
      <c r="CT103" s="433">
        <f t="shared" ca="1" si="167"/>
        <v>0</v>
      </c>
      <c r="CU103" s="1702">
        <f ca="1">IF($FZ$100="L-11",IF(CI103=0,0,IF(CT103&lt;=1,IF(CT103=0,0,CI103-DJ102&amp;" laje L-"&amp;CJ120&amp;" transportada em "&amp;CT103&amp;" carretas somente com lajes"&amp;"--"&amp;"sendo "&amp;CS103&amp;" lajes no máximo transportadas em cada carreta ")&amp;IF(DJ103&gt;0," e mais "&amp;DJ103&amp;" lajes L-"&amp;CJ121,0),IF(CT103=0,0,CI103-DJ102&amp;" lajes L-"&amp;CJ120&amp;" transportadas em "&amp;CT103&amp;" carretas somente com lajes"&amp;"--"&amp;"sendo "&amp;CS103&amp;" lajes no máximo transportadas em cada carreta ")&amp;IF(DJ103&gt;0," e mais "&amp;DJ103&amp;" lajes L-"&amp;CJ121&amp;" por carreta","-"&amp;" ---- "&amp;$GA$98&amp;" pilares em cada carreta"))),IF(CI103=0,0,IF(CT103&lt;=1,IF(CT103=0,0,CI103-DJ102&amp;" laje L-"&amp;CJ120&amp;" transportada em "&amp;CT103&amp;" carretas somente com lajes"&amp;"--"&amp;"sendo "&amp;CS103&amp;" lajes no máximo transportadas em cada carreta ")&amp;IF(DJ103&gt;0," e mais "&amp;DJ103&amp;" lajes L-"&amp;CJ121,0),IF(CT103=0,0,CI103-DJ102&amp;" lajes L-"&amp;CJ120&amp;" transportadas em "&amp;CT103&amp;" carretas somente com lajes"&amp;"--"&amp;"sendo "&amp;CS103&amp;" lajes no máximo transportadas em cada carreta ")&amp;IF(DJ103&gt;0," e mais "&amp;DJ103&amp;" lajes L-"&amp;CJ121&amp;" por carreta",0))))</f>
        <v>0</v>
      </c>
      <c r="CV103" s="2119"/>
      <c r="CW103" s="2119"/>
      <c r="CX103" s="2119"/>
      <c r="CY103" s="2119"/>
      <c r="CZ103" s="1703"/>
      <c r="DB103" s="32">
        <f t="shared" ca="1" si="168"/>
        <v>0</v>
      </c>
      <c r="DC103" s="32">
        <f t="shared" ca="1" si="169"/>
        <v>0</v>
      </c>
      <c r="DD103" s="1702" t="str">
        <f ca="1">IF(DD120&lt;&gt;0,DD120,IF(ENTRADAS!$E$1075="x",0,IF(DK103&lt;=1,IF(DC103=0,0,DK103&amp;" laje L-"&amp;CJ120&amp;" transportada em "&amp;DC103&amp;" carretas somente com lajes"&amp;"--"&amp;"sendo "&amp;DB103&amp;" lajes L-"&amp;CJ120&amp;" no máximo transportadas em cada carreta---- ")&amp;IF(DJ103&gt;0," e mais "&amp;DJ103&amp;" lajes L-"&amp;CJ121,0),IF(DC103=0,0,DK103&amp;" lajes L-"&amp;CJ120&amp;" transportadas em "&amp;DC103&amp;" carretas somente com lajes"&amp;"--"&amp;"sendo "&amp;DB103&amp;" lajes L-"&amp;CJ120&amp;" no máximo transportadas em cada carreta---- ")&amp;IF(DJ103&gt;0," e mais "&amp;DJ103&amp;" lajes L-"&amp;CJ121&amp;" por carreta",0))))</f>
        <v>00</v>
      </c>
      <c r="DE103" s="2119"/>
      <c r="DF103" s="2119"/>
      <c r="DG103" s="2119"/>
      <c r="DH103" s="2119"/>
      <c r="DI103" s="1703"/>
      <c r="DJ103" s="32">
        <f>IF(ENTRADAS!C1091="X",CW82,IF(ENTRADAS!C1094="X",DP82,IF(ENTRADAS!C1097="X",EI82,IF(ENTRADAS!C1100="X",FB82,IF(ENTRADAS!C1103="X",FU82,0)))))</f>
        <v>0</v>
      </c>
      <c r="DK103" s="569">
        <f t="shared" ca="1" si="175"/>
        <v>0</v>
      </c>
    </row>
    <row r="104" spans="2:183" x14ac:dyDescent="0.35">
      <c r="C104" t="s">
        <v>2364</v>
      </c>
      <c r="H104" s="37">
        <f ca="1">IF(E6=0,0,1/150)</f>
        <v>0</v>
      </c>
      <c r="I104" t="str">
        <f ca="1">IF(H104=1,"dia","dias")</f>
        <v>dias</v>
      </c>
      <c r="BY104" s="560"/>
      <c r="BZ104" s="32">
        <v>11</v>
      </c>
      <c r="CA104" s="7">
        <f t="shared" ca="1" si="161"/>
        <v>0</v>
      </c>
      <c r="CB104" s="7">
        <f t="shared" ca="1" si="162"/>
        <v>0</v>
      </c>
      <c r="CC104" s="7">
        <f t="shared" ca="1" si="163"/>
        <v>0</v>
      </c>
      <c r="CD104" s="7">
        <f t="shared" ca="1" si="170"/>
        <v>0</v>
      </c>
      <c r="CE104" s="7">
        <f t="shared" ca="1" si="164"/>
        <v>0</v>
      </c>
      <c r="CF104" s="32">
        <f t="shared" ca="1" si="171"/>
        <v>0</v>
      </c>
      <c r="CG104" s="32">
        <f t="shared" ca="1" si="172"/>
        <v>0</v>
      </c>
      <c r="CH104" s="32">
        <f t="shared" ca="1" si="173"/>
        <v>0</v>
      </c>
      <c r="CI104" s="32">
        <f t="shared" ca="1" si="165"/>
        <v>0</v>
      </c>
      <c r="CK104" s="1702">
        <f t="shared" ca="1" si="174"/>
        <v>0</v>
      </c>
      <c r="CL104" s="2119"/>
      <c r="CM104" s="2119"/>
      <c r="CN104" s="2119"/>
      <c r="CO104" s="2119"/>
      <c r="CP104" s="2119"/>
      <c r="CQ104" s="1703"/>
      <c r="CS104" s="433">
        <f t="shared" ca="1" si="166"/>
        <v>0</v>
      </c>
      <c r="CT104" s="433">
        <f t="shared" ca="1" si="167"/>
        <v>0</v>
      </c>
      <c r="CU104" s="1702">
        <f ca="1">IF($FZ$100="L-12",IF(CI104=0,0,IF(CT104&lt;=1,IF(CT104=0,0,CI104-DJ103&amp;" laje L-"&amp;CJ121&amp;" transportada em "&amp;CT104&amp;" carretas somente com lajes"&amp;"--"&amp;"sendo "&amp;CS104&amp;" lajes no máximo transportadas em cada carreta ")&amp;IF(DJ104&gt;0," e mais "&amp;DJ104&amp;" lajes L-"&amp;CJ122,0),IF(CT104=0,0,CI104-DJ103&amp;" lajes L-"&amp;CJ121&amp;" transportadas em "&amp;CT104&amp;" carretas somente com lajes"&amp;"--"&amp;"sendo "&amp;CS104&amp;" lajes no máximo transportadas em cada carreta ")&amp;IF(DJ104&gt;0," e mais "&amp;DJ104&amp;" lajes L-"&amp;CJ122&amp;" por carreta","-"&amp;" ---- "&amp;$GA$98&amp;" pilares em cada carreta"))),IF(CI104=0,0,IF(CT104&lt;=1,IF(CT104=0,0,CI104-DJ103&amp;" laje L-"&amp;CJ121&amp;" transportada em "&amp;CT104&amp;" carretas somente com lajes"&amp;"--"&amp;"sendo "&amp;CS104&amp;" lajes no máximo transportadas em cada carreta ")&amp;IF(DJ104&gt;0," e mais "&amp;DJ104&amp;" lajes L-"&amp;CJ122,0),IF(CT104=0,0,CI104-DJ103&amp;" lajes L-"&amp;CJ121&amp;" transportadas em "&amp;CT104&amp;" carretas somente com lajes"&amp;"--"&amp;"sendo "&amp;CS104&amp;" lajes no máximo transportadas em cada carreta ")&amp;IF(DJ104&gt;0," e mais "&amp;DJ104&amp;" lajes L-"&amp;CJ122&amp;" por carreta",0))))</f>
        <v>0</v>
      </c>
      <c r="CV104" s="2119"/>
      <c r="CW104" s="2119"/>
      <c r="CX104" s="2119"/>
      <c r="CY104" s="2119"/>
      <c r="CZ104" s="1703"/>
      <c r="DB104" s="32">
        <f t="shared" ca="1" si="168"/>
        <v>0</v>
      </c>
      <c r="DC104" s="32">
        <f t="shared" ca="1" si="169"/>
        <v>0</v>
      </c>
      <c r="DD104" s="1702" t="str">
        <f ca="1">IF(DD121&lt;&gt;0,DD121,IF(ENTRADAS!$E$1075="x",0,IF(DK104&lt;=1,IF(DC104=0,0,DK104&amp;" laje L-"&amp;CJ121&amp;" transportada em "&amp;DC104&amp;" carretas somente com lajes"&amp;"--"&amp;"sendo "&amp;DB104&amp;" lajes L-"&amp;CJ121&amp;" no máximo transportadas em cada carreta---- ")&amp;IF(DJ104&gt;0," e mais "&amp;DJ104&amp;" lajes L-"&amp;CJ122,0),IF(DC104=0,0,DK104&amp;" lajes L-"&amp;CJ121&amp;" transportadas em "&amp;DC104&amp;" carretas somente com lajes"&amp;"--"&amp;"sendo "&amp;DB104&amp;" lajes L-"&amp;CJ121&amp;" no máximo transportadas em cada carreta---- ")&amp;IF(DJ104&gt;0," e mais "&amp;DJ104&amp;" lajes L-"&amp;CJ122&amp;" por carreta",0))))</f>
        <v>00</v>
      </c>
      <c r="DE104" s="2119"/>
      <c r="DF104" s="2119"/>
      <c r="DG104" s="2119"/>
      <c r="DH104" s="2119"/>
      <c r="DI104" s="1703"/>
      <c r="DJ104" s="32">
        <f>IF(ENTRADAS!C1092="X",CW83,IF(ENTRADAS!C1095="X",DP83,IF(ENTRADAS!C1098="X",EI83,IF(ENTRADAS!C1101="X",FB83,IF(ENTRADAS!C1104="X",FU83,0)))))</f>
        <v>0</v>
      </c>
      <c r="DK104" s="569">
        <f t="shared" ca="1" si="175"/>
        <v>0</v>
      </c>
    </row>
    <row r="105" spans="2:183" x14ac:dyDescent="0.35">
      <c r="BY105" s="560"/>
      <c r="BZ105" s="32">
        <v>12</v>
      </c>
      <c r="CA105" s="7">
        <f t="shared" ca="1" si="161"/>
        <v>0</v>
      </c>
      <c r="CB105" s="7">
        <f t="shared" ca="1" si="162"/>
        <v>0</v>
      </c>
      <c r="CC105" s="7">
        <f t="shared" ca="1" si="163"/>
        <v>0</v>
      </c>
      <c r="CD105" s="7">
        <f t="shared" ca="1" si="170"/>
        <v>0</v>
      </c>
      <c r="CE105" s="7">
        <f t="shared" ca="1" si="164"/>
        <v>0</v>
      </c>
      <c r="CF105" s="32">
        <f t="shared" ca="1" si="171"/>
        <v>0</v>
      </c>
      <c r="CG105" s="32">
        <f t="shared" ca="1" si="172"/>
        <v>0</v>
      </c>
      <c r="CH105" s="32">
        <f t="shared" ca="1" si="173"/>
        <v>0</v>
      </c>
      <c r="CI105" s="32">
        <f t="shared" ca="1" si="165"/>
        <v>0</v>
      </c>
      <c r="CK105" s="1702">
        <f t="shared" ca="1" si="174"/>
        <v>0</v>
      </c>
      <c r="CL105" s="2119"/>
      <c r="CM105" s="2119"/>
      <c r="CN105" s="2119"/>
      <c r="CO105" s="2119"/>
      <c r="CP105" s="2119"/>
      <c r="CQ105" s="1703"/>
      <c r="CS105" s="433">
        <f t="shared" ca="1" si="166"/>
        <v>0</v>
      </c>
      <c r="CT105" s="433">
        <f t="shared" ca="1" si="167"/>
        <v>0</v>
      </c>
      <c r="CU105" s="1702">
        <f ca="1">IF($FZ$100="L-13",IF(CI105=0,0,IF(CT105&lt;=1,IF(CT105=0,0,CI105-DJ104&amp;" laje L-"&amp;CJ122&amp;" transportada em "&amp;CT105&amp;" carretas somente com lajes"&amp;"--"&amp;"sendo "&amp;CS105&amp;" lajes no máximo transportadas em cada carreta ")&amp;IF(DJ105&gt;0," e mais "&amp;DJ105&amp;" lajes L-"&amp;CJ123,0),IF(CT105=0,0,CI105-DJ104&amp;" lajes L-"&amp;CJ122&amp;" transportadas em "&amp;CT105&amp;" carretas somente com lajes"&amp;"--"&amp;"sendo "&amp;CS105&amp;" lajes no máximo transportadas em cada carreta ")&amp;IF(DJ105&gt;0," e mais "&amp;DJ105&amp;" lajes L-"&amp;CJ123&amp;" por carreta","-"&amp;" ---- "&amp;$GA$98&amp;" pilares em cada carreta"))),IF(CI105=0,0,IF(CT105&lt;=1,IF(CT105=0,0,CI105-DJ104&amp;" laje L-"&amp;CJ122&amp;" transportada em "&amp;CT105&amp;" carretas somente com lajes"&amp;"--"&amp;"sendo "&amp;CS105&amp;" lajes no máximo transportadas em cada carreta ")&amp;IF(DJ105&gt;0," e mais "&amp;DJ105&amp;" lajes L-"&amp;CJ123,0),IF(CT105=0,0,CI105-DJ104&amp;" lajes L-"&amp;CJ122&amp;" transportadas em "&amp;CT105&amp;" carretas somente com lajes"&amp;"--"&amp;"sendo "&amp;CS105&amp;" lajes no máximo transportadas em cada carreta ")&amp;IF(DJ105&gt;0," e mais "&amp;DJ105&amp;" lajes L-"&amp;CJ123&amp;" por carreta",0))))</f>
        <v>0</v>
      </c>
      <c r="CV105" s="2119"/>
      <c r="CW105" s="2119"/>
      <c r="CX105" s="2119"/>
      <c r="CY105" s="2119"/>
      <c r="CZ105" s="1703"/>
      <c r="DB105" s="32">
        <f t="shared" ca="1" si="168"/>
        <v>0</v>
      </c>
      <c r="DC105" s="32">
        <f t="shared" ca="1" si="169"/>
        <v>0</v>
      </c>
      <c r="DD105" s="1702" t="str">
        <f ca="1">IF(DD122&lt;&gt;0,DD122,IF(ENTRADAS!$E$1075="x",0,IF(DK105&lt;=1,IF(DC105=0,0,DK105&amp;" laje L-"&amp;CJ122&amp;" transportada em "&amp;DC105&amp;" carretas somente com lajes"&amp;"--"&amp;"sendo "&amp;DB105&amp;" lajes L-"&amp;CJ122&amp;" no máximo transportadas em cada carreta---- ")&amp;IF(DJ105&gt;0," e mais "&amp;DJ105&amp;" lajes L-"&amp;CJ123,0),IF(DC105=0,0,DK105&amp;" lajes L-"&amp;CJ122&amp;" transportadas em "&amp;DC105&amp;" carretas somente com lajes"&amp;"--"&amp;"sendo "&amp;DB105&amp;" lajes L-"&amp;CJ122&amp;" no máximo transportadas em cada carreta---- ")&amp;IF(DJ105&gt;0," e mais "&amp;DJ105&amp;" lajes L-"&amp;CJ123&amp;" por carreta",0))))</f>
        <v>00</v>
      </c>
      <c r="DE105" s="2119"/>
      <c r="DF105" s="2119"/>
      <c r="DG105" s="2119"/>
      <c r="DH105" s="2119"/>
      <c r="DI105" s="1703"/>
      <c r="DJ105" s="32">
        <f>IF(ENTRADAS!C1093="X",CW84,IF(ENTRADAS!C1096="X",DP84,IF(ENTRADAS!C1099="X",EI84,IF(ENTRADAS!C1102="X",FB84,IF(ENTRADAS!C1105="X",FU84,0)))))</f>
        <v>0</v>
      </c>
      <c r="DK105" s="569">
        <f t="shared" ca="1" si="175"/>
        <v>0</v>
      </c>
    </row>
    <row r="106" spans="2:183" x14ac:dyDescent="0.35">
      <c r="C106" t="s">
        <v>2365</v>
      </c>
      <c r="H106">
        <f ca="1">IF(G81="X",Q106,P106)</f>
        <v>0</v>
      </c>
      <c r="I106" t="str">
        <f ca="1">IF(H106=1,"dia","dias")</f>
        <v>dias</v>
      </c>
      <c r="P106" s="32">
        <f ca="1">(PI()*((AL9^2)))*H104*E3</f>
        <v>0</v>
      </c>
      <c r="Q106" s="32">
        <f ca="1">ROUNDUP((PI()*((AL9^2)))*H104*E3,0)</f>
        <v>0</v>
      </c>
      <c r="BY106" s="560"/>
      <c r="BZ106" s="32">
        <v>13</v>
      </c>
      <c r="CA106" s="7">
        <f t="shared" ca="1" si="161"/>
        <v>0</v>
      </c>
      <c r="CB106" s="7">
        <f t="shared" ca="1" si="162"/>
        <v>0</v>
      </c>
      <c r="CC106" s="7">
        <f t="shared" ca="1" si="163"/>
        <v>0</v>
      </c>
      <c r="CD106" s="7">
        <f t="shared" ca="1" si="170"/>
        <v>0</v>
      </c>
      <c r="CE106" s="7">
        <f t="shared" ca="1" si="164"/>
        <v>0</v>
      </c>
      <c r="CF106" s="32">
        <f t="shared" ca="1" si="171"/>
        <v>0</v>
      </c>
      <c r="CG106" s="32">
        <f t="shared" ca="1" si="172"/>
        <v>0</v>
      </c>
      <c r="CH106" s="32">
        <f t="shared" ca="1" si="173"/>
        <v>0</v>
      </c>
      <c r="CI106" s="32">
        <f t="shared" ca="1" si="165"/>
        <v>0</v>
      </c>
      <c r="CK106" s="1702">
        <f t="shared" ca="1" si="174"/>
        <v>0</v>
      </c>
      <c r="CL106" s="2119"/>
      <c r="CM106" s="2119"/>
      <c r="CN106" s="2119"/>
      <c r="CO106" s="2119"/>
      <c r="CP106" s="2119"/>
      <c r="CQ106" s="1703"/>
      <c r="CS106" s="433">
        <f t="shared" ca="1" si="166"/>
        <v>0</v>
      </c>
      <c r="CT106" s="433">
        <f t="shared" ca="1" si="167"/>
        <v>0</v>
      </c>
      <c r="CU106" s="1702">
        <f ca="1">IF($FZ$100="L-14",IF(CI106=0,0,IF(CT106&lt;=1,IF(CT106=0,0,CI106-DJ105&amp;" laje L-"&amp;CJ123&amp;" transportada em "&amp;CT106&amp;" carretas somente com lajes"&amp;"--"&amp;"sendo "&amp;CS106&amp;" lajes no máximo transportadas em cada carreta ")&amp;IF(DJ106&gt;0," e mais "&amp;DJ106&amp;" lajes L-"&amp;CJ124,0),IF(CT106=0,0,CI106-DJ105&amp;" lajes L-"&amp;CJ123&amp;" transportadas em "&amp;CT106&amp;" carretas somente com lajes"&amp;"--"&amp;"sendo "&amp;CS106&amp;" lajes no máximo transportadas em cada carreta ")&amp;IF(DJ106&gt;0," e mais "&amp;DJ106&amp;" lajes L-"&amp;CJ124&amp;" por carreta","-"&amp;" ---- "&amp;$GA$98&amp;" pilares em cada carreta"))),IF(CI106=0,0,IF(CT106&lt;=1,IF(CT106=0,0,CI106-DJ105&amp;" laje L-"&amp;CJ123&amp;" transportada em "&amp;CT106&amp;" carretas somente com lajes"&amp;"--"&amp;"sendo "&amp;CS106&amp;" lajes no máximo transportadas em cada carreta ")&amp;IF(DJ106&gt;0," e mais "&amp;DJ106&amp;" lajes L-"&amp;CJ124,0),IF(CT106=0,0,CI106-DJ105&amp;" lajes L-"&amp;CJ123&amp;" transportadas em "&amp;CT106&amp;" carretas somente com lajes"&amp;"--"&amp;"sendo "&amp;CS106&amp;" lajes no máximo transportadas em cada carreta ")&amp;IF(DJ106&gt;0," e mais "&amp;DJ106&amp;" lajes L-"&amp;CJ124&amp;" por carreta",0))))</f>
        <v>0</v>
      </c>
      <c r="CV106" s="2119"/>
      <c r="CW106" s="2119"/>
      <c r="CX106" s="2119"/>
      <c r="CY106" s="2119"/>
      <c r="CZ106" s="1703"/>
      <c r="DB106" s="32">
        <f t="shared" ca="1" si="168"/>
        <v>0</v>
      </c>
      <c r="DC106" s="32">
        <f t="shared" ca="1" si="169"/>
        <v>0</v>
      </c>
      <c r="DD106" s="1702" t="str">
        <f ca="1">IF(DD123&lt;&gt;0,DD123,IF(ENTRADAS!$E$1075="x",0,IF(DK106&lt;=1,IF(DC106=0,0,DK106&amp;" laje L-"&amp;CJ123&amp;" transportada em "&amp;DC106&amp;" carretas somente com lajes"&amp;"--"&amp;"sendo "&amp;DB106&amp;" lajes L-"&amp;CJ123&amp;" no máximo transportadas em cada carreta---- ")&amp;IF(DJ106&gt;0," e mais "&amp;DJ106&amp;" lajes L-"&amp;CJ124,0),IF(DC106=0,0,DK106&amp;" lajes L-"&amp;CJ123&amp;" transportadas em "&amp;DC106&amp;" carretas somente com lajes"&amp;"--"&amp;"sendo "&amp;DB106&amp;" lajes L-"&amp;CJ123&amp;" no máximo transportadas em cada carreta---- ")&amp;IF(DJ106&gt;0," e mais "&amp;DJ106&amp;" lajes L-"&amp;CJ124&amp;" por carreta",0))))</f>
        <v>00</v>
      </c>
      <c r="DE106" s="2119"/>
      <c r="DF106" s="2119"/>
      <c r="DG106" s="2119"/>
      <c r="DH106" s="2119"/>
      <c r="DI106" s="1703"/>
      <c r="DJ106" s="32">
        <f>IF(ENTRADAS!C1094="X",CW85,IF(ENTRADAS!C1097="X",DP85,IF(ENTRADAS!C1100="X",EI85,IF(ENTRADAS!C1103="X",FB85,IF(ENTRADAS!C1106="X",FU85,0)))))</f>
        <v>0</v>
      </c>
      <c r="DK106" s="569">
        <f t="shared" ca="1" si="175"/>
        <v>0</v>
      </c>
    </row>
    <row r="107" spans="2:183" x14ac:dyDescent="0.35">
      <c r="BY107" s="560"/>
      <c r="BZ107" s="32">
        <v>14</v>
      </c>
      <c r="CA107" s="7">
        <f t="shared" ca="1" si="161"/>
        <v>0</v>
      </c>
      <c r="CB107" s="7">
        <f t="shared" ca="1" si="162"/>
        <v>0</v>
      </c>
      <c r="CC107" s="7">
        <f t="shared" ca="1" si="163"/>
        <v>0</v>
      </c>
      <c r="CD107" s="7">
        <f t="shared" ca="1" si="170"/>
        <v>0</v>
      </c>
      <c r="CE107" s="7">
        <f t="shared" ca="1" si="164"/>
        <v>0</v>
      </c>
      <c r="CF107" s="32">
        <f t="shared" ca="1" si="171"/>
        <v>0</v>
      </c>
      <c r="CG107" s="32">
        <f t="shared" ca="1" si="172"/>
        <v>0</v>
      </c>
      <c r="CH107" s="32">
        <f t="shared" ca="1" si="173"/>
        <v>0</v>
      </c>
      <c r="CI107" s="32">
        <f t="shared" ca="1" si="165"/>
        <v>0</v>
      </c>
      <c r="CK107" s="1702">
        <f t="shared" ca="1" si="174"/>
        <v>0</v>
      </c>
      <c r="CL107" s="2119"/>
      <c r="CM107" s="2119"/>
      <c r="CN107" s="2119"/>
      <c r="CO107" s="2119"/>
      <c r="CP107" s="2119"/>
      <c r="CQ107" s="1703"/>
      <c r="CS107" s="433">
        <f t="shared" ca="1" si="166"/>
        <v>0</v>
      </c>
      <c r="CT107" s="433">
        <f t="shared" ca="1" si="167"/>
        <v>0</v>
      </c>
      <c r="CU107" s="1702">
        <f ca="1">IF($FZ$100="L-15",IF(CI107=0,0,IF(CT107&lt;=1,IF(CT107=0,0,CI107-DJ106&amp;" laje L-"&amp;CJ124&amp;" transportada em "&amp;CT107&amp;" carretas somente com lajes"&amp;"--"&amp;"sendo "&amp;CS107&amp;" lajes no máximo transportadas em cada carreta ")&amp;IF(DJ107&gt;0," e mais "&amp;DJ107&amp;" lajes L-"&amp;CJ125,0),IF(CT107=0,0,CI107-DJ106&amp;" lajes L-"&amp;CJ124&amp;" transportadas em "&amp;CT107&amp;" carretas somente com lajes"&amp;"--"&amp;"sendo "&amp;CS107&amp;" lajes no máximo transportadas em cada carreta ")&amp;IF(DJ107&gt;0," e mais "&amp;DJ107&amp;" lajes L-"&amp;CJ125&amp;" por carreta","-"&amp;" ---- "&amp;$GA$98&amp;" pilares em cada carreta"))),IF(CI107=0,0,IF(CT107&lt;=1,IF(CT107=0,0,CI107-DJ106&amp;" laje L-"&amp;CJ124&amp;" transportada em "&amp;CT107&amp;" carretas somente com lajes"&amp;"--"&amp;"sendo "&amp;CS107&amp;" lajes no máximo transportadas em cada carreta ")&amp;IF(DJ107&gt;0," e mais "&amp;DJ107&amp;" lajes L-"&amp;CJ125,0),IF(CT107=0,0,CI107-DJ106&amp;" lajes L-"&amp;CJ124&amp;" transportadas em "&amp;CT107&amp;" carretas somente com lajes"&amp;"--"&amp;"sendo "&amp;CS107&amp;" lajes no máximo transportadas em cada carreta ")&amp;IF(DJ107&gt;0," e mais "&amp;DJ107&amp;" lajes L-"&amp;CJ125&amp;" por carreta",0))))</f>
        <v>0</v>
      </c>
      <c r="CV107" s="2119"/>
      <c r="CW107" s="2119"/>
      <c r="CX107" s="2119"/>
      <c r="CY107" s="2119"/>
      <c r="CZ107" s="1703"/>
      <c r="DB107" s="32">
        <f t="shared" ca="1" si="168"/>
        <v>0</v>
      </c>
      <c r="DC107" s="32">
        <f t="shared" ca="1" si="169"/>
        <v>0</v>
      </c>
      <c r="DD107" s="1702" t="str">
        <f ca="1">IF(DD124&lt;&gt;0,DD124,IF(ENTRADAS!$E$1075="x",0,IF(DK107&lt;=1,IF(DC107=0,0,DK107&amp;" laje L-"&amp;CJ124&amp;" transportada em "&amp;DC107&amp;" carretas somente com lajes"&amp;"--"&amp;"sendo "&amp;DB107&amp;" lajes L-"&amp;CJ124&amp;" no máximo transportadas em cada carreta---- ")&amp;IF(DJ107&gt;0," e mais "&amp;DJ107&amp;" lajes L-"&amp;CJ125,0),IF(DC107=0,0,DK107&amp;" lajes L-"&amp;CJ124&amp;" transportadas em "&amp;DC107&amp;" carretas somente com lajes"&amp;"--"&amp;"sendo "&amp;DB107&amp;" lajes L-"&amp;CJ124&amp;" no máximo transportadas em cada carreta---- ")&amp;IF(DJ107&gt;0," e mais "&amp;DJ107&amp;" lajes L-"&amp;CJ125&amp;" por carreta",0))))</f>
        <v>00</v>
      </c>
      <c r="DE107" s="2119"/>
      <c r="DF107" s="2119"/>
      <c r="DG107" s="2119"/>
      <c r="DH107" s="2119"/>
      <c r="DI107" s="1703"/>
      <c r="DJ107" s="32">
        <f>IF(ENTRADAS!C1095="X",CW86,IF(ENTRADAS!C1098="X",DP86,IF(ENTRADAS!C1101="X",EI86,IF(ENTRADAS!C1104="X",FB86,IF(ENTRADAS!C1107="X",FU86,0)))))</f>
        <v>0</v>
      </c>
      <c r="DK107" s="569">
        <f t="shared" ca="1" si="175"/>
        <v>0</v>
      </c>
    </row>
    <row r="108" spans="2:183" x14ac:dyDescent="0.35">
      <c r="B108" s="627" t="s">
        <v>2366</v>
      </c>
      <c r="BY108" s="561"/>
      <c r="BZ108" s="32">
        <v>15</v>
      </c>
      <c r="CA108" s="7">
        <f t="shared" ca="1" si="161"/>
        <v>0</v>
      </c>
      <c r="CB108" s="7">
        <f t="shared" ca="1" si="162"/>
        <v>0</v>
      </c>
      <c r="CC108" s="7">
        <f t="shared" ca="1" si="163"/>
        <v>0</v>
      </c>
      <c r="CD108" s="7">
        <f t="shared" ca="1" si="170"/>
        <v>0</v>
      </c>
      <c r="CE108" s="7">
        <f t="shared" si="164"/>
        <v>0</v>
      </c>
      <c r="CF108" s="32">
        <f t="shared" ca="1" si="171"/>
        <v>0</v>
      </c>
      <c r="CG108" s="32">
        <f t="shared" si="172"/>
        <v>0</v>
      </c>
      <c r="CH108" s="32">
        <f t="shared" ca="1" si="173"/>
        <v>0</v>
      </c>
      <c r="CI108" s="32">
        <f t="shared" ca="1" si="165"/>
        <v>0</v>
      </c>
      <c r="CK108" s="1702">
        <f t="shared" ca="1" si="174"/>
        <v>0</v>
      </c>
      <c r="CL108" s="2119"/>
      <c r="CM108" s="2119"/>
      <c r="CN108" s="2119"/>
      <c r="CO108" s="2119"/>
      <c r="CP108" s="2119"/>
      <c r="CQ108" s="1703"/>
      <c r="CS108" s="32">
        <f t="shared" ca="1" si="166"/>
        <v>0</v>
      </c>
      <c r="CT108" s="32">
        <f t="shared" ca="1" si="167"/>
        <v>0</v>
      </c>
      <c r="CU108" s="1702">
        <f ca="1">IF($FZ$100="L-2",IF(CI108=0,0,IF(CT108&lt;=1,IF(CT108=0,0,CI108-DJ107&amp;" laje L-"&amp;CJ125&amp;" transportada em "&amp;CT108&amp;" carretas somente com lajes"&amp;"--"&amp;"sendo "&amp;CS108&amp;" lajes no máximo transportadas em cada carreta ")&amp;IF(DJ108&gt;0," e mais "&amp;DJ108&amp;" lajes L-"&amp;CJ126,0),IF(CT108=0,0,CI108-DJ107&amp;" lajes L-"&amp;CJ125&amp;" transportadas em "&amp;CT108&amp;" carretas somente com lajes"&amp;"--"&amp;"sendo "&amp;CS108&amp;" lajes no máximo transportadas em cada carreta ")&amp;IF(DJ108&gt;0," e mais "&amp;DJ108&amp;" lajes L-"&amp;CJ126&amp;" por carreta","-"&amp;" ---- "&amp;$GA$98&amp;" pilares em cada carreta"))),IF(CI108=0,0,IF(CT108&lt;=1,IF(CT108=0,0,CI108-DJ107&amp;" laje L-"&amp;CJ125&amp;" transportada em "&amp;CT108&amp;" carretas somente com lajes"&amp;"--"&amp;"sendo "&amp;CS108&amp;" lajes no máximo transportadas em cada carreta ")&amp;IF(DJ108&gt;0," e mais "&amp;DJ108&amp;" lajes L-"&amp;CJ126,0),IF(CT108=0,0,CI108-DJ107&amp;" lajes L-"&amp;CJ125&amp;" transportadas em "&amp;CT108&amp;" carretas somente com lajes"&amp;"--"&amp;"sendo "&amp;CS108&amp;" lajes no máximo transportadas em cada carreta ")&amp;IF(DJ108&gt;0," e mais "&amp;DJ108&amp;" lajes L-"&amp;CJ126&amp;" por carreta",0))))</f>
        <v>0</v>
      </c>
      <c r="CV108" s="2119"/>
      <c r="CW108" s="2119"/>
      <c r="CX108" s="2119"/>
      <c r="CY108" s="2119"/>
      <c r="CZ108" s="1703"/>
      <c r="DB108" s="32">
        <f t="shared" ca="1" si="168"/>
        <v>0</v>
      </c>
      <c r="DC108" s="32">
        <f t="shared" ca="1" si="169"/>
        <v>0</v>
      </c>
      <c r="DD108" s="1702" t="str">
        <f ca="1">IF(DD125&lt;&gt;0,DD125,IF(ENTRADAS!$E$1075="x",0,IF(DK108&lt;=1,IF(DC108=0,0,DK108&amp;" laje L-"&amp;CJ125&amp;" transportada em "&amp;DC108&amp;" carretas somente com lajes"&amp;"--"&amp;"sendo "&amp;DB108&amp;" lajes L-"&amp;CJ125&amp;" no máximo transportadas em cada carreta---- ")&amp;IF(DJ108&gt;0," e mais "&amp;DJ108&amp;" lajes L-"&amp;CJ126,0),IF(DC108=0,0,DK108&amp;" lajes L-"&amp;CJ125&amp;" transportadas em "&amp;DC108&amp;" carretas somente com lajes"&amp;"--"&amp;"sendo "&amp;DB108&amp;" lajes L-"&amp;CJ125&amp;" no máximo transportadas em cada carreta---- ")&amp;IF(DJ108&gt;0," e mais "&amp;DJ108&amp;" lajes L-"&amp;CJ126&amp;" por carreta",0))))</f>
        <v>00</v>
      </c>
      <c r="DE108" s="2119"/>
      <c r="DF108" s="2119"/>
      <c r="DG108" s="2119"/>
      <c r="DH108" s="2119"/>
      <c r="DI108" s="1703"/>
      <c r="DJ108" s="32">
        <f>IF(ENTRADAS!C1096="X",CW87,IF(ENTRADAS!C1099="X",DP87,IF(ENTRADAS!C1102="X",EI87,IF(ENTRADAS!C1105="X",FB87,IF(ENTRADAS!C1108="X",FU87,0)))))</f>
        <v>0</v>
      </c>
      <c r="DK108" s="569">
        <f t="shared" ca="1" si="175"/>
        <v>0</v>
      </c>
    </row>
    <row r="109" spans="2:183" x14ac:dyDescent="0.35">
      <c r="C109" s="627" t="s">
        <v>2367</v>
      </c>
      <c r="H109">
        <f>0.75/9</f>
        <v>8.3333333333333329E-2</v>
      </c>
      <c r="I109" t="s">
        <v>1802</v>
      </c>
      <c r="CF109" s="4"/>
      <c r="CL109" t="s">
        <v>2368</v>
      </c>
      <c r="CR109" s="32" t="s">
        <v>2369</v>
      </c>
    </row>
    <row r="110" spans="2:183" ht="84" customHeight="1" x14ac:dyDescent="0.35">
      <c r="CF110" s="4"/>
      <c r="CJ110" s="32">
        <v>1</v>
      </c>
      <c r="CK110" s="1702" t="str">
        <f ca="1">IF(CA94&gt;0,IF(CB93=0,0,CC93&amp;" lajes: { L-"&amp;CJ110&amp;" = "&amp;CD93&amp;" pç  + L-"&amp;CJ111&amp;" = "&amp;CE93&amp;" pç } "&amp;" 
transportadas em "&amp;CF93&amp;" carretas das paredes"&amp;"  "&amp;"
sendo: "&amp;" { "&amp;CH93&amp;" pç L-"&amp;CJ110&amp;" + "&amp;CG93&amp;" pç L-"&amp;CJ111&amp;" }  transportadas em cada carreta de paredes"),IF(CB93=0,0,CC93&amp;" lajes: { L-"&amp;CJ110&amp;" = "&amp;CD93&amp;" pç  } "&amp;" transportadas em "&amp;CF93&amp;" carretas das paredes"
&amp;"---"&amp;"
sendo: "&amp;" { "&amp;CH93&amp;" pç L-"&amp;CJ110&amp;" }  transportadas em cada carreta de paredes"))
&amp;" --- "&amp;CU93</f>
        <v>0 --- 0</v>
      </c>
      <c r="CL110" s="2119"/>
      <c r="CM110" s="2119"/>
      <c r="CN110" s="2119"/>
      <c r="CO110" s="2119"/>
      <c r="CP110" s="2119"/>
      <c r="CQ110" s="1703"/>
      <c r="CR110" s="32">
        <f t="shared" ref="CR110:CR124" ca="1" si="176">IF(AND(CJ110="bolacha",$AL$8=1),4,0)</f>
        <v>0</v>
      </c>
      <c r="DD110" s="2074">
        <f>IF($FZ$100="L-1",IF(ENTRADAS!$E$1075="x",0,IF(DK93&lt;=1,IF(DC93=0,0,DK93&amp;" laje L-"&amp;CJ110&amp;" transportada em "&amp;DC93&amp;" carretas somente com lajes"&amp;"--"&amp;"sendo "&amp;DB93&amp;" lajes L-"&amp;CJ110&amp;" no máximo transportadas em cada carreta---- ")&amp;IF(DJ93&gt;0," e mais "&amp;DJ93&amp;" lajes L-"&amp;CJ111,0),IF(DC93=0,0,DK93&amp;" lajes L-"&amp;CJ110&amp;" transportadas em "&amp;DC93&amp;" carretas somente com lajes"&amp;"--"&amp;"sendo "&amp;DB93&amp;" lajes L-"&amp;CJ110&amp;" no máximo transportadas em cada carreta---- ")&amp;IF(DJ93&gt;0," e mais "&amp;DJ93&amp;" lajes L-"&amp;CJ111&amp;" por carreta","-")))&amp;"---"&amp;"  e mais "&amp;$GA$98&amp;" pilares em cada carreta",0)</f>
        <v>0</v>
      </c>
      <c r="DE110" s="2074"/>
      <c r="DF110" s="2074"/>
      <c r="DG110" s="2074"/>
      <c r="DH110" s="2074"/>
      <c r="DI110" s="2074"/>
    </row>
    <row r="111" spans="2:183" ht="80.25" customHeight="1" x14ac:dyDescent="0.35">
      <c r="C111" s="627" t="s">
        <v>2370</v>
      </c>
      <c r="H111">
        <f>IF(G81="X",Q111,P111)</f>
        <v>0</v>
      </c>
      <c r="I111" t="str">
        <f>IF(H111=1,"dia","dias")</f>
        <v>dias</v>
      </c>
      <c r="P111" s="32">
        <f>IF(ENTRADAS!D912=0,0,IF(E5&lt;=30.15,0.5,(I156+I158)*H109))</f>
        <v>0</v>
      </c>
      <c r="Q111" s="32">
        <f>IF(ENTRADAS!D912=0,0,IF(E5&lt;=30.15,0.5,ROUNDUP((I156+I158)*H109,0)))</f>
        <v>0</v>
      </c>
      <c r="CF111" s="4"/>
      <c r="CJ111" s="32">
        <f ca="1">IF(RELATÓRIO!B107="L-bolacha","bolacha",2)</f>
        <v>2</v>
      </c>
      <c r="CK111" s="1702" t="str">
        <f ca="1">IF(CA95&gt;0,IF(CB94=0,0,CC94&amp;" lajes: { L-"&amp;CJ111&amp;" = "&amp;CD94&amp;" pç  + L-"&amp;CJ112&amp;" = "&amp;CE94&amp;" pç } "&amp;" 
transportadas em "&amp;CF94&amp;" carretas das paredes"&amp;"  "&amp;"
sendo: "&amp;" { "&amp;CH94&amp;" pç L-"&amp;CJ111&amp;" + "&amp;CG94&amp;" pç L-"&amp;CJ112&amp;" }  transportadas em cada carreta de paredes"),IF(CB94=0,0,CC94&amp;" lajes: { L-"&amp;CJ111&amp;" = "&amp;CD94&amp;" pç  } "&amp;" transportadas em "&amp;CF94&amp;" carretas das paredes"
&amp;"---"&amp;"
sendo: "&amp;" { "&amp;CH94&amp;" pç L-"&amp;CJ111&amp;" }  transportadas em cada carreta de paredes"))
&amp;" --- "&amp;CU94</f>
        <v>0 --- 0</v>
      </c>
      <c r="CL111" s="2119"/>
      <c r="CM111" s="2119"/>
      <c r="CN111" s="2119"/>
      <c r="CO111" s="2119"/>
      <c r="CP111" s="2119"/>
      <c r="CQ111" s="1703"/>
      <c r="CR111" s="32">
        <f t="shared" ca="1" si="176"/>
        <v>0</v>
      </c>
      <c r="DD111" s="2070">
        <f>IF($FZ$100="L-2",IF(ENTRADAS!$E$1075="x",0,IF(DK94&lt;=1,IF(DC94=0,0,DK94&amp;" laje L-"&amp;CJ111&amp;" transportada em "&amp;DC94&amp;" carretas somente com lajes"&amp;"--"&amp;"sendo "&amp;DB94&amp;" lajes L-"&amp;CJ111&amp;" no máximo transportadas em cada carreta---- ")&amp;IF(DJ94&gt;0," e mais "&amp;DJ94&amp;" lajes L-"&amp;CJ112,0),IF(DC94=0,0,DK94&amp;" lajes L-"&amp;CJ111&amp;" transportadas em "&amp;DC94&amp;" carretas somente com lajes"&amp;"--"&amp;"sendo "&amp;DB94&amp;" lajes L-"&amp;CJ111&amp;" no máximo transportadas em cada carreta---- ")&amp;IF(DJ94&gt;0," e mais "&amp;DJ94&amp;" lajes L-"&amp;CJ112&amp;" por carreta","-")))&amp;"---"&amp;"  e mais "&amp;$GA$98&amp;" pilares em cada carreta",0)</f>
        <v>0</v>
      </c>
      <c r="DE111" s="2070"/>
      <c r="DF111" s="2070"/>
      <c r="DG111" s="2070"/>
      <c r="DH111" s="2070"/>
      <c r="DI111" s="2070"/>
    </row>
    <row r="112" spans="2:183" ht="14.1" customHeight="1" x14ac:dyDescent="0.35">
      <c r="CF112" s="4"/>
      <c r="CJ112" s="32">
        <f ca="1">IF(RELATÓRIO!B108="L-bolacha","bolacha",3)</f>
        <v>3</v>
      </c>
      <c r="CK112" s="1702" t="str">
        <f t="shared" ref="CK112:CK124" ca="1" si="177">IF(CA96&gt;0,IF(CB95=0,0,CC95&amp;" lajes: { L-"&amp;CJ112&amp;" = "&amp;CD95&amp;" pç  + L-"&amp;CJ113&amp;" = "&amp;CE95&amp;" pç } "&amp;" 
transportadas em "&amp;CF95&amp;" carretas das paredes"&amp;"  "&amp;"
sendo: "&amp;" { "&amp;CH95&amp;" pç L-"&amp;CJ112&amp;" + "&amp;CG95&amp;" pç L-"&amp;CJ113&amp;" }  transportadas em cada carreta de paredes"),IF(CB95=0,0,CC95&amp;" lajes: { L-"&amp;CJ112&amp;" = "&amp;CD95&amp;" pç  } "&amp;" transportadas em "&amp;CF95&amp;" carretas das paredes"
&amp;"---"&amp;"
sendo: "&amp;" { "&amp;CH95&amp;" pç L-"&amp;CJ112&amp;" }  transportadas em cada carreta de paredes"))
&amp;" --- "&amp;CU95</f>
        <v>0 --- 0</v>
      </c>
      <c r="CL112" s="2119"/>
      <c r="CM112" s="2119"/>
      <c r="CN112" s="2119"/>
      <c r="CO112" s="2119"/>
      <c r="CP112" s="2119"/>
      <c r="CQ112" s="1703"/>
      <c r="CR112" s="32">
        <f t="shared" ca="1" si="176"/>
        <v>0</v>
      </c>
      <c r="DD112" s="2069">
        <f>IF($FZ$100="L-3",IF(ENTRADAS!$E$1075="x",0,IF(DK95&lt;=1,IF(DC95=0,0,DK95&amp;" laje L-"&amp;CJ112&amp;" transportada em "&amp;DC95&amp;" carretas somente com lajes"&amp;"--"&amp;"sendo "&amp;DB95&amp;" lajes L-"&amp;CJ112&amp;" no máximo transportadas em cada carreta---- ")&amp;IF(DJ95&gt;0," e mais "&amp;DJ95&amp;" lajes L-"&amp;CJ113,0),IF(DC95=0,0,DK95&amp;" lajes L-"&amp;CJ112&amp;" transportadas em "&amp;DC95&amp;" carretas somente com lajes"&amp;"--"&amp;"sendo "&amp;DB95&amp;" lajes L-"&amp;CJ112&amp;" no máximo transportadas em cada carreta---- ")&amp;IF(DJ95&gt;0," e mais "&amp;DJ95&amp;" lajes L-"&amp;CJ113&amp;" por carreta","-")))&amp;"---"&amp;"  e mais "&amp;$GA$98&amp;" pilares em cada carreta",0)</f>
        <v>0</v>
      </c>
      <c r="DE112" s="1542"/>
      <c r="DF112" s="1542"/>
      <c r="DG112" s="1542"/>
      <c r="DH112" s="1542"/>
      <c r="DI112" s="1545"/>
    </row>
    <row r="113" spans="2:113" ht="49.5" customHeight="1" x14ac:dyDescent="0.35">
      <c r="B113" s="627" t="s">
        <v>2371</v>
      </c>
      <c r="O113" s="772" t="s">
        <v>1946</v>
      </c>
      <c r="P113" s="773"/>
      <c r="Q113" s="773"/>
      <c r="R113" s="774"/>
      <c r="S113" s="470">
        <f>ENTRADAS!G792</f>
        <v>3</v>
      </c>
      <c r="T113" s="775" t="s">
        <v>1947</v>
      </c>
      <c r="CJ113" s="32">
        <f ca="1">IF(RELATÓRIO!B109="L-bolacha","bolacha",4)</f>
        <v>4</v>
      </c>
      <c r="CK113" s="1702" t="str">
        <f t="shared" ca="1" si="177"/>
        <v>0 --- 0</v>
      </c>
      <c r="CL113" s="2119"/>
      <c r="CM113" s="2119"/>
      <c r="CN113" s="2119"/>
      <c r="CO113" s="2119"/>
      <c r="CP113" s="2119"/>
      <c r="CQ113" s="1703"/>
      <c r="CR113" s="32">
        <f t="shared" ca="1" si="176"/>
        <v>0</v>
      </c>
      <c r="DD113" s="2069">
        <f>IF($FZ$100="L-4",IF(ENTRADAS!$E$1075="x",0,IF(DK96&lt;=1,IF(DC96=0,0,DK96&amp;" laje L-"&amp;CJ113&amp;" transportada em "&amp;DC96&amp;" carretas somente com lajes"&amp;"--"&amp;"sendo "&amp;DB96&amp;" lajes L-"&amp;CJ113&amp;" no máximo transportadas em cada carreta---- ")&amp;IF(DJ96&gt;0," e mais "&amp;DJ96&amp;" lajes L-"&amp;CJ114,0),IF(DC96=0,0,DK96&amp;" lajes L-"&amp;CJ113&amp;" transportadas em "&amp;DC96&amp;" carretas somente com lajes"&amp;"--"&amp;"sendo "&amp;DB96&amp;" lajes L-"&amp;CJ113&amp;" no máximo transportadas em cada carreta---- ")&amp;IF(DJ96&gt;0," e mais "&amp;DJ96&amp;" lajes L-"&amp;CJ114&amp;" por carreta","-")))&amp;"---"&amp;"  e mais "&amp;$GA$98&amp;" pilares em cada carreta",0)</f>
        <v>0</v>
      </c>
      <c r="DE113" s="1542"/>
      <c r="DF113" s="1542"/>
      <c r="DG113" s="1542"/>
      <c r="DH113" s="1542"/>
      <c r="DI113" s="1545"/>
    </row>
    <row r="114" spans="2:113" ht="14.1" customHeight="1" x14ac:dyDescent="0.35">
      <c r="C114" t="s">
        <v>2372</v>
      </c>
      <c r="H114">
        <f ca="1">K114</f>
        <v>0</v>
      </c>
      <c r="I114" t="s">
        <v>101</v>
      </c>
      <c r="K114">
        <f ca="1">(H85+H90+H95+H100+H106+H111)</f>
        <v>0</v>
      </c>
      <c r="O114" s="772" t="s">
        <v>1948</v>
      </c>
      <c r="P114" s="773"/>
      <c r="Q114" s="773"/>
      <c r="R114" s="774"/>
      <c r="S114" s="470">
        <f>ENTRADAS!O792</f>
        <v>60</v>
      </c>
      <c r="T114" s="775" t="s">
        <v>130</v>
      </c>
      <c r="CJ114" s="32">
        <f ca="1">IF(RELATÓRIO!B110="L-bolacha","bolacha",5)</f>
        <v>5</v>
      </c>
      <c r="CK114" s="1702" t="str">
        <f t="shared" ca="1" si="177"/>
        <v>0 --- 0</v>
      </c>
      <c r="CL114" s="2119"/>
      <c r="CM114" s="2119"/>
      <c r="CN114" s="2119"/>
      <c r="CO114" s="2119"/>
      <c r="CP114" s="2119"/>
      <c r="CQ114" s="1703"/>
      <c r="CR114" s="32">
        <f t="shared" ca="1" si="176"/>
        <v>0</v>
      </c>
      <c r="DD114" s="2069">
        <f>IF($FZ$100="L-5",IF(ENTRADAS!$E$1075="x",0,IF(DK97&lt;=1,IF(DC97=0,0,DK97&amp;" laje L-"&amp;CJ114&amp;" transportada em "&amp;DC97&amp;" carretas somente com lajes"&amp;"--"&amp;"sendo "&amp;DB97&amp;" lajes L-"&amp;CJ114&amp;" no máximo transportadas em cada carreta---- ")&amp;IF(DJ97&gt;0," e mais "&amp;DJ97&amp;" lajes L-"&amp;CJ115,0),IF(DC97=0,0,DK97&amp;" lajes L-"&amp;CJ114&amp;" transportadas em "&amp;DC97&amp;" carretas somente com lajes"&amp;"--"&amp;"sendo "&amp;DB97&amp;" lajes L-"&amp;CJ114&amp;" no máximo transportadas em cada carreta---- ")&amp;IF(DJ97&gt;0," e mais "&amp;DJ97&amp;" lajes L-"&amp;CJ115&amp;" por carreta","-")))&amp;"---"&amp;"  e mais "&amp;$GA$98&amp;" pilares em cada carreta",0)</f>
        <v>0</v>
      </c>
      <c r="DE114" s="1542"/>
      <c r="DF114" s="1542"/>
      <c r="DG114" s="1542"/>
      <c r="DH114" s="1542"/>
      <c r="DI114" s="1545"/>
    </row>
    <row r="115" spans="2:113" ht="14.1" customHeight="1" x14ac:dyDescent="0.35">
      <c r="L115" s="627"/>
      <c r="O115" s="772" t="s">
        <v>1949</v>
      </c>
      <c r="P115" s="773"/>
      <c r="Q115" s="773"/>
      <c r="R115" s="774"/>
      <c r="S115" s="470">
        <f>ENTRADAS!G794</f>
        <v>8</v>
      </c>
      <c r="T115" s="775" t="s">
        <v>187</v>
      </c>
      <c r="CJ115" s="32">
        <f ca="1">IF(RELATÓRIO!B111="L-bolacha","bolacha",6)</f>
        <v>6</v>
      </c>
      <c r="CK115" s="1702" t="str">
        <f t="shared" ca="1" si="177"/>
        <v>0 --- 0</v>
      </c>
      <c r="CL115" s="2119"/>
      <c r="CM115" s="2119"/>
      <c r="CN115" s="2119"/>
      <c r="CO115" s="2119"/>
      <c r="CP115" s="2119"/>
      <c r="CQ115" s="1703"/>
      <c r="CR115" s="32">
        <f t="shared" ca="1" si="176"/>
        <v>0</v>
      </c>
      <c r="DD115" s="2069">
        <f>IF($FZ$100="L-6",IF(ENTRADAS!$E$1075="x",0,IF(DK98&lt;=1,IF(DC98=0,0,DK98&amp;" laje L-"&amp;CJ115&amp;" transportada em "&amp;DC98&amp;" carretas somente com lajes"&amp;"--"&amp;"sendo "&amp;DB98&amp;" lajes L-"&amp;CJ115&amp;" no máximo transportadas em cada carreta---- ")&amp;IF(DJ98&gt;0," e mais "&amp;DJ98&amp;" lajes L-"&amp;CJ116,0),IF(DC98=0,0,DK98&amp;" lajes L-"&amp;CJ115&amp;" transportadas em "&amp;DC98&amp;" carretas somente com lajes"&amp;"--"&amp;"sendo "&amp;DB98&amp;" lajes L-"&amp;CJ115&amp;" no máximo transportadas em cada carreta---- ")&amp;IF(DJ98&gt;0," e mais "&amp;DJ98&amp;" lajes L-"&amp;CJ116&amp;" por carreta","-")))&amp;"---"&amp;"  e mais "&amp;$GA$98&amp;" pilares em cada carreta",0)</f>
        <v>0</v>
      </c>
      <c r="DE115" s="1542"/>
      <c r="DF115" s="1542"/>
      <c r="DG115" s="1542"/>
      <c r="DH115" s="1542"/>
      <c r="DI115" s="1545"/>
    </row>
    <row r="116" spans="2:113" ht="14.1" customHeight="1" x14ac:dyDescent="0.35">
      <c r="C116" t="s">
        <v>2373</v>
      </c>
      <c r="H116" s="4">
        <f ca="1">S131</f>
        <v>0</v>
      </c>
      <c r="I116" t="s">
        <v>101</v>
      </c>
      <c r="L116" s="627"/>
      <c r="O116" s="772" t="s">
        <v>1950</v>
      </c>
      <c r="P116" s="773"/>
      <c r="Q116" s="773"/>
      <c r="R116" s="774"/>
      <c r="S116" s="470">
        <f>ENTRADAS!O794</f>
        <v>60</v>
      </c>
      <c r="T116" s="775" t="s">
        <v>130</v>
      </c>
      <c r="CJ116" s="32">
        <f ca="1">IF(RELATÓRIO!B112="L-bolacha","bolacha",7)</f>
        <v>7</v>
      </c>
      <c r="CK116" s="1702" t="str">
        <f t="shared" ca="1" si="177"/>
        <v>0 --- 0</v>
      </c>
      <c r="CL116" s="2119"/>
      <c r="CM116" s="2119"/>
      <c r="CN116" s="2119"/>
      <c r="CO116" s="2119"/>
      <c r="CP116" s="2119"/>
      <c r="CQ116" s="1703"/>
      <c r="CR116" s="32">
        <f t="shared" ca="1" si="176"/>
        <v>0</v>
      </c>
      <c r="DD116" s="2069">
        <f>IF($FZ$100="L-7",IF(ENTRADAS!$E$1075="x",0,IF(DK99&lt;=1,IF(DC99=0,0,DK99&amp;" laje L-"&amp;CJ116&amp;" transportada em "&amp;DC99&amp;" carretas somente com lajes"&amp;"--"&amp;"sendo "&amp;DB99&amp;" lajes L-"&amp;CJ116&amp;" no máximo transportadas em cada carreta---- ")&amp;IF(DJ99&gt;0," e mais "&amp;DJ99&amp;" lajes L-"&amp;CJ117,0),IF(DC99=0,0,DK99&amp;" lajes L-"&amp;CJ116&amp;" transportadas em "&amp;DC99&amp;" carretas somente com lajes"&amp;"--"&amp;"sendo "&amp;DB99&amp;" lajes L-"&amp;CJ116&amp;" no máximo transportadas em cada carreta---- ")&amp;IF(DJ99&gt;0," e mais "&amp;DJ99&amp;" lajes L-"&amp;CJ117&amp;" por carreta","-")))&amp;"---"&amp;"  e mais "&amp;$GA$98&amp;" pilares em cada carreta",0)</f>
        <v>0</v>
      </c>
      <c r="DE116" s="1542"/>
      <c r="DF116" s="1542"/>
      <c r="DG116" s="1542"/>
      <c r="DH116" s="1542"/>
      <c r="DI116" s="1545"/>
    </row>
    <row r="117" spans="2:113" ht="14.1" customHeight="1" x14ac:dyDescent="0.35">
      <c r="J117" s="627"/>
      <c r="K117" s="627"/>
      <c r="L117" s="627"/>
      <c r="O117" s="776" t="s">
        <v>1952</v>
      </c>
      <c r="P117" s="293"/>
      <c r="Q117" s="293"/>
      <c r="R117" s="777"/>
      <c r="S117" s="778">
        <f ca="1">K114</f>
        <v>0</v>
      </c>
      <c r="T117" s="779" t="s">
        <v>101</v>
      </c>
      <c r="CJ117" s="32">
        <f ca="1">IF(RELATÓRIO!B113="L-bolacha","bolacha",8)</f>
        <v>8</v>
      </c>
      <c r="CK117" s="1702" t="str">
        <f t="shared" ca="1" si="177"/>
        <v>0 --- 0</v>
      </c>
      <c r="CL117" s="2119"/>
      <c r="CM117" s="2119"/>
      <c r="CN117" s="2119"/>
      <c r="CO117" s="2119"/>
      <c r="CP117" s="2119"/>
      <c r="CQ117" s="1703"/>
      <c r="CR117" s="32">
        <f t="shared" ca="1" si="176"/>
        <v>0</v>
      </c>
      <c r="DD117" s="2069">
        <f>IF($FZ$100="L-8",IF(ENTRADAS!$E$1075="x",0,IF(DK100&lt;=1,IF(DC100=0,0,DK100&amp;" laje L-"&amp;CJ117&amp;" transportada em "&amp;DC100&amp;" carretas somente com lajes"&amp;"--"&amp;"sendo "&amp;DB100&amp;" lajes L-"&amp;CJ117&amp;" no máximo transportadas em cada carreta---- ")&amp;IF(DJ100&gt;0," e mais "&amp;DJ100&amp;" lajes L-"&amp;CJ118,0),IF(DC100=0,0,DK100&amp;" lajes L-"&amp;CJ117&amp;" transportadas em "&amp;DC100&amp;" carretas somente com lajes"&amp;"--"&amp;"sendo "&amp;DB100&amp;" lajes L-"&amp;CJ117&amp;" no máximo transportadas em cada carreta---- ")&amp;IF(DJ100&gt;0," e mais "&amp;DJ100&amp;" lajes L-"&amp;CJ118&amp;" por carreta","-")))&amp;"---"&amp;"  e mais "&amp;$GA$98&amp;" pilares em cada carreta",0)</f>
        <v>0</v>
      </c>
      <c r="DE117" s="1542"/>
      <c r="DF117" s="1542"/>
      <c r="DG117" s="1542"/>
      <c r="DH117" s="1542"/>
      <c r="DI117" s="1545"/>
    </row>
    <row r="118" spans="2:113" ht="14.1" customHeight="1" x14ac:dyDescent="0.35">
      <c r="J118" s="627"/>
      <c r="K118" s="627"/>
      <c r="L118" s="627"/>
      <c r="O118" s="776" t="s">
        <v>1957</v>
      </c>
      <c r="P118" s="293"/>
      <c r="Q118" s="293"/>
      <c r="R118" s="777"/>
      <c r="S118" s="778">
        <v>1</v>
      </c>
      <c r="T118" s="779"/>
      <c r="CJ118" s="32">
        <f ca="1">IF(RELATÓRIO!B114="L-bolacha","bolacha",9)</f>
        <v>9</v>
      </c>
      <c r="CK118" s="1702" t="str">
        <f t="shared" ca="1" si="177"/>
        <v>0 --- 0</v>
      </c>
      <c r="CL118" s="2119"/>
      <c r="CM118" s="2119"/>
      <c r="CN118" s="2119"/>
      <c r="CO118" s="2119"/>
      <c r="CP118" s="2119"/>
      <c r="CQ118" s="1703"/>
      <c r="CR118" s="32">
        <f t="shared" ca="1" si="176"/>
        <v>0</v>
      </c>
      <c r="DD118" s="2069">
        <f>IF($FZ$100="L-9",IF(ENTRADAS!$E$1075="x",0,IF(DK101&lt;=1,IF(DC101=0,0,DK101&amp;" laje L-"&amp;CJ118&amp;" transportada em "&amp;DC101&amp;" carretas somente com lajes"&amp;"--"&amp;"sendo "&amp;DB101&amp;" lajes L-"&amp;CJ118&amp;" no máximo transportadas em cada carreta---- ")&amp;IF(DJ101&gt;0," e mais "&amp;DJ101&amp;" lajes L-"&amp;CJ119,0),IF(DC101=0,0,DK101&amp;" lajes L-"&amp;CJ118&amp;" transportadas em "&amp;DC101&amp;" carretas somente com lajes"&amp;"--"&amp;"sendo "&amp;DB101&amp;" lajes L-"&amp;CJ118&amp;" no máximo transportadas em cada carreta---- ")&amp;IF(DJ101&gt;0," e mais "&amp;DJ101&amp;" lajes L-"&amp;CJ119&amp;" por carreta","-")))&amp;"---"&amp;"  e mais "&amp;$GA$98&amp;" pilares em cada carreta",0)</f>
        <v>0</v>
      </c>
      <c r="DE118" s="1542"/>
      <c r="DF118" s="1542"/>
      <c r="DG118" s="1542"/>
      <c r="DH118" s="1542"/>
      <c r="DI118" s="1545"/>
    </row>
    <row r="119" spans="2:113" ht="14.1" customHeight="1" x14ac:dyDescent="0.35">
      <c r="B119" s="627" t="s">
        <v>562</v>
      </c>
      <c r="C119" s="627"/>
      <c r="D119" s="627"/>
      <c r="E119" s="627"/>
      <c r="F119" s="627"/>
      <c r="G119" s="627"/>
      <c r="H119" s="627"/>
      <c r="I119" s="627"/>
      <c r="J119" s="627"/>
      <c r="K119" s="627"/>
      <c r="L119" s="627"/>
      <c r="O119" s="776" t="s">
        <v>2374</v>
      </c>
      <c r="P119" s="293"/>
      <c r="Q119" s="293"/>
      <c r="R119" s="777"/>
      <c r="S119" s="778">
        <f ca="1">S117*S118</f>
        <v>0</v>
      </c>
      <c r="T119" s="779" t="s">
        <v>101</v>
      </c>
      <c r="AP119" s="627"/>
      <c r="CJ119" s="32">
        <f ca="1">IF(RELATÓRIO!B115="L-bolacha","bolacha",10)</f>
        <v>10</v>
      </c>
      <c r="CK119" s="1702" t="str">
        <f t="shared" ca="1" si="177"/>
        <v>0 --- 0</v>
      </c>
      <c r="CL119" s="2119"/>
      <c r="CM119" s="2119"/>
      <c r="CN119" s="2119"/>
      <c r="CO119" s="2119"/>
      <c r="CP119" s="2119"/>
      <c r="CQ119" s="1703"/>
      <c r="CR119" s="32">
        <f t="shared" ca="1" si="176"/>
        <v>0</v>
      </c>
      <c r="DD119" s="2069">
        <f>IF($FZ$100="L-10",IF(ENTRADAS!$E$1075="x",0,IF(DK102&lt;=1,IF(DC102=0,0,DK102&amp;" laje L-"&amp;CJ119&amp;" transportada em "&amp;DC102&amp;" carretas somente com lajes"&amp;"--"&amp;"sendo "&amp;DB102&amp;" lajes L-"&amp;CJ119&amp;" no máximo transportadas em cada carreta---- ")&amp;IF(DJ102&gt;0," e mais "&amp;DJ102&amp;" lajes L-"&amp;CJ120,0),IF(DC102=0,0,DK102&amp;" lajes L-"&amp;CJ119&amp;" transportadas em "&amp;DC102&amp;" carretas somente com lajes"&amp;"--"&amp;"sendo "&amp;DB102&amp;" lajes L-"&amp;CJ119&amp;" no máximo transportadas em cada carreta---- ")&amp;IF(DJ102&gt;0," e mais "&amp;DJ102&amp;" lajes L-"&amp;CJ120&amp;" por carreta","-")))&amp;"---"&amp;"  e mais "&amp;$GA$98&amp;" pilares em cada carreta",0)</f>
        <v>0</v>
      </c>
      <c r="DE119" s="1542"/>
      <c r="DF119" s="1542"/>
      <c r="DG119" s="1542"/>
      <c r="DH119" s="1542"/>
      <c r="DI119" s="1545"/>
    </row>
    <row r="120" spans="2:113" ht="14.1" customHeight="1" x14ac:dyDescent="0.35">
      <c r="B120" s="660">
        <f>ENTRADAS!C1180</f>
        <v>1</v>
      </c>
      <c r="C120" s="627" t="str">
        <f>IF(B120&gt;1,"EQUIPES","EQUIPE")</f>
        <v>EQUIPE</v>
      </c>
      <c r="D120" s="183"/>
      <c r="E120" s="627" t="s">
        <v>200</v>
      </c>
      <c r="F120" s="627"/>
      <c r="G120" s="627"/>
      <c r="H120" s="627"/>
      <c r="I120" s="627"/>
      <c r="J120" s="627"/>
      <c r="K120" s="627"/>
      <c r="L120" s="627"/>
      <c r="O120" s="776" t="s">
        <v>1960</v>
      </c>
      <c r="P120" s="293"/>
      <c r="Q120" s="293"/>
      <c r="R120" s="777"/>
      <c r="S120" s="778">
        <f ca="1">IF(S115&gt;0,S119/6,0)</f>
        <v>0</v>
      </c>
      <c r="T120" s="779" t="s">
        <v>1961</v>
      </c>
      <c r="AL120" s="13"/>
      <c r="AM120" s="14"/>
      <c r="AN120" s="652" t="s">
        <v>340</v>
      </c>
      <c r="AO120" s="14"/>
      <c r="AP120" s="14"/>
      <c r="AQ120" s="14"/>
      <c r="AR120" s="14"/>
      <c r="AS120" s="15"/>
      <c r="CJ120" s="32">
        <f ca="1">IF(RELATÓRIO!B116="L-bolacha","bolacha",11)</f>
        <v>11</v>
      </c>
      <c r="CK120" s="1702" t="str">
        <f t="shared" ca="1" si="177"/>
        <v>0 --- 0</v>
      </c>
      <c r="CL120" s="2119"/>
      <c r="CM120" s="2119"/>
      <c r="CN120" s="2119"/>
      <c r="CO120" s="2119"/>
      <c r="CP120" s="2119"/>
      <c r="CQ120" s="1703"/>
      <c r="CR120" s="32">
        <f t="shared" ca="1" si="176"/>
        <v>0</v>
      </c>
      <c r="DD120" s="2069">
        <f>IF($FZ$100="L-11",IF(ENTRADAS!$E$1075="x",0,IF(DK103&lt;=1,IF(DC103=0,0,DK103&amp;" laje L-"&amp;CJ120&amp;" transportada em "&amp;DC103&amp;" carretas somente com lajes"&amp;"--"&amp;"sendo "&amp;DB103&amp;" lajes L-"&amp;CJ120&amp;" no máximo transportadas em cada carreta---- ")&amp;IF(DJ103&gt;0," e mais "&amp;DJ103&amp;" lajes L-"&amp;CJ121,0),IF(DC103=0,0,DK103&amp;" lajes L-"&amp;CJ120&amp;" transportadas em "&amp;DC103&amp;" carretas somente com lajes"&amp;"--"&amp;"sendo "&amp;DB103&amp;" lajes L-"&amp;CJ120&amp;" no máximo transportadas em cada carreta---- ")&amp;IF(DJ103&gt;0," e mais "&amp;DJ103&amp;" lajes L-"&amp;CJ121&amp;" por carreta","-")))&amp;"---"&amp;"  e mais "&amp;$GA$98&amp;" pilares em cada carreta",0)</f>
        <v>0</v>
      </c>
      <c r="DE120" s="1542"/>
      <c r="DF120" s="1542"/>
      <c r="DG120" s="1542"/>
      <c r="DH120" s="1542"/>
      <c r="DI120" s="1545"/>
    </row>
    <row r="121" spans="2:113" ht="14.1" customHeight="1" x14ac:dyDescent="0.35">
      <c r="B121" s="627" t="s">
        <v>201</v>
      </c>
      <c r="C121" s="627"/>
      <c r="D121" s="627"/>
      <c r="E121" s="627" t="s">
        <v>202</v>
      </c>
      <c r="F121" s="627"/>
      <c r="G121" s="627"/>
      <c r="H121" s="627"/>
      <c r="I121" s="627"/>
      <c r="J121" s="627"/>
      <c r="K121" s="627"/>
      <c r="L121" s="627"/>
      <c r="O121" s="776" t="s">
        <v>2375</v>
      </c>
      <c r="P121" s="293"/>
      <c r="Q121" s="293"/>
      <c r="R121" s="777"/>
      <c r="S121" s="778">
        <f ca="1">S119-S120</f>
        <v>0</v>
      </c>
      <c r="T121" s="779" t="s">
        <v>101</v>
      </c>
      <c r="AL121" s="20"/>
      <c r="AO121" s="13" t="s">
        <v>67</v>
      </c>
      <c r="AP121" s="15"/>
      <c r="AQ121" s="13" t="s">
        <v>68</v>
      </c>
      <c r="AR121" s="15"/>
      <c r="AS121" s="16"/>
      <c r="CJ121" s="32">
        <f ca="1">IF(RELATÓRIO!B117="L-bolacha","bolacha",12)</f>
        <v>12</v>
      </c>
      <c r="CK121" s="1702" t="str">
        <f t="shared" ca="1" si="177"/>
        <v>0 --- 0</v>
      </c>
      <c r="CL121" s="2119"/>
      <c r="CM121" s="2119"/>
      <c r="CN121" s="2119"/>
      <c r="CO121" s="2119"/>
      <c r="CP121" s="2119"/>
      <c r="CQ121" s="1703"/>
      <c r="CR121" s="32">
        <f t="shared" ca="1" si="176"/>
        <v>0</v>
      </c>
      <c r="DD121" s="2069">
        <f>IF($FZ$100="L-12",IF(ENTRADAS!$E$1075="x",0,IF(DK104&lt;=1,IF(DC104=0,0,DK104&amp;" laje L-"&amp;CJ121&amp;" transportada em "&amp;DC104&amp;" carretas somente com lajes"&amp;"--"&amp;"sendo "&amp;DB104&amp;" lajes L-"&amp;CJ121&amp;" no máximo transportadas em cada carreta---- ")&amp;IF(DJ104&gt;0," e mais "&amp;DJ104&amp;" lajes L-"&amp;CJ122,0),IF(DC104=0,0,DK104&amp;" lajes L-"&amp;CJ121&amp;" transportadas em "&amp;DC104&amp;" carretas somente com lajes"&amp;"--"&amp;"sendo "&amp;DB104&amp;" lajes L-"&amp;CJ121&amp;" no máximo transportadas em cada carreta---- ")&amp;IF(DJ104&gt;0," e mais "&amp;DJ104&amp;" lajes L-"&amp;CJ122&amp;" por carreta","-")))&amp;"---"&amp;"  e mais "&amp;$GA$98&amp;" pilares em cada carreta",0)</f>
        <v>0</v>
      </c>
      <c r="DE121" s="1542"/>
      <c r="DF121" s="1542"/>
      <c r="DG121" s="1542"/>
      <c r="DH121" s="1542"/>
      <c r="DI121" s="1545"/>
    </row>
    <row r="122" spans="2:113" ht="14.1" customHeight="1" x14ac:dyDescent="0.35">
      <c r="B122" s="1009">
        <f>ENTRADAS!C1183</f>
        <v>1</v>
      </c>
      <c r="C122" s="627" t="s">
        <v>714</v>
      </c>
      <c r="D122" s="627"/>
      <c r="E122" s="7">
        <f>ENTRADAS!F1183</f>
        <v>0</v>
      </c>
      <c r="F122" s="627" t="s">
        <v>203</v>
      </c>
      <c r="G122" s="627"/>
      <c r="H122" s="627"/>
      <c r="I122" s="627"/>
      <c r="J122" s="627"/>
      <c r="K122" s="627"/>
      <c r="L122" s="627"/>
      <c r="O122" s="776" t="s">
        <v>1963</v>
      </c>
      <c r="P122" s="293"/>
      <c r="Q122" s="293"/>
      <c r="R122" s="777"/>
      <c r="S122" s="778">
        <f ca="1">IF(S115&gt;0,S121/6,S121/5)</f>
        <v>0</v>
      </c>
      <c r="T122" s="779" t="s">
        <v>1964</v>
      </c>
      <c r="AL122" s="9" t="s">
        <v>351</v>
      </c>
      <c r="AM122" s="10"/>
      <c r="AN122" s="6">
        <v>20</v>
      </c>
      <c r="AO122" s="630" t="s">
        <v>2376</v>
      </c>
      <c r="AP122" s="630" t="s">
        <v>2377</v>
      </c>
      <c r="AQ122" s="630" t="s">
        <v>2378</v>
      </c>
      <c r="AR122" s="630" t="s">
        <v>2379</v>
      </c>
      <c r="AS122" s="16"/>
      <c r="CJ122" s="32">
        <f ca="1">IF(RELATÓRIO!B118="L-bolacha","bolacha",13)</f>
        <v>13</v>
      </c>
      <c r="CK122" s="1702" t="str">
        <f t="shared" ca="1" si="177"/>
        <v>0 --- 0</v>
      </c>
      <c r="CL122" s="2119"/>
      <c r="CM122" s="2119"/>
      <c r="CN122" s="2119"/>
      <c r="CO122" s="2119"/>
      <c r="CP122" s="2119"/>
      <c r="CQ122" s="1703"/>
      <c r="CR122" s="32">
        <f t="shared" ca="1" si="176"/>
        <v>0</v>
      </c>
      <c r="DD122" s="2069">
        <f>IF($FZ$100="L-13",IF(ENTRADAS!$E$1075="x",0,IF(DK105&lt;=1,IF(DC105=0,0,DK105&amp;" laje L-"&amp;CJ122&amp;" transportada em "&amp;DC105&amp;" carretas somente com lajes"&amp;"--"&amp;"sendo "&amp;DB105&amp;" lajes L-"&amp;CJ122&amp;" no máximo transportadas em cada carreta---- ")&amp;IF(DJ105&gt;0," e mais "&amp;DJ105&amp;" lajes L-"&amp;CJ123,0),IF(DC105=0,0,DK105&amp;" lajes L-"&amp;CJ122&amp;" transportadas em "&amp;DC105&amp;" carretas somente com lajes"&amp;"--"&amp;"sendo "&amp;DB105&amp;" lajes L-"&amp;CJ122&amp;" no máximo transportadas em cada carreta---- ")&amp;IF(DJ105&gt;0," e mais "&amp;DJ105&amp;" lajes L-"&amp;CJ123&amp;" por carreta","-")))&amp;"---"&amp;"  e mais "&amp;$GA$98&amp;" pilares em cada carreta",0)</f>
        <v>0</v>
      </c>
      <c r="DE122" s="1542"/>
      <c r="DF122" s="1542"/>
      <c r="DG122" s="1542"/>
      <c r="DH122" s="1542"/>
      <c r="DI122" s="1545"/>
    </row>
    <row r="123" spans="2:113" ht="14.1" customHeight="1" x14ac:dyDescent="0.35">
      <c r="B123" s="1009">
        <f>ENTRADAS!C1184</f>
        <v>1</v>
      </c>
      <c r="C123" s="627" t="s">
        <v>91</v>
      </c>
      <c r="D123" s="627"/>
      <c r="E123" s="7">
        <f>ENTRADAS!F1184</f>
        <v>0</v>
      </c>
      <c r="F123" s="627" t="s">
        <v>203</v>
      </c>
      <c r="G123" s="627"/>
      <c r="H123" s="627"/>
      <c r="I123" s="627"/>
      <c r="J123" s="627"/>
      <c r="K123" s="627"/>
      <c r="L123" s="627"/>
      <c r="O123" s="776" t="s">
        <v>1965</v>
      </c>
      <c r="P123" s="293"/>
      <c r="Q123" s="293"/>
      <c r="R123" s="777"/>
      <c r="S123" s="778">
        <f ca="1">S121+S120+S122</f>
        <v>0</v>
      </c>
      <c r="T123" s="779" t="s">
        <v>101</v>
      </c>
      <c r="AL123" s="20"/>
      <c r="AM123" s="386">
        <f>AN122/100+1</f>
        <v>1.2</v>
      </c>
      <c r="AN123" s="639" t="s">
        <v>2380</v>
      </c>
      <c r="AO123" s="387">
        <f ca="1">IF(E6=0,0,IF(AND(DF167&gt;0,DG167&gt;0),DF167,IF(AND(DF167=0,DG167&gt;0),DG167,DF167)))</f>
        <v>0</v>
      </c>
      <c r="AP123" s="387">
        <f ca="1">IF(D29=0,0,CI171)</f>
        <v>0</v>
      </c>
      <c r="AQ123" s="387">
        <f ca="1">LARGE(CD71:CD86,1)</f>
        <v>0</v>
      </c>
      <c r="AR123" s="387">
        <f ca="1">LARGE(AO123:AQ123,1)</f>
        <v>0</v>
      </c>
      <c r="AS123" s="16"/>
      <c r="AT123">
        <f ca="1">IF(E6=0,0,IF(AND(DF167&gt;0,DG167&gt;0),DF167,IF(AND(DF167=0,DG167&gt;0),DG167,DF167)))</f>
        <v>0</v>
      </c>
      <c r="CJ123" s="32">
        <f ca="1">IF(RELATÓRIO!B119="L-bolacha","bolacha",14)</f>
        <v>14</v>
      </c>
      <c r="CK123" s="1702" t="str">
        <f t="shared" ca="1" si="177"/>
        <v>0 --- 0</v>
      </c>
      <c r="CL123" s="2119"/>
      <c r="CM123" s="2119"/>
      <c r="CN123" s="2119"/>
      <c r="CO123" s="2119"/>
      <c r="CP123" s="2119"/>
      <c r="CQ123" s="1703"/>
      <c r="CR123" s="32">
        <f t="shared" ca="1" si="176"/>
        <v>0</v>
      </c>
      <c r="DD123" s="2069">
        <f>IF($FZ$100="L-14",IF(ENTRADAS!$E$1075="x",0,IF(DK106&lt;=1,IF(DC106=0,0,DK106&amp;" laje L-"&amp;CJ123&amp;" transportada em "&amp;DC106&amp;" carretas somente com lajes"&amp;"--"&amp;"sendo "&amp;DB106&amp;" lajes L-"&amp;CJ123&amp;" no máximo transportadas em cada carreta---- ")&amp;IF(DJ106&gt;0," e mais "&amp;DJ106&amp;" lajes L-"&amp;CJ124,0),IF(DC106=0,0,DK106&amp;" lajes L-"&amp;CJ123&amp;" transportadas em "&amp;DC106&amp;" carretas somente com lajes"&amp;"--"&amp;"sendo "&amp;DB106&amp;" lajes L-"&amp;CJ123&amp;" no máximo transportadas em cada carreta---- ")&amp;IF(DJ106&gt;0," e mais "&amp;DJ106&amp;" lajes L-"&amp;CJ124&amp;" por carreta","-")))&amp;"---"&amp;"  e mais "&amp;$GA$98&amp;" pilares em cada carreta",0)</f>
        <v>0</v>
      </c>
      <c r="DE123" s="1542"/>
      <c r="DF123" s="1542"/>
      <c r="DG123" s="1542"/>
      <c r="DH123" s="1542"/>
      <c r="DI123" s="1545"/>
    </row>
    <row r="124" spans="2:113" ht="14.1" customHeight="1" thickBot="1" x14ac:dyDescent="0.4">
      <c r="B124" s="1009">
        <f>ENTRADAS!C1185</f>
        <v>1</v>
      </c>
      <c r="C124" s="204" t="s">
        <v>715</v>
      </c>
      <c r="D124" s="627"/>
      <c r="E124" s="7">
        <f>ENTRADAS!F1185</f>
        <v>0</v>
      </c>
      <c r="F124" s="627" t="s">
        <v>203</v>
      </c>
      <c r="G124" s="627"/>
      <c r="H124" s="627"/>
      <c r="I124" s="627"/>
      <c r="J124" s="627"/>
      <c r="K124" s="627"/>
      <c r="L124" s="627"/>
      <c r="O124" s="780" t="s">
        <v>1966</v>
      </c>
      <c r="P124" s="781"/>
      <c r="Q124" s="781"/>
      <c r="R124" s="782"/>
      <c r="S124" s="783">
        <f>IF(S115&gt;0,0,S119/5)</f>
        <v>0</v>
      </c>
      <c r="T124" s="784" t="s">
        <v>1967</v>
      </c>
      <c r="AL124" s="20"/>
      <c r="AN124" s="32"/>
      <c r="AO124" s="7"/>
      <c r="AP124" s="7"/>
      <c r="AQ124" s="7"/>
      <c r="AR124" s="7">
        <f ca="1">AR123</f>
        <v>0</v>
      </c>
      <c r="AS124" s="16"/>
      <c r="CJ124" s="32">
        <f ca="1">IF(RELATÓRIO!B120="L-bolacha","bolacha",15)</f>
        <v>15</v>
      </c>
      <c r="CK124" s="1702" t="str">
        <f t="shared" ca="1" si="177"/>
        <v>0 --- 0</v>
      </c>
      <c r="CL124" s="2119"/>
      <c r="CM124" s="2119"/>
      <c r="CN124" s="2119"/>
      <c r="CO124" s="2119"/>
      <c r="CP124" s="2119"/>
      <c r="CQ124" s="2154"/>
      <c r="CR124" s="32">
        <f t="shared" ca="1" si="176"/>
        <v>0</v>
      </c>
      <c r="DD124" s="2069">
        <f>IF($FZ$100="L-15",IF(ENTRADAS!$E$1075="x",0,IF(DK107&lt;=1,IF(DC107=0,0,DK107&amp;" laje L-"&amp;CJ124&amp;" transportada em "&amp;DC107&amp;" carretas somente com lajes"&amp;"--"&amp;"sendo "&amp;DB107&amp;" lajes L-"&amp;CJ124&amp;" no máximo transportadas em cada carreta---- ")&amp;IF(DJ107&gt;0," e mais "&amp;DJ107&amp;" lajes L-"&amp;CJ125,0),IF(DC107=0,0,DK107&amp;" lajes L-"&amp;CJ124&amp;" transportadas em "&amp;DC107&amp;" carretas somente com lajes"&amp;"--"&amp;"sendo "&amp;DB107&amp;" lajes L-"&amp;CJ124&amp;" no máximo transportadas em cada carreta---- ")&amp;IF(DJ107&gt;0," e mais "&amp;DJ107&amp;" lajes L-"&amp;CJ125&amp;" por carreta","-")))&amp;"---"&amp;"  e mais "&amp;$GA$98&amp;" pilares em cada carreta",0)</f>
        <v>0</v>
      </c>
      <c r="DE124" s="1542"/>
      <c r="DF124" s="1542"/>
      <c r="DG124" s="1542"/>
      <c r="DH124" s="1542"/>
      <c r="DI124" s="1545"/>
    </row>
    <row r="125" spans="2:113" ht="13.15" thickBot="1" x14ac:dyDescent="0.4">
      <c r="B125" s="1009">
        <f>ENTRADAS!C1186</f>
        <v>1</v>
      </c>
      <c r="C125" s="204" t="s">
        <v>566</v>
      </c>
      <c r="D125" s="627"/>
      <c r="E125" s="7">
        <f>ENTRADAS!F1186</f>
        <v>0</v>
      </c>
      <c r="F125" s="627" t="s">
        <v>203</v>
      </c>
      <c r="G125" s="627"/>
      <c r="H125" s="627"/>
      <c r="I125" s="627"/>
      <c r="J125" s="627"/>
      <c r="K125" s="627"/>
      <c r="L125" s="627"/>
      <c r="O125" s="780" t="s">
        <v>1968</v>
      </c>
      <c r="P125" s="781"/>
      <c r="Q125" s="781"/>
      <c r="R125" s="782"/>
      <c r="S125" s="783">
        <f ca="1">IF(S115&gt;0,S121/6,0)</f>
        <v>0</v>
      </c>
      <c r="T125" s="784" t="s">
        <v>1967</v>
      </c>
      <c r="AL125" s="20"/>
      <c r="AN125" s="630"/>
      <c r="AO125" s="7"/>
      <c r="AP125" s="7"/>
      <c r="AQ125" s="7"/>
      <c r="AR125" s="7"/>
      <c r="AS125" s="16"/>
      <c r="CQ125" s="23" t="s">
        <v>840</v>
      </c>
      <c r="CR125" s="22">
        <f ca="1">SUM(CR110:CR124)</f>
        <v>0</v>
      </c>
    </row>
    <row r="126" spans="2:113" x14ac:dyDescent="0.35">
      <c r="B126" s="1009">
        <f>ENTRADAS!C1187</f>
        <v>4</v>
      </c>
      <c r="C126" s="627" t="s">
        <v>95</v>
      </c>
      <c r="D126" s="627"/>
      <c r="E126" s="7">
        <f>ENTRADAS!F1187</f>
        <v>0</v>
      </c>
      <c r="F126" s="627" t="s">
        <v>203</v>
      </c>
      <c r="G126" s="627"/>
      <c r="H126" s="627"/>
      <c r="I126" s="627"/>
      <c r="J126" s="627"/>
      <c r="K126" s="627"/>
      <c r="L126" s="627"/>
      <c r="O126" s="785" t="s">
        <v>1969</v>
      </c>
      <c r="P126" s="786"/>
      <c r="Q126" s="786"/>
      <c r="R126" s="787"/>
      <c r="S126" s="788">
        <f ca="1">IF(S115&gt;0,(S125*S113*(1+S114/100)/8),(S124*S113*(1+S114/100)/8))</f>
        <v>0</v>
      </c>
      <c r="T126" s="789" t="s">
        <v>101</v>
      </c>
      <c r="AL126" s="20"/>
      <c r="AN126" s="630" t="s">
        <v>2381</v>
      </c>
      <c r="AO126" s="7">
        <f ca="1">AO123*D12</f>
        <v>0</v>
      </c>
      <c r="AP126" s="7">
        <f ca="1">AP123*D29</f>
        <v>0</v>
      </c>
      <c r="AQ126" s="7">
        <f ca="1">C66*2.5</f>
        <v>0</v>
      </c>
      <c r="AR126" s="7">
        <f ca="1">IF(E6=0,0,SUM(AO126:AQ126))</f>
        <v>0</v>
      </c>
      <c r="AS126" s="16"/>
    </row>
    <row r="127" spans="2:113" x14ac:dyDescent="0.35">
      <c r="B127" s="1009">
        <f>ENTRADAS!C1188</f>
        <v>1</v>
      </c>
      <c r="C127" s="627" t="s">
        <v>204</v>
      </c>
      <c r="D127" s="627"/>
      <c r="E127" s="7">
        <f>ENTRADAS!F1188</f>
        <v>0</v>
      </c>
      <c r="F127" s="627" t="s">
        <v>203</v>
      </c>
      <c r="G127" s="627"/>
      <c r="H127" s="627"/>
      <c r="I127" s="627"/>
      <c r="J127" s="627"/>
      <c r="O127" s="785" t="s">
        <v>1970</v>
      </c>
      <c r="P127" s="786"/>
      <c r="Q127" s="786"/>
      <c r="R127" s="787"/>
      <c r="S127" s="788">
        <f ca="1">IF(S115&gt;0,(S125*S115*(S116/100)/8),0)</f>
        <v>0</v>
      </c>
      <c r="T127" s="789" t="s">
        <v>101</v>
      </c>
      <c r="AL127" s="20"/>
      <c r="AN127" s="32"/>
      <c r="AO127" s="7"/>
      <c r="AP127" s="7"/>
      <c r="AQ127" s="7"/>
      <c r="AR127" s="7"/>
      <c r="AS127" s="16"/>
    </row>
    <row r="128" spans="2:113" x14ac:dyDescent="0.35">
      <c r="B128" s="627"/>
      <c r="C128" s="627"/>
      <c r="D128" s="627"/>
      <c r="E128" s="627"/>
      <c r="F128" s="627"/>
      <c r="G128" s="627"/>
      <c r="H128" s="627"/>
      <c r="I128" s="627"/>
      <c r="J128" s="627"/>
      <c r="O128" s="633" t="s">
        <v>1971</v>
      </c>
      <c r="P128" s="10"/>
      <c r="Q128" s="10"/>
      <c r="R128" s="6"/>
      <c r="S128" s="7">
        <f ca="1">ROUNDUP((S124+S125)*7,0)</f>
        <v>0</v>
      </c>
      <c r="T128" s="630" t="s">
        <v>1972</v>
      </c>
      <c r="AL128" s="20"/>
      <c r="AO128" s="4"/>
      <c r="AP128" s="4"/>
      <c r="AQ128" s="4"/>
      <c r="AR128" s="4"/>
      <c r="AS128" s="16"/>
    </row>
    <row r="129" spans="2:118" x14ac:dyDescent="0.35">
      <c r="B129" s="627" t="s">
        <v>567</v>
      </c>
      <c r="C129" s="627"/>
      <c r="D129" s="627"/>
      <c r="E129" s="7">
        <f>ENTRADAS!F1190</f>
        <v>0</v>
      </c>
      <c r="F129" s="627" t="s">
        <v>46</v>
      </c>
      <c r="G129" s="627"/>
      <c r="H129" s="627"/>
      <c r="I129" s="627"/>
      <c r="J129" s="627"/>
      <c r="O129" s="633" t="s">
        <v>1973</v>
      </c>
      <c r="P129" s="10"/>
      <c r="Q129" s="10"/>
      <c r="R129" s="6"/>
      <c r="S129" s="7">
        <f ca="1">ROUNDUP(S121,0)</f>
        <v>0</v>
      </c>
      <c r="T129" s="630" t="s">
        <v>1972</v>
      </c>
      <c r="AL129" s="762">
        <f ca="1">AR129/2.5/0.475</f>
        <v>0</v>
      </c>
      <c r="AM129" s="627" t="s">
        <v>2382</v>
      </c>
      <c r="AN129" s="630" t="s">
        <v>368</v>
      </c>
      <c r="AO129" s="7">
        <f ca="1">IF($C$56+$C$62&gt;100,0,(AO124*$I$11)*$AC$155)</f>
        <v>0</v>
      </c>
      <c r="AP129" s="7">
        <f ca="1">IF($C$56+$C$62&gt;100,0,(AP124*$I$11)*AM123)</f>
        <v>0</v>
      </c>
      <c r="AQ129" s="7">
        <f ca="1">IF($C$56+$C$62&gt;100,0,(AQ124*$I$11)*AM123)</f>
        <v>0</v>
      </c>
      <c r="AR129" s="7">
        <f ca="1">IF(E6=0,0,(AR124*AM123))</f>
        <v>0</v>
      </c>
      <c r="AS129" s="16"/>
      <c r="CK129" s="566" t="s">
        <v>2383</v>
      </c>
      <c r="CL129" s="567"/>
      <c r="CM129" s="567"/>
      <c r="CN129" s="567"/>
      <c r="CO129" s="567"/>
      <c r="CP129" s="567"/>
      <c r="CQ129" s="568"/>
      <c r="CR129" s="566" t="s">
        <v>2383</v>
      </c>
      <c r="CS129" s="567"/>
      <c r="CT129" s="567"/>
      <c r="CU129" s="567"/>
      <c r="CV129" s="567"/>
      <c r="CW129" s="567"/>
      <c r="CX129" s="568"/>
      <c r="CY129" s="566" t="s">
        <v>2384</v>
      </c>
      <c r="CZ129" s="567"/>
      <c r="DA129" s="567"/>
      <c r="DB129" s="567"/>
      <c r="DC129" s="567"/>
      <c r="DD129" s="567"/>
      <c r="DE129" s="567"/>
      <c r="DF129" s="568"/>
      <c r="DG129" s="566" t="s">
        <v>2384</v>
      </c>
      <c r="DH129" s="567"/>
      <c r="DI129" s="567"/>
      <c r="DJ129" s="567"/>
      <c r="DK129" s="567"/>
      <c r="DL129" s="567"/>
      <c r="DM129" s="567"/>
      <c r="DN129" s="568"/>
    </row>
    <row r="130" spans="2:118" x14ac:dyDescent="0.35">
      <c r="B130" s="999"/>
      <c r="C130" s="627"/>
      <c r="D130" s="627"/>
      <c r="E130" s="627"/>
      <c r="F130" s="627"/>
      <c r="G130" s="627"/>
      <c r="H130" s="627"/>
      <c r="I130" s="627"/>
      <c r="O130" s="633" t="s">
        <v>1974</v>
      </c>
      <c r="P130" s="10"/>
      <c r="Q130" s="10"/>
      <c r="R130" s="6"/>
      <c r="S130" s="7">
        <f ca="1">S128-S129</f>
        <v>0</v>
      </c>
      <c r="T130" s="630" t="s">
        <v>1972</v>
      </c>
      <c r="AL130" s="988"/>
      <c r="AM130" s="627"/>
      <c r="AN130" s="630" t="s">
        <v>368</v>
      </c>
      <c r="AO130" s="7">
        <f ca="1">IF($C$56+$C$62&gt;100,AO127*$AC$155,0)</f>
        <v>0</v>
      </c>
      <c r="AP130" s="7">
        <f ca="1">IF($C$56+$C$62&gt;100,AP127*AM123,0)</f>
        <v>0</v>
      </c>
      <c r="AQ130" s="7">
        <f ca="1">IF($C$56+$C$62&gt;100,AQ127*AM123,0)</f>
        <v>0</v>
      </c>
      <c r="AR130" s="7">
        <f ca="1">IF($C$56+$C$62&gt;100,AR127*AM123,0)</f>
        <v>0</v>
      </c>
      <c r="AS130" s="16"/>
      <c r="CK130" s="18" t="s">
        <v>2385</v>
      </c>
      <c r="CL130" s="3"/>
      <c r="CM130" s="3"/>
      <c r="CN130" s="3"/>
      <c r="CO130" s="3"/>
      <c r="CP130" s="3"/>
      <c r="CQ130" s="17"/>
      <c r="CR130" s="18" t="s">
        <v>2386</v>
      </c>
      <c r="CS130" s="3"/>
      <c r="CT130" s="3"/>
      <c r="CU130" s="3"/>
      <c r="CV130" s="3"/>
      <c r="CW130" s="3"/>
      <c r="CX130" s="17"/>
      <c r="CY130" s="18" t="s">
        <v>2387</v>
      </c>
      <c r="CZ130" s="3"/>
      <c r="DA130" s="3"/>
      <c r="DB130" s="3"/>
      <c r="DC130" s="3"/>
      <c r="DD130" s="3"/>
      <c r="DE130" s="3"/>
      <c r="DF130" s="17"/>
      <c r="DG130" s="18" t="s">
        <v>2388</v>
      </c>
      <c r="DH130" s="3"/>
      <c r="DI130" s="3"/>
      <c r="DJ130" s="3"/>
      <c r="DK130" s="3"/>
      <c r="DL130" s="3"/>
      <c r="DM130" s="3"/>
      <c r="DN130" s="17"/>
    </row>
    <row r="131" spans="2:118" ht="75" customHeight="1" x14ac:dyDescent="0.35">
      <c r="B131" s="627" t="s">
        <v>213</v>
      </c>
      <c r="C131" s="627"/>
      <c r="D131" s="627"/>
      <c r="E131" s="627"/>
      <c r="F131" s="627"/>
      <c r="G131" s="627"/>
      <c r="H131" s="627"/>
      <c r="I131" s="7">
        <f>ENTRADAS!L1198</f>
        <v>0</v>
      </c>
      <c r="J131" s="627" t="s">
        <v>130</v>
      </c>
      <c r="O131" s="633" t="s">
        <v>1975</v>
      </c>
      <c r="P131" s="10"/>
      <c r="Q131" s="10"/>
      <c r="R131" s="6"/>
      <c r="S131" s="7">
        <f ca="1">ROUNDUP((S124+S125)*7+S126+S127,0)</f>
        <v>0</v>
      </c>
      <c r="T131" s="630" t="s">
        <v>1972</v>
      </c>
      <c r="X131" s="450"/>
      <c r="AL131" s="988"/>
      <c r="AM131" s="627"/>
      <c r="AN131" s="627"/>
      <c r="AO131" s="627"/>
      <c r="AP131" s="627"/>
      <c r="AQ131" s="627"/>
      <c r="AR131" s="627"/>
      <c r="AS131" s="16"/>
      <c r="CK131" s="2051">
        <f>IF(ENTRADAS!$E$1075="x",CK110,0)</f>
        <v>0</v>
      </c>
      <c r="CL131" s="2051"/>
      <c r="CM131" s="2051"/>
      <c r="CN131" s="2051"/>
      <c r="CO131" s="2051"/>
      <c r="CP131" s="2051"/>
      <c r="CQ131" s="2051"/>
      <c r="CR131" s="2051" t="str">
        <f ca="1">IF(ENTRADAS!$E$1075="x",0,DD93)</f>
        <v>00</v>
      </c>
      <c r="CS131" s="2051"/>
      <c r="CT131" s="2051"/>
      <c r="CU131" s="2051"/>
      <c r="CV131" s="2051"/>
      <c r="CW131" s="2051"/>
      <c r="CX131" s="2051"/>
      <c r="CY131" s="1532" t="s">
        <v>2389</v>
      </c>
      <c r="CZ131" s="2051"/>
      <c r="DA131" s="2051"/>
      <c r="DB131" s="2051"/>
      <c r="DC131" s="2051"/>
      <c r="DD131" s="2051"/>
      <c r="DE131" s="2051"/>
      <c r="DF131" s="2051"/>
      <c r="DG131" s="1532" t="s">
        <v>2390</v>
      </c>
      <c r="DH131" s="2051"/>
      <c r="DI131" s="2051"/>
      <c r="DJ131" s="2051"/>
      <c r="DK131" s="2051"/>
      <c r="DL131" s="2051"/>
      <c r="DM131" s="2051"/>
      <c r="DN131" s="2051"/>
    </row>
    <row r="132" spans="2:118" ht="59.25" customHeight="1" x14ac:dyDescent="0.35">
      <c r="B132" s="627"/>
      <c r="C132" s="627"/>
      <c r="D132" s="627"/>
      <c r="E132" s="627"/>
      <c r="F132" s="627"/>
      <c r="G132" s="627"/>
      <c r="H132" s="627"/>
      <c r="I132" s="627"/>
      <c r="J132" s="627"/>
      <c r="AB132" t="s">
        <v>2391</v>
      </c>
      <c r="AL132" s="988"/>
      <c r="AM132" s="627"/>
      <c r="AN132" s="627"/>
      <c r="AO132" s="627"/>
      <c r="AP132" s="627"/>
      <c r="AQ132" s="627"/>
      <c r="AR132" s="627"/>
      <c r="AS132" s="16"/>
      <c r="CK132" s="2051">
        <f>IF(ENTRADAS!$E$1075="x",CK111,0)</f>
        <v>0</v>
      </c>
      <c r="CL132" s="2051"/>
      <c r="CM132" s="2051"/>
      <c r="CN132" s="2051"/>
      <c r="CO132" s="2051"/>
      <c r="CP132" s="2051"/>
      <c r="CQ132" s="2051"/>
      <c r="CR132" s="2051" t="str">
        <f ca="1">IF(ENTRADAS!$E$1075="x",0,DD94)</f>
        <v>00</v>
      </c>
      <c r="CS132" s="2051"/>
      <c r="CT132" s="2051"/>
      <c r="CU132" s="2051"/>
      <c r="CV132" s="2051"/>
      <c r="CW132" s="2051"/>
      <c r="CX132" s="2051"/>
      <c r="CY132" s="2051">
        <f>IF(ENTRADAS!$E$1075="X",IF(AE156&gt;0,AB155&amp;" pilares transportadados juntos com carretas das paredes----
sendo: "&amp;V155&amp;" pilar em cada carreta de parede ---- "&amp;GA98&amp;" pilares junto com carretas de lajes "
&amp;" e mais "&amp;AE156&amp;" carretas somente com pilares levando até "&amp;$DM$93&amp;" pilares por carreta",AB155&amp;" pilares transportadados juntos com carretas das paredes----
sendo: "&amp;V155&amp;" pilar em cada carreta de parede---- "&amp;GA98&amp;" pilares junto com carretas de lajes"),0)</f>
        <v>0</v>
      </c>
      <c r="CZ132" s="2051"/>
      <c r="DA132" s="2051"/>
      <c r="DB132" s="2051"/>
      <c r="DC132" s="2051"/>
      <c r="DD132" s="2051"/>
      <c r="DE132" s="2051"/>
      <c r="DF132" s="2051"/>
      <c r="DG132" s="2051">
        <f ca="1">IF(DN93=0,IF(D12=0,0,IF(D12&lt;VLOOKUP($A$162,C166:L208,10),IF(ENTRADAS!$E$1075="X",0,0),IF(ENTRADAS!$E$1075="X",0,0))&amp;"-----  "&amp;GA98&amp;" pilares junto com carretas de lajes"),IF(D12=0,0,IF(D12&lt;VLOOKUP($A$162,C166:L208,10),IF(ENTRADAS!$E$1075="X",0,DN93&amp;" carretas somente com pilares, levando "&amp;D12&amp;" pilares por carreta"),IF(ENTRADAS!$E$1075="X",0,DN93&amp;" carretas somente com pilares, levando até "&amp;$DM$93&amp;" pilares por carreta"))&amp;"----- e mais "&amp;GA98&amp;" pilares junto com carretas de lajes"))</f>
        <v>0</v>
      </c>
      <c r="DH132" s="2051"/>
      <c r="DI132" s="2051"/>
      <c r="DJ132" s="2051"/>
      <c r="DK132" s="2051"/>
      <c r="DL132" s="2051"/>
      <c r="DM132" s="2051"/>
      <c r="DN132" s="2051"/>
    </row>
    <row r="133" spans="2:118" ht="39.75" customHeight="1" x14ac:dyDescent="0.35">
      <c r="B133" s="627" t="s">
        <v>216</v>
      </c>
      <c r="C133" s="627"/>
      <c r="D133" s="627"/>
      <c r="E133" s="627"/>
      <c r="F133" s="627"/>
      <c r="G133" s="627"/>
      <c r="H133" s="627"/>
      <c r="I133" s="7">
        <f>ENTRADAS!L1200</f>
        <v>0</v>
      </c>
      <c r="J133" s="627" t="s">
        <v>130</v>
      </c>
      <c r="N133" s="1224" t="s">
        <v>2392</v>
      </c>
      <c r="O133" s="1224" t="s">
        <v>2393</v>
      </c>
      <c r="P133" s="1224" t="s">
        <v>2394</v>
      </c>
      <c r="Q133" s="1224" t="s">
        <v>2395</v>
      </c>
      <c r="R133" s="1225" t="s">
        <v>2396</v>
      </c>
      <c r="S133" s="1224" t="s">
        <v>2397</v>
      </c>
      <c r="T133" s="1224" t="s">
        <v>2398</v>
      </c>
      <c r="U133" s="1224" t="s">
        <v>2399</v>
      </c>
      <c r="V133" s="1224" t="s">
        <v>2400</v>
      </c>
      <c r="W133" s="1224" t="s">
        <v>2401</v>
      </c>
      <c r="X133" s="1224" t="s">
        <v>2402</v>
      </c>
      <c r="Y133" s="1224" t="s">
        <v>2403</v>
      </c>
      <c r="Z133" s="1224" t="s">
        <v>2404</v>
      </c>
      <c r="AA133" t="s">
        <v>2405</v>
      </c>
      <c r="AB133" s="627" t="s">
        <v>2406</v>
      </c>
      <c r="AD133" s="81" t="s">
        <v>2407</v>
      </c>
      <c r="AE133" s="81" t="s">
        <v>2408</v>
      </c>
      <c r="AF133" s="81" t="s">
        <v>2409</v>
      </c>
      <c r="AG133" s="81" t="s">
        <v>2410</v>
      </c>
      <c r="AH133" s="81" t="s">
        <v>2411</v>
      </c>
      <c r="AI133" s="81" t="s">
        <v>2412</v>
      </c>
      <c r="AL133" s="20"/>
      <c r="AO133" s="634" t="s">
        <v>371</v>
      </c>
      <c r="AP133" s="634" t="s">
        <v>372</v>
      </c>
      <c r="AQ133" s="627" t="s">
        <v>373</v>
      </c>
      <c r="CK133" s="2051">
        <f>IF(ENTRADAS!$E$1075="x",CK112,0)</f>
        <v>0</v>
      </c>
      <c r="CL133" s="2051"/>
      <c r="CM133" s="2051"/>
      <c r="CN133" s="2051"/>
      <c r="CO133" s="2051"/>
      <c r="CP133" s="2051"/>
      <c r="CQ133" s="2051"/>
      <c r="CR133" s="2051" t="str">
        <f ca="1">IF(ENTRADAS!$E$1075="x",0,DD95)</f>
        <v>00</v>
      </c>
      <c r="CS133" s="2051"/>
      <c r="CT133" s="2051"/>
      <c r="CU133" s="2051"/>
      <c r="CV133" s="2051"/>
      <c r="CW133" s="2051"/>
      <c r="CX133" s="2051"/>
    </row>
    <row r="134" spans="2:118" x14ac:dyDescent="0.35">
      <c r="N134" s="630" t="s">
        <v>2413</v>
      </c>
      <c r="O134" s="32">
        <f>BT71</f>
        <v>0</v>
      </c>
      <c r="P134" s="32"/>
      <c r="Q134" s="7">
        <f ca="1">AB134+P135</f>
        <v>0</v>
      </c>
      <c r="R134" s="470">
        <f ca="1">Q134</f>
        <v>0</v>
      </c>
      <c r="S134" s="32">
        <f t="shared" ref="S134:S149" ca="1" si="178">IF($AE$165&gt;CD71,CD71,0)</f>
        <v>0</v>
      </c>
      <c r="T134" s="32">
        <f ca="1">IF(S134=0,0,$AE$165/S134)</f>
        <v>0</v>
      </c>
      <c r="U134" s="32"/>
      <c r="V134" s="32">
        <f ca="1">ROUNDDOWN(T134,0)</f>
        <v>0</v>
      </c>
      <c r="W134" s="32"/>
      <c r="X134" s="32">
        <f ca="1">IF(V134=0,0,ROUNDDOWN(IF(O134/V134&gt;$Z$165,$Z$165,O134/V134),0))</f>
        <v>0</v>
      </c>
      <c r="Y134" s="32">
        <f ca="1">X134</f>
        <v>0</v>
      </c>
      <c r="Z134" s="32">
        <f ca="1">IF(Y134=0,0,IF($Z$165-Y134&gt;0,$Z$165-Y134,0))</f>
        <v>0</v>
      </c>
      <c r="AB134" s="511">
        <f ca="1">IF(Y134=0,0,Y134*V134)</f>
        <v>0</v>
      </c>
      <c r="AD134" s="7">
        <f ca="1">BT71-AB134</f>
        <v>0</v>
      </c>
      <c r="AE134" s="32">
        <f>IF(ENTRADAS!$E$1075="X",IF($CX$66=0,0,CX71),IF($CX$66=0,0,CY71))</f>
        <v>0</v>
      </c>
      <c r="AF134" s="32">
        <f>IF(ENTRADAS!$E$1075="X",IF($DQ$66=0,0,DQ71),IF($DQ$66=0,0,DR71))</f>
        <v>0</v>
      </c>
      <c r="AG134" s="32">
        <f>IF(ENTRADAS!$E$1075="X",IF($EJ$66=0,0,EJ71),IF($EJ$66=0,0,EK71))</f>
        <v>0</v>
      </c>
      <c r="AH134" s="32">
        <f>IF(ENTRADAS!$E$1075="X",IF($FC$66=0,0,FC71),IF($FC$66=0,0,FD71))</f>
        <v>0</v>
      </c>
      <c r="AI134" s="32">
        <f>IF(ENTRADAS!$E$1075="X",IF($FV$66=0,0,FV71),IF($FV$66=0,0,FW71))</f>
        <v>0</v>
      </c>
      <c r="AL134" s="988">
        <f ca="1">IF($AL$129&lt;=AO134,AO134,AL135)</f>
        <v>4</v>
      </c>
      <c r="AM134" s="627">
        <f ca="1">IF($C$56+$C$62&gt;100,1000,1)</f>
        <v>1</v>
      </c>
      <c r="AN134" s="627" t="s">
        <v>377</v>
      </c>
      <c r="AO134">
        <v>4</v>
      </c>
      <c r="AP134">
        <v>30</v>
      </c>
      <c r="CK134" s="2051">
        <f>IF(ENTRADAS!$E$1075="x",CK113,0)</f>
        <v>0</v>
      </c>
      <c r="CL134" s="2051"/>
      <c r="CM134" s="2051"/>
      <c r="CN134" s="2051"/>
      <c r="CO134" s="2051"/>
      <c r="CP134" s="2051"/>
      <c r="CQ134" s="2051"/>
      <c r="CR134" s="2051" t="str">
        <f ca="1">IF(ENTRADAS!$E$1075="x",0,DD96)</f>
        <v>00</v>
      </c>
      <c r="CS134" s="2051"/>
      <c r="CT134" s="2051"/>
      <c r="CU134" s="2051"/>
      <c r="CV134" s="2051"/>
      <c r="CW134" s="2051"/>
      <c r="CX134" s="2051"/>
    </row>
    <row r="135" spans="2:118" x14ac:dyDescent="0.35">
      <c r="N135" s="32">
        <v>1</v>
      </c>
      <c r="O135" s="7">
        <f ca="1">IF(W135&gt;BT72,BT72,BT72-W135)</f>
        <v>0</v>
      </c>
      <c r="P135" s="7">
        <f ca="1">U135</f>
        <v>0</v>
      </c>
      <c r="Q135" s="7">
        <f ca="1">AB135+P136</f>
        <v>0</v>
      </c>
      <c r="R135" s="470">
        <f ca="1">IF(Q135-P135&gt;=0,Q135-P135,(Q135-P135)*-1)</f>
        <v>0</v>
      </c>
      <c r="S135" s="32">
        <f t="shared" ca="1" si="178"/>
        <v>0</v>
      </c>
      <c r="T135" s="32">
        <f t="shared" ref="T135:T149" ca="1" si="179">IF(S135=0,0,IF(Z134=0,0,$AE$165/S135))</f>
        <v>0</v>
      </c>
      <c r="U135" s="32">
        <f t="shared" ref="U135:U149" ca="1" si="180">IF(S135=0,0,IF(V134*S134=0,0,ROUNDDOWN(IF($AE$165-V134*S134&gt;S135,($AE$165-V134*S134)/S135,0),0)))</f>
        <v>0</v>
      </c>
      <c r="V135" s="290">
        <f ca="1">ROUNDDOWN(T135,0)</f>
        <v>0</v>
      </c>
      <c r="W135" s="290">
        <f ca="1">IF(AND(Y134=0,U135=0),0,IF(AND(Y134=0,U135&gt;0),U135,Y134*U135))</f>
        <v>0</v>
      </c>
      <c r="X135" s="385">
        <f ca="1">AA135</f>
        <v>0</v>
      </c>
      <c r="Y135" s="630">
        <f ca="1">IF(AND(Z134=0,W135=0),0,IF(AND(Z134=0,W135&gt;0),O135/W135,ROUNDUP(IF(Z134=0,X135,IF(X135&lt;=Z134,X135,Z134)),0)))</f>
        <v>0</v>
      </c>
      <c r="Z135" s="32">
        <f ca="1">IF(Y135=0,0,IF(Y134&gt;0,IF(Y135=0,0,$Z$165-(Y135+SUM(Z$134:$Z134))),IF($Z$165-Y135&gt;0,$Z$165-Y135,0)))</f>
        <v>0</v>
      </c>
      <c r="AA135" s="37">
        <f t="shared" ref="AA135:AA149" ca="1" si="181">IF(V135=0,0,IF(AND(IF(V135=0,0,IF(O135/V135&gt;$Z$165,$Z$165,O135/V135))&gt;0,IF(V135=0,0,IF(O135/V135&gt;$Z$165,$Z$165,O135/V135))&lt;1),1,IF(O135/V135&gt;$Z$165,$Z$165,O135/V135)))</f>
        <v>0</v>
      </c>
      <c r="AB135">
        <f t="shared" ref="AB135:AB149" ca="1" si="182">IF(Y135=0,0,IF(P135=0,IF(P135=0,O135,IF(O135&lt;=W135,O135,W135)),IF(O135*S135/$AE$165&lt;Z134,IF(P135=0,O135,IF(O135&lt;=W135,O135,W135))+O135,IF(P135=0,O135,IF(O135&lt;=W135,O135,W135)))))</f>
        <v>0</v>
      </c>
      <c r="AD135" s="7">
        <f t="shared" ref="AD135:AD149" ca="1" si="183">BT72-AB135</f>
        <v>0</v>
      </c>
      <c r="AE135" s="32">
        <f ca="1">IF(ENTRADAS!$E$1075="X",IF($CX$66=0,0,CX72),IF($CX$66=0,0,CY72))</f>
        <v>0</v>
      </c>
      <c r="AF135" s="32">
        <f ca="1">IF(ENTRADAS!$E$1075="X",IF($DQ$66=0,0,DQ72),IF($DQ$66=0,0,DR72))</f>
        <v>0</v>
      </c>
      <c r="AG135" s="32">
        <f ca="1">IF(ENTRADAS!$E$1075="X",IF($EJ$66=0,0,EJ72),IF($EJ$66=0,0,EK72))</f>
        <v>0</v>
      </c>
      <c r="AH135" s="32">
        <f ca="1">IF(ENTRADAS!$E$1075="X",IF($FC$66=0,0,FC72),IF($FC$66=0,0,FD72))</f>
        <v>0</v>
      </c>
      <c r="AI135" s="32">
        <f ca="1">IF(ENTRADAS!$E$1075="X",IF($FV$66=0,0,FV72),IF($FV$66=0,0,FW72))</f>
        <v>0</v>
      </c>
      <c r="AL135" s="988">
        <f t="shared" ref="AL135:AL140" ca="1" si="184">IF($AL$129&lt;=AO135,AO135,AL136)</f>
        <v>0</v>
      </c>
      <c r="AM135" s="627"/>
      <c r="AN135" s="627"/>
      <c r="CK135" s="2051">
        <f>IF(ENTRADAS!$E$1075="x",CK114,0)</f>
        <v>0</v>
      </c>
      <c r="CL135" s="2051"/>
      <c r="CM135" s="2051"/>
      <c r="CN135" s="2051"/>
      <c r="CO135" s="2051"/>
      <c r="CP135" s="2051"/>
      <c r="CQ135" s="2051"/>
      <c r="CR135" s="2051" t="str">
        <f ca="1">IF(ENTRADAS!$E$1075="x",0,DD97)</f>
        <v>00</v>
      </c>
      <c r="CS135" s="2051"/>
      <c r="CT135" s="2051"/>
      <c r="CU135" s="2051"/>
      <c r="CV135" s="2051"/>
      <c r="CW135" s="2051"/>
      <c r="CX135" s="2051"/>
    </row>
    <row r="136" spans="2:118" x14ac:dyDescent="0.35">
      <c r="B136" s="1226" t="s">
        <v>100</v>
      </c>
      <c r="C136" s="1164"/>
      <c r="D136" s="1164"/>
      <c r="E136" s="1164"/>
      <c r="F136" s="1164"/>
      <c r="G136" s="1164"/>
      <c r="H136" s="739" t="s">
        <v>103</v>
      </c>
      <c r="N136" s="32">
        <v>2</v>
      </c>
      <c r="O136" s="7">
        <f ca="1">IF(W136&gt;BT73,BT73,BT73-W136)</f>
        <v>0</v>
      </c>
      <c r="P136" s="7">
        <f ca="1">W136</f>
        <v>0</v>
      </c>
      <c r="Q136" s="7">
        <f ca="1">AB136+P137</f>
        <v>0</v>
      </c>
      <c r="R136" s="470">
        <f ca="1">IF(Q136-P136&gt;=0,Q136-P136,(Q136-P136)*-1)</f>
        <v>0</v>
      </c>
      <c r="S136" s="32">
        <f t="shared" ca="1" si="178"/>
        <v>0</v>
      </c>
      <c r="T136" s="32">
        <f t="shared" ca="1" si="179"/>
        <v>0</v>
      </c>
      <c r="U136" s="32">
        <f t="shared" ca="1" si="180"/>
        <v>0</v>
      </c>
      <c r="V136" s="290">
        <f t="shared" ref="V136:V149" ca="1" si="185">ROUNDDOWN(T136,0)</f>
        <v>0</v>
      </c>
      <c r="W136" s="290">
        <f ca="1">IF(AND(Y135=0,U136=0),0,IF(AND(Y135=0,U136&gt;0),U136,Y135*U136))</f>
        <v>0</v>
      </c>
      <c r="X136" s="385">
        <f ca="1">AA136</f>
        <v>0</v>
      </c>
      <c r="Y136" s="630">
        <f t="shared" ref="Y136:Y149" ca="1" si="186">IF(AND(Z135=0,W136=0),0,IF(AND(Z135=0,W136&gt;0),O136/W136,ROUNDUP(IF(Z135=0,X136,IF(X136&lt;=Z135,X136,Z135)),0)))</f>
        <v>0</v>
      </c>
      <c r="Z136" s="32">
        <f ca="1">IF(Y136=0,0,IF(Y135&gt;0,IF(Y136=0,0,$Z$165-(Y136+SUM(Z$134:$Z135))),IF($Z$165-Y136&gt;0,$Z$165-Y136,0)))</f>
        <v>0</v>
      </c>
      <c r="AA136" s="37">
        <f t="shared" ca="1" si="181"/>
        <v>0</v>
      </c>
      <c r="AB136">
        <f t="shared" ca="1" si="182"/>
        <v>0</v>
      </c>
      <c r="AD136" s="7">
        <f t="shared" ca="1" si="183"/>
        <v>0</v>
      </c>
      <c r="AE136" s="32">
        <f ca="1">IF(ENTRADAS!$E$1075="X",IF($CX$66=0,0,CX73),IF($CX$66=0,0,CY73))</f>
        <v>0</v>
      </c>
      <c r="AF136" s="32">
        <f ca="1">IF(ENTRADAS!$E$1075="X",IF($DQ$66=0,0,DQ73),IF($DQ$66=0,0,DR73))</f>
        <v>0</v>
      </c>
      <c r="AG136" s="32">
        <f ca="1">IF(ENTRADAS!$E$1075="X",IF($EJ$66=0,0,EJ73),IF($EJ$66=0,0,EK73))</f>
        <v>0</v>
      </c>
      <c r="AH136" s="32">
        <f ca="1">IF(ENTRADAS!$E$1075="X",IF($FC$66=0,0,FC73),IF($FC$66=0,0,FD73))</f>
        <v>0</v>
      </c>
      <c r="AI136" s="32">
        <f ca="1">IF(ENTRADAS!$E$1075="X",IF($FV$66=0,0,FV73),IF($FV$66=0,0,FW73))</f>
        <v>0</v>
      </c>
      <c r="AL136" s="988">
        <f t="shared" ca="1" si="184"/>
        <v>6</v>
      </c>
      <c r="AM136" s="627">
        <f ca="1">IF($C$56+$C$62&gt;100,1000,1)</f>
        <v>1</v>
      </c>
      <c r="AN136" s="627" t="s">
        <v>377</v>
      </c>
      <c r="AO136">
        <v>6</v>
      </c>
      <c r="AP136">
        <v>50</v>
      </c>
      <c r="CK136" s="2051">
        <f>IF(ENTRADAS!$E$1075="x",CK115,0)</f>
        <v>0</v>
      </c>
      <c r="CL136" s="2051"/>
      <c r="CM136" s="2051"/>
      <c r="CN136" s="2051"/>
      <c r="CO136" s="2051"/>
      <c r="CP136" s="2051"/>
      <c r="CQ136" s="2051"/>
      <c r="CR136" s="2051" t="str">
        <f ca="1">IF(ENTRADAS!$E$1075="x",0,DD98)</f>
        <v>00</v>
      </c>
      <c r="CS136" s="2051"/>
      <c r="CT136" s="2051"/>
      <c r="CU136" s="2051"/>
      <c r="CV136" s="2051"/>
      <c r="CW136" s="2051"/>
      <c r="CX136" s="2051"/>
    </row>
    <row r="137" spans="2:118" x14ac:dyDescent="0.35">
      <c r="B137" s="741" t="s">
        <v>714</v>
      </c>
      <c r="C137" s="1163"/>
      <c r="D137" s="1163"/>
      <c r="E137" s="1163"/>
      <c r="F137" s="1163"/>
      <c r="G137" s="1163"/>
      <c r="H137" s="250">
        <f ca="1">($B$120*B122*S128)+(0)</f>
        <v>0</v>
      </c>
      <c r="I137" s="627" t="s">
        <v>103</v>
      </c>
      <c r="N137" s="32">
        <v>3</v>
      </c>
      <c r="O137" s="7">
        <f t="shared" ref="O137:O149" ca="1" si="187">IF(W137&gt;BT74,BT74,BT74-W137)</f>
        <v>0</v>
      </c>
      <c r="P137" s="7">
        <f ca="1">W137</f>
        <v>0</v>
      </c>
      <c r="Q137" s="7">
        <f ca="1">AB137+P138</f>
        <v>0</v>
      </c>
      <c r="R137" s="470">
        <f ca="1">IF(Q137-P137&gt;=0,Q137-P137,(Q137-P137)*-1)</f>
        <v>0</v>
      </c>
      <c r="S137" s="32">
        <f t="shared" ca="1" si="178"/>
        <v>0</v>
      </c>
      <c r="T137" s="32">
        <f t="shared" ca="1" si="179"/>
        <v>0</v>
      </c>
      <c r="U137" s="32">
        <f t="shared" ca="1" si="180"/>
        <v>0</v>
      </c>
      <c r="V137" s="290">
        <f t="shared" ca="1" si="185"/>
        <v>0</v>
      </c>
      <c r="W137" s="290">
        <f t="shared" ref="W137:W149" ca="1" si="188">IF(AND(Y136=0,U137=0),0,IF(AND(Y136=0,U137&gt;0),U137,Y136*U137))</f>
        <v>0</v>
      </c>
      <c r="X137" s="385">
        <f t="shared" ref="X137:X149" ca="1" si="189">AA137</f>
        <v>0</v>
      </c>
      <c r="Y137" s="630">
        <f ca="1">IF(AND(Z136=0,W137=0),0,IF(AND(Z136=0,W137&gt;0),O137/W137,ROUNDUP(IF(Z136=0,X137,IF(X137&lt;=Z136,X137,Z136)),0)))</f>
        <v>0</v>
      </c>
      <c r="Z137" s="32">
        <f ca="1">IF(Y137=0,0,IF(Y136&gt;0,IF(Y137=0,0,$Z$165-(Y137+SUM(Z$134:$Z136))),IF($Z$165-Y137&gt;0,$Z$165-Y137,0)))</f>
        <v>0</v>
      </c>
      <c r="AA137" s="37">
        <f t="shared" ca="1" si="181"/>
        <v>0</v>
      </c>
      <c r="AB137">
        <f t="shared" ca="1" si="182"/>
        <v>0</v>
      </c>
      <c r="AD137" s="7">
        <f t="shared" ca="1" si="183"/>
        <v>0</v>
      </c>
      <c r="AE137" s="32">
        <f ca="1">IF(ENTRADAS!$E$1075="X",IF($CX$66=0,0,CX74),IF($CX$66=0,0,CY74))</f>
        <v>0</v>
      </c>
      <c r="AF137" s="32">
        <f ca="1">IF(ENTRADAS!$E$1075="X",IF($DQ$66=0,0,DQ74),IF($DQ$66=0,0,DR74))</f>
        <v>0</v>
      </c>
      <c r="AG137" s="32">
        <f ca="1">IF(ENTRADAS!$E$1075="X",IF($EJ$66=0,0,EJ74),IF($EJ$66=0,0,EK74))</f>
        <v>0</v>
      </c>
      <c r="AH137" s="32">
        <f ca="1">IF(ENTRADAS!$E$1075="X",IF($FC$66=0,0,FC74),IF($FC$66=0,0,FD74))</f>
        <v>0</v>
      </c>
      <c r="AI137" s="32">
        <f ca="1">IF(ENTRADAS!$E$1075="X",IF($FV$66=0,0,FV74),IF($FV$66=0,0,FW74))</f>
        <v>0</v>
      </c>
      <c r="AL137" s="988">
        <f t="shared" ca="1" si="184"/>
        <v>0</v>
      </c>
      <c r="AM137" s="627"/>
      <c r="AN137" s="627"/>
      <c r="AR137" t="s">
        <v>2414</v>
      </c>
      <c r="CK137" s="2051">
        <f>IF(ENTRADAS!$E$1075="x",CK116,0)</f>
        <v>0</v>
      </c>
      <c r="CL137" s="2051"/>
      <c r="CM137" s="2051"/>
      <c r="CN137" s="2051"/>
      <c r="CO137" s="2051"/>
      <c r="CP137" s="2051"/>
      <c r="CQ137" s="2051"/>
      <c r="CR137" s="2051" t="str">
        <f ca="1">IF(ENTRADAS!$E$1075="x",0,DD99)</f>
        <v>00</v>
      </c>
      <c r="CS137" s="2051"/>
      <c r="CT137" s="2051"/>
      <c r="CU137" s="2051"/>
      <c r="CV137" s="2051"/>
      <c r="CW137" s="2051"/>
      <c r="CX137" s="2051"/>
    </row>
    <row r="138" spans="2:118" x14ac:dyDescent="0.35">
      <c r="B138" s="740" t="s">
        <v>91</v>
      </c>
      <c r="C138" s="399"/>
      <c r="D138" s="1016"/>
      <c r="E138" s="399"/>
      <c r="F138" s="1015"/>
      <c r="G138" s="1015"/>
      <c r="H138" s="250">
        <f ca="1">($B$120*B123*S131)</f>
        <v>0</v>
      </c>
      <c r="I138" s="627" t="s">
        <v>103</v>
      </c>
      <c r="N138" s="32">
        <v>4</v>
      </c>
      <c r="O138" s="7">
        <f t="shared" ca="1" si="187"/>
        <v>0</v>
      </c>
      <c r="P138" s="7">
        <f ca="1">W138</f>
        <v>0</v>
      </c>
      <c r="Q138" s="7">
        <f t="shared" ref="Q138:Q149" ca="1" si="190">AB138+P139</f>
        <v>0</v>
      </c>
      <c r="R138" s="470">
        <f t="shared" ref="R138:R149" ca="1" si="191">IF(Q138-P138&gt;=0,Q138-P138,(Q138-P138)*-1)</f>
        <v>0</v>
      </c>
      <c r="S138" s="32">
        <f t="shared" ca="1" si="178"/>
        <v>0</v>
      </c>
      <c r="T138" s="32">
        <f t="shared" ca="1" si="179"/>
        <v>0</v>
      </c>
      <c r="U138" s="32">
        <f t="shared" ca="1" si="180"/>
        <v>0</v>
      </c>
      <c r="V138" s="290">
        <f t="shared" ca="1" si="185"/>
        <v>0</v>
      </c>
      <c r="W138" s="290">
        <f t="shared" ca="1" si="188"/>
        <v>0</v>
      </c>
      <c r="X138" s="385">
        <f t="shared" ca="1" si="189"/>
        <v>0</v>
      </c>
      <c r="Y138" s="630">
        <f t="shared" ca="1" si="186"/>
        <v>0</v>
      </c>
      <c r="Z138" s="32">
        <f ca="1">IF(Y138=0,0,IF(Y137&gt;0,IF(Y138=0,0,$Z$165-(Y138+SUM(Z$134:$Z137))),IF($Z$165-Y138&gt;0,$Z$165-Y138,0)))</f>
        <v>0</v>
      </c>
      <c r="AA138" s="37">
        <f t="shared" ca="1" si="181"/>
        <v>0</v>
      </c>
      <c r="AB138">
        <f t="shared" ca="1" si="182"/>
        <v>0</v>
      </c>
      <c r="AD138" s="7">
        <f t="shared" ca="1" si="183"/>
        <v>0</v>
      </c>
      <c r="AE138" s="32">
        <f ca="1">IF(ENTRADAS!$E$1075="X",IF($CX$66=0,0,CX75),IF($CX$66=0,0,CY75))</f>
        <v>0</v>
      </c>
      <c r="AF138" s="32">
        <f ca="1">IF(ENTRADAS!$E$1075="X",IF($DQ$66=0,0,DQ75),IF($DQ$66=0,0,DR75))</f>
        <v>0</v>
      </c>
      <c r="AG138" s="32">
        <f ca="1">IF(ENTRADAS!$E$1075="X",IF($EJ$66=0,0,EJ75),IF($EJ$66=0,0,EK75))</f>
        <v>0</v>
      </c>
      <c r="AH138" s="32">
        <f ca="1">IF(ENTRADAS!$E$1075="X",IF($FC$66=0,0,FC75),IF($FC$66=0,0,FD75))</f>
        <v>0</v>
      </c>
      <c r="AI138" s="32">
        <f ca="1">IF(ENTRADAS!$E$1075="X",IF($FV$66=0,0,FV75),IF($FV$66=0,0,FW75))</f>
        <v>0</v>
      </c>
      <c r="AL138" s="988">
        <f t="shared" ca="1" si="184"/>
        <v>8</v>
      </c>
      <c r="AM138" s="627">
        <f ca="1">IF($C$56+$C$62&gt;100,1000,1)</f>
        <v>1</v>
      </c>
      <c r="AN138" s="627" t="s">
        <v>377</v>
      </c>
      <c r="AO138">
        <v>8</v>
      </c>
      <c r="AP138">
        <v>70</v>
      </c>
      <c r="CK138" s="2051">
        <f>IF(ENTRADAS!$E$1075="x",CK117,0)</f>
        <v>0</v>
      </c>
      <c r="CL138" s="2051"/>
      <c r="CM138" s="2051"/>
      <c r="CN138" s="2051"/>
      <c r="CO138" s="2051"/>
      <c r="CP138" s="2051"/>
      <c r="CQ138" s="2051"/>
      <c r="CR138" s="2051" t="str">
        <f ca="1">IF(ENTRADAS!$E$1075="x",0,DD100)</f>
        <v>00</v>
      </c>
      <c r="CS138" s="2051"/>
      <c r="CT138" s="2051"/>
      <c r="CU138" s="2051"/>
      <c r="CV138" s="2051"/>
      <c r="CW138" s="2051"/>
      <c r="CX138" s="2051"/>
    </row>
    <row r="139" spans="2:118" x14ac:dyDescent="0.35">
      <c r="B139" s="740" t="s">
        <v>93</v>
      </c>
      <c r="C139" s="399"/>
      <c r="D139" s="1016"/>
      <c r="E139" s="399"/>
      <c r="F139" s="1015"/>
      <c r="G139" s="1015"/>
      <c r="H139" s="250">
        <f ca="1">($B$120*B124*S131)</f>
        <v>0</v>
      </c>
      <c r="I139" s="627" t="s">
        <v>103</v>
      </c>
      <c r="N139" s="32">
        <v>5</v>
      </c>
      <c r="O139" s="7">
        <f t="shared" ca="1" si="187"/>
        <v>0</v>
      </c>
      <c r="P139" s="7">
        <f t="shared" ref="P139:P149" ca="1" si="192">U139</f>
        <v>0</v>
      </c>
      <c r="Q139" s="7">
        <f t="shared" ca="1" si="190"/>
        <v>0</v>
      </c>
      <c r="R139" s="470">
        <f t="shared" ca="1" si="191"/>
        <v>0</v>
      </c>
      <c r="S139" s="32">
        <f t="shared" ca="1" si="178"/>
        <v>0</v>
      </c>
      <c r="T139" s="32">
        <f t="shared" ca="1" si="179"/>
        <v>0</v>
      </c>
      <c r="U139" s="32">
        <f t="shared" ca="1" si="180"/>
        <v>0</v>
      </c>
      <c r="V139" s="290">
        <f t="shared" ca="1" si="185"/>
        <v>0</v>
      </c>
      <c r="W139" s="290">
        <f t="shared" ca="1" si="188"/>
        <v>0</v>
      </c>
      <c r="X139" s="385">
        <f t="shared" ca="1" si="189"/>
        <v>0</v>
      </c>
      <c r="Y139" s="630">
        <f t="shared" ca="1" si="186"/>
        <v>0</v>
      </c>
      <c r="Z139" s="32">
        <f ca="1">IF(Y139=0,0,IF(Y138&gt;0,IF(Y139=0,0,$Z$165-(Y139+SUM(Z$134:$Z138))),IF($Z$165-Y139&gt;0,$Z$165-Y139,0)))</f>
        <v>0</v>
      </c>
      <c r="AA139" s="37">
        <f t="shared" ca="1" si="181"/>
        <v>0</v>
      </c>
      <c r="AB139">
        <f t="shared" ca="1" si="182"/>
        <v>0</v>
      </c>
      <c r="AD139" s="7">
        <f t="shared" ca="1" si="183"/>
        <v>0</v>
      </c>
      <c r="AE139" s="32">
        <f ca="1">IF(ENTRADAS!$E$1075="X",IF($CX$66=0,0,CX76),IF($CX$66=0,0,CY76))</f>
        <v>0</v>
      </c>
      <c r="AF139" s="32">
        <f ca="1">IF(ENTRADAS!$E$1075="X",IF($DQ$66=0,0,DQ76),IF($DQ$66=0,0,DR76))</f>
        <v>0</v>
      </c>
      <c r="AG139" s="32">
        <f ca="1">IF(ENTRADAS!$E$1075="X",IF($EJ$66=0,0,EJ76),IF($EJ$66=0,0,EK76))</f>
        <v>0</v>
      </c>
      <c r="AH139" s="32">
        <f ca="1">IF(ENTRADAS!$E$1075="X",IF($FC$66=0,0,FC76),IF($FC$66=0,0,FD76))</f>
        <v>0</v>
      </c>
      <c r="AI139" s="32">
        <f ca="1">IF(ENTRADAS!$E$1075="X",IF($FV$66=0,0,FV76),IF($FV$66=0,0,FW76))</f>
        <v>0</v>
      </c>
      <c r="AL139" s="988">
        <f t="shared" ca="1" si="184"/>
        <v>0</v>
      </c>
      <c r="AM139" s="627"/>
      <c r="AN139" s="627"/>
      <c r="CK139" s="2051">
        <f>IF(ENTRADAS!$E$1075="x",CK118,0)</f>
        <v>0</v>
      </c>
      <c r="CL139" s="2051"/>
      <c r="CM139" s="2051"/>
      <c r="CN139" s="2051"/>
      <c r="CO139" s="2051"/>
      <c r="CP139" s="2051"/>
      <c r="CQ139" s="2051"/>
      <c r="CR139" s="2051" t="str">
        <f ca="1">IF(ENTRADAS!$E$1075="x",0,DD101)</f>
        <v>00</v>
      </c>
      <c r="CS139" s="2051"/>
      <c r="CT139" s="2051"/>
      <c r="CU139" s="2051"/>
      <c r="CV139" s="2051"/>
      <c r="CW139" s="2051"/>
      <c r="CX139" s="2051"/>
    </row>
    <row r="140" spans="2:118" x14ac:dyDescent="0.35">
      <c r="B140" s="740" t="s">
        <v>94</v>
      </c>
      <c r="C140" s="399"/>
      <c r="D140" s="1016"/>
      <c r="E140" s="399"/>
      <c r="F140" s="1015"/>
      <c r="G140" s="1015"/>
      <c r="H140" s="250">
        <f ca="1">($B$120*B125*S131)</f>
        <v>0</v>
      </c>
      <c r="I140" s="627" t="s">
        <v>103</v>
      </c>
      <c r="N140" s="32">
        <v>6</v>
      </c>
      <c r="O140" s="7">
        <f t="shared" ca="1" si="187"/>
        <v>0</v>
      </c>
      <c r="P140" s="7">
        <f t="shared" ca="1" si="192"/>
        <v>0</v>
      </c>
      <c r="Q140" s="7">
        <f t="shared" ca="1" si="190"/>
        <v>0</v>
      </c>
      <c r="R140" s="470">
        <f t="shared" ca="1" si="191"/>
        <v>0</v>
      </c>
      <c r="S140" s="32">
        <f t="shared" ca="1" si="178"/>
        <v>0</v>
      </c>
      <c r="T140" s="32">
        <f t="shared" ca="1" si="179"/>
        <v>0</v>
      </c>
      <c r="U140" s="32">
        <f t="shared" ca="1" si="180"/>
        <v>0</v>
      </c>
      <c r="V140" s="290">
        <f t="shared" ca="1" si="185"/>
        <v>0</v>
      </c>
      <c r="W140" s="290">
        <f t="shared" ca="1" si="188"/>
        <v>0</v>
      </c>
      <c r="X140" s="385">
        <f t="shared" ca="1" si="189"/>
        <v>0</v>
      </c>
      <c r="Y140" s="630">
        <f t="shared" ca="1" si="186"/>
        <v>0</v>
      </c>
      <c r="Z140" s="32">
        <f ca="1">IF(Y140=0,0,IF(Y139&gt;0,IF(Y140=0,0,$Z$165-(Y140+SUM(Z$134:$Z139))),IF($Z$165-Y140&gt;0,$Z$165-Y140,0)))</f>
        <v>0</v>
      </c>
      <c r="AA140" s="37">
        <f t="shared" ca="1" si="181"/>
        <v>0</v>
      </c>
      <c r="AB140">
        <f t="shared" ca="1" si="182"/>
        <v>0</v>
      </c>
      <c r="AD140" s="7">
        <f t="shared" ca="1" si="183"/>
        <v>0</v>
      </c>
      <c r="AE140" s="32">
        <f ca="1">IF(ENTRADAS!$E$1075="X",IF($CX$66=0,0,CX77),IF($CX$66=0,0,CY77))</f>
        <v>0</v>
      </c>
      <c r="AF140" s="32">
        <f ca="1">IF(ENTRADAS!$E$1075="X",IF($DQ$66=0,0,DQ77),IF($DQ$66=0,0,DR77))</f>
        <v>0</v>
      </c>
      <c r="AG140" s="32">
        <f ca="1">IF(ENTRADAS!$E$1075="X",IF($EJ$66=0,0,EJ77),IF($EJ$66=0,0,EK77))</f>
        <v>0</v>
      </c>
      <c r="AH140" s="32">
        <f ca="1">IF(ENTRADAS!$E$1075="X",IF($FC$66=0,0,FC77),IF($FC$66=0,0,FD77))</f>
        <v>0</v>
      </c>
      <c r="AI140" s="32">
        <f ca="1">IF(ENTRADAS!$E$1075="X",IF($FV$66=0,0,FV77),IF($FV$66=0,0,FW77))</f>
        <v>0</v>
      </c>
      <c r="AL140" s="988">
        <f t="shared" ca="1" si="184"/>
        <v>10</v>
      </c>
      <c r="AM140" s="627">
        <f ca="1">IF($C$56+$C$62&gt;100,1000,1)</f>
        <v>1</v>
      </c>
      <c r="AN140" s="627" t="s">
        <v>377</v>
      </c>
      <c r="AO140">
        <v>10</v>
      </c>
      <c r="AP140">
        <v>90</v>
      </c>
      <c r="CK140" s="2051">
        <f>IF(ENTRADAS!$E$1075="x",CK119,0)</f>
        <v>0</v>
      </c>
      <c r="CL140" s="2051"/>
      <c r="CM140" s="2051"/>
      <c r="CN140" s="2051"/>
      <c r="CO140" s="2051"/>
      <c r="CP140" s="2051"/>
      <c r="CQ140" s="2051"/>
      <c r="CR140" s="2051" t="str">
        <f ca="1">IF(ENTRADAS!$E$1075="x",0,DD102)</f>
        <v>00</v>
      </c>
      <c r="CS140" s="2051"/>
      <c r="CT140" s="2051"/>
      <c r="CU140" s="2051"/>
      <c r="CV140" s="2051"/>
      <c r="CW140" s="2051"/>
      <c r="CX140" s="2051"/>
    </row>
    <row r="141" spans="2:118" x14ac:dyDescent="0.35">
      <c r="B141" s="740" t="s">
        <v>95</v>
      </c>
      <c r="C141" s="399"/>
      <c r="D141" s="1016"/>
      <c r="E141" s="399"/>
      <c r="F141" s="1015"/>
      <c r="G141" s="1015"/>
      <c r="H141" s="250">
        <f ca="1">($B$120*B126*S131)</f>
        <v>0</v>
      </c>
      <c r="I141" s="627" t="s">
        <v>103</v>
      </c>
      <c r="N141" s="32">
        <v>7</v>
      </c>
      <c r="O141" s="7">
        <f t="shared" ca="1" si="187"/>
        <v>0</v>
      </c>
      <c r="P141" s="7">
        <f t="shared" ca="1" si="192"/>
        <v>0</v>
      </c>
      <c r="Q141" s="7">
        <f t="shared" ca="1" si="190"/>
        <v>0</v>
      </c>
      <c r="R141" s="470">
        <f t="shared" ca="1" si="191"/>
        <v>0</v>
      </c>
      <c r="S141" s="32">
        <f t="shared" ca="1" si="178"/>
        <v>0</v>
      </c>
      <c r="T141" s="32">
        <f t="shared" ca="1" si="179"/>
        <v>0</v>
      </c>
      <c r="U141" s="32">
        <f t="shared" ca="1" si="180"/>
        <v>0</v>
      </c>
      <c r="V141" s="290">
        <f t="shared" ca="1" si="185"/>
        <v>0</v>
      </c>
      <c r="W141" s="290">
        <f t="shared" ca="1" si="188"/>
        <v>0</v>
      </c>
      <c r="X141" s="385">
        <f t="shared" ca="1" si="189"/>
        <v>0</v>
      </c>
      <c r="Y141" s="630">
        <f t="shared" ca="1" si="186"/>
        <v>0</v>
      </c>
      <c r="Z141" s="32">
        <f ca="1">IF(Y141=0,0,IF(Y140&gt;0,IF(Y141=0,0,$Z$165-(Y141+SUM(Z$134:$Z140))),IF($Z$165-Y141&gt;0,$Z$165-Y141,0)))</f>
        <v>0</v>
      </c>
      <c r="AA141" s="37">
        <f t="shared" ca="1" si="181"/>
        <v>0</v>
      </c>
      <c r="AB141">
        <f t="shared" ca="1" si="182"/>
        <v>0</v>
      </c>
      <c r="AD141" s="7">
        <f t="shared" ca="1" si="183"/>
        <v>0</v>
      </c>
      <c r="AE141" s="32">
        <f ca="1">IF(ENTRADAS!$E$1075="X",IF($CX$66=0,0,CX78),IF($CX$66=0,0,CY78))</f>
        <v>0</v>
      </c>
      <c r="AF141" s="32">
        <f ca="1">IF(ENTRADAS!$E$1075="X",IF($DQ$66=0,0,DQ78),IF($DQ$66=0,0,DR78))</f>
        <v>0</v>
      </c>
      <c r="AG141" s="32">
        <f ca="1">IF(ENTRADAS!$E$1075="X",IF($EJ$66=0,0,EJ78),IF($EJ$66=0,0,EK78))</f>
        <v>0</v>
      </c>
      <c r="AH141" s="32">
        <f ca="1">IF(ENTRADAS!$E$1075="X",IF($FC$66=0,0,FC78),IF($FC$66=0,0,FD78))</f>
        <v>0</v>
      </c>
      <c r="AI141" s="32">
        <f ca="1">IF(ENTRADAS!$E$1075="X",IF($FV$66=0,0,FV78),IF($FV$66=0,0,FW78))</f>
        <v>0</v>
      </c>
      <c r="AL141" s="988"/>
      <c r="AM141" s="627"/>
      <c r="AN141" s="627"/>
      <c r="BT141" t="s">
        <v>2415</v>
      </c>
      <c r="BV141">
        <f>D19</f>
        <v>0.25</v>
      </c>
      <c r="BW141" t="s">
        <v>20</v>
      </c>
      <c r="CK141" s="2051">
        <f>IF(ENTRADAS!$E$1075="x",CK120,0)</f>
        <v>0</v>
      </c>
      <c r="CL141" s="2051"/>
      <c r="CM141" s="2051"/>
      <c r="CN141" s="2051"/>
      <c r="CO141" s="2051"/>
      <c r="CP141" s="2051"/>
      <c r="CQ141" s="2051"/>
      <c r="CR141" s="2051" t="str">
        <f ca="1">IF(ENTRADAS!$E$1075="x",0,DD103)</f>
        <v>00</v>
      </c>
      <c r="CS141" s="2051"/>
      <c r="CT141" s="2051"/>
      <c r="CU141" s="2051"/>
      <c r="CV141" s="2051"/>
      <c r="CW141" s="2051"/>
      <c r="CX141" s="2051"/>
    </row>
    <row r="142" spans="2:118" x14ac:dyDescent="0.35">
      <c r="B142" s="740" t="s">
        <v>96</v>
      </c>
      <c r="C142" s="399"/>
      <c r="D142" s="1016"/>
      <c r="E142" s="399"/>
      <c r="F142" s="1015"/>
      <c r="G142" s="1015"/>
      <c r="H142" s="250">
        <f ca="1">($B$120*B127*S131)</f>
        <v>0</v>
      </c>
      <c r="I142" s="627" t="s">
        <v>103</v>
      </c>
      <c r="N142" s="32">
        <v>8</v>
      </c>
      <c r="O142" s="7">
        <f t="shared" ca="1" si="187"/>
        <v>0</v>
      </c>
      <c r="P142" s="7">
        <f t="shared" ca="1" si="192"/>
        <v>0</v>
      </c>
      <c r="Q142" s="7">
        <f t="shared" ca="1" si="190"/>
        <v>0</v>
      </c>
      <c r="R142" s="470">
        <f t="shared" ca="1" si="191"/>
        <v>0</v>
      </c>
      <c r="S142" s="32">
        <f t="shared" ca="1" si="178"/>
        <v>0</v>
      </c>
      <c r="T142" s="32">
        <f t="shared" ca="1" si="179"/>
        <v>0</v>
      </c>
      <c r="U142" s="32">
        <f t="shared" ca="1" si="180"/>
        <v>0</v>
      </c>
      <c r="V142" s="290">
        <f t="shared" ca="1" si="185"/>
        <v>0</v>
      </c>
      <c r="W142" s="290">
        <f t="shared" ca="1" si="188"/>
        <v>0</v>
      </c>
      <c r="X142" s="385">
        <f t="shared" ca="1" si="189"/>
        <v>0</v>
      </c>
      <c r="Y142" s="630">
        <f t="shared" ca="1" si="186"/>
        <v>0</v>
      </c>
      <c r="Z142" s="32">
        <f ca="1">IF(Y142=0,0,IF(Y141&gt;0,IF(Y142=0,0,$Z$165-(Y142+SUM(Z$134:$Z141))),IF($Z$165-Y142&gt;0,$Z$165-Y142,0)))</f>
        <v>0</v>
      </c>
      <c r="AA142" s="37">
        <f t="shared" ca="1" si="181"/>
        <v>0</v>
      </c>
      <c r="AB142">
        <f t="shared" ca="1" si="182"/>
        <v>0</v>
      </c>
      <c r="AD142" s="7">
        <f t="shared" ca="1" si="183"/>
        <v>0</v>
      </c>
      <c r="AE142" s="32">
        <f ca="1">IF(ENTRADAS!$E$1075="X",IF($CX$66=0,0,CX79),IF($CX$66=0,0,CY79))</f>
        <v>0</v>
      </c>
      <c r="AF142" s="32">
        <f ca="1">IF(ENTRADAS!$E$1075="X",IF($DQ$66=0,0,DQ79),IF($DQ$66=0,0,DR79))</f>
        <v>0</v>
      </c>
      <c r="AG142" s="32">
        <f ca="1">IF(ENTRADAS!$E$1075="X",IF($EJ$66=0,0,EJ79),IF($EJ$66=0,0,EK79))</f>
        <v>0</v>
      </c>
      <c r="AH142" s="32">
        <f ca="1">IF(ENTRADAS!$E$1075="X",IF($FC$66=0,0,FC79),IF($FC$66=0,0,FD79))</f>
        <v>0</v>
      </c>
      <c r="AI142" s="32">
        <f ca="1">IF(ENTRADAS!$E$1075="X",IF($FV$66=0,0,FV79),IF($FV$66=0,0,FW79))</f>
        <v>0</v>
      </c>
      <c r="AL142" s="988">
        <f ca="1">SMALL(AL134:AL140,1)</f>
        <v>0</v>
      </c>
      <c r="AM142" s="627" t="e">
        <f ca="1">VLOOKUP(AL142,AO134:AP140,2,0)</f>
        <v>#N/A</v>
      </c>
      <c r="AN142" s="627" t="s">
        <v>328</v>
      </c>
      <c r="BT142" t="s">
        <v>2416</v>
      </c>
      <c r="BV142">
        <f>D14</f>
        <v>0.5</v>
      </c>
      <c r="BW142" t="s">
        <v>20</v>
      </c>
      <c r="CK142" s="2051">
        <f>IF(ENTRADAS!$E$1075="x",CK121,0)</f>
        <v>0</v>
      </c>
      <c r="CL142" s="2051"/>
      <c r="CM142" s="2051"/>
      <c r="CN142" s="2051"/>
      <c r="CO142" s="2051"/>
      <c r="CP142" s="2051"/>
      <c r="CQ142" s="2051"/>
      <c r="CR142" s="2051" t="str">
        <f ca="1">IF(ENTRADAS!$E$1075="x",0,DD104)</f>
        <v>00</v>
      </c>
      <c r="CS142" s="2051"/>
      <c r="CT142" s="2051"/>
      <c r="CU142" s="2051"/>
      <c r="CV142" s="2051"/>
      <c r="CW142" s="2051"/>
      <c r="CX142" s="2051"/>
    </row>
    <row r="143" spans="2:118" x14ac:dyDescent="0.35">
      <c r="N143" s="32">
        <v>9</v>
      </c>
      <c r="O143" s="7">
        <f t="shared" ca="1" si="187"/>
        <v>0</v>
      </c>
      <c r="P143" s="7">
        <f t="shared" ca="1" si="192"/>
        <v>0</v>
      </c>
      <c r="Q143" s="7">
        <f t="shared" ca="1" si="190"/>
        <v>0</v>
      </c>
      <c r="R143" s="470">
        <f t="shared" ca="1" si="191"/>
        <v>0</v>
      </c>
      <c r="S143" s="32">
        <f t="shared" ca="1" si="178"/>
        <v>0</v>
      </c>
      <c r="T143" s="32">
        <f t="shared" ca="1" si="179"/>
        <v>0</v>
      </c>
      <c r="U143" s="32">
        <f t="shared" ca="1" si="180"/>
        <v>0</v>
      </c>
      <c r="V143" s="290">
        <f t="shared" ca="1" si="185"/>
        <v>0</v>
      </c>
      <c r="W143" s="290">
        <f t="shared" ca="1" si="188"/>
        <v>0</v>
      </c>
      <c r="X143" s="385">
        <f t="shared" ca="1" si="189"/>
        <v>0</v>
      </c>
      <c r="Y143" s="630">
        <f t="shared" ca="1" si="186"/>
        <v>0</v>
      </c>
      <c r="Z143" s="32">
        <f ca="1">IF(Y143=0,0,IF(Y142&gt;0,IF(Y143=0,0,$Z$165-(Y143+SUM(Z$134:$Z142))),IF($Z$165-Y143&gt;0,$Z$165-Y143,0)))</f>
        <v>0</v>
      </c>
      <c r="AA143" s="37">
        <f t="shared" ca="1" si="181"/>
        <v>0</v>
      </c>
      <c r="AB143">
        <f t="shared" ca="1" si="182"/>
        <v>0</v>
      </c>
      <c r="AD143" s="7">
        <f t="shared" ca="1" si="183"/>
        <v>0</v>
      </c>
      <c r="AE143" s="32">
        <f ca="1">IF(ENTRADAS!$E$1075="X",IF($CX$66=0,0,CX80),IF($CX$66=0,0,CY80))</f>
        <v>0</v>
      </c>
      <c r="AF143" s="32">
        <f ca="1">IF(ENTRADAS!$E$1075="X",IF($DQ$66=0,0,DQ80),IF($DQ$66=0,0,DR80))</f>
        <v>0</v>
      </c>
      <c r="AG143" s="32">
        <f ca="1">IF(ENTRADAS!$E$1075="X",IF($EJ$66=0,0,EJ80),IF($EJ$66=0,0,EK80))</f>
        <v>0</v>
      </c>
      <c r="AH143" s="32">
        <f ca="1">IF(ENTRADAS!$E$1075="X",IF($FC$66=0,0,FC80),IF($FC$66=0,0,FD80))</f>
        <v>0</v>
      </c>
      <c r="AI143" s="32">
        <f ca="1">IF(ENTRADAS!$E$1075="X",IF($FV$66=0,0,FV80),IF($FV$66=0,0,FW80))</f>
        <v>0</v>
      </c>
      <c r="BT143" t="s">
        <v>2417</v>
      </c>
      <c r="BV143">
        <f>D30</f>
        <v>0.5</v>
      </c>
      <c r="BW143" t="s">
        <v>20</v>
      </c>
      <c r="CK143" s="2051">
        <f>IF(ENTRADAS!$E$1075="x",CK122,0)</f>
        <v>0</v>
      </c>
      <c r="CL143" s="2051"/>
      <c r="CM143" s="2051"/>
      <c r="CN143" s="2051"/>
      <c r="CO143" s="2051"/>
      <c r="CP143" s="2051"/>
      <c r="CQ143" s="2051"/>
      <c r="CR143" s="2051" t="str">
        <f ca="1">IF(ENTRADAS!$E$1075="x",0,DD105)</f>
        <v>00</v>
      </c>
      <c r="CS143" s="2051"/>
      <c r="CT143" s="2051"/>
      <c r="CU143" s="2051"/>
      <c r="CV143" s="2051"/>
      <c r="CW143" s="2051"/>
      <c r="CX143" s="2051"/>
    </row>
    <row r="144" spans="2:118" x14ac:dyDescent="0.35">
      <c r="H144" s="948" t="s">
        <v>86</v>
      </c>
      <c r="I144" s="739" t="s">
        <v>87</v>
      </c>
      <c r="N144" s="32">
        <v>10</v>
      </c>
      <c r="O144" s="7">
        <f t="shared" ca="1" si="187"/>
        <v>0</v>
      </c>
      <c r="P144" s="7">
        <f t="shared" ca="1" si="192"/>
        <v>0</v>
      </c>
      <c r="Q144" s="7">
        <f t="shared" ca="1" si="190"/>
        <v>0</v>
      </c>
      <c r="R144" s="470">
        <f t="shared" ca="1" si="191"/>
        <v>0</v>
      </c>
      <c r="S144" s="32">
        <f t="shared" ca="1" si="178"/>
        <v>0</v>
      </c>
      <c r="T144" s="32">
        <f t="shared" ca="1" si="179"/>
        <v>0</v>
      </c>
      <c r="U144" s="32">
        <f t="shared" ca="1" si="180"/>
        <v>0</v>
      </c>
      <c r="V144" s="290">
        <f t="shared" ca="1" si="185"/>
        <v>0</v>
      </c>
      <c r="W144" s="290">
        <f t="shared" ca="1" si="188"/>
        <v>0</v>
      </c>
      <c r="X144" s="385">
        <f t="shared" ca="1" si="189"/>
        <v>0</v>
      </c>
      <c r="Y144" s="630">
        <f t="shared" ca="1" si="186"/>
        <v>0</v>
      </c>
      <c r="Z144" s="32">
        <f ca="1">IF(Y144=0,0,IF(Y143&gt;0,IF(Y144=0,0,$Z$165-(Y144+SUM(Z$134:$Z143))),IF($Z$165-Y144&gt;0,$Z$165-Y144,0)))</f>
        <v>0</v>
      </c>
      <c r="AA144" s="37">
        <f t="shared" ca="1" si="181"/>
        <v>0</v>
      </c>
      <c r="AB144">
        <f t="shared" ca="1" si="182"/>
        <v>0</v>
      </c>
      <c r="AD144" s="7">
        <f t="shared" ca="1" si="183"/>
        <v>0</v>
      </c>
      <c r="AE144" s="32">
        <f ca="1">IF(ENTRADAS!$E$1075="X",IF($CX$66=0,0,CX81),IF($CX$66=0,0,CY81))</f>
        <v>0</v>
      </c>
      <c r="AF144" s="32">
        <f ca="1">IF(ENTRADAS!$E$1075="X",IF($DQ$66=0,0,DQ81),IF($DQ$66=0,0,DR81))</f>
        <v>0</v>
      </c>
      <c r="AG144" s="32">
        <f ca="1">IF(ENTRADAS!$E$1075="X",IF($EJ$66=0,0,EJ81),IF($EJ$66=0,0,EK81))</f>
        <v>0</v>
      </c>
      <c r="AH144" s="32">
        <f ca="1">IF(ENTRADAS!$E$1075="X",IF($FC$66=0,0,FC81),IF($FC$66=0,0,FD81))</f>
        <v>0</v>
      </c>
      <c r="AI144" s="32">
        <f ca="1">IF(ENTRADAS!$E$1075="X",IF($FV$66=0,0,FV81),IF($FV$66=0,0,FW81))</f>
        <v>0</v>
      </c>
      <c r="AL144" s="13"/>
      <c r="AM144" s="14"/>
      <c r="AN144" s="14"/>
      <c r="AO144" s="14"/>
      <c r="AP144" s="14"/>
      <c r="AQ144" s="14"/>
      <c r="AR144" s="14"/>
      <c r="AS144" s="14"/>
      <c r="AT144" s="14"/>
      <c r="AU144" s="14"/>
      <c r="AV144" s="15"/>
      <c r="BT144" s="627" t="s">
        <v>2418</v>
      </c>
      <c r="BV144" s="37">
        <f>D31</f>
        <v>0.625</v>
      </c>
      <c r="BW144" t="s">
        <v>20</v>
      </c>
      <c r="CK144" s="2051">
        <f>IF(ENTRADAS!$E$1075="x",CK123,0)</f>
        <v>0</v>
      </c>
      <c r="CL144" s="2051"/>
      <c r="CM144" s="2051"/>
      <c r="CN144" s="2051"/>
      <c r="CO144" s="2051"/>
      <c r="CP144" s="2051"/>
      <c r="CQ144" s="2051"/>
      <c r="CR144" s="2051" t="str">
        <f ca="1">IF(ENTRADAS!$E$1075="x",0,DD106)</f>
        <v>00</v>
      </c>
      <c r="CS144" s="2051"/>
      <c r="CT144" s="2051"/>
      <c r="CU144" s="2051"/>
      <c r="CV144" s="2051"/>
      <c r="CW144" s="2051"/>
      <c r="CX144" s="2051"/>
    </row>
    <row r="145" spans="1:112" x14ac:dyDescent="0.35">
      <c r="B145" s="978" t="s">
        <v>88</v>
      </c>
      <c r="C145" s="972"/>
      <c r="D145" s="972"/>
      <c r="E145" s="972"/>
      <c r="F145" s="972"/>
      <c r="G145" s="972"/>
      <c r="H145" s="949" t="s">
        <v>89</v>
      </c>
      <c r="I145" s="975" t="s">
        <v>90</v>
      </c>
      <c r="N145" s="32">
        <v>11</v>
      </c>
      <c r="O145" s="7">
        <f t="shared" ca="1" si="187"/>
        <v>0</v>
      </c>
      <c r="P145" s="7">
        <f t="shared" ca="1" si="192"/>
        <v>0</v>
      </c>
      <c r="Q145" s="7">
        <f t="shared" ca="1" si="190"/>
        <v>0</v>
      </c>
      <c r="R145" s="470">
        <f t="shared" ca="1" si="191"/>
        <v>0</v>
      </c>
      <c r="S145" s="32">
        <f t="shared" ca="1" si="178"/>
        <v>0</v>
      </c>
      <c r="T145" s="32">
        <f t="shared" ca="1" si="179"/>
        <v>0</v>
      </c>
      <c r="U145" s="32">
        <f t="shared" ca="1" si="180"/>
        <v>0</v>
      </c>
      <c r="V145" s="290">
        <f t="shared" ca="1" si="185"/>
        <v>0</v>
      </c>
      <c r="W145" s="290">
        <f t="shared" ca="1" si="188"/>
        <v>0</v>
      </c>
      <c r="X145" s="385">
        <f t="shared" ca="1" si="189"/>
        <v>0</v>
      </c>
      <c r="Y145" s="630">
        <f t="shared" ca="1" si="186"/>
        <v>0</v>
      </c>
      <c r="Z145" s="32">
        <f ca="1">IF(Y145=0,0,IF(Y144&gt;0,IF(Y145=0,0,$Z$165-(Y145+SUM(Z$134:$Z144))),IF($Z$165-Y145&gt;0,$Z$165-Y145,0)))</f>
        <v>0</v>
      </c>
      <c r="AA145" s="37">
        <f t="shared" ca="1" si="181"/>
        <v>0</v>
      </c>
      <c r="AB145">
        <f t="shared" ca="1" si="182"/>
        <v>0</v>
      </c>
      <c r="AD145" s="7">
        <f t="shared" ca="1" si="183"/>
        <v>0</v>
      </c>
      <c r="AE145" s="32">
        <f ca="1">IF(ENTRADAS!$E$1075="X",IF($CX$66=0,0,CX82),IF($CX$66=0,0,CY82))</f>
        <v>0</v>
      </c>
      <c r="AF145" s="32">
        <f ca="1">IF(ENTRADAS!$E$1075="X",IF($DQ$66=0,0,DQ82),IF($DQ$66=0,0,DR82))</f>
        <v>0</v>
      </c>
      <c r="AG145" s="32">
        <f ca="1">IF(ENTRADAS!$E$1075="X",IF($EJ$66=0,0,EJ82),IF($EJ$66=0,0,EK82))</f>
        <v>0</v>
      </c>
      <c r="AH145" s="32">
        <f ca="1">IF(ENTRADAS!$E$1075="X",IF($FC$66=0,0,FC82),IF($FC$66=0,0,FD82))</f>
        <v>0</v>
      </c>
      <c r="AI145" s="32">
        <f ca="1">IF(ENTRADAS!$E$1075="X",IF($FV$66=0,0,FV82),IF($FV$66=0,0,FW82))</f>
        <v>0</v>
      </c>
      <c r="AL145" s="20" t="s">
        <v>2419</v>
      </c>
      <c r="AO145">
        <v>70</v>
      </c>
      <c r="AP145" t="s">
        <v>445</v>
      </c>
      <c r="AQ145" t="s">
        <v>2420</v>
      </c>
      <c r="AV145" s="16"/>
      <c r="BT145" s="627" t="s">
        <v>2421</v>
      </c>
      <c r="BV145">
        <f>0.275-D44+0.45</f>
        <v>0.53500000000000003</v>
      </c>
      <c r="BW145" t="s">
        <v>20</v>
      </c>
      <c r="CK145" s="2051">
        <f>IF(ENTRADAS!$E$1075="x",CK124,0)</f>
        <v>0</v>
      </c>
      <c r="CL145" s="2051"/>
      <c r="CM145" s="2051"/>
      <c r="CN145" s="2051"/>
      <c r="CO145" s="2051"/>
      <c r="CP145" s="2051"/>
      <c r="CQ145" s="2051"/>
      <c r="CR145" s="2051" t="str">
        <f ca="1">IF(ENTRADAS!$E$1075="x",0,DD107)</f>
        <v>00</v>
      </c>
      <c r="CS145" s="2051"/>
      <c r="CT145" s="2051"/>
      <c r="CU145" s="2051"/>
      <c r="CV145" s="2051"/>
      <c r="CW145" s="2051"/>
      <c r="CX145" s="2051"/>
    </row>
    <row r="146" spans="1:112" x14ac:dyDescent="0.35">
      <c r="B146" s="740" t="s">
        <v>714</v>
      </c>
      <c r="C146" s="972"/>
      <c r="D146" s="972"/>
      <c r="E146" s="972"/>
      <c r="F146" s="972"/>
      <c r="G146" s="972"/>
      <c r="H146" s="423">
        <f ca="1">$B$120*B122*$K$114*9</f>
        <v>0</v>
      </c>
      <c r="I146" s="661">
        <f ca="1">(H146+(0))</f>
        <v>0</v>
      </c>
      <c r="J146" s="627" t="s">
        <v>92</v>
      </c>
      <c r="N146" s="32">
        <v>12</v>
      </c>
      <c r="O146" s="7">
        <f t="shared" ca="1" si="187"/>
        <v>0</v>
      </c>
      <c r="P146" s="7">
        <f t="shared" ca="1" si="192"/>
        <v>0</v>
      </c>
      <c r="Q146" s="7">
        <f t="shared" ca="1" si="190"/>
        <v>0</v>
      </c>
      <c r="R146" s="470">
        <f t="shared" ca="1" si="191"/>
        <v>0</v>
      </c>
      <c r="S146" s="32">
        <f t="shared" ca="1" si="178"/>
        <v>0</v>
      </c>
      <c r="T146" s="32">
        <f t="shared" ca="1" si="179"/>
        <v>0</v>
      </c>
      <c r="U146" s="32">
        <f t="shared" ca="1" si="180"/>
        <v>0</v>
      </c>
      <c r="V146" s="290">
        <f t="shared" ca="1" si="185"/>
        <v>0</v>
      </c>
      <c r="W146" s="290">
        <f t="shared" ca="1" si="188"/>
        <v>0</v>
      </c>
      <c r="X146" s="385">
        <f t="shared" ca="1" si="189"/>
        <v>0</v>
      </c>
      <c r="Y146" s="630">
        <f t="shared" ca="1" si="186"/>
        <v>0</v>
      </c>
      <c r="Z146" s="32">
        <f ca="1">IF(Y146=0,0,IF(Y145&gt;0,IF(Y146=0,0,$Z$165-(Y146+SUM(Z$134:$Z145))),IF($Z$165-Y146&gt;0,$Z$165-Y146,0)))</f>
        <v>0</v>
      </c>
      <c r="AA146" s="37">
        <f t="shared" ca="1" si="181"/>
        <v>0</v>
      </c>
      <c r="AB146">
        <f t="shared" ca="1" si="182"/>
        <v>0</v>
      </c>
      <c r="AD146" s="7">
        <f t="shared" ca="1" si="183"/>
        <v>0</v>
      </c>
      <c r="AE146" s="32">
        <f ca="1">IF(ENTRADAS!$E$1075="X",IF($CX$66=0,0,CX83),IF($CX$66=0,0,CY83))</f>
        <v>0</v>
      </c>
      <c r="AF146" s="32">
        <f ca="1">IF(ENTRADAS!$E$1075="X",IF($DQ$66=0,0,DQ83),IF($DQ$66=0,0,DR83))</f>
        <v>0</v>
      </c>
      <c r="AG146" s="32">
        <f ca="1">IF(ENTRADAS!$E$1075="X",IF($EJ$66=0,0,EJ83),IF($EJ$66=0,0,EK83))</f>
        <v>0</v>
      </c>
      <c r="AH146" s="32">
        <f ca="1">IF(ENTRADAS!$E$1075="X",IF($FC$66=0,0,FC83),IF($FC$66=0,0,FD83))</f>
        <v>0</v>
      </c>
      <c r="AI146" s="32">
        <f ca="1">IF(ENTRADAS!$E$1075="X",IF($FV$66=0,0,FV83),IF($FV$66=0,0,FW83))</f>
        <v>0</v>
      </c>
      <c r="AL146" s="20"/>
      <c r="AQ146" t="s">
        <v>2422</v>
      </c>
      <c r="AV146" s="16"/>
      <c r="BR146" s="511" t="s">
        <v>2423</v>
      </c>
      <c r="BS146" s="511"/>
      <c r="CK146" s="1510"/>
      <c r="CL146" s="1510"/>
      <c r="CM146" s="1510"/>
      <c r="CN146" s="1510"/>
      <c r="CO146" s="1510"/>
      <c r="CP146" s="1510"/>
      <c r="CQ146" s="1510"/>
    </row>
    <row r="147" spans="1:112" ht="12.75" customHeight="1" x14ac:dyDescent="0.35">
      <c r="B147" s="740" t="s">
        <v>91</v>
      </c>
      <c r="C147" s="399"/>
      <c r="D147" s="1016"/>
      <c r="E147" s="399"/>
      <c r="F147" s="1015"/>
      <c r="G147" s="1015"/>
      <c r="H147" s="423">
        <f t="shared" ref="H147:H151" ca="1" si="193">$B$120*B123*$K$114*9</f>
        <v>0</v>
      </c>
      <c r="I147" s="661">
        <f ca="1">(H147+(H147*$I$131/100))</f>
        <v>0</v>
      </c>
      <c r="J147" s="627" t="s">
        <v>92</v>
      </c>
      <c r="N147" s="32">
        <v>13</v>
      </c>
      <c r="O147" s="7">
        <f t="shared" ca="1" si="187"/>
        <v>0</v>
      </c>
      <c r="P147" s="7">
        <f t="shared" ca="1" si="192"/>
        <v>0</v>
      </c>
      <c r="Q147" s="7">
        <f t="shared" ca="1" si="190"/>
        <v>0</v>
      </c>
      <c r="R147" s="470">
        <f t="shared" ca="1" si="191"/>
        <v>0</v>
      </c>
      <c r="S147" s="32">
        <f t="shared" ca="1" si="178"/>
        <v>0</v>
      </c>
      <c r="T147" s="32">
        <f t="shared" ca="1" si="179"/>
        <v>0</v>
      </c>
      <c r="U147" s="32">
        <f t="shared" ca="1" si="180"/>
        <v>0</v>
      </c>
      <c r="V147" s="290">
        <f t="shared" ca="1" si="185"/>
        <v>0</v>
      </c>
      <c r="W147" s="290">
        <f t="shared" ca="1" si="188"/>
        <v>0</v>
      </c>
      <c r="X147" s="385">
        <f t="shared" ca="1" si="189"/>
        <v>0</v>
      </c>
      <c r="Y147" s="630">
        <f t="shared" ca="1" si="186"/>
        <v>0</v>
      </c>
      <c r="Z147" s="32">
        <f ca="1">IF(Y147=0,0,IF(Y146&gt;0,IF(Y147=0,0,$Z$165-(Y147+SUM(Z$134:$Z146))),IF($Z$165-Y147&gt;0,$Z$165-Y147,0)))</f>
        <v>0</v>
      </c>
      <c r="AA147" s="37">
        <f t="shared" ca="1" si="181"/>
        <v>0</v>
      </c>
      <c r="AB147">
        <f t="shared" ca="1" si="182"/>
        <v>0</v>
      </c>
      <c r="AD147" s="7">
        <f t="shared" ca="1" si="183"/>
        <v>0</v>
      </c>
      <c r="AE147" s="32">
        <f ca="1">IF(ENTRADAS!$E$1075="X",IF($CX$66=0,0,CX84),IF($CX$66=0,0,CY84))</f>
        <v>0</v>
      </c>
      <c r="AF147" s="32">
        <f ca="1">IF(ENTRADAS!$E$1075="X",IF($DQ$66=0,0,DQ84),IF($DQ$66=0,0,DR84))</f>
        <v>0</v>
      </c>
      <c r="AG147" s="32">
        <f ca="1">IF(ENTRADAS!$E$1075="X",IF($EJ$66=0,0,EJ84),IF($EJ$66=0,0,EK84))</f>
        <v>0</v>
      </c>
      <c r="AH147" s="32">
        <f ca="1">IF(ENTRADAS!$E$1075="X",IF($FC$66=0,0,FC84),IF($FC$66=0,0,FD84))</f>
        <v>0</v>
      </c>
      <c r="AI147" s="32">
        <f ca="1">IF(ENTRADAS!$E$1075="X",IF($FV$66=0,0,FV84),IF($FV$66=0,0,FW84))</f>
        <v>0</v>
      </c>
      <c r="AL147" s="20"/>
      <c r="AV147" s="16"/>
      <c r="BR147" s="2123" t="s">
        <v>2186</v>
      </c>
      <c r="BS147" s="2123" t="s">
        <v>2231</v>
      </c>
      <c r="BT147" s="2074" t="s">
        <v>2424</v>
      </c>
      <c r="BU147" s="2074" t="s">
        <v>2425</v>
      </c>
      <c r="BV147" s="2074" t="s">
        <v>2426</v>
      </c>
      <c r="BW147" s="1446" t="s">
        <v>2427</v>
      </c>
      <c r="BX147" s="2167" t="s">
        <v>2428</v>
      </c>
      <c r="BY147" s="2067" t="s">
        <v>2429</v>
      </c>
      <c r="BZ147" s="2067" t="s">
        <v>2430</v>
      </c>
      <c r="CA147" s="2067" t="s">
        <v>2431</v>
      </c>
      <c r="CB147" s="2067" t="s">
        <v>2432</v>
      </c>
      <c r="CC147" s="2067" t="s">
        <v>2433</v>
      </c>
      <c r="CD147" s="2067" t="s">
        <v>2434</v>
      </c>
      <c r="CE147" s="2067" t="s">
        <v>2435</v>
      </c>
      <c r="CF147" s="2074" t="s">
        <v>2436</v>
      </c>
      <c r="CG147" s="2074" t="s">
        <v>2437</v>
      </c>
      <c r="CH147" s="2074" t="s">
        <v>2438</v>
      </c>
      <c r="CI147" s="2074" t="s">
        <v>2439</v>
      </c>
      <c r="CJ147" s="1446" t="s">
        <v>2440</v>
      </c>
      <c r="CK147" s="1446" t="s">
        <v>2441</v>
      </c>
      <c r="CL147" s="1446" t="s">
        <v>2442</v>
      </c>
      <c r="CM147" s="1446" t="s">
        <v>2443</v>
      </c>
      <c r="CN147" s="2165" t="s">
        <v>2444</v>
      </c>
      <c r="CO147" s="2165" t="s">
        <v>2445</v>
      </c>
      <c r="CP147" s="2124" t="s">
        <v>2446</v>
      </c>
      <c r="CQ147" s="2124" t="s">
        <v>2447</v>
      </c>
      <c r="CR147" s="2165" t="s">
        <v>2448</v>
      </c>
      <c r="CS147" s="2165" t="s">
        <v>2449</v>
      </c>
      <c r="CT147" s="2165" t="s">
        <v>2450</v>
      </c>
      <c r="CU147" s="2165" t="s">
        <v>2451</v>
      </c>
      <c r="CV147" s="2165" t="s">
        <v>2452</v>
      </c>
      <c r="CW147" s="2165" t="s">
        <v>2453</v>
      </c>
      <c r="CX147" s="2074" t="s">
        <v>2454</v>
      </c>
      <c r="CY147" s="1446" t="s">
        <v>2455</v>
      </c>
      <c r="CZ147" s="2074" t="s">
        <v>2456</v>
      </c>
      <c r="DA147" s="2074" t="s">
        <v>2457</v>
      </c>
      <c r="DB147" s="2074" t="s">
        <v>2458</v>
      </c>
      <c r="DC147" s="2074" t="s">
        <v>2459</v>
      </c>
      <c r="DD147" s="2074" t="s">
        <v>2460</v>
      </c>
      <c r="DE147" s="2074" t="s">
        <v>2461</v>
      </c>
      <c r="DF147" s="2074" t="s">
        <v>2462</v>
      </c>
      <c r="DG147" s="2074" t="s">
        <v>2463</v>
      </c>
      <c r="DH147" s="1537"/>
    </row>
    <row r="148" spans="1:112" x14ac:dyDescent="0.35">
      <c r="B148" s="740" t="s">
        <v>93</v>
      </c>
      <c r="C148" s="399"/>
      <c r="D148" s="1016"/>
      <c r="E148" s="399"/>
      <c r="F148" s="1015"/>
      <c r="G148" s="1015"/>
      <c r="H148" s="423">
        <f t="shared" ca="1" si="193"/>
        <v>0</v>
      </c>
      <c r="I148" s="661">
        <f ca="1">H148+(H148*$I$131/100)</f>
        <v>0</v>
      </c>
      <c r="J148" s="627" t="s">
        <v>92</v>
      </c>
      <c r="N148" s="32">
        <v>14</v>
      </c>
      <c r="O148" s="7">
        <f t="shared" ca="1" si="187"/>
        <v>0</v>
      </c>
      <c r="P148" s="7">
        <f t="shared" ca="1" si="192"/>
        <v>0</v>
      </c>
      <c r="Q148" s="7">
        <f t="shared" ca="1" si="190"/>
        <v>0</v>
      </c>
      <c r="R148" s="470">
        <f t="shared" ca="1" si="191"/>
        <v>0</v>
      </c>
      <c r="S148" s="32">
        <f t="shared" ca="1" si="178"/>
        <v>0</v>
      </c>
      <c r="T148" s="32">
        <f t="shared" ca="1" si="179"/>
        <v>0</v>
      </c>
      <c r="U148" s="32">
        <f t="shared" ca="1" si="180"/>
        <v>0</v>
      </c>
      <c r="V148" s="290">
        <f t="shared" ca="1" si="185"/>
        <v>0</v>
      </c>
      <c r="W148" s="290">
        <f t="shared" ca="1" si="188"/>
        <v>0</v>
      </c>
      <c r="X148" s="385">
        <f t="shared" ca="1" si="189"/>
        <v>0</v>
      </c>
      <c r="Y148" s="630">
        <f t="shared" ca="1" si="186"/>
        <v>0</v>
      </c>
      <c r="Z148" s="32">
        <f ca="1">IF(Y148=0,0,IF(Y147&gt;0,IF(Y148=0,0,$Z$165-(Y148+SUM(Z$134:$Z147))),IF($Z$165-Y148&gt;0,$Z$165-Y148,0)))</f>
        <v>0</v>
      </c>
      <c r="AA148" s="37">
        <f t="shared" ca="1" si="181"/>
        <v>0</v>
      </c>
      <c r="AB148">
        <f t="shared" ca="1" si="182"/>
        <v>0</v>
      </c>
      <c r="AD148" s="7">
        <f t="shared" ca="1" si="183"/>
        <v>0</v>
      </c>
      <c r="AE148" s="32">
        <f ca="1">IF(ENTRADAS!$E$1075="X",IF($CX$66=0,0,CX85),IF($CX$66=0,0,CY85))</f>
        <v>0</v>
      </c>
      <c r="AF148" s="32">
        <f ca="1">IF(ENTRADAS!$E$1075="X",IF($DQ$66=0,0,DQ85),IF($DQ$66=0,0,DR85))</f>
        <v>0</v>
      </c>
      <c r="AG148" s="32">
        <f ca="1">IF(ENTRADAS!$E$1075="X",IF($EJ$66=0,0,EJ85),IF($EJ$66=0,0,EK85))</f>
        <v>0</v>
      </c>
      <c r="AH148" s="32">
        <f ca="1">IF(ENTRADAS!$E$1075="X",IF($FC$66=0,0,FC85),IF($FC$66=0,0,FD85))</f>
        <v>0</v>
      </c>
      <c r="AI148" s="32">
        <f ca="1">IF(ENTRADAS!$E$1075="X",IF($FV$66=0,0,FV85),IF($FV$66=0,0,FW85))</f>
        <v>0</v>
      </c>
      <c r="AL148" s="20"/>
      <c r="AV148" s="16"/>
      <c r="BR148" s="2123"/>
      <c r="BS148" s="2123"/>
      <c r="BT148" s="2074"/>
      <c r="BU148" s="2074"/>
      <c r="BV148" s="2074"/>
      <c r="BW148" s="2074"/>
      <c r="BX148" s="2168"/>
      <c r="BY148" s="2164"/>
      <c r="BZ148" s="2164"/>
      <c r="CA148" s="2164"/>
      <c r="CB148" s="2164"/>
      <c r="CC148" s="2164"/>
      <c r="CD148" s="2164"/>
      <c r="CE148" s="2164"/>
      <c r="CF148" s="2074"/>
      <c r="CG148" s="2074"/>
      <c r="CH148" s="2074"/>
      <c r="CI148" s="2074"/>
      <c r="CJ148" s="2074"/>
      <c r="CK148" s="2074"/>
      <c r="CL148" s="2074"/>
      <c r="CM148" s="2074"/>
      <c r="CN148" s="2166"/>
      <c r="CO148" s="2166"/>
      <c r="CP148" s="2125"/>
      <c r="CQ148" s="2125"/>
      <c r="CR148" s="2166"/>
      <c r="CS148" s="2166"/>
      <c r="CT148" s="2166"/>
      <c r="CU148" s="2166"/>
      <c r="CV148" s="2166"/>
      <c r="CW148" s="2166"/>
      <c r="CX148" s="2074"/>
      <c r="CY148" s="2074"/>
      <c r="CZ148" s="2074"/>
      <c r="DA148" s="2074"/>
      <c r="DB148" s="2074"/>
      <c r="DC148" s="2074"/>
      <c r="DD148" s="2074"/>
      <c r="DE148" s="2074"/>
      <c r="DF148" s="2074"/>
      <c r="DG148" s="2074"/>
      <c r="DH148" s="1537"/>
    </row>
    <row r="149" spans="1:112" x14ac:dyDescent="0.35">
      <c r="B149" s="740" t="s">
        <v>94</v>
      </c>
      <c r="C149" s="399"/>
      <c r="D149" s="1016"/>
      <c r="E149" s="399"/>
      <c r="F149" s="1015"/>
      <c r="G149" s="1015"/>
      <c r="H149" s="423">
        <f t="shared" ca="1" si="193"/>
        <v>0</v>
      </c>
      <c r="I149" s="661">
        <f ca="1">H149+(H149*$I$131/100)</f>
        <v>0</v>
      </c>
      <c r="J149" s="627" t="s">
        <v>92</v>
      </c>
      <c r="N149" s="32">
        <v>15</v>
      </c>
      <c r="O149" s="7">
        <f t="shared" ca="1" si="187"/>
        <v>0</v>
      </c>
      <c r="P149" s="7">
        <f t="shared" ca="1" si="192"/>
        <v>0</v>
      </c>
      <c r="Q149" s="7">
        <f t="shared" ca="1" si="190"/>
        <v>0</v>
      </c>
      <c r="R149" s="470">
        <f t="shared" ca="1" si="191"/>
        <v>0</v>
      </c>
      <c r="S149" s="32">
        <f t="shared" ca="1" si="178"/>
        <v>0</v>
      </c>
      <c r="T149" s="32">
        <f t="shared" ca="1" si="179"/>
        <v>0</v>
      </c>
      <c r="U149" s="32">
        <f t="shared" ca="1" si="180"/>
        <v>0</v>
      </c>
      <c r="V149" s="290">
        <f t="shared" ca="1" si="185"/>
        <v>0</v>
      </c>
      <c r="W149" s="290">
        <f t="shared" ca="1" si="188"/>
        <v>0</v>
      </c>
      <c r="X149" s="385">
        <f t="shared" ca="1" si="189"/>
        <v>0</v>
      </c>
      <c r="Y149" s="630">
        <f t="shared" ca="1" si="186"/>
        <v>0</v>
      </c>
      <c r="Z149" s="32">
        <f ca="1">IF(Y149=0,0,IF(Y148&gt;0,IF(Y149=0,0,$Z$165-(Y149+SUM(Z$134:$Z148))),IF($Z$165-Y149&gt;0,$Z$165-Y149,0)))</f>
        <v>0</v>
      </c>
      <c r="AA149" s="37">
        <f t="shared" ca="1" si="181"/>
        <v>0</v>
      </c>
      <c r="AB149">
        <f t="shared" ca="1" si="182"/>
        <v>0</v>
      </c>
      <c r="AD149" s="7">
        <f t="shared" ca="1" si="183"/>
        <v>0</v>
      </c>
      <c r="AE149" s="32">
        <f ca="1">IF(ENTRADAS!$E$1075="X",IF($CX$66=0,0,CX86),IF($CX$66=0,0,CY86))</f>
        <v>0</v>
      </c>
      <c r="AF149" s="32">
        <f ca="1">IF(ENTRADAS!$E$1075="X",IF($DQ$66=0,0,DQ86),IF($DQ$66=0,0,DR86))</f>
        <v>0</v>
      </c>
      <c r="AG149" s="32">
        <f ca="1">IF(ENTRADAS!$E$1075="X",IF($EJ$66=0,0,EJ86),IF($EJ$66=0,0,EK86))</f>
        <v>0</v>
      </c>
      <c r="AH149" s="32">
        <f ca="1">IF(ENTRADAS!$E$1075="X",IF($FC$66=0,0,FC86),IF($FC$66=0,0,FD86))</f>
        <v>0</v>
      </c>
      <c r="AI149" s="32">
        <f ca="1">IF(ENTRADAS!$E$1075="X",IF($FV$66=0,0,FV86),IF($FV$66=0,0,FW86))</f>
        <v>0</v>
      </c>
      <c r="AL149" s="20"/>
      <c r="AV149" s="16"/>
      <c r="BR149" s="2123"/>
      <c r="BS149" s="2123"/>
      <c r="BT149" s="2074"/>
      <c r="BU149" s="2074"/>
      <c r="BV149" s="2074"/>
      <c r="BW149" s="2074"/>
      <c r="BX149" s="2168"/>
      <c r="BY149" s="2164"/>
      <c r="BZ149" s="2164"/>
      <c r="CA149" s="2164"/>
      <c r="CB149" s="2164"/>
      <c r="CC149" s="2164"/>
      <c r="CD149" s="2164"/>
      <c r="CE149" s="2164"/>
      <c r="CF149" s="2074"/>
      <c r="CG149" s="2074"/>
      <c r="CH149" s="2074"/>
      <c r="CI149" s="2074"/>
      <c r="CJ149" s="2074"/>
      <c r="CK149" s="2074"/>
      <c r="CL149" s="2074"/>
      <c r="CM149" s="2074"/>
      <c r="CN149" s="2166"/>
      <c r="CO149" s="2166"/>
      <c r="CP149" s="2125"/>
      <c r="CQ149" s="2125"/>
      <c r="CR149" s="2166"/>
      <c r="CS149" s="2166"/>
      <c r="CT149" s="2166"/>
      <c r="CU149" s="2166"/>
      <c r="CV149" s="2166"/>
      <c r="CW149" s="2166"/>
      <c r="CX149" s="2074"/>
      <c r="CY149" s="2074"/>
      <c r="CZ149" s="2074"/>
      <c r="DA149" s="2074"/>
      <c r="DB149" s="2074"/>
      <c r="DC149" s="2074"/>
      <c r="DD149" s="2074"/>
      <c r="DE149" s="2074"/>
      <c r="DF149" s="2074"/>
      <c r="DG149" s="2074"/>
      <c r="DH149" s="1537"/>
    </row>
    <row r="150" spans="1:112" x14ac:dyDescent="0.35">
      <c r="B150" s="740" t="s">
        <v>95</v>
      </c>
      <c r="C150" s="399"/>
      <c r="D150" s="1016"/>
      <c r="E150" s="399"/>
      <c r="F150" s="1015"/>
      <c r="G150" s="1015"/>
      <c r="H150" s="423">
        <f t="shared" ca="1" si="193"/>
        <v>0</v>
      </c>
      <c r="I150" s="661">
        <f ca="1">H150+(H150*$I$131/100)</f>
        <v>0</v>
      </c>
      <c r="J150" s="627" t="s">
        <v>92</v>
      </c>
      <c r="S150" s="627" t="s">
        <v>2464</v>
      </c>
      <c r="Y150" s="517">
        <f ca="1">SUM(Y134:Y149)</f>
        <v>0</v>
      </c>
      <c r="AD150" s="427" t="s">
        <v>2216</v>
      </c>
      <c r="AE150" s="32">
        <f ca="1">IF(C166="X",SUM(AE134:AE149),0)</f>
        <v>0</v>
      </c>
      <c r="AF150" s="32">
        <f ca="1">IF(C169="X",SUM(AF134:AF149),0)</f>
        <v>0</v>
      </c>
      <c r="AG150" s="32">
        <f ca="1">IF(C172="X",SUM(AG134:AG149),0)</f>
        <v>0</v>
      </c>
      <c r="AH150" s="32">
        <f ca="1">IF(C175="X",SUM(AH134:AH149),0)</f>
        <v>0</v>
      </c>
      <c r="AI150" s="32">
        <f ca="1">IF(C178="X",SUM(AI134:AI149),0)</f>
        <v>0</v>
      </c>
      <c r="AL150" s="20" t="s">
        <v>2465</v>
      </c>
      <c r="AO150">
        <v>100</v>
      </c>
      <c r="AP150" t="s">
        <v>445</v>
      </c>
      <c r="AQ150" t="s">
        <v>2466</v>
      </c>
      <c r="AV150" s="16"/>
      <c r="BR150" s="2120"/>
      <c r="BS150" s="2123"/>
      <c r="BT150" s="2074"/>
      <c r="BU150" s="2074"/>
      <c r="BV150" s="2074"/>
      <c r="BW150" s="2074"/>
      <c r="BX150" s="2169"/>
      <c r="BY150" s="2068"/>
      <c r="BZ150" s="2068"/>
      <c r="CA150" s="2068"/>
      <c r="CB150" s="2068"/>
      <c r="CC150" s="2068"/>
      <c r="CD150" s="2068"/>
      <c r="CE150" s="2068"/>
      <c r="CF150" s="2074"/>
      <c r="CG150" s="2074"/>
      <c r="CH150" s="2074"/>
      <c r="CI150" s="2074"/>
      <c r="CJ150" s="2074"/>
      <c r="CK150" s="2074"/>
      <c r="CL150" s="2074"/>
      <c r="CM150" s="2074"/>
      <c r="CN150" s="2166"/>
      <c r="CO150" s="2166"/>
      <c r="CP150" s="2125"/>
      <c r="CQ150" s="2125"/>
      <c r="CR150" s="2166"/>
      <c r="CS150" s="2166"/>
      <c r="CT150" s="2166"/>
      <c r="CU150" s="2166"/>
      <c r="CV150" s="2166"/>
      <c r="CW150" s="2166"/>
      <c r="CX150" s="2074"/>
      <c r="CY150" s="2074"/>
      <c r="CZ150" s="2074"/>
      <c r="DA150" s="2074"/>
      <c r="DB150" s="2074"/>
      <c r="DC150" s="2074"/>
      <c r="DD150" s="2074"/>
      <c r="DE150" s="2074"/>
      <c r="DF150" s="2074"/>
      <c r="DG150" s="2074"/>
      <c r="DH150" s="1537"/>
    </row>
    <row r="151" spans="1:112" ht="12.75" customHeight="1" x14ac:dyDescent="0.35">
      <c r="B151" s="740" t="s">
        <v>96</v>
      </c>
      <c r="C151" s="399"/>
      <c r="D151" s="1016"/>
      <c r="E151" s="399"/>
      <c r="F151" s="1015"/>
      <c r="G151" s="1015"/>
      <c r="H151" s="423">
        <f t="shared" ca="1" si="193"/>
        <v>0</v>
      </c>
      <c r="I151" s="661">
        <f ca="1">H151+(H151*$I$131/100)</f>
        <v>0</v>
      </c>
      <c r="J151" s="627" t="s">
        <v>92</v>
      </c>
      <c r="S151" t="s">
        <v>2467</v>
      </c>
      <c r="Y151" s="517">
        <f ca="1">Z165-Y150</f>
        <v>84</v>
      </c>
      <c r="AL151" s="20"/>
      <c r="AV151" s="16"/>
      <c r="BQ151" s="2051" t="s">
        <v>2207</v>
      </c>
      <c r="BR151" s="2051"/>
      <c r="BS151" s="81">
        <v>1</v>
      </c>
      <c r="BT151" s="387">
        <f ca="1">IF(BU25=0,0,IF(BS151&gt;$BW$11,0,BU25+$BW$17))</f>
        <v>0</v>
      </c>
      <c r="BU151" s="586">
        <f ca="1">IF(BT151=BU25+$BW$17,BT151,IF(BT151=$BW$18,0,IF(BT151&lt;=$BW$17,0,IF(BT151&lt;=$BW$18+$BW$17,$BW$18-$BW$17,BT151))))</f>
        <v>0</v>
      </c>
      <c r="BV151" s="32">
        <f t="shared" ref="BV151:BV154" ca="1" si="194">2*PI()*BU151</f>
        <v>0</v>
      </c>
      <c r="BW151" s="32">
        <f t="shared" ref="BW151:BW152" ca="1" si="195">IF(BT151=0,0,IF(BT151=$BW$18,4,ROUND(BV151/$E$8,0)))</f>
        <v>0</v>
      </c>
      <c r="BX151" s="32">
        <f t="shared" ref="BX151:BX152" ca="1" si="196">IF(BT151=0,0,IF(BT151=$BW$18,BW151,ROUND(BV151/$E$8,0)))</f>
        <v>0</v>
      </c>
      <c r="BY151" s="32">
        <f t="shared" ref="BY151:BY153" ca="1" si="197">IF(AND(BU151=$BW$18,BX151=4),0,IF(BX151=0,0,BV151/BX151))</f>
        <v>0</v>
      </c>
      <c r="BZ151" s="32">
        <f ca="1">IF(AND(BU151=$BW$18,BX151=4),0,IF(BX151=0,0,BY151-$BV$142))</f>
        <v>0</v>
      </c>
      <c r="CA151" s="32">
        <f t="shared" ref="CA151:CA153" ca="1" si="198">IF(AND(BU151=$BW$18,BX151=4),0,IF(BX151=0,0,BU151-($BV$143/2)))</f>
        <v>0</v>
      </c>
      <c r="CB151" s="32">
        <f t="shared" ref="CB151:CB153" ca="1" si="199">IF(AND(BU151=$BW$18,BX151=4),0,IF(BX151=0,0,BU151+($BV$143/2)))</f>
        <v>0</v>
      </c>
      <c r="CC151" s="32">
        <f t="shared" ref="CC151:CC153" ca="1" si="200">IF(AND(BU151=$BW$18,BX151=4),0,IF(BX151=0,0,2*PI()*CA151/BX151-(2*$BV$141)))</f>
        <v>0</v>
      </c>
      <c r="CD151" s="32">
        <f t="shared" ref="CD151:CD153" ca="1" si="201">IF(AND(BU151=$BW$18,BX151=4),0,IF(BX151=0,0,2*PI()*CB151/BX151-(2*$BV$141)))</f>
        <v>0</v>
      </c>
      <c r="CE151" s="32">
        <f t="shared" ref="CE151:CE153" ca="1" si="202">IF(AND(BU151=$BW$18,BX151=4),0,BX151*$E$3)</f>
        <v>0</v>
      </c>
      <c r="CF151" s="387">
        <f ca="1">BZ151*$BV$143*$BV$144</f>
        <v>0</v>
      </c>
      <c r="CG151" s="387">
        <f ca="1">CF151*2.5</f>
        <v>0</v>
      </c>
      <c r="CH151" s="32">
        <f ca="1">CF151*CE151</f>
        <v>0</v>
      </c>
      <c r="CI151" s="32">
        <f ca="1">CG151*CE151</f>
        <v>0</v>
      </c>
      <c r="CJ151" s="32">
        <f ca="1">IF(BX151=0,1000,CE151)</f>
        <v>1000</v>
      </c>
      <c r="CK151" s="32">
        <f ca="1">IF(CI151=0,1000,CI151)</f>
        <v>1000</v>
      </c>
      <c r="CL151" s="32">
        <f t="shared" ref="CL151:CL153" ca="1" si="203">IF(AND(BU151=$BW$18,BX151=4),0,IF(BX151=0,0,((BY151*$BV$143)+((CC151+CD151)*$BV$144)+(2*$BV$143*$BV$144)*BX151)))</f>
        <v>0</v>
      </c>
      <c r="CM151" s="32">
        <f ca="1">BZ151*$BV$143*$BV$144*BX151</f>
        <v>0</v>
      </c>
      <c r="CN151" s="81">
        <f ca="1">IF(BT151=$AK$47+$BW$17,1,IF(BT151=$BV$18+$BW$17,4,IF(OR($AK$40=1000,$AK$45=1),IF($E$6=0,0,IF($BW$8-$BW$7&lt;=$BW$14,1,IF(BT151&lt;=$BW$18+$BW$17,BX151,BX151+1))),IF($E$6=0,0,BX151+4))))</f>
        <v>0</v>
      </c>
      <c r="CO151" s="81">
        <f ca="1">IF(BX152&gt;0,BX151,CN151)</f>
        <v>0</v>
      </c>
      <c r="CP151" s="32">
        <f ca="1">IF(BX151=4,4,IF(CO151=1,0,IF(AND(CO151&gt;4,CO152=0),CO151-1,IF(CO151=4,4,CO151))))</f>
        <v>0</v>
      </c>
      <c r="CQ151" s="32">
        <f ca="1">IF(CO151=1,1,IF(AND(CO151&gt;4,CO152=0),0,IF(AND(CN151=4,CO151=4),0,IF(CP151=4,1,0))))</f>
        <v>0</v>
      </c>
      <c r="CR151" s="387">
        <f ca="1">IF(CO151=1,0,10^2*BU151*SQRT(1/((10^4)+($E$7^2))))</f>
        <v>0</v>
      </c>
      <c r="CS151" s="32">
        <f ca="1">IF(CR151=0,0,IF(CO151=1,0,360/CP151))</f>
        <v>0</v>
      </c>
      <c r="CT151" s="387">
        <f ca="1">IF(CO151=0,0,ROUND(IF($CE$1=0,0,((($E$5/2)-CR151)*$CE$1/100))*-1,3))</f>
        <v>0</v>
      </c>
      <c r="CU151" s="387">
        <f ca="1">IF(CO151=0,0,ROUND(IF($CE$2=0,0,((($E$5/2)-CR151)*$CE$2/100)),3))</f>
        <v>0</v>
      </c>
      <c r="CV151" s="387">
        <f ca="1">IF(CQ151=0,0,ROUND(IF($CE$1=0,0,((($E$5/2))*$CE$1/100))*-1,3))</f>
        <v>0</v>
      </c>
      <c r="CW151" s="387">
        <f ca="1">IF(CQ151=0,0,ROUND(IF($CE$2=0,0,((($E$5/2))*$CE$2/100)),3))</f>
        <v>0</v>
      </c>
      <c r="CX151" s="32">
        <f ca="1">IF(CO151=0,0,(($E$5/2)+$I$2-CR151)*$E$7/100)</f>
        <v>0</v>
      </c>
      <c r="CY151" s="32">
        <f t="shared" ref="CY151:CY166" ca="1" si="204">IF(CQ151=0,0,(($E$5/2)+$I$2-($CB$13/2))*$E$7/100)</f>
        <v>0</v>
      </c>
      <c r="CZ151" s="32">
        <f ca="1">IF(CO151+CQ151=0,0,$BW$1)</f>
        <v>0</v>
      </c>
      <c r="DA151" s="7">
        <f ca="1">IF(BT151=$BW$18,IF(CO151=0,0,IF(CP151=0,0,$E$6-($BV$145)+(CT151+CU151-CZ151+CX151))),IF(CO151=0,0,IF(CP151=0,0,$E$6-($BV$144)+(CT151+CU151-CZ151+CX151))))</f>
        <v>0</v>
      </c>
      <c r="DB151" s="387">
        <f ca="1">IF(CO151+CQ151=0,0,IF(CQ151=1,$E$6-($D$40+$D$46-$D$44)+(CV151+CW151-CZ151+CY151),0))</f>
        <v>0</v>
      </c>
      <c r="DC151" s="7">
        <f ca="1">IF(CP151=0,0,(($D$14*$D$15)*DA151+((($D$19*$D$20*2)+($D$19*$D$21))*$D$15)))</f>
        <v>0</v>
      </c>
      <c r="DD151" s="387">
        <f ca="1">IF(CQ151=0,0,((($D$14*$D$15)*(DB151-$CB$11-$CB$12))+(($CB$13*$CB$14*$CB$12)+($CB$11/3*($CB$13*$CB$14+SQRT($CB$13*$CB$14*$D$14*$D$15)+($D$14*$D$15)))))*CQ151)</f>
        <v>0</v>
      </c>
      <c r="DE151" s="7">
        <f t="shared" ref="DE151:DE166" ca="1" si="205">DC151*CP151</f>
        <v>0</v>
      </c>
      <c r="DF151" s="387">
        <f ca="1">DC151*2.5</f>
        <v>0</v>
      </c>
      <c r="DG151" s="387">
        <f ca="1">DD151*2.5</f>
        <v>0</v>
      </c>
    </row>
    <row r="152" spans="1:112" ht="12.75" customHeight="1" x14ac:dyDescent="0.35">
      <c r="S152" t="s">
        <v>2468</v>
      </c>
      <c r="Y152" s="511">
        <f>IF(ENTRADAS!E1075="X",SUM(AB134:AB149),0)</f>
        <v>0</v>
      </c>
      <c r="AL152" s="20"/>
      <c r="AV152" s="16"/>
      <c r="BQ152" s="2051" t="s">
        <v>2207</v>
      </c>
      <c r="BR152" s="32">
        <v>1</v>
      </c>
      <c r="BS152" s="32">
        <v>2</v>
      </c>
      <c r="BT152" s="387">
        <f t="shared" ref="BT152:BT166" ca="1" si="206">IF(BU26=0,0,IF(BS152&gt;$BW$11,0,BU26+$BW$17))</f>
        <v>0</v>
      </c>
      <c r="BU152" s="387">
        <f t="shared" ref="BU152:BU166" ca="1" si="207">IF(BT152=$BW$18,$BW$18,IF(BT152&lt;=$BW$17,0,IF(BT152&lt;=$BW$18+$BW$17,$BW$18-$BW$17,BT152)))</f>
        <v>0</v>
      </c>
      <c r="BV152" s="32">
        <f t="shared" ca="1" si="194"/>
        <v>0</v>
      </c>
      <c r="BW152" s="32">
        <f t="shared" ca="1" si="195"/>
        <v>0</v>
      </c>
      <c r="BX152" s="32">
        <f t="shared" ca="1" si="196"/>
        <v>0</v>
      </c>
      <c r="BY152" s="32">
        <f t="shared" ca="1" si="197"/>
        <v>0</v>
      </c>
      <c r="BZ152" s="32">
        <f t="shared" ref="BZ152:BZ153" ca="1" si="208">IF(AND(BU152=$BW$18,BX152=4),0,IF(BX152=0,0,BY152-$BV$142))</f>
        <v>0</v>
      </c>
      <c r="CA152" s="32">
        <f t="shared" ca="1" si="198"/>
        <v>0</v>
      </c>
      <c r="CB152" s="32">
        <f t="shared" ca="1" si="199"/>
        <v>0</v>
      </c>
      <c r="CC152" s="32">
        <f t="shared" ca="1" si="200"/>
        <v>0</v>
      </c>
      <c r="CD152" s="32">
        <f t="shared" ca="1" si="201"/>
        <v>0</v>
      </c>
      <c r="CE152" s="32">
        <f t="shared" ca="1" si="202"/>
        <v>0</v>
      </c>
      <c r="CF152" s="387">
        <f t="shared" ref="CF152:CF166" ca="1" si="209">BZ152*$BV$143*$BV$144</f>
        <v>0</v>
      </c>
      <c r="CG152" s="387">
        <f t="shared" ref="CG152:CG166" ca="1" si="210">CF152*2.5</f>
        <v>0</v>
      </c>
      <c r="CH152" s="32">
        <f t="shared" ref="CH152:CH166" ca="1" si="211">CF152*CE152</f>
        <v>0</v>
      </c>
      <c r="CI152" s="32">
        <f t="shared" ref="CI152:CI166" ca="1" si="212">CG152*CE152</f>
        <v>0</v>
      </c>
      <c r="CJ152" s="32">
        <f t="shared" ref="CJ152:CJ166" ca="1" si="213">IF(BX152=0,1000,CE152)</f>
        <v>1000</v>
      </c>
      <c r="CK152" s="32">
        <f ca="1">IF(CI152=0,1000,CI152)</f>
        <v>1000</v>
      </c>
      <c r="CL152" s="32">
        <f t="shared" ca="1" si="203"/>
        <v>0</v>
      </c>
      <c r="CM152" s="32">
        <f t="shared" ref="CM152:CM166" ca="1" si="214">BZ152*$BV$143*$BV$144*BX152</f>
        <v>0</v>
      </c>
      <c r="CN152" s="484">
        <f ca="1">IF(BT152=0,0,IF(OR($AK$40=1000,$AK$45=1),IF($E$6=0,0,IF($BW$8-$BW$7&lt;=$BW$14,1,IF(BT152&lt;=$BW$18+$BW$17,BX152,BX152+1))),IF($E$6=0,0,BX152+4)))</f>
        <v>0</v>
      </c>
      <c r="CO152" s="484">
        <f ca="1">IF(BX153&gt;0,BX152,IF(AND(CN151&gt;=1,BX151=0),0,CN152))</f>
        <v>0</v>
      </c>
      <c r="CP152" s="32">
        <f t="shared" ref="CP152:CP166" ca="1" si="215">IF(BX152=4,4,IF(CO152=1,0,IF(AND(CO152&gt;4,CO153=0),CO152-1,IF(CO152=4,4,CO152))))</f>
        <v>0</v>
      </c>
      <c r="CQ152" s="484">
        <f ca="1">IF(AND(CP153=0,SUM($CO$151:$CO$166)-SUM($CP$151:$CP$166)=1,CP151&gt;1,CN151=CO151),1,IF(CO152=1,1,IF(AND(CO152&gt;4,CO153=0),0,IF(AND(CN152=4,CO152=4),0,IF(CP152=4,1,0)))))</f>
        <v>0</v>
      </c>
      <c r="CR152" s="387">
        <f ca="1">IF(CO152=1,0,10^2*BU152*SQRT(1/((10^4)+($E$7^2))))</f>
        <v>0</v>
      </c>
      <c r="CS152" s="32">
        <f t="shared" ref="CS152:CS166" ca="1" si="216">IF(CR152=0,0,IF(CO152=1,0,360/CP152))</f>
        <v>0</v>
      </c>
      <c r="CT152" s="387">
        <f t="shared" ref="CT152:CT166" ca="1" si="217">IF(CO152=0,0,ROUND(IF($CE$1=0,0,((($E$5/2)-CR152)*$CE$1/100))*-1,3))</f>
        <v>0</v>
      </c>
      <c r="CU152" s="387">
        <f t="shared" ref="CU152:CU166" ca="1" si="218">IF(CO152=0,0,ROUND(IF($CE$2=0,0,((($E$5/2)-CR152)*$CE$2/100)),3))</f>
        <v>0</v>
      </c>
      <c r="CV152" s="387">
        <f t="shared" ref="CV152:CV166" ca="1" si="219">IF(CQ152=0,0,ROUND(IF($CE$1=0,0,((($E$5/2))*$CE$1/100))*-1,3))</f>
        <v>0</v>
      </c>
      <c r="CW152" s="387">
        <f t="shared" ref="CW152:CW165" ca="1" si="220">IF(CQ152=0,0,ROUND(IF($CE$2=0,0,((($E$5/2))*$CE$2/100)),3))</f>
        <v>0</v>
      </c>
      <c r="CX152" s="32">
        <f t="shared" ref="CX152:CX166" ca="1" si="221">IF(CO152=0,0,(($E$5/2)+$I$2-CR152)*$E$7/100)</f>
        <v>0</v>
      </c>
      <c r="CY152" s="32">
        <f t="shared" ca="1" si="204"/>
        <v>0</v>
      </c>
      <c r="CZ152" s="32">
        <f t="shared" ref="CZ152:CZ166" ca="1" si="222">IF(CO152+CQ152=0,0,$BW$1)</f>
        <v>0</v>
      </c>
      <c r="DA152" s="7">
        <f ca="1">IF(BT152=$BW$18,IF(CO152=0,0,IF(CP152=0,0,$E$6-($BV$145)+(CT152+CU152-CZ152+CX152))),IF(CO152=0,0,IF(CP152=0,0,$E$6-($BV$144)+(CT152+CU152-CZ152+CX152))))</f>
        <v>0</v>
      </c>
      <c r="DB152" s="387">
        <f t="shared" ref="DB152:DB166" ca="1" si="223">IF(CO152+CQ152=0,0,IF(CQ152=1,$E$6-($D$40+$D$46-$D$44)+(CV152+CW152-CZ152+CY152),0))</f>
        <v>0</v>
      </c>
      <c r="DC152" s="7">
        <f t="shared" ref="DC152:DC166" ca="1" si="224">IF(CP152=0,0,(($D$14*$D$15)*DA152+((($D$19*$D$20*2)+($D$19*$D$21))*$D$15)))</f>
        <v>0</v>
      </c>
      <c r="DD152" s="387">
        <f t="shared" ref="DD152:DD166" ca="1" si="225">IF(CQ152=0,0,((($D$14*$D$15)*(DB152-$CB$11-$CB$12))+(($CB$13*$CB$14*$CB$12)+($CB$11/3*($CB$13*$CB$14+SQRT($CB$13*$CB$14*$D$14*$D$15)+($D$14*$D$15)))))*CQ152)</f>
        <v>0</v>
      </c>
      <c r="DE152" s="7">
        <f t="shared" ca="1" si="205"/>
        <v>0</v>
      </c>
      <c r="DF152" s="387">
        <f t="shared" ref="DF152:DF166" ca="1" si="226">DC152*2.5</f>
        <v>0</v>
      </c>
      <c r="DG152" s="387">
        <f t="shared" ref="DG152:DG166" ca="1" si="227">DD152*2.5</f>
        <v>0</v>
      </c>
    </row>
    <row r="153" spans="1:112" x14ac:dyDescent="0.35">
      <c r="I153">
        <f>IF(GUINDASTE!E62="X",IF(SUM(AO154:AO158)&gt;=CÁLCULOS!O279,SUM(AO154:AO158),CÁLCULOS!O279),IF(GUINDASTE!E57&gt;0,GUINDASTE!E57,SUM(AO154:AO158)))</f>
        <v>0</v>
      </c>
      <c r="N153" s="627" t="s">
        <v>1860</v>
      </c>
      <c r="S153" t="s">
        <v>2469</v>
      </c>
      <c r="Y153" s="522">
        <f ca="1">BT87-Y152</f>
        <v>0</v>
      </c>
      <c r="AL153" s="20"/>
      <c r="AV153" s="16"/>
      <c r="BQ153" s="2051"/>
      <c r="BR153" s="32">
        <v>2</v>
      </c>
      <c r="BS153" s="32">
        <v>3</v>
      </c>
      <c r="BT153" s="387">
        <f t="shared" ca="1" si="206"/>
        <v>0</v>
      </c>
      <c r="BU153" s="387">
        <f t="shared" ca="1" si="207"/>
        <v>0</v>
      </c>
      <c r="BV153" s="32">
        <f t="shared" ca="1" si="194"/>
        <v>0</v>
      </c>
      <c r="BW153" s="32">
        <f t="shared" ref="BW153" ca="1" si="228">IF(BT153=0,0,IF(BT153=$BW$18,4,ROUND(BV153/$E$8,0)))</f>
        <v>0</v>
      </c>
      <c r="BX153" s="32">
        <f t="shared" ref="BX153" ca="1" si="229">IF(BT153=0,0,IF(BT153=$BW$18,BW153,ROUND(BV153/$E$8,0)))</f>
        <v>0</v>
      </c>
      <c r="BY153" s="32">
        <f t="shared" ca="1" si="197"/>
        <v>0</v>
      </c>
      <c r="BZ153" s="32">
        <f t="shared" ca="1" si="208"/>
        <v>0</v>
      </c>
      <c r="CA153" s="32">
        <f t="shared" ca="1" si="198"/>
        <v>0</v>
      </c>
      <c r="CB153" s="32">
        <f t="shared" ca="1" si="199"/>
        <v>0</v>
      </c>
      <c r="CC153" s="32">
        <f t="shared" ca="1" si="200"/>
        <v>0</v>
      </c>
      <c r="CD153" s="32">
        <f t="shared" ca="1" si="201"/>
        <v>0</v>
      </c>
      <c r="CE153" s="32">
        <f t="shared" ca="1" si="202"/>
        <v>0</v>
      </c>
      <c r="CF153" s="387">
        <f t="shared" ca="1" si="209"/>
        <v>0</v>
      </c>
      <c r="CG153" s="387">
        <f t="shared" ca="1" si="210"/>
        <v>0</v>
      </c>
      <c r="CH153" s="32">
        <f t="shared" ca="1" si="211"/>
        <v>0</v>
      </c>
      <c r="CI153" s="32">
        <f t="shared" ca="1" si="212"/>
        <v>0</v>
      </c>
      <c r="CJ153" s="32">
        <f t="shared" ca="1" si="213"/>
        <v>1000</v>
      </c>
      <c r="CK153" s="32">
        <f t="shared" ref="CK153:CK166" ca="1" si="230">IF(CI153=0,1000,CI153)</f>
        <v>1000</v>
      </c>
      <c r="CL153" s="32">
        <f t="shared" ca="1" si="203"/>
        <v>0</v>
      </c>
      <c r="CM153" s="32">
        <f ca="1">BZ153*$BV$143*$BV$144*BX153</f>
        <v>0</v>
      </c>
      <c r="CN153" s="484">
        <f t="shared" ref="CN153:CN166" ca="1" si="231">IF(BT153=0,0,IF(OR($AK$40=1000,$AK$45=1),IF($E$6=0,0,IF($BW$8-$BW$7&lt;=$BW$14,1,IF(BT153&lt;=$BW$18+$BW$17,BX153,BX153+1))),IF($E$6=0,0,BX153+4)))</f>
        <v>0</v>
      </c>
      <c r="CO153" s="484">
        <f t="shared" ref="CO153:CO165" ca="1" si="232">IF(BX154&gt;0,BX153,IF(AND(CN152&gt;=1,BX152=0),0,CN153))</f>
        <v>0</v>
      </c>
      <c r="CP153" s="32">
        <f t="shared" ca="1" si="215"/>
        <v>0</v>
      </c>
      <c r="CQ153" s="484">
        <f ca="1">IF(AND(CP154=0,SUM($CO$151:$CO$166)-SUM($CP$151:$CP$166)=1,CP152&gt;1,CN152=CO152),1,IF(CO153=1,1,IF(AND(CO153&gt;4,CO154=0),0,IF(AND(CN153=4,CO153=4),0,IF(CP153=4,1,0)))))</f>
        <v>0</v>
      </c>
      <c r="CR153" s="387">
        <f ca="1">IF(CO153=1,0,10^2*BU153*SQRT(1/((10^4)+($E$7^2))))</f>
        <v>0</v>
      </c>
      <c r="CS153" s="32">
        <f t="shared" ca="1" si="216"/>
        <v>0</v>
      </c>
      <c r="CT153" s="387">
        <f t="shared" ca="1" si="217"/>
        <v>0</v>
      </c>
      <c r="CU153" s="387">
        <f t="shared" ca="1" si="218"/>
        <v>0</v>
      </c>
      <c r="CV153" s="387">
        <f t="shared" ca="1" si="219"/>
        <v>0</v>
      </c>
      <c r="CW153" s="387">
        <f t="shared" ca="1" si="220"/>
        <v>0</v>
      </c>
      <c r="CX153" s="32">
        <f t="shared" ca="1" si="221"/>
        <v>0</v>
      </c>
      <c r="CY153" s="32">
        <f t="shared" ca="1" si="204"/>
        <v>0</v>
      </c>
      <c r="CZ153" s="32">
        <f t="shared" ca="1" si="222"/>
        <v>0</v>
      </c>
      <c r="DA153" s="7">
        <f t="shared" ref="DA153:DA166" ca="1" si="233">IF(BT153=$BW$18,IF(CO153=0,0,IF(CP153=0,0,$E$6-($BV$145)+(CT153+CU153-CZ153+CX153))),IF(CO153=0,0,IF(CP153=0,0,$E$6-($BV$144)+(CT153+CU153-CZ153+CX153))))</f>
        <v>0</v>
      </c>
      <c r="DB153" s="387">
        <f ca="1">IF(CO153+CQ153=0,0,IF(CQ153=1,$E$6-($D$40+$D$46-$D$44)+(CV153+CW153-CZ153+CY153),0))</f>
        <v>0</v>
      </c>
      <c r="DC153" s="7">
        <f t="shared" ca="1" si="224"/>
        <v>0</v>
      </c>
      <c r="DD153" s="387">
        <f t="shared" ca="1" si="225"/>
        <v>0</v>
      </c>
      <c r="DE153" s="7">
        <f t="shared" ca="1" si="205"/>
        <v>0</v>
      </c>
      <c r="DF153" s="387">
        <f t="shared" ca="1" si="226"/>
        <v>0</v>
      </c>
      <c r="DG153" s="387">
        <f t="shared" ca="1" si="227"/>
        <v>0</v>
      </c>
    </row>
    <row r="154" spans="1:112" x14ac:dyDescent="0.35">
      <c r="B154" s="633" t="s">
        <v>2470</v>
      </c>
      <c r="C154" s="10"/>
      <c r="D154" s="10">
        <f>IF(I154=0,0,IF(GUINDASTE!E62="X",IF(SUM(AO154:AO158)&gt;=CÁLCULOS!O279,SUM(AO154:AO158),CÁLCULOS!O279),IF(GUINDASTE!E57&gt;0,GUINDASTE!E57,IF(GUINDASTE!C123=1,GUINDASTE!G90,IF(GUINDASTE!C125=1,GUINDASTE!G103,0)))))</f>
        <v>0</v>
      </c>
      <c r="E154" s="10" t="s">
        <v>445</v>
      </c>
      <c r="F154" s="10"/>
      <c r="G154" s="10"/>
      <c r="H154" s="10"/>
      <c r="I154" s="31">
        <f>IF(GUINDASTE!C123=1,GUINDASTE!I90,IF(GUINDASTE!C125=1,ROUNDDOWN(GUINDASTE!I103*LAJES!M155,0),0))</f>
        <v>0</v>
      </c>
      <c r="J154" t="s">
        <v>101</v>
      </c>
      <c r="K154" s="636" t="s">
        <v>1861</v>
      </c>
      <c r="L154" s="14"/>
      <c r="M154" s="15">
        <f ca="1">ROUNDUP('cronograma unit.'!E383/7*6,0)</f>
        <v>0</v>
      </c>
      <c r="N154">
        <f ca="1">ROUNDUP(H114-H106,0)</f>
        <v>0</v>
      </c>
      <c r="O154" s="630" t="s">
        <v>2471</v>
      </c>
      <c r="P154" s="630"/>
      <c r="Q154" s="630"/>
      <c r="R154" s="630"/>
      <c r="S154" s="630" t="s">
        <v>2472</v>
      </c>
      <c r="T154" s="630" t="s">
        <v>2473</v>
      </c>
      <c r="U154" s="630"/>
      <c r="V154" s="630" t="s">
        <v>2474</v>
      </c>
      <c r="W154" s="630"/>
      <c r="X154" s="630" t="s">
        <v>2402</v>
      </c>
      <c r="Y154" s="630" t="s">
        <v>2403</v>
      </c>
      <c r="Z154" s="630" t="s">
        <v>2404</v>
      </c>
      <c r="AB154" t="s">
        <v>2475</v>
      </c>
      <c r="AD154" t="s">
        <v>2476</v>
      </c>
      <c r="AE154" t="s">
        <v>2477</v>
      </c>
      <c r="AL154" s="20"/>
      <c r="AO154" s="32">
        <f>IF(GUINDASTE!E57&gt;0,0,IF(GUINDASTE!C50="X",IF(ENTRADAS!G91+ENTRADAS!G93+ENTRADAS!G97&lt;=20,AO145,0),0))</f>
        <v>0</v>
      </c>
      <c r="AP154" s="9" t="s">
        <v>2420</v>
      </c>
      <c r="AQ154" s="10"/>
      <c r="AR154" s="10"/>
      <c r="AS154" s="10"/>
      <c r="AT154" s="6"/>
      <c r="AV154" s="16"/>
      <c r="BQ154" s="2051"/>
      <c r="BR154" s="32">
        <v>3</v>
      </c>
      <c r="BS154" s="32">
        <v>4</v>
      </c>
      <c r="BT154" s="387">
        <f t="shared" ca="1" si="206"/>
        <v>0</v>
      </c>
      <c r="BU154" s="387">
        <f t="shared" ca="1" si="207"/>
        <v>0</v>
      </c>
      <c r="BV154" s="32">
        <f t="shared" ca="1" si="194"/>
        <v>0</v>
      </c>
      <c r="BW154" s="32">
        <f ca="1">IF(BT154=0,0,IF(BT154=$BW$18,4,ROUND(BV154/$E$8,0)))</f>
        <v>0</v>
      </c>
      <c r="BX154" s="32">
        <f ca="1">IF(BT154=0,0,IF(BT154=$BW$18,BW154,ROUND(BV154/$E$8,0)))</f>
        <v>0</v>
      </c>
      <c r="BY154" s="32">
        <f ca="1">IF(AND(BU154=$BW$18,BX154=4),0,IF(BX154=0,0,BV154/BX154))</f>
        <v>0</v>
      </c>
      <c r="BZ154" s="32">
        <f ca="1">IF(AND(BU154=$BW$18,BX154=4),0,IF(BX154=0,0,BY154-$BV$142))</f>
        <v>0</v>
      </c>
      <c r="CA154" s="32">
        <f ca="1">IF(AND(BU154=$BW$18,BX154=4),0,IF(BX154=0,0,BU154-($BV$143/2)))</f>
        <v>0</v>
      </c>
      <c r="CB154" s="32">
        <f ca="1">IF(AND(BU154=$BW$18,BX154=4),0,IF(BX154=0,0,BU154+($BV$143/2)))</f>
        <v>0</v>
      </c>
      <c r="CC154" s="32">
        <f ca="1">IF(AND(BU154=$BW$18,BX154=4),0,IF(BX154=0,0,2*PI()*CA154/BX154-(2*$BV$141)))</f>
        <v>0</v>
      </c>
      <c r="CD154" s="32">
        <f ca="1">IF(AND(BU154=$BW$18,BX154=4),0,IF(BX154=0,0,2*PI()*CB154/BX154-(2*$BV$141)))</f>
        <v>0</v>
      </c>
      <c r="CE154" s="32">
        <f ca="1">IF(AND(BU154=$BW$18,BX154=4),0,BX154*$E$3)</f>
        <v>0</v>
      </c>
      <c r="CF154" s="387">
        <f t="shared" ca="1" si="209"/>
        <v>0</v>
      </c>
      <c r="CG154" s="387">
        <f t="shared" ca="1" si="210"/>
        <v>0</v>
      </c>
      <c r="CH154" s="32">
        <f t="shared" ca="1" si="211"/>
        <v>0</v>
      </c>
      <c r="CI154" s="32">
        <f t="shared" ca="1" si="212"/>
        <v>0</v>
      </c>
      <c r="CJ154" s="32">
        <f t="shared" ca="1" si="213"/>
        <v>1000</v>
      </c>
      <c r="CK154" s="32">
        <f ca="1">IF(CI154=0,1000,CI154)</f>
        <v>1000</v>
      </c>
      <c r="CL154" s="32">
        <f ca="1">IF(AND(BU154=$BW$18,BX154=4),0,IF(BX154=0,0,((BY154*$BV$143)+((CC154+CD154)*$BV$144)+(2*$BV$143*$BV$144)*BX154)))</f>
        <v>0</v>
      </c>
      <c r="CM154" s="32">
        <f t="shared" ca="1" si="214"/>
        <v>0</v>
      </c>
      <c r="CN154" s="484">
        <f t="shared" ca="1" si="231"/>
        <v>0</v>
      </c>
      <c r="CO154" s="484">
        <f t="shared" ca="1" si="232"/>
        <v>0</v>
      </c>
      <c r="CP154" s="32">
        <f t="shared" ca="1" si="215"/>
        <v>0</v>
      </c>
      <c r="CQ154" s="484">
        <f ca="1">IF(AND(CP155=0,SUM($CO$151:$CO$166)-SUM($CP$151:$CP$166)=1,CP153&gt;1,CN153=CO153),1,IF(CO154=1,1,IF(AND(CO154&gt;4,CO155=0),0,IF(AND(CN154=4,CO154=4),0,IF(CP154=4,1,0)))))</f>
        <v>0</v>
      </c>
      <c r="CR154" s="387">
        <f ca="1">IF(CO154=1,0,10^2*BU154*SQRT(1/((10^4)+($E$7^2))))</f>
        <v>0</v>
      </c>
      <c r="CS154" s="32">
        <f t="shared" ca="1" si="216"/>
        <v>0</v>
      </c>
      <c r="CT154" s="387">
        <f t="shared" ca="1" si="217"/>
        <v>0</v>
      </c>
      <c r="CU154" s="387">
        <f t="shared" ca="1" si="218"/>
        <v>0</v>
      </c>
      <c r="CV154" s="387">
        <f t="shared" ca="1" si="219"/>
        <v>0</v>
      </c>
      <c r="CW154" s="387">
        <f t="shared" ca="1" si="220"/>
        <v>0</v>
      </c>
      <c r="CX154" s="32">
        <f t="shared" ca="1" si="221"/>
        <v>0</v>
      </c>
      <c r="CY154" s="32">
        <f t="shared" ca="1" si="204"/>
        <v>0</v>
      </c>
      <c r="CZ154" s="32">
        <f t="shared" ca="1" si="222"/>
        <v>0</v>
      </c>
      <c r="DA154" s="7">
        <f t="shared" ca="1" si="233"/>
        <v>0</v>
      </c>
      <c r="DB154" s="387">
        <f t="shared" ca="1" si="223"/>
        <v>0</v>
      </c>
      <c r="DC154" s="7">
        <f t="shared" ca="1" si="224"/>
        <v>0</v>
      </c>
      <c r="DD154" s="387">
        <f t="shared" ca="1" si="225"/>
        <v>0</v>
      </c>
      <c r="DE154" s="7">
        <f t="shared" ca="1" si="205"/>
        <v>0</v>
      </c>
      <c r="DF154" s="387">
        <f t="shared" ca="1" si="226"/>
        <v>0</v>
      </c>
      <c r="DG154" s="387">
        <f t="shared" ca="1" si="227"/>
        <v>0</v>
      </c>
    </row>
    <row r="155" spans="1:112" x14ac:dyDescent="0.35">
      <c r="B155" s="1215" t="s">
        <v>2478</v>
      </c>
      <c r="C155" s="654"/>
      <c r="D155" s="654"/>
      <c r="E155" s="654">
        <f>D154</f>
        <v>0</v>
      </c>
      <c r="F155" s="654" t="s">
        <v>445</v>
      </c>
      <c r="G155" s="654"/>
      <c r="H155" s="654"/>
      <c r="I155" s="655">
        <f ca="1">IF(GUINDASTE!L59&gt;0,GUINDASTE!L59,IF(E6=0,0,IF(GUINDASTE!C123=1,GUINDASTE!I94,IF(GUINDASTE!C125=1,GUINDASTE!I107*M155,0))))</f>
        <v>0</v>
      </c>
      <c r="J155" t="s">
        <v>46</v>
      </c>
      <c r="K155" s="637" t="s">
        <v>1862</v>
      </c>
      <c r="L155" s="3"/>
      <c r="M155" s="17">
        <f ca="1">M154/(M154+CÁLCULOS!U241)</f>
        <v>0</v>
      </c>
      <c r="O155" s="32">
        <f ca="1">D12</f>
        <v>0</v>
      </c>
      <c r="P155" s="32"/>
      <c r="Q155" s="32"/>
      <c r="R155" s="32"/>
      <c r="S155" s="387">
        <f ca="1">AA170</f>
        <v>0</v>
      </c>
      <c r="T155" s="32">
        <f ca="1">IF(S155=0,0,$AE$165/S155)</f>
        <v>0</v>
      </c>
      <c r="U155" s="32"/>
      <c r="V155" s="32">
        <f ca="1">ROUNDDOWN(T155,0)</f>
        <v>0</v>
      </c>
      <c r="W155" s="32"/>
      <c r="X155" s="32">
        <f>IF(ENTRADAS!$E$1075="X",IF(V155=0,0,IF(Y151&lt;=0,0,V155*Y151)),0)</f>
        <v>0</v>
      </c>
      <c r="Y155" s="32">
        <f>X155</f>
        <v>0</v>
      </c>
      <c r="Z155" s="32">
        <f>IF(Y155=0,0,IF(Y151-Y155&gt;0,Y151-Y155,IF(Y151&gt;0,Y151,0)))</f>
        <v>0</v>
      </c>
      <c r="AB155">
        <f>Y155</f>
        <v>0</v>
      </c>
      <c r="AD155">
        <f ca="1">Y159</f>
        <v>0</v>
      </c>
      <c r="AE155">
        <f ca="1">IF(AA170=0,0,ROUNDUP(AD155/ROUNDDOWN(VLOOKUP($A$162,$C$166:$O$210,13,0)/AA170,0),0))</f>
        <v>0</v>
      </c>
      <c r="AL155" s="20"/>
      <c r="AO155" s="32">
        <f>IF(GUINDASTE!E57&gt;0,0,IF(GUINDASTE!C50="X",IF(ENTRADAS!G91+ENTRADAS!G93+ENTRADAS!G97&gt;20,AO150,0),0))</f>
        <v>0</v>
      </c>
      <c r="AP155" s="633" t="s">
        <v>2479</v>
      </c>
      <c r="AQ155" s="10"/>
      <c r="AR155" s="10"/>
      <c r="AS155" s="10"/>
      <c r="AT155" s="6"/>
      <c r="AV155" s="16"/>
      <c r="BQ155" s="2051"/>
      <c r="BR155" s="32">
        <v>4</v>
      </c>
      <c r="BS155" s="32">
        <v>5</v>
      </c>
      <c r="BT155" s="387">
        <f t="shared" ca="1" si="206"/>
        <v>0</v>
      </c>
      <c r="BU155" s="387">
        <f t="shared" ca="1" si="207"/>
        <v>0</v>
      </c>
      <c r="BV155" s="32">
        <f t="shared" ref="BV155:BV166" ca="1" si="234">2*PI()*BU155</f>
        <v>0</v>
      </c>
      <c r="BW155" s="32">
        <f t="shared" ref="BW155:BW166" ca="1" si="235">IF(BT155=0,0,IF(BT155=$BW$18,4,ROUND(BV155/$E$8,0)))</f>
        <v>0</v>
      </c>
      <c r="BX155" s="32">
        <f t="shared" ref="BX155:BX166" ca="1" si="236">IF(BT155=0,0,IF(BT155=$BW$18,BW155,ROUND(BV155/$E$8,0)))</f>
        <v>0</v>
      </c>
      <c r="BY155" s="32">
        <f t="shared" ref="BY155:BY166" ca="1" si="237">IF(AND(BU155=$BW$18,BX155=4),0,IF(BX155=0,0,BV155/BX155))</f>
        <v>0</v>
      </c>
      <c r="BZ155" s="32">
        <f t="shared" ref="BZ155:BZ166" ca="1" si="238">IF(AND(BU155=$BW$18,BX155=4),0,IF(BX155=0,0,BY155-$BV$142))</f>
        <v>0</v>
      </c>
      <c r="CA155" s="32">
        <f t="shared" ref="CA155:CA166" ca="1" si="239">IF(AND(BU155=$BW$18,BX155=4),0,IF(BX155=0,0,BU155-($BV$143/2)))</f>
        <v>0</v>
      </c>
      <c r="CB155" s="32">
        <f t="shared" ref="CB155:CB166" ca="1" si="240">IF(AND(BU155=$BW$18,BX155=4),0,IF(BX155=0,0,BU155+($BV$143/2)))</f>
        <v>0</v>
      </c>
      <c r="CC155" s="32">
        <f t="shared" ref="CC155:CC166" ca="1" si="241">IF(AND(BU155=$BW$18,BX155=4),0,IF(BX155=0,0,2*PI()*CA155/BX155-(2*$BV$141)))</f>
        <v>0</v>
      </c>
      <c r="CD155" s="32">
        <f t="shared" ref="CD155:CD166" ca="1" si="242">IF(AND(BU155=$BW$18,BX155=4),0,IF(BX155=0,0,2*PI()*CB155/BX155-(2*$BV$141)))</f>
        <v>0</v>
      </c>
      <c r="CE155" s="32">
        <f t="shared" ref="CE155:CE166" ca="1" si="243">IF(AND(BU155=$BW$18,BX155=4),0,BX155*$E$3)</f>
        <v>0</v>
      </c>
      <c r="CF155" s="387">
        <f ca="1">BZ155*$BV$143*$BV$144</f>
        <v>0</v>
      </c>
      <c r="CG155" s="387">
        <f ca="1">CF155*2.5</f>
        <v>0</v>
      </c>
      <c r="CH155" s="32">
        <f t="shared" ca="1" si="211"/>
        <v>0</v>
      </c>
      <c r="CI155" s="32">
        <f t="shared" ca="1" si="212"/>
        <v>0</v>
      </c>
      <c r="CJ155" s="32">
        <f t="shared" ca="1" si="213"/>
        <v>1000</v>
      </c>
      <c r="CK155" s="32">
        <f ca="1">IF(CI155=0,1000,CI155)</f>
        <v>1000</v>
      </c>
      <c r="CL155" s="32">
        <f t="shared" ref="CL155:CL166" ca="1" si="244">IF(AND(BU155=$BW$18,BX155=4),0,IF(BX155=0,0,((BY155*$BV$143)+((CC155+CD155)*$BV$144)+(2*$BV$143*$BV$144)*BX155)))</f>
        <v>0</v>
      </c>
      <c r="CM155" s="32">
        <f t="shared" ca="1" si="214"/>
        <v>0</v>
      </c>
      <c r="CN155" s="484">
        <f t="shared" ca="1" si="231"/>
        <v>0</v>
      </c>
      <c r="CO155" s="484">
        <f t="shared" ca="1" si="232"/>
        <v>0</v>
      </c>
      <c r="CP155" s="32">
        <f t="shared" ca="1" si="215"/>
        <v>0</v>
      </c>
      <c r="CQ155" s="484">
        <f t="shared" ref="CQ155:CQ166" ca="1" si="245">IF(AND(CP156=0,SUM($CO$151:$CO$166)-SUM($CP$151:$CP$166)=1,CP154&gt;1,CN154=CO154),1,IF(CO155=1,1,IF(AND(CO155&gt;4,CO156=0),0,IF(AND(CN155=4,CO155=4),0,IF(CP155=4,1,0)))))</f>
        <v>0</v>
      </c>
      <c r="CR155" s="387">
        <f t="shared" ref="CR155:CR166" ca="1" si="246">IF(CO155=1,0,10^2*BU155*SQRT(1/((10^4)+($E$7^2))))</f>
        <v>0</v>
      </c>
      <c r="CS155" s="32">
        <f t="shared" ca="1" si="216"/>
        <v>0</v>
      </c>
      <c r="CT155" s="387">
        <f t="shared" ca="1" si="217"/>
        <v>0</v>
      </c>
      <c r="CU155" s="387">
        <f t="shared" ca="1" si="218"/>
        <v>0</v>
      </c>
      <c r="CV155" s="387">
        <f t="shared" ca="1" si="219"/>
        <v>0</v>
      </c>
      <c r="CW155" s="387">
        <f t="shared" ca="1" si="220"/>
        <v>0</v>
      </c>
      <c r="CX155" s="32">
        <f t="shared" ca="1" si="221"/>
        <v>0</v>
      </c>
      <c r="CY155" s="32">
        <f t="shared" ca="1" si="204"/>
        <v>0</v>
      </c>
      <c r="CZ155" s="32">
        <f t="shared" ca="1" si="222"/>
        <v>0</v>
      </c>
      <c r="DA155" s="7">
        <f t="shared" ca="1" si="233"/>
        <v>0</v>
      </c>
      <c r="DB155" s="387">
        <f t="shared" ca="1" si="223"/>
        <v>0</v>
      </c>
      <c r="DC155" s="7">
        <f t="shared" ca="1" si="224"/>
        <v>0</v>
      </c>
      <c r="DD155" s="387">
        <f t="shared" ca="1" si="225"/>
        <v>0</v>
      </c>
      <c r="DE155" s="7">
        <f t="shared" ca="1" si="205"/>
        <v>0</v>
      </c>
      <c r="DF155" s="387">
        <f t="shared" ca="1" si="226"/>
        <v>0</v>
      </c>
      <c r="DG155" s="387">
        <f t="shared" ca="1" si="227"/>
        <v>0</v>
      </c>
    </row>
    <row r="156" spans="1:112" x14ac:dyDescent="0.35">
      <c r="A156" t="str">
        <f ca="1">IF(SUM(A166:A208)=0,0,IF(B157=0,0,VLOOKUP($A$162,C166:N209,2,0)&amp;" comprimento = "&amp;VLOOKUP($A$162,C166:N209,9,0)&amp;" m"))</f>
        <v>0 comprimento = 12,4 m</v>
      </c>
      <c r="B156" s="13" t="str">
        <f ca="1">IF(SUM(A166:A208)=0,"FRETE",IF(B157=0,0,"FRETE p/ "&amp;E162&amp;" km com "&amp;""&amp;VLOOKUP($A$162,C166:N209,2,0)))</f>
        <v>FRETE p/ 1000 km com 0</v>
      </c>
      <c r="C156" s="14"/>
      <c r="D156" s="14"/>
      <c r="E156" s="14"/>
      <c r="F156" s="14"/>
      <c r="G156" s="14"/>
      <c r="H156" s="14"/>
      <c r="I156" s="2083">
        <f ca="1">IF(B157=0,0,VLOOKUP($A$162,$C$166:$I$209,6,0))</f>
        <v>0</v>
      </c>
      <c r="J156" s="2139" t="s">
        <v>1071</v>
      </c>
      <c r="S156" s="627" t="s">
        <v>2464</v>
      </c>
      <c r="Y156" s="511">
        <f>Y155</f>
        <v>0</v>
      </c>
      <c r="AD156" s="427" t="s">
        <v>2216</v>
      </c>
      <c r="AE156" s="32">
        <f ca="1">IF(GA98&gt;=AE155,0,IF(AE155&gt;GA98,AE155-GA98,0))</f>
        <v>0</v>
      </c>
      <c r="AL156" s="20"/>
      <c r="AO156" s="32">
        <f>IF(GUINDASTE!E57&gt;0,0,IF(GUINDASTE!E50="X",IF(ENTRADAS!G91+ENTRADAS!G93+ENTRADAS!G97&lt;=40,AO145,0),0))</f>
        <v>0</v>
      </c>
      <c r="AP156" s="9" t="s">
        <v>2422</v>
      </c>
      <c r="AQ156" s="10"/>
      <c r="AR156" s="10"/>
      <c r="AS156" s="10"/>
      <c r="AT156" s="6"/>
      <c r="AV156" s="16"/>
      <c r="BO156" s="580"/>
      <c r="BQ156" s="2051"/>
      <c r="BR156" s="32">
        <v>5</v>
      </c>
      <c r="BS156" s="32">
        <v>6</v>
      </c>
      <c r="BT156" s="387">
        <f t="shared" ca="1" si="206"/>
        <v>0</v>
      </c>
      <c r="BU156" s="387">
        <f t="shared" ca="1" si="207"/>
        <v>0</v>
      </c>
      <c r="BV156" s="32">
        <f t="shared" ca="1" si="234"/>
        <v>0</v>
      </c>
      <c r="BW156" s="32">
        <f t="shared" ca="1" si="235"/>
        <v>0</v>
      </c>
      <c r="BX156" s="32">
        <f t="shared" ca="1" si="236"/>
        <v>0</v>
      </c>
      <c r="BY156" s="32">
        <f t="shared" ca="1" si="237"/>
        <v>0</v>
      </c>
      <c r="BZ156" s="32">
        <f t="shared" ca="1" si="238"/>
        <v>0</v>
      </c>
      <c r="CA156" s="32">
        <f t="shared" ca="1" si="239"/>
        <v>0</v>
      </c>
      <c r="CB156" s="32">
        <f t="shared" ca="1" si="240"/>
        <v>0</v>
      </c>
      <c r="CC156" s="32">
        <f t="shared" ca="1" si="241"/>
        <v>0</v>
      </c>
      <c r="CD156" s="32">
        <f t="shared" ca="1" si="242"/>
        <v>0</v>
      </c>
      <c r="CE156" s="32">
        <f t="shared" ca="1" si="243"/>
        <v>0</v>
      </c>
      <c r="CF156" s="387">
        <f ca="1">BZ156*$BV$143*$BV$144</f>
        <v>0</v>
      </c>
      <c r="CG156" s="387">
        <f ca="1">CF156*2.5</f>
        <v>0</v>
      </c>
      <c r="CH156" s="32">
        <f ca="1">CF156*CE156</f>
        <v>0</v>
      </c>
      <c r="CI156" s="32">
        <f ca="1">CG156*CE156</f>
        <v>0</v>
      </c>
      <c r="CJ156" s="32">
        <f ca="1">IF(BX156=0,1000,CE156)</f>
        <v>1000</v>
      </c>
      <c r="CK156" s="32">
        <f ca="1">IF(CI156=0,1000,CI156)</f>
        <v>1000</v>
      </c>
      <c r="CL156" s="32">
        <f t="shared" ca="1" si="244"/>
        <v>0</v>
      </c>
      <c r="CM156" s="32">
        <f ca="1">BZ156*$BV$143*$BV$144*BX156</f>
        <v>0</v>
      </c>
      <c r="CN156" s="484">
        <f t="shared" ca="1" si="231"/>
        <v>0</v>
      </c>
      <c r="CO156" s="484">
        <f t="shared" ca="1" si="232"/>
        <v>0</v>
      </c>
      <c r="CP156" s="32">
        <f t="shared" ca="1" si="215"/>
        <v>0</v>
      </c>
      <c r="CQ156" s="484">
        <f t="shared" ca="1" si="245"/>
        <v>0</v>
      </c>
      <c r="CR156" s="387">
        <f t="shared" ca="1" si="246"/>
        <v>0</v>
      </c>
      <c r="CS156" s="32">
        <f t="shared" ca="1" si="216"/>
        <v>0</v>
      </c>
      <c r="CT156" s="387">
        <f t="shared" ca="1" si="217"/>
        <v>0</v>
      </c>
      <c r="CU156" s="387">
        <f t="shared" ca="1" si="218"/>
        <v>0</v>
      </c>
      <c r="CV156" s="387">
        <f t="shared" ca="1" si="219"/>
        <v>0</v>
      </c>
      <c r="CW156" s="387">
        <f t="shared" ca="1" si="220"/>
        <v>0</v>
      </c>
      <c r="CX156" s="32">
        <f t="shared" ca="1" si="221"/>
        <v>0</v>
      </c>
      <c r="CY156" s="32">
        <f t="shared" ca="1" si="204"/>
        <v>0</v>
      </c>
      <c r="CZ156" s="32">
        <f t="shared" ca="1" si="222"/>
        <v>0</v>
      </c>
      <c r="DA156" s="7">
        <f t="shared" ca="1" si="233"/>
        <v>0</v>
      </c>
      <c r="DB156" s="387">
        <f t="shared" ca="1" si="223"/>
        <v>0</v>
      </c>
      <c r="DC156" s="7">
        <f t="shared" ca="1" si="224"/>
        <v>0</v>
      </c>
      <c r="DD156" s="387">
        <f t="shared" ca="1" si="225"/>
        <v>0</v>
      </c>
      <c r="DE156" s="7">
        <f t="shared" ca="1" si="205"/>
        <v>0</v>
      </c>
      <c r="DF156" s="387">
        <f t="shared" ca="1" si="226"/>
        <v>0</v>
      </c>
      <c r="DG156" s="387">
        <f t="shared" ca="1" si="227"/>
        <v>0</v>
      </c>
    </row>
    <row r="157" spans="1:112" x14ac:dyDescent="0.35">
      <c r="B157" s="988" t="str">
        <f ca="1">IF(SUM(A166:A208)&lt;&gt;0,"CARGA com pré-moldadados entre lajes e pilares",0)</f>
        <v>CARGA com pré-moldadados entre lajes e pilares</v>
      </c>
      <c r="C157" s="3"/>
      <c r="D157" s="3"/>
      <c r="E157" s="3"/>
      <c r="F157" s="3"/>
      <c r="G157" s="3"/>
      <c r="H157" s="3"/>
      <c r="I157" s="2084"/>
      <c r="J157" s="2139"/>
      <c r="S157" t="s">
        <v>2467</v>
      </c>
      <c r="Y157" s="511">
        <f>Z155</f>
        <v>0</v>
      </c>
      <c r="AL157" s="20"/>
      <c r="AO157" s="511">
        <f>IF(GUINDASTE!E57&gt;0,GUINDASTE!E57,0)</f>
        <v>0</v>
      </c>
      <c r="AP157" s="745" t="s">
        <v>2480</v>
      </c>
      <c r="AQ157" s="511"/>
      <c r="AR157" s="511"/>
      <c r="AS157" s="511"/>
      <c r="AT157" s="511"/>
      <c r="AV157" s="16"/>
      <c r="BO157" s="580"/>
      <c r="BQ157" s="2051"/>
      <c r="BR157" s="32">
        <v>6</v>
      </c>
      <c r="BS157" s="32">
        <v>7</v>
      </c>
      <c r="BT157" s="387">
        <f t="shared" ca="1" si="206"/>
        <v>0</v>
      </c>
      <c r="BU157" s="387">
        <f t="shared" ca="1" si="207"/>
        <v>0</v>
      </c>
      <c r="BV157" s="32">
        <f t="shared" ca="1" si="234"/>
        <v>0</v>
      </c>
      <c r="BW157" s="32">
        <f t="shared" ca="1" si="235"/>
        <v>0</v>
      </c>
      <c r="BX157" s="32">
        <f t="shared" ca="1" si="236"/>
        <v>0</v>
      </c>
      <c r="BY157" s="32">
        <f t="shared" ca="1" si="237"/>
        <v>0</v>
      </c>
      <c r="BZ157" s="32">
        <f t="shared" ca="1" si="238"/>
        <v>0</v>
      </c>
      <c r="CA157" s="32">
        <f t="shared" ca="1" si="239"/>
        <v>0</v>
      </c>
      <c r="CB157" s="32">
        <f t="shared" ca="1" si="240"/>
        <v>0</v>
      </c>
      <c r="CC157" s="32">
        <f t="shared" ca="1" si="241"/>
        <v>0</v>
      </c>
      <c r="CD157" s="32">
        <f t="shared" ca="1" si="242"/>
        <v>0</v>
      </c>
      <c r="CE157" s="32">
        <f t="shared" ca="1" si="243"/>
        <v>0</v>
      </c>
      <c r="CF157" s="387">
        <f t="shared" ca="1" si="209"/>
        <v>0</v>
      </c>
      <c r="CG157" s="387">
        <f t="shared" ca="1" si="210"/>
        <v>0</v>
      </c>
      <c r="CH157" s="32">
        <f t="shared" ca="1" si="211"/>
        <v>0</v>
      </c>
      <c r="CI157" s="32">
        <f t="shared" ca="1" si="212"/>
        <v>0</v>
      </c>
      <c r="CJ157" s="32">
        <f t="shared" ca="1" si="213"/>
        <v>1000</v>
      </c>
      <c r="CK157" s="32">
        <f t="shared" ca="1" si="230"/>
        <v>1000</v>
      </c>
      <c r="CL157" s="32">
        <f t="shared" ca="1" si="244"/>
        <v>0</v>
      </c>
      <c r="CM157" s="32">
        <f t="shared" ca="1" si="214"/>
        <v>0</v>
      </c>
      <c r="CN157" s="484">
        <f t="shared" ca="1" si="231"/>
        <v>0</v>
      </c>
      <c r="CO157" s="484">
        <f t="shared" ca="1" si="232"/>
        <v>0</v>
      </c>
      <c r="CP157" s="32">
        <f t="shared" ca="1" si="215"/>
        <v>0</v>
      </c>
      <c r="CQ157" s="484">
        <f t="shared" ca="1" si="245"/>
        <v>0</v>
      </c>
      <c r="CR157" s="387">
        <f t="shared" ca="1" si="246"/>
        <v>0</v>
      </c>
      <c r="CS157" s="32">
        <f t="shared" ca="1" si="216"/>
        <v>0</v>
      </c>
      <c r="CT157" s="387">
        <f t="shared" ca="1" si="217"/>
        <v>0</v>
      </c>
      <c r="CU157" s="387">
        <f t="shared" ca="1" si="218"/>
        <v>0</v>
      </c>
      <c r="CV157" s="387">
        <f t="shared" ca="1" si="219"/>
        <v>0</v>
      </c>
      <c r="CW157" s="387">
        <f t="shared" ca="1" si="220"/>
        <v>0</v>
      </c>
      <c r="CX157" s="32">
        <f t="shared" ca="1" si="221"/>
        <v>0</v>
      </c>
      <c r="CY157" s="32">
        <f t="shared" ca="1" si="204"/>
        <v>0</v>
      </c>
      <c r="CZ157" s="32">
        <f t="shared" ca="1" si="222"/>
        <v>0</v>
      </c>
      <c r="DA157" s="7">
        <f t="shared" ca="1" si="233"/>
        <v>0</v>
      </c>
      <c r="DB157" s="387">
        <f t="shared" ca="1" si="223"/>
        <v>0</v>
      </c>
      <c r="DC157" s="7">
        <f t="shared" ca="1" si="224"/>
        <v>0</v>
      </c>
      <c r="DD157" s="387">
        <f t="shared" ca="1" si="225"/>
        <v>0</v>
      </c>
      <c r="DE157" s="7">
        <f t="shared" ca="1" si="205"/>
        <v>0</v>
      </c>
      <c r="DF157" s="387">
        <f t="shared" ca="1" si="226"/>
        <v>0</v>
      </c>
      <c r="DG157" s="387">
        <f t="shared" ca="1" si="227"/>
        <v>0</v>
      </c>
    </row>
    <row r="158" spans="1:112" x14ac:dyDescent="0.35">
      <c r="A158" t="str">
        <f ca="1">IF(SUM(A217:A259)=0,0,IF(B159=0,0,VLOOKUP($A$162,$C$217:$N$259,2,0)&amp;" comprimento= "&amp;VLOOKUP($A$162,$C$217:$N$259,9,0)&amp;" m"))</f>
        <v>0 comprimento= 12,4 m</v>
      </c>
      <c r="B158" s="13" t="str">
        <f ca="1">IF(SUM(A217:A259)=0,"FRETE",IF(B159=0,0,"FRETE para "&amp;E162&amp;" km com "&amp;""&amp;VLOOKUP($A$162,$C$217:$N$259,2,0)))</f>
        <v>FRETE para 1000 km com 0</v>
      </c>
      <c r="C158" s="14"/>
      <c r="D158" s="14"/>
      <c r="E158" s="14"/>
      <c r="F158" s="14"/>
      <c r="G158" s="14"/>
      <c r="H158" s="14"/>
      <c r="I158" s="2083">
        <f ca="1">IF(B159=0,0,VLOOKUP($A$162,C217:I260,6,0))</f>
        <v>0</v>
      </c>
      <c r="J158" s="2139" t="s">
        <v>1071</v>
      </c>
      <c r="S158" t="s">
        <v>2481</v>
      </c>
      <c r="Y158" s="511">
        <f>IF(ENTRADAS!E1075="X",V155*Z155,AB155)</f>
        <v>0</v>
      </c>
      <c r="AL158" s="18"/>
      <c r="AM158" s="3"/>
      <c r="AN158" s="3"/>
      <c r="AO158" s="32">
        <f>IF(GUINDASTE!E57&gt;0,0,IF(GUINDASTE!E50="X",IF(ENTRADAS!G91+ENTRADAS!G93+ENTRADAS!G97&gt;40,AO150,0),0))</f>
        <v>0</v>
      </c>
      <c r="AP158" s="633" t="s">
        <v>2482</v>
      </c>
      <c r="AQ158" s="10"/>
      <c r="AR158" s="10"/>
      <c r="AS158" s="10"/>
      <c r="AT158" s="6"/>
      <c r="AU158" s="3"/>
      <c r="AV158" s="17"/>
      <c r="BO158" s="580"/>
      <c r="BQ158" s="2051"/>
      <c r="BR158" s="32">
        <v>7</v>
      </c>
      <c r="BS158" s="32">
        <v>8</v>
      </c>
      <c r="BT158" s="387">
        <f t="shared" ca="1" si="206"/>
        <v>0</v>
      </c>
      <c r="BU158" s="387">
        <f t="shared" ca="1" si="207"/>
        <v>0</v>
      </c>
      <c r="BV158" s="32">
        <f t="shared" ca="1" si="234"/>
        <v>0</v>
      </c>
      <c r="BW158" s="32">
        <f t="shared" ca="1" si="235"/>
        <v>0</v>
      </c>
      <c r="BX158" s="32">
        <f t="shared" ca="1" si="236"/>
        <v>0</v>
      </c>
      <c r="BY158" s="32">
        <f t="shared" ca="1" si="237"/>
        <v>0</v>
      </c>
      <c r="BZ158" s="32">
        <f t="shared" ca="1" si="238"/>
        <v>0</v>
      </c>
      <c r="CA158" s="32">
        <f t="shared" ca="1" si="239"/>
        <v>0</v>
      </c>
      <c r="CB158" s="32">
        <f t="shared" ca="1" si="240"/>
        <v>0</v>
      </c>
      <c r="CC158" s="32">
        <f t="shared" ca="1" si="241"/>
        <v>0</v>
      </c>
      <c r="CD158" s="32">
        <f t="shared" ca="1" si="242"/>
        <v>0</v>
      </c>
      <c r="CE158" s="32">
        <f t="shared" ca="1" si="243"/>
        <v>0</v>
      </c>
      <c r="CF158" s="387">
        <f t="shared" ca="1" si="209"/>
        <v>0</v>
      </c>
      <c r="CG158" s="387">
        <f t="shared" ca="1" si="210"/>
        <v>0</v>
      </c>
      <c r="CH158" s="32">
        <f t="shared" ca="1" si="211"/>
        <v>0</v>
      </c>
      <c r="CI158" s="32">
        <f t="shared" ca="1" si="212"/>
        <v>0</v>
      </c>
      <c r="CJ158" s="32">
        <f t="shared" ca="1" si="213"/>
        <v>1000</v>
      </c>
      <c r="CK158" s="32">
        <f t="shared" ca="1" si="230"/>
        <v>1000</v>
      </c>
      <c r="CL158" s="32">
        <f t="shared" ca="1" si="244"/>
        <v>0</v>
      </c>
      <c r="CM158" s="32">
        <f t="shared" ca="1" si="214"/>
        <v>0</v>
      </c>
      <c r="CN158" s="484">
        <f t="shared" ca="1" si="231"/>
        <v>0</v>
      </c>
      <c r="CO158" s="484">
        <f t="shared" ca="1" si="232"/>
        <v>0</v>
      </c>
      <c r="CP158" s="32">
        <f t="shared" ca="1" si="215"/>
        <v>0</v>
      </c>
      <c r="CQ158" s="484">
        <f t="shared" ca="1" si="245"/>
        <v>0</v>
      </c>
      <c r="CR158" s="387">
        <f t="shared" ca="1" si="246"/>
        <v>0</v>
      </c>
      <c r="CS158" s="32">
        <f t="shared" ca="1" si="216"/>
        <v>0</v>
      </c>
      <c r="CT158" s="387">
        <f t="shared" ca="1" si="217"/>
        <v>0</v>
      </c>
      <c r="CU158" s="387">
        <f t="shared" ca="1" si="218"/>
        <v>0</v>
      </c>
      <c r="CV158" s="387">
        <f t="shared" ca="1" si="219"/>
        <v>0</v>
      </c>
      <c r="CW158" s="387">
        <f t="shared" ca="1" si="220"/>
        <v>0</v>
      </c>
      <c r="CX158" s="32">
        <f t="shared" ca="1" si="221"/>
        <v>0</v>
      </c>
      <c r="CY158" s="32">
        <f t="shared" ca="1" si="204"/>
        <v>0</v>
      </c>
      <c r="CZ158" s="32">
        <f t="shared" ca="1" si="222"/>
        <v>0</v>
      </c>
      <c r="DA158" s="7">
        <f t="shared" ca="1" si="233"/>
        <v>0</v>
      </c>
      <c r="DB158" s="387">
        <f t="shared" ca="1" si="223"/>
        <v>0</v>
      </c>
      <c r="DC158" s="7">
        <f t="shared" ca="1" si="224"/>
        <v>0</v>
      </c>
      <c r="DD158" s="387">
        <f t="shared" ca="1" si="225"/>
        <v>0</v>
      </c>
      <c r="DE158" s="7">
        <f t="shared" ca="1" si="205"/>
        <v>0</v>
      </c>
      <c r="DF158" s="387">
        <f t="shared" ca="1" si="226"/>
        <v>0</v>
      </c>
      <c r="DG158" s="387">
        <f t="shared" ca="1" si="227"/>
        <v>0</v>
      </c>
    </row>
    <row r="159" spans="1:112" x14ac:dyDescent="0.35">
      <c r="B159" s="988" t="str">
        <f ca="1">IF(SUM(A217:A259)&lt;&gt;0,"CARGA com  "&amp;VLOOKUP($A$163,$C$217:$N$260,3,0)&amp;"  "&amp;"vigas",0)</f>
        <v>CARGA com  0  vigas</v>
      </c>
      <c r="C159" s="3"/>
      <c r="D159" s="3"/>
      <c r="E159" s="3"/>
      <c r="F159" s="3"/>
      <c r="G159" s="3"/>
      <c r="H159" s="3"/>
      <c r="I159" s="2084"/>
      <c r="J159" s="2140"/>
      <c r="S159" t="s">
        <v>2483</v>
      </c>
      <c r="Y159" s="523">
        <f ca="1">O155-Y158</f>
        <v>0</v>
      </c>
      <c r="Z159" s="2074" t="s">
        <v>2484</v>
      </c>
      <c r="AA159" s="2074" t="s">
        <v>2485</v>
      </c>
      <c r="AP159" s="627"/>
      <c r="BO159" s="580"/>
      <c r="BQ159" s="2051"/>
      <c r="BR159" s="32">
        <v>8</v>
      </c>
      <c r="BS159" s="32">
        <v>9</v>
      </c>
      <c r="BT159" s="387">
        <f t="shared" ca="1" si="206"/>
        <v>0</v>
      </c>
      <c r="BU159" s="387">
        <f t="shared" ca="1" si="207"/>
        <v>0</v>
      </c>
      <c r="BV159" s="32">
        <f t="shared" ca="1" si="234"/>
        <v>0</v>
      </c>
      <c r="BW159" s="32">
        <f t="shared" ca="1" si="235"/>
        <v>0</v>
      </c>
      <c r="BX159" s="32">
        <f t="shared" ca="1" si="236"/>
        <v>0</v>
      </c>
      <c r="BY159" s="32">
        <f t="shared" ca="1" si="237"/>
        <v>0</v>
      </c>
      <c r="BZ159" s="32">
        <f t="shared" ca="1" si="238"/>
        <v>0</v>
      </c>
      <c r="CA159" s="32">
        <f t="shared" ca="1" si="239"/>
        <v>0</v>
      </c>
      <c r="CB159" s="32">
        <f t="shared" ca="1" si="240"/>
        <v>0</v>
      </c>
      <c r="CC159" s="32">
        <f t="shared" ca="1" si="241"/>
        <v>0</v>
      </c>
      <c r="CD159" s="32">
        <f t="shared" ca="1" si="242"/>
        <v>0</v>
      </c>
      <c r="CE159" s="32">
        <f t="shared" ca="1" si="243"/>
        <v>0</v>
      </c>
      <c r="CF159" s="387">
        <f t="shared" ca="1" si="209"/>
        <v>0</v>
      </c>
      <c r="CG159" s="387">
        <f t="shared" ca="1" si="210"/>
        <v>0</v>
      </c>
      <c r="CH159" s="32">
        <f t="shared" ca="1" si="211"/>
        <v>0</v>
      </c>
      <c r="CI159" s="32">
        <f t="shared" ca="1" si="212"/>
        <v>0</v>
      </c>
      <c r="CJ159" s="32">
        <f t="shared" ca="1" si="213"/>
        <v>1000</v>
      </c>
      <c r="CK159" s="32">
        <f t="shared" ca="1" si="230"/>
        <v>1000</v>
      </c>
      <c r="CL159" s="32">
        <f t="shared" ca="1" si="244"/>
        <v>0</v>
      </c>
      <c r="CM159" s="32">
        <f t="shared" ca="1" si="214"/>
        <v>0</v>
      </c>
      <c r="CN159" s="484">
        <f t="shared" ca="1" si="231"/>
        <v>0</v>
      </c>
      <c r="CO159" s="484">
        <f t="shared" ca="1" si="232"/>
        <v>0</v>
      </c>
      <c r="CP159" s="32">
        <f t="shared" ca="1" si="215"/>
        <v>0</v>
      </c>
      <c r="CQ159" s="484">
        <f t="shared" ca="1" si="245"/>
        <v>0</v>
      </c>
      <c r="CR159" s="387">
        <f t="shared" ca="1" si="246"/>
        <v>0</v>
      </c>
      <c r="CS159" s="32">
        <f t="shared" ca="1" si="216"/>
        <v>0</v>
      </c>
      <c r="CT159" s="387">
        <f t="shared" ca="1" si="217"/>
        <v>0</v>
      </c>
      <c r="CU159" s="387">
        <f t="shared" ca="1" si="218"/>
        <v>0</v>
      </c>
      <c r="CV159" s="387">
        <f t="shared" ca="1" si="219"/>
        <v>0</v>
      </c>
      <c r="CW159" s="387">
        <f t="shared" ca="1" si="220"/>
        <v>0</v>
      </c>
      <c r="CX159" s="32">
        <f t="shared" ca="1" si="221"/>
        <v>0</v>
      </c>
      <c r="CY159" s="32">
        <f t="shared" ca="1" si="204"/>
        <v>0</v>
      </c>
      <c r="CZ159" s="32">
        <f t="shared" ca="1" si="222"/>
        <v>0</v>
      </c>
      <c r="DA159" s="7">
        <f t="shared" ca="1" si="233"/>
        <v>0</v>
      </c>
      <c r="DB159" s="387">
        <f t="shared" ca="1" si="223"/>
        <v>0</v>
      </c>
      <c r="DC159" s="7">
        <f t="shared" ca="1" si="224"/>
        <v>0</v>
      </c>
      <c r="DD159" s="387">
        <f t="shared" ca="1" si="225"/>
        <v>0</v>
      </c>
      <c r="DE159" s="7">
        <f t="shared" ca="1" si="205"/>
        <v>0</v>
      </c>
      <c r="DF159" s="387">
        <f t="shared" ca="1" si="226"/>
        <v>0</v>
      </c>
      <c r="DG159" s="387">
        <f t="shared" ca="1" si="227"/>
        <v>0</v>
      </c>
    </row>
    <row r="160" spans="1:112" x14ac:dyDescent="0.35">
      <c r="A160" s="13"/>
      <c r="B160" s="636" t="s">
        <v>2486</v>
      </c>
      <c r="C160" s="14"/>
      <c r="D160" s="14"/>
      <c r="E160" s="14">
        <f>E155</f>
        <v>0</v>
      </c>
      <c r="F160" s="10" t="s">
        <v>445</v>
      </c>
      <c r="G160" s="14"/>
      <c r="H160" s="14"/>
      <c r="I160" s="395">
        <f>IF(GUINDASTE!C123=1,GUINDASTE!I92,IF(GUINDASTE!C125=1,ROUNDDOWN(GUINDASTE!I105*LAJES!M155,0),0))</f>
        <v>0</v>
      </c>
      <c r="J160" s="627" t="s">
        <v>101</v>
      </c>
      <c r="K160" s="199"/>
      <c r="L160" s="199"/>
      <c r="M160" s="14"/>
      <c r="N160" s="14"/>
      <c r="O160" s="14"/>
      <c r="P160" s="14"/>
      <c r="Q160" s="14"/>
      <c r="R160" s="14"/>
      <c r="S160" s="14"/>
      <c r="T160" s="15"/>
      <c r="Z160" s="2074"/>
      <c r="AA160" s="2074"/>
      <c r="AP160" s="627"/>
      <c r="BO160" s="580"/>
      <c r="BQ160" s="2051"/>
      <c r="BR160" s="32">
        <v>9</v>
      </c>
      <c r="BS160" s="32">
        <v>10</v>
      </c>
      <c r="BT160" s="387">
        <f t="shared" ca="1" si="206"/>
        <v>0</v>
      </c>
      <c r="BU160" s="387">
        <f t="shared" ca="1" si="207"/>
        <v>0</v>
      </c>
      <c r="BV160" s="32">
        <f t="shared" ca="1" si="234"/>
        <v>0</v>
      </c>
      <c r="BW160" s="32">
        <f t="shared" ca="1" si="235"/>
        <v>0</v>
      </c>
      <c r="BX160" s="32">
        <f t="shared" ca="1" si="236"/>
        <v>0</v>
      </c>
      <c r="BY160" s="32">
        <f t="shared" ca="1" si="237"/>
        <v>0</v>
      </c>
      <c r="BZ160" s="32">
        <f t="shared" ca="1" si="238"/>
        <v>0</v>
      </c>
      <c r="CA160" s="32">
        <f t="shared" ca="1" si="239"/>
        <v>0</v>
      </c>
      <c r="CB160" s="32">
        <f t="shared" ca="1" si="240"/>
        <v>0</v>
      </c>
      <c r="CC160" s="32">
        <f t="shared" ca="1" si="241"/>
        <v>0</v>
      </c>
      <c r="CD160" s="32">
        <f t="shared" ca="1" si="242"/>
        <v>0</v>
      </c>
      <c r="CE160" s="32">
        <f t="shared" ca="1" si="243"/>
        <v>0</v>
      </c>
      <c r="CF160" s="387">
        <f t="shared" ca="1" si="209"/>
        <v>0</v>
      </c>
      <c r="CG160" s="387">
        <f t="shared" ca="1" si="210"/>
        <v>0</v>
      </c>
      <c r="CH160" s="32">
        <f t="shared" ca="1" si="211"/>
        <v>0</v>
      </c>
      <c r="CI160" s="32">
        <f t="shared" ca="1" si="212"/>
        <v>0</v>
      </c>
      <c r="CJ160" s="32">
        <f t="shared" ca="1" si="213"/>
        <v>1000</v>
      </c>
      <c r="CK160" s="32">
        <f t="shared" ca="1" si="230"/>
        <v>1000</v>
      </c>
      <c r="CL160" s="32">
        <f t="shared" ca="1" si="244"/>
        <v>0</v>
      </c>
      <c r="CM160" s="32">
        <f t="shared" ca="1" si="214"/>
        <v>0</v>
      </c>
      <c r="CN160" s="484">
        <f t="shared" ca="1" si="231"/>
        <v>0</v>
      </c>
      <c r="CO160" s="484">
        <f t="shared" ca="1" si="232"/>
        <v>0</v>
      </c>
      <c r="CP160" s="32">
        <f t="shared" ca="1" si="215"/>
        <v>0</v>
      </c>
      <c r="CQ160" s="484">
        <f t="shared" ca="1" si="245"/>
        <v>0</v>
      </c>
      <c r="CR160" s="387">
        <f t="shared" ca="1" si="246"/>
        <v>0</v>
      </c>
      <c r="CS160" s="32">
        <f t="shared" ca="1" si="216"/>
        <v>0</v>
      </c>
      <c r="CT160" s="387">
        <f t="shared" ca="1" si="217"/>
        <v>0</v>
      </c>
      <c r="CU160" s="387">
        <f t="shared" ca="1" si="218"/>
        <v>0</v>
      </c>
      <c r="CV160" s="387">
        <f t="shared" ca="1" si="219"/>
        <v>0</v>
      </c>
      <c r="CW160" s="387">
        <f t="shared" ca="1" si="220"/>
        <v>0</v>
      </c>
      <c r="CX160" s="32">
        <f t="shared" ca="1" si="221"/>
        <v>0</v>
      </c>
      <c r="CY160" s="32">
        <f t="shared" ca="1" si="204"/>
        <v>0</v>
      </c>
      <c r="CZ160" s="32">
        <f t="shared" ca="1" si="222"/>
        <v>0</v>
      </c>
      <c r="DA160" s="7">
        <f t="shared" ca="1" si="233"/>
        <v>0</v>
      </c>
      <c r="DB160" s="387">
        <f t="shared" ca="1" si="223"/>
        <v>0</v>
      </c>
      <c r="DC160" s="7">
        <f t="shared" ca="1" si="224"/>
        <v>0</v>
      </c>
      <c r="DD160" s="387">
        <f t="shared" ca="1" si="225"/>
        <v>0</v>
      </c>
      <c r="DE160" s="7">
        <f t="shared" ca="1" si="205"/>
        <v>0</v>
      </c>
      <c r="DF160" s="387">
        <f t="shared" ca="1" si="226"/>
        <v>0</v>
      </c>
      <c r="DG160" s="387">
        <f t="shared" ca="1" si="227"/>
        <v>0</v>
      </c>
    </row>
    <row r="161" spans="1:111" x14ac:dyDescent="0.35">
      <c r="A161" s="20"/>
      <c r="B161" s="13"/>
      <c r="C161" s="14"/>
      <c r="D161" s="14"/>
      <c r="E161" s="14"/>
      <c r="F161" s="14"/>
      <c r="G161" s="14"/>
      <c r="H161" s="14"/>
      <c r="I161" s="14"/>
      <c r="J161" s="14"/>
      <c r="K161" s="14"/>
      <c r="L161" s="14"/>
      <c r="M161" s="14"/>
      <c r="N161" s="14"/>
      <c r="O161" s="15"/>
      <c r="T161" s="16"/>
      <c r="W161" s="4"/>
      <c r="Z161" s="2074"/>
      <c r="AA161" s="2074"/>
      <c r="AP161" s="627"/>
      <c r="BO161" s="580"/>
      <c r="BQ161" s="2051"/>
      <c r="BR161" s="32">
        <v>10</v>
      </c>
      <c r="BS161" s="32">
        <v>11</v>
      </c>
      <c r="BT161" s="387">
        <f t="shared" ca="1" si="206"/>
        <v>0</v>
      </c>
      <c r="BU161" s="387">
        <f t="shared" ca="1" si="207"/>
        <v>0</v>
      </c>
      <c r="BV161" s="32">
        <f t="shared" ca="1" si="234"/>
        <v>0</v>
      </c>
      <c r="BW161" s="32">
        <f t="shared" ca="1" si="235"/>
        <v>0</v>
      </c>
      <c r="BX161" s="32">
        <f t="shared" ca="1" si="236"/>
        <v>0</v>
      </c>
      <c r="BY161" s="32">
        <f t="shared" ca="1" si="237"/>
        <v>0</v>
      </c>
      <c r="BZ161" s="32">
        <f t="shared" ca="1" si="238"/>
        <v>0</v>
      </c>
      <c r="CA161" s="32">
        <f t="shared" ca="1" si="239"/>
        <v>0</v>
      </c>
      <c r="CB161" s="32">
        <f t="shared" ca="1" si="240"/>
        <v>0</v>
      </c>
      <c r="CC161" s="32">
        <f t="shared" ca="1" si="241"/>
        <v>0</v>
      </c>
      <c r="CD161" s="32">
        <f t="shared" ca="1" si="242"/>
        <v>0</v>
      </c>
      <c r="CE161" s="32">
        <f t="shared" ca="1" si="243"/>
        <v>0</v>
      </c>
      <c r="CF161" s="387">
        <f t="shared" ca="1" si="209"/>
        <v>0</v>
      </c>
      <c r="CG161" s="387">
        <f t="shared" ca="1" si="210"/>
        <v>0</v>
      </c>
      <c r="CH161" s="32">
        <f t="shared" ca="1" si="211"/>
        <v>0</v>
      </c>
      <c r="CI161" s="32">
        <f t="shared" ca="1" si="212"/>
        <v>0</v>
      </c>
      <c r="CJ161" s="32">
        <f t="shared" ca="1" si="213"/>
        <v>1000</v>
      </c>
      <c r="CK161" s="32">
        <f t="shared" ca="1" si="230"/>
        <v>1000</v>
      </c>
      <c r="CL161" s="32">
        <f t="shared" ca="1" si="244"/>
        <v>0</v>
      </c>
      <c r="CM161" s="32">
        <f t="shared" ca="1" si="214"/>
        <v>0</v>
      </c>
      <c r="CN161" s="484">
        <f t="shared" ca="1" si="231"/>
        <v>0</v>
      </c>
      <c r="CO161" s="484">
        <f t="shared" ca="1" si="232"/>
        <v>0</v>
      </c>
      <c r="CP161" s="32">
        <f t="shared" ca="1" si="215"/>
        <v>0</v>
      </c>
      <c r="CQ161" s="484">
        <f t="shared" ca="1" si="245"/>
        <v>0</v>
      </c>
      <c r="CR161" s="387">
        <f t="shared" ca="1" si="246"/>
        <v>0</v>
      </c>
      <c r="CS161" s="32">
        <f t="shared" ca="1" si="216"/>
        <v>0</v>
      </c>
      <c r="CT161" s="387">
        <f t="shared" ca="1" si="217"/>
        <v>0</v>
      </c>
      <c r="CU161" s="387">
        <f t="shared" ca="1" si="218"/>
        <v>0</v>
      </c>
      <c r="CV161" s="387">
        <f t="shared" ca="1" si="219"/>
        <v>0</v>
      </c>
      <c r="CW161" s="387">
        <f t="shared" ca="1" si="220"/>
        <v>0</v>
      </c>
      <c r="CX161" s="32">
        <f t="shared" ca="1" si="221"/>
        <v>0</v>
      </c>
      <c r="CY161" s="32">
        <f t="shared" ca="1" si="204"/>
        <v>0</v>
      </c>
      <c r="CZ161" s="32">
        <f t="shared" ca="1" si="222"/>
        <v>0</v>
      </c>
      <c r="DA161" s="7">
        <f t="shared" ca="1" si="233"/>
        <v>0</v>
      </c>
      <c r="DB161" s="387">
        <f t="shared" ca="1" si="223"/>
        <v>0</v>
      </c>
      <c r="DC161" s="7">
        <f t="shared" ca="1" si="224"/>
        <v>0</v>
      </c>
      <c r="DD161" s="387">
        <f t="shared" ca="1" si="225"/>
        <v>0</v>
      </c>
      <c r="DE161" s="7">
        <f t="shared" ca="1" si="205"/>
        <v>0</v>
      </c>
      <c r="DF161" s="387">
        <f t="shared" ca="1" si="226"/>
        <v>0</v>
      </c>
      <c r="DG161" s="387">
        <f t="shared" ca="1" si="227"/>
        <v>0</v>
      </c>
    </row>
    <row r="162" spans="1:111" ht="12.75" customHeight="1" x14ac:dyDescent="0.35">
      <c r="A162" s="988" t="s">
        <v>35</v>
      </c>
      <c r="B162" s="20"/>
      <c r="C162" s="627" t="s">
        <v>320</v>
      </c>
      <c r="E162" s="31">
        <f>CÁLCULOS!E172</f>
        <v>1000</v>
      </c>
      <c r="F162" s="627" t="s">
        <v>17</v>
      </c>
      <c r="G162" s="627"/>
      <c r="L162" s="1777" t="s">
        <v>2487</v>
      </c>
      <c r="M162" s="2141"/>
      <c r="N162" s="2141"/>
      <c r="O162" s="1777" t="s">
        <v>2488</v>
      </c>
      <c r="P162" s="1227"/>
      <c r="Q162" s="1227"/>
      <c r="R162" s="1227"/>
      <c r="T162" s="16"/>
      <c r="W162" s="4"/>
      <c r="Z162" s="32">
        <f ca="1">IF(B157=0,0,(VLOOKUP($A$162,$C$166:$J$209,6,0)-(VLOOKUP($A$162,$C$166:$J$209,8,0))))</f>
        <v>0</v>
      </c>
      <c r="AA162" s="32">
        <f ca="1">IF(B157=0,0,(VLOOKUP($A$162,$C$166:$J$209,8,0)))</f>
        <v>0</v>
      </c>
      <c r="AP162" s="627"/>
      <c r="BO162" s="580"/>
      <c r="BQ162" s="2051"/>
      <c r="BR162" s="32">
        <v>11</v>
      </c>
      <c r="BS162" s="32">
        <v>12</v>
      </c>
      <c r="BT162" s="387">
        <f t="shared" ca="1" si="206"/>
        <v>0</v>
      </c>
      <c r="BU162" s="387">
        <f t="shared" ca="1" si="207"/>
        <v>0</v>
      </c>
      <c r="BV162" s="32">
        <f t="shared" ca="1" si="234"/>
        <v>0</v>
      </c>
      <c r="BW162" s="32">
        <f t="shared" ca="1" si="235"/>
        <v>0</v>
      </c>
      <c r="BX162" s="32">
        <f t="shared" ca="1" si="236"/>
        <v>0</v>
      </c>
      <c r="BY162" s="32">
        <f t="shared" ca="1" si="237"/>
        <v>0</v>
      </c>
      <c r="BZ162" s="32">
        <f t="shared" ca="1" si="238"/>
        <v>0</v>
      </c>
      <c r="CA162" s="32">
        <f t="shared" ca="1" si="239"/>
        <v>0</v>
      </c>
      <c r="CB162" s="32">
        <f t="shared" ca="1" si="240"/>
        <v>0</v>
      </c>
      <c r="CC162" s="32">
        <f t="shared" ca="1" si="241"/>
        <v>0</v>
      </c>
      <c r="CD162" s="32">
        <f t="shared" ca="1" si="242"/>
        <v>0</v>
      </c>
      <c r="CE162" s="32">
        <f t="shared" ca="1" si="243"/>
        <v>0</v>
      </c>
      <c r="CF162" s="387">
        <f t="shared" ca="1" si="209"/>
        <v>0</v>
      </c>
      <c r="CG162" s="387">
        <f t="shared" ca="1" si="210"/>
        <v>0</v>
      </c>
      <c r="CH162" s="32">
        <f t="shared" ca="1" si="211"/>
        <v>0</v>
      </c>
      <c r="CI162" s="32">
        <f t="shared" ca="1" si="212"/>
        <v>0</v>
      </c>
      <c r="CJ162" s="32">
        <f t="shared" ca="1" si="213"/>
        <v>1000</v>
      </c>
      <c r="CK162" s="32">
        <f t="shared" ca="1" si="230"/>
        <v>1000</v>
      </c>
      <c r="CL162" s="32">
        <f t="shared" ca="1" si="244"/>
        <v>0</v>
      </c>
      <c r="CM162" s="32">
        <f t="shared" ca="1" si="214"/>
        <v>0</v>
      </c>
      <c r="CN162" s="484">
        <f t="shared" ca="1" si="231"/>
        <v>0</v>
      </c>
      <c r="CO162" s="484">
        <f t="shared" ca="1" si="232"/>
        <v>0</v>
      </c>
      <c r="CP162" s="32">
        <f t="shared" ca="1" si="215"/>
        <v>0</v>
      </c>
      <c r="CQ162" s="484">
        <f t="shared" ca="1" si="245"/>
        <v>0</v>
      </c>
      <c r="CR162" s="387">
        <f t="shared" ca="1" si="246"/>
        <v>0</v>
      </c>
      <c r="CS162" s="32">
        <f t="shared" ca="1" si="216"/>
        <v>0</v>
      </c>
      <c r="CT162" s="387">
        <f t="shared" ca="1" si="217"/>
        <v>0</v>
      </c>
      <c r="CU162" s="387">
        <f t="shared" ca="1" si="218"/>
        <v>0</v>
      </c>
      <c r="CV162" s="387">
        <f t="shared" ca="1" si="219"/>
        <v>0</v>
      </c>
      <c r="CW162" s="387">
        <f t="shared" ca="1" si="220"/>
        <v>0</v>
      </c>
      <c r="CX162" s="32">
        <f t="shared" ca="1" si="221"/>
        <v>0</v>
      </c>
      <c r="CY162" s="32">
        <f t="shared" ca="1" si="204"/>
        <v>0</v>
      </c>
      <c r="CZ162" s="32">
        <f t="shared" ca="1" si="222"/>
        <v>0</v>
      </c>
      <c r="DA162" s="7">
        <f t="shared" ca="1" si="233"/>
        <v>0</v>
      </c>
      <c r="DB162" s="387">
        <f t="shared" ca="1" si="223"/>
        <v>0</v>
      </c>
      <c r="DC162" s="7">
        <f t="shared" ca="1" si="224"/>
        <v>0</v>
      </c>
      <c r="DD162" s="387">
        <f t="shared" ca="1" si="225"/>
        <v>0</v>
      </c>
      <c r="DE162" s="7">
        <f t="shared" ca="1" si="205"/>
        <v>0</v>
      </c>
      <c r="DF162" s="387">
        <f t="shared" ca="1" si="226"/>
        <v>0</v>
      </c>
      <c r="DG162" s="387">
        <f t="shared" ca="1" si="227"/>
        <v>0</v>
      </c>
    </row>
    <row r="163" spans="1:111" x14ac:dyDescent="0.35">
      <c r="A163" s="988" t="s">
        <v>2489</v>
      </c>
      <c r="B163" s="20"/>
      <c r="L163" s="2141"/>
      <c r="M163" s="2141"/>
      <c r="N163" s="2141"/>
      <c r="O163" s="2141"/>
      <c r="P163" s="1227"/>
      <c r="Q163" s="1227"/>
      <c r="R163" s="1227"/>
      <c r="T163" s="16"/>
      <c r="W163" s="4"/>
      <c r="AP163" s="627"/>
      <c r="BO163" s="580"/>
      <c r="BQ163" s="2051"/>
      <c r="BR163" s="32">
        <v>12</v>
      </c>
      <c r="BS163" s="32">
        <v>13</v>
      </c>
      <c r="BT163" s="387">
        <f t="shared" ca="1" si="206"/>
        <v>0</v>
      </c>
      <c r="BU163" s="387">
        <f t="shared" ca="1" si="207"/>
        <v>0</v>
      </c>
      <c r="BV163" s="32">
        <f t="shared" ca="1" si="234"/>
        <v>0</v>
      </c>
      <c r="BW163" s="32">
        <f t="shared" ca="1" si="235"/>
        <v>0</v>
      </c>
      <c r="BX163" s="32">
        <f t="shared" ca="1" si="236"/>
        <v>0</v>
      </c>
      <c r="BY163" s="32">
        <f t="shared" ca="1" si="237"/>
        <v>0</v>
      </c>
      <c r="BZ163" s="32">
        <f t="shared" ca="1" si="238"/>
        <v>0</v>
      </c>
      <c r="CA163" s="32">
        <f t="shared" ca="1" si="239"/>
        <v>0</v>
      </c>
      <c r="CB163" s="32">
        <f t="shared" ca="1" si="240"/>
        <v>0</v>
      </c>
      <c r="CC163" s="32">
        <f t="shared" ca="1" si="241"/>
        <v>0</v>
      </c>
      <c r="CD163" s="32">
        <f t="shared" ca="1" si="242"/>
        <v>0</v>
      </c>
      <c r="CE163" s="32">
        <f t="shared" ca="1" si="243"/>
        <v>0</v>
      </c>
      <c r="CF163" s="387">
        <f t="shared" ca="1" si="209"/>
        <v>0</v>
      </c>
      <c r="CG163" s="387">
        <f t="shared" ca="1" si="210"/>
        <v>0</v>
      </c>
      <c r="CH163" s="32">
        <f t="shared" ca="1" si="211"/>
        <v>0</v>
      </c>
      <c r="CI163" s="32">
        <f t="shared" ca="1" si="212"/>
        <v>0</v>
      </c>
      <c r="CJ163" s="32">
        <f t="shared" ca="1" si="213"/>
        <v>1000</v>
      </c>
      <c r="CK163" s="32">
        <f t="shared" ca="1" si="230"/>
        <v>1000</v>
      </c>
      <c r="CL163" s="32">
        <f t="shared" ca="1" si="244"/>
        <v>0</v>
      </c>
      <c r="CM163" s="32">
        <f t="shared" ca="1" si="214"/>
        <v>0</v>
      </c>
      <c r="CN163" s="484">
        <f t="shared" ca="1" si="231"/>
        <v>0</v>
      </c>
      <c r="CO163" s="484">
        <f t="shared" ca="1" si="232"/>
        <v>0</v>
      </c>
      <c r="CP163" s="32">
        <f t="shared" ca="1" si="215"/>
        <v>0</v>
      </c>
      <c r="CQ163" s="484">
        <f t="shared" ca="1" si="245"/>
        <v>0</v>
      </c>
      <c r="CR163" s="387">
        <f t="shared" ca="1" si="246"/>
        <v>0</v>
      </c>
      <c r="CS163" s="32">
        <f t="shared" ca="1" si="216"/>
        <v>0</v>
      </c>
      <c r="CT163" s="387">
        <f t="shared" ca="1" si="217"/>
        <v>0</v>
      </c>
      <c r="CU163" s="387">
        <f t="shared" ca="1" si="218"/>
        <v>0</v>
      </c>
      <c r="CV163" s="387">
        <f t="shared" ca="1" si="219"/>
        <v>0</v>
      </c>
      <c r="CW163" s="387">
        <f t="shared" ca="1" si="220"/>
        <v>0</v>
      </c>
      <c r="CX163" s="32">
        <f t="shared" ca="1" si="221"/>
        <v>0</v>
      </c>
      <c r="CY163" s="32">
        <f t="shared" ca="1" si="204"/>
        <v>0</v>
      </c>
      <c r="CZ163" s="32">
        <f t="shared" ca="1" si="222"/>
        <v>0</v>
      </c>
      <c r="DA163" s="7">
        <f t="shared" ca="1" si="233"/>
        <v>0</v>
      </c>
      <c r="DB163" s="387">
        <f t="shared" ca="1" si="223"/>
        <v>0</v>
      </c>
      <c r="DC163" s="7">
        <f t="shared" ca="1" si="224"/>
        <v>0</v>
      </c>
      <c r="DD163" s="387">
        <f t="shared" ca="1" si="225"/>
        <v>0</v>
      </c>
      <c r="DE163" s="7">
        <f t="shared" ca="1" si="205"/>
        <v>0</v>
      </c>
      <c r="DF163" s="387">
        <f t="shared" ca="1" si="226"/>
        <v>0</v>
      </c>
      <c r="DG163" s="387">
        <f t="shared" ca="1" si="227"/>
        <v>0</v>
      </c>
    </row>
    <row r="164" spans="1:111" x14ac:dyDescent="0.35">
      <c r="A164" s="20"/>
      <c r="B164" s="20"/>
      <c r="C164" s="183" t="str">
        <f>IF(I1&gt;12,"ALERTA: PAINÉIS MAIORES QUE 12 m ! A CARRETA TEM QUE SER ESPECÍFICA. ANALISAR E DESCREVER NA TABELA ACIMA .","ESCOLHA a CONFIGURAÇÃO ABAIXO para TRANSPORTE: (marcar X) ")</f>
        <v xml:space="preserve">ESCOLHA a CONFIGURAÇÃO ABAIXO para TRANSPORTE: (marcar X) </v>
      </c>
      <c r="L164" s="2141"/>
      <c r="M164" s="2141"/>
      <c r="N164" s="2141"/>
      <c r="O164" s="2141" t="s">
        <v>2488</v>
      </c>
      <c r="P164" s="1227"/>
      <c r="Q164" s="1227"/>
      <c r="R164" s="1227"/>
      <c r="T164" s="16"/>
      <c r="W164" s="4"/>
      <c r="Y164" s="32" t="s">
        <v>1886</v>
      </c>
      <c r="Z164" s="32" t="s">
        <v>2490</v>
      </c>
      <c r="AA164" s="32" t="s">
        <v>2491</v>
      </c>
      <c r="AB164" s="32" t="s">
        <v>2492</v>
      </c>
      <c r="AC164" s="32" t="s">
        <v>2493</v>
      </c>
      <c r="AD164" s="32" t="s">
        <v>2494</v>
      </c>
      <c r="AE164" s="32" t="s">
        <v>2495</v>
      </c>
      <c r="AF164" s="32"/>
      <c r="AG164" s="32"/>
      <c r="AH164" s="32"/>
      <c r="AI164" s="32"/>
      <c r="AJ164" s="32" t="s">
        <v>2496</v>
      </c>
      <c r="BO164" s="580"/>
      <c r="BQ164" s="2051"/>
      <c r="BR164" s="32">
        <v>13</v>
      </c>
      <c r="BS164" s="32">
        <v>14</v>
      </c>
      <c r="BT164" s="387">
        <f t="shared" ca="1" si="206"/>
        <v>0</v>
      </c>
      <c r="BU164" s="387">
        <f t="shared" ca="1" si="207"/>
        <v>0</v>
      </c>
      <c r="BV164" s="32">
        <f t="shared" ca="1" si="234"/>
        <v>0</v>
      </c>
      <c r="BW164" s="32">
        <f t="shared" ca="1" si="235"/>
        <v>0</v>
      </c>
      <c r="BX164" s="32">
        <f t="shared" ca="1" si="236"/>
        <v>0</v>
      </c>
      <c r="BY164" s="32">
        <f t="shared" ca="1" si="237"/>
        <v>0</v>
      </c>
      <c r="BZ164" s="32">
        <f t="shared" ca="1" si="238"/>
        <v>0</v>
      </c>
      <c r="CA164" s="32">
        <f t="shared" ca="1" si="239"/>
        <v>0</v>
      </c>
      <c r="CB164" s="32">
        <f t="shared" ca="1" si="240"/>
        <v>0</v>
      </c>
      <c r="CC164" s="32">
        <f t="shared" ca="1" si="241"/>
        <v>0</v>
      </c>
      <c r="CD164" s="32">
        <f t="shared" ca="1" si="242"/>
        <v>0</v>
      </c>
      <c r="CE164" s="32">
        <f t="shared" ca="1" si="243"/>
        <v>0</v>
      </c>
      <c r="CF164" s="387">
        <f t="shared" ca="1" si="209"/>
        <v>0</v>
      </c>
      <c r="CG164" s="387">
        <f t="shared" ca="1" si="210"/>
        <v>0</v>
      </c>
      <c r="CH164" s="32">
        <f t="shared" ca="1" si="211"/>
        <v>0</v>
      </c>
      <c r="CI164" s="32">
        <f t="shared" ca="1" si="212"/>
        <v>0</v>
      </c>
      <c r="CJ164" s="32">
        <f t="shared" ca="1" si="213"/>
        <v>1000</v>
      </c>
      <c r="CK164" s="32">
        <f t="shared" ca="1" si="230"/>
        <v>1000</v>
      </c>
      <c r="CL164" s="32">
        <f t="shared" ca="1" si="244"/>
        <v>0</v>
      </c>
      <c r="CM164" s="32">
        <f t="shared" ca="1" si="214"/>
        <v>0</v>
      </c>
      <c r="CN164" s="484">
        <f t="shared" ca="1" si="231"/>
        <v>0</v>
      </c>
      <c r="CO164" s="484">
        <f t="shared" ca="1" si="232"/>
        <v>0</v>
      </c>
      <c r="CP164" s="32">
        <f t="shared" ca="1" si="215"/>
        <v>0</v>
      </c>
      <c r="CQ164" s="484">
        <f t="shared" ca="1" si="245"/>
        <v>0</v>
      </c>
      <c r="CR164" s="387">
        <f t="shared" ca="1" si="246"/>
        <v>0</v>
      </c>
      <c r="CS164" s="32">
        <f t="shared" ca="1" si="216"/>
        <v>0</v>
      </c>
      <c r="CT164" s="387">
        <f t="shared" ca="1" si="217"/>
        <v>0</v>
      </c>
      <c r="CU164" s="387">
        <f t="shared" ca="1" si="218"/>
        <v>0</v>
      </c>
      <c r="CV164" s="387">
        <f t="shared" ca="1" si="219"/>
        <v>0</v>
      </c>
      <c r="CW164" s="387">
        <f t="shared" ca="1" si="220"/>
        <v>0</v>
      </c>
      <c r="CX164" s="32">
        <f t="shared" ca="1" si="221"/>
        <v>0</v>
      </c>
      <c r="CY164" s="32">
        <f t="shared" ca="1" si="204"/>
        <v>0</v>
      </c>
      <c r="CZ164" s="32">
        <f t="shared" ca="1" si="222"/>
        <v>0</v>
      </c>
      <c r="DA164" s="7">
        <f t="shared" ca="1" si="233"/>
        <v>0</v>
      </c>
      <c r="DB164" s="387">
        <f t="shared" ca="1" si="223"/>
        <v>0</v>
      </c>
      <c r="DC164" s="7">
        <f t="shared" ca="1" si="224"/>
        <v>0</v>
      </c>
      <c r="DD164" s="387">
        <f t="shared" ca="1" si="225"/>
        <v>0</v>
      </c>
      <c r="DE164" s="7">
        <f t="shared" ca="1" si="205"/>
        <v>0</v>
      </c>
      <c r="DF164" s="387">
        <f t="shared" ca="1" si="226"/>
        <v>0</v>
      </c>
      <c r="DG164" s="387">
        <f t="shared" ca="1" si="227"/>
        <v>0</v>
      </c>
    </row>
    <row r="165" spans="1:111" x14ac:dyDescent="0.35">
      <c r="A165" s="20"/>
      <c r="B165" s="988" t="s">
        <v>2497</v>
      </c>
      <c r="C165" s="627"/>
      <c r="H165" t="s">
        <v>2498</v>
      </c>
      <c r="J165" s="34" t="s">
        <v>2499</v>
      </c>
      <c r="K165" s="627" t="s">
        <v>2500</v>
      </c>
      <c r="L165" s="2141"/>
      <c r="M165" s="2141"/>
      <c r="N165" s="2141"/>
      <c r="O165" s="2141"/>
      <c r="P165" s="1227"/>
      <c r="Q165" s="1227"/>
      <c r="R165" s="1227"/>
      <c r="T165" s="16"/>
      <c r="W165" s="4"/>
      <c r="Y165" s="32" t="s">
        <v>2501</v>
      </c>
      <c r="Z165" s="7">
        <f ca="1">CÁLCULOS!L285</f>
        <v>84</v>
      </c>
      <c r="AA165" s="32">
        <f ca="1">CÁLCULOS!O286</f>
        <v>3</v>
      </c>
      <c r="AB165" s="32">
        <f ca="1">Z165*AA165</f>
        <v>252</v>
      </c>
      <c r="AC165" s="152">
        <f ca="1">RELATÓRIO!W23</f>
        <v>8.6735220684377143</v>
      </c>
      <c r="AD165" s="32">
        <f ca="1">CÁLCULOS!O287</f>
        <v>31</v>
      </c>
      <c r="AE165" s="32">
        <f ca="1">AD165-(AA165*AC165)</f>
        <v>4.9794337946868552</v>
      </c>
      <c r="AF165" s="32"/>
      <c r="AG165" s="32"/>
      <c r="AH165" s="32"/>
      <c r="AI165" s="32"/>
      <c r="AJ165" s="81">
        <f ca="1">SUM(AE150:AI150)+AE156</f>
        <v>0</v>
      </c>
      <c r="BO165" s="580"/>
      <c r="BQ165" s="2051"/>
      <c r="BR165" s="32">
        <v>14</v>
      </c>
      <c r="BS165" s="32">
        <v>15</v>
      </c>
      <c r="BT165" s="387">
        <f t="shared" ca="1" si="206"/>
        <v>0</v>
      </c>
      <c r="BU165" s="387">
        <f t="shared" ca="1" si="207"/>
        <v>0</v>
      </c>
      <c r="BV165" s="32">
        <f t="shared" ca="1" si="234"/>
        <v>0</v>
      </c>
      <c r="BW165" s="32">
        <f t="shared" ca="1" si="235"/>
        <v>0</v>
      </c>
      <c r="BX165" s="32">
        <f t="shared" ca="1" si="236"/>
        <v>0</v>
      </c>
      <c r="BY165" s="32">
        <f t="shared" ca="1" si="237"/>
        <v>0</v>
      </c>
      <c r="BZ165" s="32">
        <f t="shared" ca="1" si="238"/>
        <v>0</v>
      </c>
      <c r="CA165" s="32">
        <f t="shared" ca="1" si="239"/>
        <v>0</v>
      </c>
      <c r="CB165" s="32">
        <f t="shared" ca="1" si="240"/>
        <v>0</v>
      </c>
      <c r="CC165" s="32">
        <f t="shared" ca="1" si="241"/>
        <v>0</v>
      </c>
      <c r="CD165" s="32">
        <f t="shared" ca="1" si="242"/>
        <v>0</v>
      </c>
      <c r="CE165" s="32">
        <f t="shared" ca="1" si="243"/>
        <v>0</v>
      </c>
      <c r="CF165" s="387">
        <f t="shared" ca="1" si="209"/>
        <v>0</v>
      </c>
      <c r="CG165" s="387">
        <f t="shared" ca="1" si="210"/>
        <v>0</v>
      </c>
      <c r="CH165" s="32">
        <f t="shared" ca="1" si="211"/>
        <v>0</v>
      </c>
      <c r="CI165" s="32">
        <f t="shared" ca="1" si="212"/>
        <v>0</v>
      </c>
      <c r="CJ165" s="32">
        <f t="shared" ca="1" si="213"/>
        <v>1000</v>
      </c>
      <c r="CK165" s="32">
        <f t="shared" ca="1" si="230"/>
        <v>1000</v>
      </c>
      <c r="CL165" s="32">
        <f t="shared" ca="1" si="244"/>
        <v>0</v>
      </c>
      <c r="CM165" s="32">
        <f t="shared" ca="1" si="214"/>
        <v>0</v>
      </c>
      <c r="CN165" s="484">
        <f t="shared" ca="1" si="231"/>
        <v>0</v>
      </c>
      <c r="CO165" s="484">
        <f t="shared" ca="1" si="232"/>
        <v>0</v>
      </c>
      <c r="CP165" s="32">
        <f t="shared" ca="1" si="215"/>
        <v>0</v>
      </c>
      <c r="CQ165" s="484">
        <f t="shared" ca="1" si="245"/>
        <v>0</v>
      </c>
      <c r="CR165" s="387">
        <f t="shared" ca="1" si="246"/>
        <v>0</v>
      </c>
      <c r="CS165" s="32">
        <f t="shared" ca="1" si="216"/>
        <v>0</v>
      </c>
      <c r="CT165" s="387">
        <f t="shared" ca="1" si="217"/>
        <v>0</v>
      </c>
      <c r="CU165" s="387">
        <f t="shared" ca="1" si="218"/>
        <v>0</v>
      </c>
      <c r="CV165" s="387">
        <f t="shared" ca="1" si="219"/>
        <v>0</v>
      </c>
      <c r="CW165" s="387">
        <f t="shared" ca="1" si="220"/>
        <v>0</v>
      </c>
      <c r="CX165" s="32">
        <f t="shared" ca="1" si="221"/>
        <v>0</v>
      </c>
      <c r="CY165" s="32">
        <f t="shared" ca="1" si="204"/>
        <v>0</v>
      </c>
      <c r="CZ165" s="32">
        <f t="shared" ca="1" si="222"/>
        <v>0</v>
      </c>
      <c r="DA165" s="7">
        <f t="shared" ca="1" si="233"/>
        <v>0</v>
      </c>
      <c r="DB165" s="387">
        <f t="shared" ca="1" si="223"/>
        <v>0</v>
      </c>
      <c r="DC165" s="7">
        <f t="shared" ca="1" si="224"/>
        <v>0</v>
      </c>
      <c r="DD165" s="387">
        <f t="shared" ca="1" si="225"/>
        <v>0</v>
      </c>
      <c r="DE165" s="7">
        <f t="shared" ca="1" si="205"/>
        <v>0</v>
      </c>
      <c r="DF165" s="387">
        <f t="shared" ca="1" si="226"/>
        <v>0</v>
      </c>
      <c r="DG165" s="387">
        <f t="shared" ca="1" si="227"/>
        <v>0</v>
      </c>
    </row>
    <row r="166" spans="1:111" ht="13.15" thickBot="1" x14ac:dyDescent="0.4">
      <c r="A166" s="20">
        <f ca="1">IF(C166="x",1,0)</f>
        <v>1</v>
      </c>
      <c r="B166" s="200">
        <v>1</v>
      </c>
      <c r="C166" s="626" t="str">
        <f ca="1">IF(V188&lt;&gt;0,IF(Y185=1,"X",ENTRADAS!C1081))</f>
        <v>X</v>
      </c>
      <c r="D166">
        <f ca="1">IF(H166=0,0,VLOOKUP(B166,$AN$273:$BA$287,9,0)&amp;"  capac.= "&amp; AZ273&amp;" toneladas----")</f>
        <v>0</v>
      </c>
      <c r="H166" s="34">
        <f ca="1">IF(AM273="x",IF(AS273=0,0,AU273),0)</f>
        <v>0</v>
      </c>
      <c r="I166" s="627">
        <f ca="1">IF(H166=0,0,"FRETES ")</f>
        <v>0</v>
      </c>
      <c r="J166">
        <f ca="1">IF(AM273="x",IF(BB273=0,0,BB273),0)</f>
        <v>0</v>
      </c>
      <c r="K166" s="761">
        <f>F168</f>
        <v>12.4</v>
      </c>
      <c r="L166">
        <f ca="1">AQ273</f>
        <v>0</v>
      </c>
      <c r="O166" s="16">
        <f>IF(AM273="x",AZ273,0)</f>
        <v>25</v>
      </c>
      <c r="T166" s="16"/>
      <c r="W166" s="4"/>
      <c r="Y166" s="32" t="s">
        <v>2215</v>
      </c>
      <c r="Z166" s="7">
        <f ca="1">Z162</f>
        <v>0</v>
      </c>
      <c r="AA166" s="32">
        <f ca="1">IF(E162=0,0,VLOOKUP($A$163,$C$166:$N$209,3,0))</f>
        <v>0</v>
      </c>
      <c r="AB166" s="7">
        <f ca="1">BT87</f>
        <v>0</v>
      </c>
      <c r="AC166" s="387">
        <f ca="1">AQ123</f>
        <v>0</v>
      </c>
      <c r="AD166" s="32"/>
      <c r="AE166" s="32"/>
      <c r="AF166" s="32"/>
      <c r="AG166" s="32"/>
      <c r="AH166" s="32"/>
      <c r="AI166" s="32"/>
      <c r="AJ166" s="32"/>
      <c r="BO166" s="580"/>
      <c r="BQ166" s="2051"/>
      <c r="BR166" s="32">
        <v>15</v>
      </c>
      <c r="BS166" s="32">
        <v>16</v>
      </c>
      <c r="BT166" s="387">
        <f t="shared" si="206"/>
        <v>0</v>
      </c>
      <c r="BU166" s="387">
        <f t="shared" si="207"/>
        <v>0</v>
      </c>
      <c r="BV166" s="32">
        <f t="shared" si="234"/>
        <v>0</v>
      </c>
      <c r="BW166" s="32">
        <f t="shared" si="235"/>
        <v>0</v>
      </c>
      <c r="BX166" s="32">
        <f t="shared" si="236"/>
        <v>0</v>
      </c>
      <c r="BY166" s="32">
        <f t="shared" si="237"/>
        <v>0</v>
      </c>
      <c r="BZ166" s="32">
        <f t="shared" si="238"/>
        <v>0</v>
      </c>
      <c r="CA166" s="32">
        <f t="shared" si="239"/>
        <v>0</v>
      </c>
      <c r="CB166" s="32">
        <f t="shared" si="240"/>
        <v>0</v>
      </c>
      <c r="CC166" s="32">
        <f t="shared" si="241"/>
        <v>0</v>
      </c>
      <c r="CD166" s="32">
        <f t="shared" si="242"/>
        <v>0</v>
      </c>
      <c r="CE166" s="32">
        <f t="shared" si="243"/>
        <v>0</v>
      </c>
      <c r="CF166" s="387">
        <f t="shared" si="209"/>
        <v>0</v>
      </c>
      <c r="CG166" s="576">
        <f t="shared" si="210"/>
        <v>0</v>
      </c>
      <c r="CH166" s="433">
        <f t="shared" si="211"/>
        <v>0</v>
      </c>
      <c r="CI166" s="32">
        <f t="shared" si="212"/>
        <v>0</v>
      </c>
      <c r="CJ166" s="32">
        <f t="shared" si="213"/>
        <v>1000</v>
      </c>
      <c r="CK166" s="32">
        <f t="shared" si="230"/>
        <v>1000</v>
      </c>
      <c r="CL166" s="32">
        <f t="shared" si="244"/>
        <v>0</v>
      </c>
      <c r="CM166" s="433">
        <f t="shared" si="214"/>
        <v>0</v>
      </c>
      <c r="CN166" s="484">
        <f t="shared" si="231"/>
        <v>0</v>
      </c>
      <c r="CO166" s="484">
        <f ca="1">IF(BX167&gt;0,BX166,IF(AND(CN165&gt;=1,BX165=0),0,CN166))</f>
        <v>0</v>
      </c>
      <c r="CP166" s="32">
        <f t="shared" ca="1" si="215"/>
        <v>0</v>
      </c>
      <c r="CQ166" s="484">
        <f t="shared" ca="1" si="245"/>
        <v>0</v>
      </c>
      <c r="CR166" s="387">
        <f t="shared" ca="1" si="246"/>
        <v>0</v>
      </c>
      <c r="CS166" s="32">
        <f t="shared" ca="1" si="216"/>
        <v>0</v>
      </c>
      <c r="CT166" s="387">
        <f t="shared" ca="1" si="217"/>
        <v>0</v>
      </c>
      <c r="CU166" s="387">
        <f t="shared" ca="1" si="218"/>
        <v>0</v>
      </c>
      <c r="CV166" s="387">
        <f t="shared" ca="1" si="219"/>
        <v>0</v>
      </c>
      <c r="CW166" s="387">
        <f ca="1">IF(CQ166=0,0,ROUND(IF($CE$2=0,0,((($E$5/2))*$CE$2/100)),3))</f>
        <v>0</v>
      </c>
      <c r="CX166" s="32">
        <f t="shared" ca="1" si="221"/>
        <v>0</v>
      </c>
      <c r="CY166" s="32">
        <f t="shared" ca="1" si="204"/>
        <v>0</v>
      </c>
      <c r="CZ166" s="32">
        <f t="shared" ca="1" si="222"/>
        <v>0</v>
      </c>
      <c r="DA166" s="7">
        <f t="shared" ca="1" si="233"/>
        <v>0</v>
      </c>
      <c r="DB166" s="387">
        <f t="shared" ca="1" si="223"/>
        <v>0</v>
      </c>
      <c r="DC166" s="7">
        <f t="shared" ca="1" si="224"/>
        <v>0</v>
      </c>
      <c r="DD166" s="387">
        <f t="shared" ca="1" si="225"/>
        <v>0</v>
      </c>
      <c r="DE166" s="513">
        <f t="shared" ca="1" si="205"/>
        <v>0</v>
      </c>
      <c r="DF166" s="387">
        <f t="shared" ca="1" si="226"/>
        <v>0</v>
      </c>
      <c r="DG166" s="387">
        <f t="shared" ca="1" si="227"/>
        <v>0</v>
      </c>
    </row>
    <row r="167" spans="1:111" ht="13.15" thickBot="1" x14ac:dyDescent="0.4">
      <c r="A167" s="20"/>
      <c r="B167" s="200"/>
      <c r="C167" s="627" t="str">
        <f ca="1">IF(C166="X","Y",0)</f>
        <v>Y</v>
      </c>
      <c r="D167" s="647"/>
      <c r="F167" s="627">
        <f ca="1">IF(H166=0,0,IF($E$6=0,0,"pré-moldadado: lajes e pilares"))</f>
        <v>0</v>
      </c>
      <c r="N167" s="4"/>
      <c r="O167" s="16"/>
      <c r="T167" s="16"/>
      <c r="W167" s="4"/>
      <c r="AP167" s="627"/>
      <c r="BW167" s="627" t="s">
        <v>2216</v>
      </c>
      <c r="BX167" s="585">
        <f ca="1">IF(AND(BU151=$BW$18,BX151=4),0,SUM(BX151:BX166))</f>
        <v>0</v>
      </c>
      <c r="CE167" s="585">
        <f ca="1">SUM(CE151:CE166)</f>
        <v>0</v>
      </c>
      <c r="CG167" s="692" t="s">
        <v>240</v>
      </c>
      <c r="CH167" s="582">
        <f ca="1">SUM(CH151:CH166)</f>
        <v>0</v>
      </c>
      <c r="CI167" s="512">
        <f ca="1">SUM(CI151:CI166)</f>
        <v>0</v>
      </c>
      <c r="CK167" s="627" t="s">
        <v>2216</v>
      </c>
      <c r="CL167" s="585">
        <f ca="1">SUM(CL151:CL166)</f>
        <v>0</v>
      </c>
      <c r="CM167" s="585">
        <f ca="1">SUM(CM151:CM166)</f>
        <v>0</v>
      </c>
      <c r="CO167" t="s">
        <v>1485</v>
      </c>
      <c r="CP167" s="587">
        <f ca="1">SUM(CP151:CP166)</f>
        <v>0</v>
      </c>
      <c r="CQ167" s="571">
        <f ca="1">SUM(CQ151:CQ166)</f>
        <v>0</v>
      </c>
      <c r="CZ167" s="9" t="s">
        <v>2502</v>
      </c>
      <c r="DA167" s="588">
        <f ca="1">IF(SUM(DA151:DB166)=0,0,SUM(DA151:DB166)/(32-COUNTIF(DA151:DB166,0)))</f>
        <v>0</v>
      </c>
      <c r="DC167" t="s">
        <v>1485</v>
      </c>
      <c r="DD167" s="587">
        <f ca="1">SUM(DD151:DD166)</f>
        <v>0</v>
      </c>
      <c r="DE167" s="589">
        <f ca="1">SUM(DE151:DE166)</f>
        <v>0</v>
      </c>
      <c r="DF167" s="387">
        <f ca="1">LARGE(DF151:DF166,1)</f>
        <v>0</v>
      </c>
      <c r="DG167" s="590">
        <f ca="1">SUM(DG151:DG166)</f>
        <v>0</v>
      </c>
    </row>
    <row r="168" spans="1:111" x14ac:dyDescent="0.35">
      <c r="A168" s="20"/>
      <c r="B168" s="200"/>
      <c r="C168" s="627"/>
      <c r="F168" s="4">
        <f>ENTRADAS!I461</f>
        <v>12.4</v>
      </c>
      <c r="G168" t="s">
        <v>20</v>
      </c>
      <c r="O168" s="16"/>
      <c r="T168" s="16"/>
      <c r="W168" s="4"/>
      <c r="Z168" s="636" t="s">
        <v>2503</v>
      </c>
      <c r="AA168" s="14"/>
      <c r="AB168" s="14"/>
      <c r="AC168" s="15"/>
      <c r="AO168" s="4"/>
      <c r="AP168" s="627"/>
      <c r="DF168" t="s">
        <v>2504</v>
      </c>
      <c r="DG168" t="s">
        <v>2504</v>
      </c>
    </row>
    <row r="169" spans="1:111" x14ac:dyDescent="0.35">
      <c r="A169" s="20">
        <f ca="1">IF(C169="x",1,0)</f>
        <v>0</v>
      </c>
      <c r="B169" s="200">
        <v>2</v>
      </c>
      <c r="C169" s="626">
        <f ca="1">IF(V188&lt;&gt;0,IF(Y185=2,"X",ENTRADAS!C1084))</f>
        <v>0</v>
      </c>
      <c r="D169">
        <f ca="1">IF(H169=0,0,VLOOKUP(B169,$AN$273:$BA$287,9,0)&amp;"  capac.= "&amp; AZ274&amp;" toneladas---")</f>
        <v>0</v>
      </c>
      <c r="H169" s="34">
        <f ca="1">IF(AM274="x",IF(AS274=0,0,AU274),0)</f>
        <v>0</v>
      </c>
      <c r="I169" s="627">
        <f ca="1">IF(H169=0,0,"FRETES")</f>
        <v>0</v>
      </c>
      <c r="J169">
        <f ca="1">IF(AM274="x",IF(BB274=0,0,BB274),0)</f>
        <v>0</v>
      </c>
      <c r="K169" s="761">
        <f>F171</f>
        <v>12.4</v>
      </c>
      <c r="L169">
        <f ca="1">AQ274</f>
        <v>0</v>
      </c>
      <c r="O169" s="16">
        <f>IF(AM276="x",AZ274,0)</f>
        <v>31</v>
      </c>
      <c r="T169" s="16"/>
      <c r="W169" s="4"/>
      <c r="Z169" s="988" t="s">
        <v>2378</v>
      </c>
      <c r="AA169">
        <f ca="1">IF(E6=0,0,IF(D29=0,CD71,0))</f>
        <v>0</v>
      </c>
      <c r="AB169" s="627" t="s">
        <v>2505</v>
      </c>
      <c r="AC169" s="16"/>
      <c r="AP169" s="627"/>
      <c r="CF169" s="627" t="s">
        <v>2506</v>
      </c>
      <c r="CI169">
        <f ca="1">IF(CE167=SMALL(CJ151:CJ166,1),CE167,CE167-SMALL(CJ151:CJ166,1))</f>
        <v>-1000</v>
      </c>
    </row>
    <row r="170" spans="1:111" x14ac:dyDescent="0.35">
      <c r="A170" s="20"/>
      <c r="B170" s="200"/>
      <c r="C170" s="195">
        <f ca="1">IF(C169="X","Y",0)</f>
        <v>0</v>
      </c>
      <c r="D170" s="647"/>
      <c r="F170" s="627">
        <f ca="1">IF(H169=0,0,IF($E$6=0,0,"pré-moldadado: lajes e pilares"))</f>
        <v>0</v>
      </c>
      <c r="N170" s="4"/>
      <c r="O170" s="16"/>
      <c r="T170" s="16"/>
      <c r="W170" s="4"/>
      <c r="Z170" s="637" t="s">
        <v>2376</v>
      </c>
      <c r="AA170" s="507">
        <f ca="1">AO123</f>
        <v>0</v>
      </c>
      <c r="AB170" s="749" t="s">
        <v>2507</v>
      </c>
      <c r="AC170" s="17"/>
      <c r="AP170" s="627"/>
      <c r="CF170" s="627" t="s">
        <v>2508</v>
      </c>
      <c r="CI170">
        <f ca="1">IF(CI167=SMALL(CK151:CK166,1),CI167,CI167-SMALL(CK151:CK166,1))</f>
        <v>-1000</v>
      </c>
    </row>
    <row r="171" spans="1:111" x14ac:dyDescent="0.35">
      <c r="A171" s="20"/>
      <c r="B171" s="200"/>
      <c r="C171" s="627"/>
      <c r="F171" s="4">
        <f>ENTRADAS!I462</f>
        <v>12.4</v>
      </c>
      <c r="G171" t="s">
        <v>20</v>
      </c>
      <c r="O171" s="16"/>
      <c r="T171" s="16"/>
      <c r="W171" s="4"/>
      <c r="AP171" s="627"/>
      <c r="CF171" s="627" t="s">
        <v>2509</v>
      </c>
      <c r="CI171" s="32">
        <f ca="1">IF(AND(BU151=$BW$18,BX151=4),0,CI170/CI169)</f>
        <v>1</v>
      </c>
    </row>
    <row r="172" spans="1:111" x14ac:dyDescent="0.35">
      <c r="A172" s="20">
        <f ca="1">IF(C172="x",1,0)</f>
        <v>0</v>
      </c>
      <c r="B172" s="200">
        <v>3</v>
      </c>
      <c r="C172" s="626">
        <f ca="1">IF(V188&lt;&gt;0,IF(Y185=3,"X",ENTRADAS!C1087))</f>
        <v>0</v>
      </c>
      <c r="D172">
        <f ca="1">IF(H172=0,0,VLOOKUP(B172,$AN$273:$BA$287,9,0)&amp;"  capac.= "&amp; AZ275&amp;" toneladas--- ")</f>
        <v>0</v>
      </c>
      <c r="H172" s="34">
        <f ca="1">IF(AM275="x",IF(AS275=0,0,AU275),0)</f>
        <v>0</v>
      </c>
      <c r="I172" s="627">
        <f ca="1">IF(H172=0,0,"FRETES")</f>
        <v>0</v>
      </c>
      <c r="J172">
        <f ca="1">IF(AM275="x",IF(BB275=0,0,BB275),0)</f>
        <v>0</v>
      </c>
      <c r="K172" s="761">
        <f>F174</f>
        <v>15</v>
      </c>
      <c r="L172">
        <f ca="1">AQ275</f>
        <v>0</v>
      </c>
      <c r="O172" s="16">
        <f>IF(AM279="x",AZ275,0)</f>
        <v>25</v>
      </c>
      <c r="T172" s="16"/>
      <c r="W172" s="4"/>
      <c r="Z172" s="636" t="s">
        <v>2510</v>
      </c>
      <c r="AA172" s="14"/>
      <c r="AB172" s="14"/>
      <c r="AC172" s="14"/>
      <c r="AD172" s="15"/>
      <c r="AP172" s="627"/>
      <c r="BU172">
        <v>8.0399999999999991</v>
      </c>
      <c r="CP172" s="387">
        <f>IF(CO172=1,0,10^2*BU172*SQRT(1/((10^4)+($E$7^2))))</f>
        <v>8.0399999999999991</v>
      </c>
    </row>
    <row r="173" spans="1:111" x14ac:dyDescent="0.35">
      <c r="A173" s="20"/>
      <c r="B173" s="200"/>
      <c r="C173" s="195">
        <f ca="1">IF(C172="X","Y",0)</f>
        <v>0</v>
      </c>
      <c r="D173" s="647"/>
      <c r="F173" s="627">
        <f ca="1">IF(H172=0,0,IF($E$6=0,0,"pré-moldadado: lajes e pilares"))</f>
        <v>0</v>
      </c>
      <c r="N173" s="4"/>
      <c r="O173" s="16"/>
      <c r="T173" s="16"/>
      <c r="W173" s="4"/>
      <c r="Z173" s="988" t="s">
        <v>2378</v>
      </c>
      <c r="AA173" s="4">
        <f ca="1">CE87</f>
        <v>0</v>
      </c>
      <c r="AB173" s="627" t="s">
        <v>2511</v>
      </c>
      <c r="AC173">
        <f ca="1">AA173*1.15</f>
        <v>0</v>
      </c>
      <c r="AD173" s="719" t="s">
        <v>2512</v>
      </c>
      <c r="AP173" s="627"/>
    </row>
    <row r="174" spans="1:111" x14ac:dyDescent="0.35">
      <c r="A174" s="20"/>
      <c r="B174" s="200"/>
      <c r="C174" s="627"/>
      <c r="F174" s="4">
        <f>ENTRADAS!I463</f>
        <v>15</v>
      </c>
      <c r="G174" t="s">
        <v>20</v>
      </c>
      <c r="O174" s="16"/>
      <c r="T174" s="16"/>
      <c r="W174" s="4"/>
      <c r="Z174" s="637" t="s">
        <v>2376</v>
      </c>
      <c r="AA174" s="3">
        <f ca="1">C53*2.5</f>
        <v>0</v>
      </c>
      <c r="AB174" s="749" t="s">
        <v>2511</v>
      </c>
      <c r="AC174" s="3">
        <f ca="1">AA174*1.15</f>
        <v>0</v>
      </c>
      <c r="AD174" s="748" t="s">
        <v>2512</v>
      </c>
      <c r="AP174" s="627"/>
    </row>
    <row r="175" spans="1:111" x14ac:dyDescent="0.35">
      <c r="A175" s="20">
        <f ca="1">IF(C175="x",1,0)</f>
        <v>0</v>
      </c>
      <c r="B175" s="200">
        <v>4</v>
      </c>
      <c r="C175" s="626">
        <f ca="1">IF(V188&lt;&gt;0,IF(Y185=4,"X",ENTRADAS!C1090))</f>
        <v>0</v>
      </c>
      <c r="D175">
        <f ca="1">IF(H175=0,0,VLOOKUP(B175,$AN$273:$BA$287,9,0)&amp;"  capac.= "&amp; AZ276&amp;" toneladas--- ")</f>
        <v>0</v>
      </c>
      <c r="H175" s="34">
        <f ca="1">IF(AM276="x",IF(AS276=0,0,AU276),0)</f>
        <v>0</v>
      </c>
      <c r="I175" s="627">
        <f ca="1">IF(H175=0,0,"FRETES")</f>
        <v>0</v>
      </c>
      <c r="J175">
        <f ca="1">IF(AM276="x",IF(BB276=0,0,BB276),0)</f>
        <v>0</v>
      </c>
      <c r="K175" s="761">
        <f>F177</f>
        <v>15</v>
      </c>
      <c r="L175">
        <f ca="1">AQ276</f>
        <v>0</v>
      </c>
      <c r="O175" s="16">
        <f>IF(AM282="x",AZ276,0)</f>
        <v>31</v>
      </c>
      <c r="T175" s="16"/>
      <c r="W175" s="4"/>
      <c r="Z175" s="633" t="s">
        <v>2513</v>
      </c>
      <c r="AA175" s="10"/>
      <c r="AB175" s="10"/>
      <c r="AC175" s="10">
        <f ca="1">AC173+AC174</f>
        <v>0</v>
      </c>
      <c r="AD175" s="6"/>
      <c r="AP175" s="627"/>
    </row>
    <row r="176" spans="1:111" x14ac:dyDescent="0.35">
      <c r="A176" s="20"/>
      <c r="B176" s="200"/>
      <c r="C176" s="195">
        <f ca="1">IF(C175="X","Y",0)</f>
        <v>0</v>
      </c>
      <c r="D176" s="647"/>
      <c r="F176" s="627">
        <f ca="1">IF(H175=0,0,IF($E$6=0,0,"pré-moldadado: lajes e pilares"))</f>
        <v>0</v>
      </c>
      <c r="N176" s="4"/>
      <c r="O176" s="16"/>
      <c r="T176" s="16"/>
      <c r="W176" s="4"/>
      <c r="AP176" s="627"/>
    </row>
    <row r="177" spans="1:42" x14ac:dyDescent="0.35">
      <c r="A177" s="20"/>
      <c r="B177" s="200"/>
      <c r="F177" s="4">
        <f>ENTRADAS!I464</f>
        <v>15</v>
      </c>
      <c r="G177" t="s">
        <v>20</v>
      </c>
      <c r="H177" s="388"/>
      <c r="I177" s="627"/>
      <c r="J177" s="627"/>
      <c r="O177" s="16"/>
      <c r="T177" s="16"/>
      <c r="V177" s="13" t="s">
        <v>2514</v>
      </c>
      <c r="W177" s="14"/>
      <c r="X177" s="14"/>
      <c r="Y177" s="14"/>
      <c r="Z177" s="15"/>
      <c r="AP177" s="627"/>
    </row>
    <row r="178" spans="1:42" x14ac:dyDescent="0.35">
      <c r="A178" s="20">
        <f ca="1">IF(C178="x",1,0)</f>
        <v>0</v>
      </c>
      <c r="B178" s="200">
        <v>5</v>
      </c>
      <c r="C178" s="626">
        <f ca="1">IF(V188&lt;&gt;0,IF(Y185=5,"X",ENTRADAS!C1093))</f>
        <v>0</v>
      </c>
      <c r="D178">
        <f ca="1">IF(H178=0,0,VLOOKUP(B178,$AN$273:$BA$287,9,0)&amp;"  capac.= "&amp; AZ277&amp;" toneladas--- ")</f>
        <v>0</v>
      </c>
      <c r="H178" s="34">
        <f ca="1">IF(AM277="x",IF(AS277=0,0,AU277),0)</f>
        <v>0</v>
      </c>
      <c r="I178" s="627">
        <f ca="1">IF(H178=0,0,"FRETES")</f>
        <v>0</v>
      </c>
      <c r="J178">
        <f ca="1">IF(AM277="x",IF(BB277=0,0,BB277),0)</f>
        <v>0</v>
      </c>
      <c r="K178" s="761">
        <f>F180</f>
        <v>15</v>
      </c>
      <c r="L178">
        <f ca="1">AQ277</f>
        <v>0</v>
      </c>
      <c r="O178" s="16">
        <f>IF(AM285="x",AZ277,0)</f>
        <v>35</v>
      </c>
      <c r="T178" s="16"/>
      <c r="V178" s="32" t="s">
        <v>1833</v>
      </c>
      <c r="W178" s="32" t="s">
        <v>1834</v>
      </c>
      <c r="X178" s="32"/>
      <c r="Z178" s="16"/>
      <c r="AP178" s="627"/>
    </row>
    <row r="179" spans="1:42" x14ac:dyDescent="0.35">
      <c r="A179" s="20"/>
      <c r="B179" s="200"/>
      <c r="C179" s="195">
        <f ca="1">IF(C178="X","Y",0)</f>
        <v>0</v>
      </c>
      <c r="D179" s="647"/>
      <c r="F179" s="627">
        <f ca="1">IF(H178=0,0,IF($E$6=0,0,"pré-moldadado: lajes e pilares"))</f>
        <v>0</v>
      </c>
      <c r="N179" s="4"/>
      <c r="O179" s="16"/>
      <c r="T179" s="16"/>
      <c r="V179" s="32">
        <v>1</v>
      </c>
      <c r="W179" s="32">
        <f ca="1">H166*INSUMOS!X67</f>
        <v>0</v>
      </c>
      <c r="X179" s="32">
        <f ca="1">IF(W179=0,10000000000,W179)</f>
        <v>10000000000</v>
      </c>
      <c r="Y179" s="32">
        <f>V179</f>
        <v>1</v>
      </c>
      <c r="Z179" s="16"/>
      <c r="AP179" s="627"/>
    </row>
    <row r="180" spans="1:42" x14ac:dyDescent="0.35">
      <c r="A180" s="20"/>
      <c r="B180" s="200"/>
      <c r="F180" s="4">
        <f>ENTRADAS!I465</f>
        <v>15</v>
      </c>
      <c r="G180" t="s">
        <v>20</v>
      </c>
      <c r="H180" s="388"/>
      <c r="I180" s="627"/>
      <c r="J180" s="627"/>
      <c r="O180" s="16"/>
      <c r="T180" s="16"/>
      <c r="V180" s="32">
        <v>2</v>
      </c>
      <c r="W180" s="32">
        <f ca="1">H169*INSUMOS!X68</f>
        <v>0</v>
      </c>
      <c r="X180" s="32">
        <f ca="1">IF(W180=0,10000000000,W180)</f>
        <v>10000000000</v>
      </c>
      <c r="Y180" s="32">
        <f>V180</f>
        <v>2</v>
      </c>
      <c r="Z180" s="16"/>
      <c r="AP180" s="627"/>
    </row>
    <row r="181" spans="1:42" x14ac:dyDescent="0.35">
      <c r="A181" s="20">
        <f>IF(C181="x",1,0)</f>
        <v>0</v>
      </c>
      <c r="B181" s="200">
        <v>6</v>
      </c>
      <c r="C181" s="626">
        <f>ENTRADAS!C1096</f>
        <v>0</v>
      </c>
      <c r="D181">
        <f>IF(H181=0,0,VLOOKUP(B181,$AN$273:$BA$287,9,0)&amp;"  capac.= "&amp; AZ278&amp;" toneladas--- ")</f>
        <v>0</v>
      </c>
      <c r="H181" s="34">
        <f>IF(AM278="x",IF(AS278=0,0,AU278),0)</f>
        <v>0</v>
      </c>
      <c r="I181" s="627">
        <f>IF(H181=0,0,"FRETES")</f>
        <v>0</v>
      </c>
      <c r="J181">
        <f ca="1">IF(AM278="x",IF(BB278=0,0,BB278),0)</f>
        <v>0</v>
      </c>
      <c r="K181" s="761">
        <f>F183</f>
        <v>0</v>
      </c>
      <c r="L181">
        <f ca="1">AQ278</f>
        <v>0</v>
      </c>
      <c r="O181" s="16">
        <f>IF(AM288="x",AZ278,0)</f>
        <v>0</v>
      </c>
      <c r="T181" s="16"/>
      <c r="V181" s="32">
        <v>3</v>
      </c>
      <c r="W181" s="32">
        <f ca="1">H172*INSUMOS!X69</f>
        <v>0</v>
      </c>
      <c r="X181" s="32">
        <f ca="1">IF(W181=0,10000000000,W181)</f>
        <v>10000000000</v>
      </c>
      <c r="Y181" s="32">
        <f>V181</f>
        <v>3</v>
      </c>
      <c r="Z181" s="16"/>
      <c r="AP181" s="627"/>
    </row>
    <row r="182" spans="1:42" x14ac:dyDescent="0.35">
      <c r="A182" s="20"/>
      <c r="B182" s="200"/>
      <c r="C182" s="195">
        <f>IF(C181="X","Y",0)</f>
        <v>0</v>
      </c>
      <c r="D182" s="647"/>
      <c r="F182" s="627">
        <f>IF(H181=0,0,IF($E$6=0,0,"pré-moldadado: lajes e pilares"))</f>
        <v>0</v>
      </c>
      <c r="N182" s="4"/>
      <c r="O182" s="16"/>
      <c r="T182" s="16"/>
      <c r="V182" s="32">
        <v>4</v>
      </c>
      <c r="W182" s="32">
        <f ca="1">H175*INSUMOS!X70</f>
        <v>0</v>
      </c>
      <c r="X182" s="32">
        <f ca="1">IF(W182=0,10000000000,W182)</f>
        <v>10000000000</v>
      </c>
      <c r="Y182" s="32">
        <f>V182</f>
        <v>4</v>
      </c>
      <c r="Z182" s="16"/>
      <c r="AP182" s="627"/>
    </row>
    <row r="183" spans="1:42" x14ac:dyDescent="0.35">
      <c r="A183" s="20"/>
      <c r="B183" s="200"/>
      <c r="H183" s="388"/>
      <c r="I183" s="627"/>
      <c r="J183" s="627"/>
      <c r="O183" s="16"/>
      <c r="T183" s="16"/>
      <c r="V183" s="32">
        <v>5</v>
      </c>
      <c r="W183" s="32">
        <f ca="1">H178*INSUMOS!X71</f>
        <v>0</v>
      </c>
      <c r="X183" s="32">
        <f ca="1">IF(W183=0,10000000000,W183)</f>
        <v>10000000000</v>
      </c>
      <c r="Y183" s="32">
        <f>V183</f>
        <v>5</v>
      </c>
      <c r="Z183" s="16"/>
      <c r="AP183" s="627"/>
    </row>
    <row r="184" spans="1:42" x14ac:dyDescent="0.35">
      <c r="A184" s="20">
        <f>IF(C184="x",1,0)</f>
        <v>0</v>
      </c>
      <c r="B184" s="200">
        <v>7</v>
      </c>
      <c r="C184" s="626">
        <f>ENTRADAS!C1099</f>
        <v>0</v>
      </c>
      <c r="D184">
        <f>IF(H184=0,0,VLOOKUP(B184,$AN$273:$BA$287,9,0)&amp;"  capac.= "&amp; AZ279&amp;" toneladas--- ")</f>
        <v>0</v>
      </c>
      <c r="H184" s="34">
        <f>IF(AM279="x",IF(AS279=0,0,AU279),0)</f>
        <v>0</v>
      </c>
      <c r="I184" s="627">
        <f>IF(H184=0,0,"FRETES")</f>
        <v>0</v>
      </c>
      <c r="J184">
        <f ca="1">IF(AM279="x",IF(BB279=0,0,BB279),0)</f>
        <v>0</v>
      </c>
      <c r="K184" s="761">
        <f>F186</f>
        <v>0</v>
      </c>
      <c r="L184">
        <f ca="1">AQ279</f>
        <v>0</v>
      </c>
      <c r="O184" s="16">
        <f>IF(AM291="x",AZ279,0)</f>
        <v>0</v>
      </c>
      <c r="T184" s="16"/>
      <c r="V184" s="20"/>
      <c r="W184" s="2069" t="s">
        <v>1844</v>
      </c>
      <c r="X184" s="1542"/>
      <c r="Y184" s="1545"/>
      <c r="Z184" s="16"/>
      <c r="AP184" s="627"/>
    </row>
    <row r="185" spans="1:42" x14ac:dyDescent="0.35">
      <c r="A185" s="20"/>
      <c r="B185" s="200"/>
      <c r="C185" s="195">
        <f>IF(C184="X","Y",0)</f>
        <v>0</v>
      </c>
      <c r="D185" s="647"/>
      <c r="F185" s="627">
        <f>IF(H184=0,0,IF($E$6=0,0,"pré-moldadado: lajes e pilares"))</f>
        <v>0</v>
      </c>
      <c r="N185" s="4"/>
      <c r="O185" s="16"/>
      <c r="T185" s="16"/>
      <c r="V185" s="20"/>
      <c r="W185" s="32"/>
      <c r="X185" s="32">
        <f ca="1">IF(V188=0,0,SMALL(X179:X183,1))</f>
        <v>10000000000</v>
      </c>
      <c r="Y185" s="32">
        <f ca="1">IF(X185=0,0,VLOOKUP(X185,X179:Y183,2,0))</f>
        <v>1</v>
      </c>
      <c r="Z185" s="16"/>
      <c r="AP185" s="627"/>
    </row>
    <row r="186" spans="1:42" x14ac:dyDescent="0.35">
      <c r="A186" s="20"/>
      <c r="B186" s="200"/>
      <c r="H186" s="388"/>
      <c r="I186" s="627"/>
      <c r="J186" s="627"/>
      <c r="O186" s="16"/>
      <c r="T186" s="16"/>
      <c r="V186" s="20"/>
      <c r="Z186" s="16"/>
      <c r="AP186" s="627"/>
    </row>
    <row r="187" spans="1:42" x14ac:dyDescent="0.35">
      <c r="A187" s="20">
        <f>IF(C187="x",1,0)</f>
        <v>0</v>
      </c>
      <c r="B187" s="200">
        <v>8</v>
      </c>
      <c r="C187" s="626">
        <f>ENTRADAS!C1102</f>
        <v>0</v>
      </c>
      <c r="D187">
        <f>IF(H187=0,0,VLOOKUP(B187,$AN$273:$BA$287,9,0)&amp;"  capac.= "&amp; AZ280&amp;" toneladas--- ")</f>
        <v>0</v>
      </c>
      <c r="H187" s="34">
        <f>IF(AM280="x",IF(AS280=0,0,AU280),0)</f>
        <v>0</v>
      </c>
      <c r="I187" s="627">
        <f>IF(H187=0,0,"FRETES TRANSPORTANDO:")</f>
        <v>0</v>
      </c>
      <c r="J187">
        <f ca="1">IF(AM280="x",IF(BB280=0,0,BB280),0)</f>
        <v>0</v>
      </c>
      <c r="K187" s="761">
        <f>F189</f>
        <v>0</v>
      </c>
      <c r="L187">
        <f ca="1">AQ280</f>
        <v>0</v>
      </c>
      <c r="O187" s="16">
        <f>IF(AM294="x",AZ280,0)</f>
        <v>0</v>
      </c>
      <c r="T187" s="16"/>
      <c r="V187" s="20" t="s">
        <v>1845</v>
      </c>
      <c r="Z187" s="16"/>
      <c r="AP187" s="627"/>
    </row>
    <row r="188" spans="1:42" x14ac:dyDescent="0.35">
      <c r="A188" s="20"/>
      <c r="B188" s="200"/>
      <c r="C188" s="195">
        <f>IF(C187="X","Y",0)</f>
        <v>0</v>
      </c>
      <c r="D188" s="647"/>
      <c r="F188" s="627">
        <f>IF(H187=0,0,IF($E$6=0,0,"pré-moldadado: lajes e pilares"))</f>
        <v>0</v>
      </c>
      <c r="N188" s="4"/>
      <c r="O188" s="16"/>
      <c r="T188" s="16"/>
      <c r="V188" s="2" t="s">
        <v>35</v>
      </c>
      <c r="W188" s="3" t="s">
        <v>847</v>
      </c>
      <c r="X188" s="32"/>
      <c r="Y188" s="3" t="s">
        <v>848</v>
      </c>
      <c r="Z188" s="17"/>
      <c r="AP188" s="627"/>
    </row>
    <row r="189" spans="1:42" x14ac:dyDescent="0.35">
      <c r="A189" s="20"/>
      <c r="B189" s="200"/>
      <c r="H189" s="388"/>
      <c r="I189" s="627"/>
      <c r="J189" s="627"/>
      <c r="O189" s="16"/>
      <c r="T189" s="16"/>
      <c r="W189" s="4"/>
      <c r="AP189" s="627"/>
    </row>
    <row r="190" spans="1:42" x14ac:dyDescent="0.35">
      <c r="A190" s="20">
        <f>IF(C190="x",1,0)</f>
        <v>0</v>
      </c>
      <c r="B190" s="200">
        <v>9</v>
      </c>
      <c r="C190" s="626">
        <f>ENTRADAS!C1105</f>
        <v>0</v>
      </c>
      <c r="D190">
        <f>IF(H190=0,0,VLOOKUP(B190,$AN$273:$BA$287,9,0)&amp;"  capac.= "&amp; AZ281&amp;" toneladas--- ")</f>
        <v>0</v>
      </c>
      <c r="H190" s="34">
        <f>IF(AM281="x",IF(AS281=0,0,AU281),0)</f>
        <v>0</v>
      </c>
      <c r="I190" s="627">
        <f>IF(H190=0,0,"FRETES TRANSPORTANDO:")</f>
        <v>0</v>
      </c>
      <c r="J190">
        <f ca="1">IF(AM281="x",IF(BB281=0,0,BB281),0)</f>
        <v>0</v>
      </c>
      <c r="K190" s="761">
        <f>F192</f>
        <v>0</v>
      </c>
      <c r="L190">
        <f ca="1">AQ281</f>
        <v>0</v>
      </c>
      <c r="O190" s="16">
        <f>IF(AM297="x",AZ281,0)</f>
        <v>0</v>
      </c>
      <c r="T190" s="16"/>
      <c r="W190" s="4"/>
      <c r="AP190" s="627"/>
    </row>
    <row r="191" spans="1:42" x14ac:dyDescent="0.35">
      <c r="A191" s="20"/>
      <c r="B191" s="200"/>
      <c r="C191" s="195">
        <f>IF(C190="X","Y",0)</f>
        <v>0</v>
      </c>
      <c r="D191" s="647"/>
      <c r="F191" s="627">
        <f>IF(H190=0,0,IF($E$6=0,0,"pré-moldadado: lajes e pilares"))</f>
        <v>0</v>
      </c>
      <c r="N191" s="4"/>
      <c r="O191" s="16"/>
      <c r="T191" s="16"/>
      <c r="W191" s="4"/>
      <c r="AP191" s="627"/>
    </row>
    <row r="192" spans="1:42" x14ac:dyDescent="0.35">
      <c r="A192" s="20"/>
      <c r="B192" s="200"/>
      <c r="H192" s="388"/>
      <c r="I192" s="627"/>
      <c r="J192" s="627"/>
      <c r="O192" s="16"/>
      <c r="T192" s="16"/>
      <c r="AP192" s="627"/>
    </row>
    <row r="193" spans="1:42" x14ac:dyDescent="0.35">
      <c r="A193" s="20">
        <f>IF(C193="x",1,0)</f>
        <v>0</v>
      </c>
      <c r="B193" s="200">
        <v>10</v>
      </c>
      <c r="C193" s="626">
        <f>ENTRADAS!C1108</f>
        <v>0</v>
      </c>
      <c r="D193">
        <f>IF(H193=0,0,VLOOKUP(B193,$AN$273:$BA$287,9,0)&amp;"  capac.= "&amp; AZ282&amp;" toneladas--- ")</f>
        <v>0</v>
      </c>
      <c r="H193" s="34">
        <f>IF(AM282="x",IF(AS282=0,0,AU282),0)</f>
        <v>0</v>
      </c>
      <c r="I193" s="627">
        <f>IF(H193=0,0,"FRETES TRANSPORTANDO:")</f>
        <v>0</v>
      </c>
      <c r="J193">
        <f ca="1">IF(AM282="x",IF(BB282=0,0,BB282),0)</f>
        <v>0</v>
      </c>
      <c r="K193" s="761">
        <f>F195</f>
        <v>0</v>
      </c>
      <c r="L193">
        <f>AQ182</f>
        <v>0</v>
      </c>
      <c r="O193" s="16">
        <f>IF(AM300="x",AZ282,0)</f>
        <v>0</v>
      </c>
      <c r="T193" s="16"/>
      <c r="AP193" s="627"/>
    </row>
    <row r="194" spans="1:42" x14ac:dyDescent="0.35">
      <c r="A194" s="20"/>
      <c r="B194" s="200"/>
      <c r="C194" s="195">
        <f>IF(C193="X","Y",0)</f>
        <v>0</v>
      </c>
      <c r="D194" s="647"/>
      <c r="F194" s="627">
        <f>IF(H193=0,0,IF($E$6=0,0,"pré-moldadado: lajes e pilares"))</f>
        <v>0</v>
      </c>
      <c r="N194" s="4"/>
      <c r="O194" s="16"/>
      <c r="T194" s="16"/>
      <c r="AP194" s="627"/>
    </row>
    <row r="195" spans="1:42" x14ac:dyDescent="0.35">
      <c r="A195" s="20"/>
      <c r="B195" s="200"/>
      <c r="C195" s="195"/>
      <c r="F195" s="627"/>
      <c r="H195" s="388"/>
      <c r="I195" s="627"/>
      <c r="J195" s="627"/>
      <c r="N195" s="4"/>
      <c r="O195" s="16"/>
      <c r="T195" s="16"/>
      <c r="AP195" s="627"/>
    </row>
    <row r="196" spans="1:42" x14ac:dyDescent="0.35">
      <c r="A196" s="20">
        <f>IF(C196="x",1,0)</f>
        <v>0</v>
      </c>
      <c r="B196" s="200">
        <v>10</v>
      </c>
      <c r="C196" s="626">
        <f>ENTRADAS!C1111</f>
        <v>0</v>
      </c>
      <c r="D196">
        <f>IF(H196=0,0,VLOOKUP(B196,$AN$273:$BA$287,9,0)&amp;"  capac.= "&amp; AZ283&amp;" toneladas--- ")</f>
        <v>0</v>
      </c>
      <c r="H196" s="34">
        <f>IF(AM283="x",IF(AS283=0,0,AU283),0)</f>
        <v>0</v>
      </c>
      <c r="I196" s="627">
        <f>IF(H196=0,0,"FRETES TRANSPORTANDO:")</f>
        <v>0</v>
      </c>
      <c r="J196">
        <f ca="1">IF(AM283="x",IF(BB283=0,0,BB283),0)</f>
        <v>0</v>
      </c>
      <c r="K196" s="761">
        <f>F198</f>
        <v>0</v>
      </c>
      <c r="L196">
        <f ca="1">AQ283</f>
        <v>0</v>
      </c>
      <c r="O196" s="16">
        <f>IF(AM303="x",AZ283,0)</f>
        <v>0</v>
      </c>
      <c r="T196" s="16"/>
      <c r="AP196" s="627"/>
    </row>
    <row r="197" spans="1:42" x14ac:dyDescent="0.35">
      <c r="A197" s="20"/>
      <c r="B197" s="200"/>
      <c r="C197" s="195">
        <f>IF(C196="X","Y",0)</f>
        <v>0</v>
      </c>
      <c r="D197" s="647"/>
      <c r="F197" s="627">
        <f>IF(H196=0,0,IF($E$6=0,0,"pré-moldadado: lajes e pilares"))</f>
        <v>0</v>
      </c>
      <c r="N197" s="4"/>
      <c r="O197" s="16"/>
      <c r="T197" s="16"/>
      <c r="AP197" s="627"/>
    </row>
    <row r="198" spans="1:42" x14ac:dyDescent="0.35">
      <c r="A198" s="20"/>
      <c r="B198" s="200"/>
      <c r="C198" s="195"/>
      <c r="F198" s="627"/>
      <c r="H198" s="388"/>
      <c r="I198" s="627"/>
      <c r="J198" s="627"/>
      <c r="N198" s="4"/>
      <c r="O198" s="16"/>
      <c r="T198" s="16"/>
      <c r="AP198" s="627"/>
    </row>
    <row r="199" spans="1:42" x14ac:dyDescent="0.35">
      <c r="A199" s="20">
        <f>IF(C199="x",1,0)</f>
        <v>0</v>
      </c>
      <c r="B199" s="200">
        <v>10</v>
      </c>
      <c r="C199" s="626">
        <f>ENTRADAS!C1114</f>
        <v>0</v>
      </c>
      <c r="D199">
        <f>IF(H199=0,0,VLOOKUP(B199,$AN$273:$BA$287,9,0)&amp;"  capac.= "&amp; AZ284&amp;" toneladas--- ")</f>
        <v>0</v>
      </c>
      <c r="H199" s="34">
        <f>IF(AM284="x",IF(AS284=0,0,AU284),0)</f>
        <v>0</v>
      </c>
      <c r="I199" s="627">
        <f>IF(H199=0,0,"FRETES TRANSPORTANDO:")</f>
        <v>0</v>
      </c>
      <c r="J199">
        <f ca="1">IF(AM284="x",IF(BB284=0,0,BB284),0)</f>
        <v>0</v>
      </c>
      <c r="K199" s="761">
        <f>F201</f>
        <v>0</v>
      </c>
      <c r="L199">
        <f ca="1">AQ284</f>
        <v>0</v>
      </c>
      <c r="O199" s="16">
        <f>IF(AM307="x",AZ284,0)</f>
        <v>0</v>
      </c>
      <c r="T199" s="16"/>
      <c r="AP199" s="627"/>
    </row>
    <row r="200" spans="1:42" x14ac:dyDescent="0.35">
      <c r="A200" s="20"/>
      <c r="B200" s="200"/>
      <c r="C200" s="195">
        <f>IF(C199="X","Y",0)</f>
        <v>0</v>
      </c>
      <c r="D200" s="647"/>
      <c r="F200" s="627">
        <f>IF(H199=0,0,IF($E$6=0,0,"pré-moldadado: lajes e pilares"))</f>
        <v>0</v>
      </c>
      <c r="N200" s="4"/>
      <c r="O200" s="16"/>
      <c r="T200" s="16"/>
      <c r="AP200" s="627"/>
    </row>
    <row r="201" spans="1:42" x14ac:dyDescent="0.35">
      <c r="A201" s="20"/>
      <c r="B201" s="200"/>
      <c r="C201" s="195"/>
      <c r="F201" s="627"/>
      <c r="H201" s="388"/>
      <c r="I201" s="627"/>
      <c r="J201" s="627"/>
      <c r="N201" s="4"/>
      <c r="O201" s="16"/>
      <c r="T201" s="16"/>
      <c r="AP201" s="627"/>
    </row>
    <row r="202" spans="1:42" x14ac:dyDescent="0.35">
      <c r="A202" s="20">
        <f>IF(C202="x",1,0)</f>
        <v>0</v>
      </c>
      <c r="B202" s="200">
        <v>10</v>
      </c>
      <c r="C202" s="626">
        <f>ENTRADAS!C1117</f>
        <v>0</v>
      </c>
      <c r="D202">
        <f>IF(H202=0,0,VLOOKUP(B202,$AN$273:$BA$287,9,0)&amp;"  capac.= "&amp; AZ285&amp;" toneladas--- ")</f>
        <v>0</v>
      </c>
      <c r="H202" s="34">
        <f>IF(AM285="x",IF(AS285=0,0,AU285),0)</f>
        <v>0</v>
      </c>
      <c r="I202" s="627">
        <f>IF(H202=0,0,"FRETES TRANSPORTANDO:")</f>
        <v>0</v>
      </c>
      <c r="J202">
        <f ca="1">IF(AM285="x",IF(BB285=0,0,BB285),0)</f>
        <v>0</v>
      </c>
      <c r="K202" s="761">
        <f>F204</f>
        <v>0</v>
      </c>
      <c r="L202">
        <f ca="1">AQ285</f>
        <v>0</v>
      </c>
      <c r="O202" s="16">
        <f>IF(AM310="x",AZ285,0)</f>
        <v>0</v>
      </c>
      <c r="T202" s="16"/>
      <c r="AP202" s="627"/>
    </row>
    <row r="203" spans="1:42" x14ac:dyDescent="0.35">
      <c r="A203" s="20"/>
      <c r="B203" s="200"/>
      <c r="C203" s="195">
        <f>IF(C202="X","Y",0)</f>
        <v>0</v>
      </c>
      <c r="D203" s="647"/>
      <c r="F203" s="627">
        <f>IF(H202=0,0,IF($E$6=0,0,"pré-moldadado: lajes e pilares"))</f>
        <v>0</v>
      </c>
      <c r="N203" s="4"/>
      <c r="O203" s="16"/>
      <c r="T203" s="16"/>
      <c r="AP203" s="627"/>
    </row>
    <row r="204" spans="1:42" x14ac:dyDescent="0.35">
      <c r="A204" s="20"/>
      <c r="B204" s="200"/>
      <c r="C204" s="195"/>
      <c r="F204" s="627"/>
      <c r="H204" s="388"/>
      <c r="I204" s="627"/>
      <c r="J204" s="627"/>
      <c r="N204" s="4"/>
      <c r="O204" s="16"/>
      <c r="T204" s="16"/>
      <c r="AP204" s="627"/>
    </row>
    <row r="205" spans="1:42" x14ac:dyDescent="0.35">
      <c r="A205" s="20">
        <f>IF(C205="x",1,0)</f>
        <v>0</v>
      </c>
      <c r="B205" s="200">
        <v>10</v>
      </c>
      <c r="C205" s="626">
        <f>ENTRADAS!C1120</f>
        <v>0</v>
      </c>
      <c r="D205">
        <f>IF(H205=0,0,VLOOKUP(B205,$AN$273:$BA$287,9,0)&amp;"  capac.= "&amp; AZ286&amp;" toneladas--- ")</f>
        <v>0</v>
      </c>
      <c r="H205" s="34">
        <f>IF(AM286="x",IF(AS286=0,0,AU286),0)</f>
        <v>0</v>
      </c>
      <c r="I205" s="627">
        <f>IF(H205=0,0,"FRETES TRANSPORTANDO:")</f>
        <v>0</v>
      </c>
      <c r="J205">
        <f ca="1">IF(AM286="x",IF(BB286=0,0,BB286),0)</f>
        <v>0</v>
      </c>
      <c r="K205" s="761">
        <f>F207</f>
        <v>0</v>
      </c>
      <c r="L205">
        <f ca="1">AQ286</f>
        <v>0</v>
      </c>
      <c r="O205" s="16">
        <f>IF(AM313="x",AZ286,0)</f>
        <v>0</v>
      </c>
      <c r="T205" s="16"/>
      <c r="AP205" s="627"/>
    </row>
    <row r="206" spans="1:42" x14ac:dyDescent="0.35">
      <c r="A206" s="20"/>
      <c r="B206" s="200"/>
      <c r="C206" s="195">
        <f>IF(C205="X","Y",0)</f>
        <v>0</v>
      </c>
      <c r="D206" s="647"/>
      <c r="F206" s="627">
        <f>IF(H205=0,0,IF($E$6=0,0,"pré-moldadado: lajes e pilares"))</f>
        <v>0</v>
      </c>
      <c r="N206" s="4"/>
      <c r="O206" s="16"/>
      <c r="T206" s="16"/>
      <c r="AP206" s="627"/>
    </row>
    <row r="207" spans="1:42" x14ac:dyDescent="0.35">
      <c r="A207" s="20"/>
      <c r="B207" s="200"/>
      <c r="C207" s="195"/>
      <c r="F207" s="627"/>
      <c r="H207" s="388"/>
      <c r="I207" s="627"/>
      <c r="J207" s="627"/>
      <c r="N207" s="4"/>
      <c r="O207" s="16"/>
      <c r="T207" s="16"/>
      <c r="AP207" s="627"/>
    </row>
    <row r="208" spans="1:42" x14ac:dyDescent="0.35">
      <c r="A208" s="20">
        <f>IF(C208="x",1,0)</f>
        <v>0</v>
      </c>
      <c r="B208" s="200">
        <v>10</v>
      </c>
      <c r="C208" s="626">
        <f>ENTRADAS!C1123</f>
        <v>0</v>
      </c>
      <c r="D208">
        <f>IF(H208=0,0,VLOOKUP(B208,$AN$273:$BA$287,9,0)&amp;"  capac.= "&amp; AZ287&amp;" toneladas--- ")</f>
        <v>0</v>
      </c>
      <c r="H208" s="34">
        <f>IF(AM287="x",IF(AS287=0,0,AU287),0)</f>
        <v>0</v>
      </c>
      <c r="I208" s="627">
        <f>IF(H208=0,0,"FRETES TRANSPORTANDO:")</f>
        <v>0</v>
      </c>
      <c r="J208">
        <f ca="1">IF(AM287="x",IF(BB287=0,0,BB287),0)</f>
        <v>0</v>
      </c>
      <c r="K208" s="761">
        <f>F210</f>
        <v>0</v>
      </c>
      <c r="L208">
        <f ca="1">AQ287</f>
        <v>0</v>
      </c>
      <c r="O208" s="16">
        <f>IF(AM316="x",AZ287,0)</f>
        <v>0</v>
      </c>
      <c r="T208" s="16"/>
      <c r="AP208" s="627"/>
    </row>
    <row r="209" spans="1:42" x14ac:dyDescent="0.35">
      <c r="A209" s="20"/>
      <c r="B209" s="200"/>
      <c r="C209" s="195">
        <f>IF(C208="X","Y",0)</f>
        <v>0</v>
      </c>
      <c r="D209" s="647"/>
      <c r="F209" s="627">
        <f>IF(H208=0,0,IF($E$6=0,0,"pré-moldadado: lajes e pilares"))</f>
        <v>0</v>
      </c>
      <c r="N209" s="4"/>
      <c r="O209" s="16"/>
      <c r="T209" s="16"/>
      <c r="AP209" s="627"/>
    </row>
    <row r="210" spans="1:42" x14ac:dyDescent="0.35">
      <c r="A210" s="20"/>
      <c r="B210" s="201"/>
      <c r="C210" s="198">
        <f>IF(D365="X","Y",0)</f>
        <v>0</v>
      </c>
      <c r="D210" s="3">
        <f>IF(E210="X",1,0)</f>
        <v>0</v>
      </c>
      <c r="E210" s="3"/>
      <c r="F210" s="749"/>
      <c r="G210" s="3"/>
      <c r="H210" s="3"/>
      <c r="I210" s="3"/>
      <c r="J210" s="3"/>
      <c r="K210" s="3"/>
      <c r="L210" s="3"/>
      <c r="M210" s="3"/>
      <c r="N210" s="33"/>
      <c r="O210" s="17"/>
      <c r="T210" s="16"/>
      <c r="AP210" s="627"/>
    </row>
    <row r="211" spans="1:42" x14ac:dyDescent="0.35">
      <c r="A211" s="13"/>
      <c r="B211" s="14"/>
      <c r="C211" s="652"/>
      <c r="D211" s="652"/>
      <c r="E211" s="652"/>
      <c r="F211" s="652"/>
      <c r="G211" s="14"/>
      <c r="H211" s="14"/>
      <c r="I211" s="199"/>
      <c r="J211" s="199"/>
      <c r="K211" s="199"/>
      <c r="L211" s="199"/>
      <c r="M211" s="14"/>
      <c r="N211" s="14"/>
      <c r="O211" s="14"/>
      <c r="P211" s="14"/>
      <c r="Q211" s="14"/>
      <c r="R211" s="14"/>
      <c r="S211" s="14"/>
      <c r="T211" s="15"/>
      <c r="AP211" s="627"/>
    </row>
    <row r="212" spans="1:42" x14ac:dyDescent="0.35">
      <c r="A212" s="20"/>
      <c r="B212" s="13"/>
      <c r="C212" s="14"/>
      <c r="D212" s="14"/>
      <c r="E212" s="14"/>
      <c r="F212" s="14"/>
      <c r="G212" s="14"/>
      <c r="H212" s="14"/>
      <c r="I212" s="14"/>
      <c r="J212" s="14"/>
      <c r="K212" s="14"/>
      <c r="L212" s="14"/>
      <c r="M212" s="14"/>
      <c r="N212" s="14"/>
      <c r="O212" s="15"/>
      <c r="T212" s="16"/>
      <c r="AP212" s="627"/>
    </row>
    <row r="213" spans="1:42" x14ac:dyDescent="0.35">
      <c r="A213" s="988" t="s">
        <v>35</v>
      </c>
      <c r="B213" s="20"/>
      <c r="C213" s="627" t="s">
        <v>320</v>
      </c>
      <c r="E213" s="31">
        <f>CÁLCULOS!E223</f>
        <v>0</v>
      </c>
      <c r="F213" s="627" t="s">
        <v>17</v>
      </c>
      <c r="G213" s="627"/>
      <c r="O213" s="16"/>
      <c r="T213" s="16"/>
      <c r="AP213" s="627"/>
    </row>
    <row r="214" spans="1:42" x14ac:dyDescent="0.35">
      <c r="A214" s="988" t="s">
        <v>2489</v>
      </c>
      <c r="B214" s="20"/>
      <c r="O214" s="16"/>
      <c r="T214" s="16"/>
      <c r="AP214" s="627"/>
    </row>
    <row r="215" spans="1:42" x14ac:dyDescent="0.35">
      <c r="A215" s="20"/>
      <c r="B215" s="20"/>
      <c r="C215" s="183" t="str">
        <f>IF(I52&gt;12,"ALERTA: PAINÉIS MAIORES QUE 12 m ! A CARRETA TEM QUE SER ESPECÍFICA. ANALISAR E DESCREVER NA TABELA ACIMA .","ESCOLHA a CONFIGURAÇÃO ABAIXO para TRANSPORTE: (marcar X) ")</f>
        <v xml:space="preserve">ESCOLHA a CONFIGURAÇÃO ABAIXO para TRANSPORTE: (marcar X) </v>
      </c>
      <c r="O215" s="16"/>
      <c r="T215" s="16"/>
      <c r="AP215" s="627"/>
    </row>
    <row r="216" spans="1:42" x14ac:dyDescent="0.35">
      <c r="A216" s="20"/>
      <c r="B216" s="988" t="s">
        <v>2515</v>
      </c>
      <c r="C216" s="627"/>
      <c r="O216" s="16"/>
      <c r="T216" s="16"/>
      <c r="AP216" s="627"/>
    </row>
    <row r="217" spans="1:42" x14ac:dyDescent="0.35">
      <c r="A217" s="20">
        <f ca="1">IF(C217="x",1,0)</f>
        <v>1</v>
      </c>
      <c r="B217" s="200">
        <v>1</v>
      </c>
      <c r="C217" s="626" t="str">
        <f ca="1">IF(V239&lt;&gt;0,IF(Y236=1,"X",ENTRADAS!C1132))</f>
        <v>X</v>
      </c>
      <c r="D217">
        <f ca="1">IF(H217=0,0,VLOOKUP(B217,$AN$420:$BA$434,9,0)&amp;"  capac.= "&amp; AZ420&amp;" ton")</f>
        <v>0</v>
      </c>
      <c r="H217" s="34">
        <f ca="1">IF(AM420="x",IF(AP420=0,0,AU420),0)</f>
        <v>0</v>
      </c>
      <c r="I217" s="627">
        <f ca="1">IF(H217=0,0,"FRETES TRANSPORTANDO:")</f>
        <v>0</v>
      </c>
      <c r="K217" s="761">
        <f>K166</f>
        <v>12.4</v>
      </c>
      <c r="O217" s="16"/>
      <c r="T217" s="16"/>
      <c r="AP217" s="627"/>
    </row>
    <row r="218" spans="1:42" x14ac:dyDescent="0.35">
      <c r="A218" s="20"/>
      <c r="B218" s="200"/>
      <c r="C218" s="446" t="str">
        <f ca="1">IF(C217="X","Y",0)</f>
        <v>Y</v>
      </c>
      <c r="D218" s="647"/>
      <c r="E218">
        <f ca="1">IF(AM420="x",IF(AP420=0,0,AP420),0)</f>
        <v>0</v>
      </c>
      <c r="F218" s="627">
        <f ca="1">IF(H217=0,0,IF($E$6=0,0,"vigas"))</f>
        <v>0</v>
      </c>
      <c r="K218" s="761"/>
      <c r="N218" s="4"/>
      <c r="O218" s="16"/>
      <c r="T218" s="16"/>
      <c r="AP218" s="627"/>
    </row>
    <row r="219" spans="1:42" x14ac:dyDescent="0.35">
      <c r="A219" s="20"/>
      <c r="B219" s="200"/>
      <c r="C219" s="627"/>
      <c r="K219" s="761"/>
      <c r="O219" s="16"/>
      <c r="T219" s="16"/>
      <c r="AP219" s="627"/>
    </row>
    <row r="220" spans="1:42" x14ac:dyDescent="0.35">
      <c r="A220" s="20">
        <f ca="1">IF(C220="x",1,0)</f>
        <v>0</v>
      </c>
      <c r="B220" s="200">
        <v>2</v>
      </c>
      <c r="C220" s="626">
        <f ca="1">IF(V239&lt;&gt;0,IF(Y236=2,"X",ENTRADAS!C1135))</f>
        <v>0</v>
      </c>
      <c r="D220">
        <f ca="1">IF(H220=0,0,VLOOKUP(B220,$AN$273:$BA$287,9,0)&amp;"  capac.= "&amp; AZ421&amp;" ton")</f>
        <v>0</v>
      </c>
      <c r="H220" s="34">
        <f ca="1">IF(AM421="x",IF(AP421=0,0,AU421),0)</f>
        <v>0</v>
      </c>
      <c r="I220" s="627">
        <f ca="1">IF(H220=0,0,"FRETES TRANSPORTANDO:")</f>
        <v>0</v>
      </c>
      <c r="K220" s="761">
        <f>K169</f>
        <v>12.4</v>
      </c>
      <c r="O220" s="16"/>
      <c r="T220" s="16"/>
      <c r="AP220" s="627"/>
    </row>
    <row r="221" spans="1:42" x14ac:dyDescent="0.35">
      <c r="A221" s="20"/>
      <c r="B221" s="200"/>
      <c r="C221" s="195">
        <f ca="1">IF(C220="X","Y",0)</f>
        <v>0</v>
      </c>
      <c r="D221" s="647"/>
      <c r="E221">
        <f ca="1">IF(AM421="x",IF(AP421=0,0,AP421),0)</f>
        <v>0</v>
      </c>
      <c r="F221" s="627">
        <f ca="1">IF(H220=0,0,IF($E$6=0,0,"vigas"))</f>
        <v>0</v>
      </c>
      <c r="K221" s="761"/>
      <c r="N221" s="4"/>
      <c r="O221" s="16"/>
      <c r="T221" s="16"/>
      <c r="AP221" s="627"/>
    </row>
    <row r="222" spans="1:42" x14ac:dyDescent="0.35">
      <c r="A222" s="20"/>
      <c r="B222" s="200"/>
      <c r="C222" s="627"/>
      <c r="K222" s="761"/>
      <c r="O222" s="16"/>
      <c r="T222" s="16"/>
      <c r="AP222" s="627"/>
    </row>
    <row r="223" spans="1:42" x14ac:dyDescent="0.35">
      <c r="A223" s="20">
        <f ca="1">IF(C223="x",1,0)</f>
        <v>0</v>
      </c>
      <c r="B223" s="200">
        <v>3</v>
      </c>
      <c r="C223" s="626">
        <f ca="1">IF(V239&lt;&gt;0,IF(Y236=3,"X",ENTRADAS!C1138))</f>
        <v>0</v>
      </c>
      <c r="D223">
        <f ca="1">IF(H223=0,0,VLOOKUP(B223,$AN$273:$BA$287,9,0)&amp;"  capac.= "&amp; AZ422&amp;" ton")</f>
        <v>0</v>
      </c>
      <c r="H223" s="34">
        <f ca="1">IF(AM422="x",IF(AP422=0,0,AU422),0)</f>
        <v>0</v>
      </c>
      <c r="I223" s="627">
        <f ca="1">IF(H223=0,0,"FRETES TRANSPORTANDO:")</f>
        <v>0</v>
      </c>
      <c r="K223" s="761">
        <f>K172</f>
        <v>15</v>
      </c>
      <c r="O223" s="16"/>
      <c r="T223" s="16"/>
      <c r="AP223" s="627"/>
    </row>
    <row r="224" spans="1:42" x14ac:dyDescent="0.35">
      <c r="A224" s="20"/>
      <c r="B224" s="200"/>
      <c r="C224" s="195">
        <f ca="1">IF(C223="X","Y",0)</f>
        <v>0</v>
      </c>
      <c r="D224" s="647"/>
      <c r="E224">
        <f ca="1">IF(AM422="x",IF(AP422=0,0,AP422),0)</f>
        <v>0</v>
      </c>
      <c r="F224" s="627">
        <f ca="1">IF(H223=0,0,IF($E$6=0,0,"vigas"))</f>
        <v>0</v>
      </c>
      <c r="K224" s="761"/>
      <c r="N224" s="4"/>
      <c r="O224" s="16"/>
      <c r="T224" s="16"/>
      <c r="AP224" s="627"/>
    </row>
    <row r="225" spans="1:42" x14ac:dyDescent="0.35">
      <c r="A225" s="20"/>
      <c r="B225" s="200"/>
      <c r="C225" s="627"/>
      <c r="K225" s="761"/>
      <c r="O225" s="16"/>
      <c r="T225" s="16"/>
      <c r="AP225" s="627"/>
    </row>
    <row r="226" spans="1:42" x14ac:dyDescent="0.35">
      <c r="A226" s="20">
        <f ca="1">IF(C226="x",1,0)</f>
        <v>0</v>
      </c>
      <c r="B226" s="200">
        <v>4</v>
      </c>
      <c r="C226" s="626">
        <f ca="1">IF(V239&lt;&gt;0,IF(Y236=4,"X",ENTRADAS!C1141))</f>
        <v>0</v>
      </c>
      <c r="D226">
        <f ca="1">IF(H226=0,0,VLOOKUP(B226,$AN$273:$BA$287,9,0)&amp;"  capac.= "&amp; AZ423&amp;" ton")</f>
        <v>0</v>
      </c>
      <c r="H226" s="34">
        <f ca="1">IF(AM423="x",IF(AP423=0,0,AU423),0)</f>
        <v>0</v>
      </c>
      <c r="I226" s="627">
        <f ca="1">IF(H226=0,0,"FRETES TRANSPORTANDO:")</f>
        <v>0</v>
      </c>
      <c r="K226" s="761">
        <f>K175</f>
        <v>15</v>
      </c>
      <c r="O226" s="16"/>
      <c r="T226" s="16"/>
      <c r="AP226" s="627"/>
    </row>
    <row r="227" spans="1:42" x14ac:dyDescent="0.35">
      <c r="A227" s="20"/>
      <c r="B227" s="200"/>
      <c r="C227" s="195">
        <f ca="1">IF(C226="X","Y",0)</f>
        <v>0</v>
      </c>
      <c r="D227" s="647"/>
      <c r="E227">
        <f ca="1">IF(AM423="x",IF(AP423=0,0,AP423),0)</f>
        <v>0</v>
      </c>
      <c r="F227" s="627">
        <f ca="1">IF(H226=0,0,IF($E$6=0,0,"vigas"))</f>
        <v>0</v>
      </c>
      <c r="K227" s="761"/>
      <c r="N227" s="4"/>
      <c r="O227" s="16"/>
      <c r="T227" s="16"/>
      <c r="AP227" s="627"/>
    </row>
    <row r="228" spans="1:42" x14ac:dyDescent="0.35">
      <c r="A228" s="20"/>
      <c r="B228" s="200"/>
      <c r="H228" s="388"/>
      <c r="I228" s="627"/>
      <c r="J228" s="627"/>
      <c r="K228" s="761"/>
      <c r="O228" s="16"/>
      <c r="T228" s="16"/>
      <c r="V228" s="13" t="s">
        <v>2516</v>
      </c>
      <c r="W228" s="14"/>
      <c r="X228" s="14"/>
      <c r="Y228" s="14"/>
      <c r="Z228" s="15"/>
      <c r="AP228" s="627"/>
    </row>
    <row r="229" spans="1:42" x14ac:dyDescent="0.35">
      <c r="A229" s="20">
        <f ca="1">IF(C229="x",1,0)</f>
        <v>0</v>
      </c>
      <c r="B229" s="200">
        <v>5</v>
      </c>
      <c r="C229" s="626">
        <f ca="1">IF(V239&lt;&gt;0,IF(Y236=5,"X",ENTRADAS!C1144))</f>
        <v>0</v>
      </c>
      <c r="D229">
        <f ca="1">IF(H229=0,0,VLOOKUP(B229,$AN$273:$BA$287,9,0)&amp;"  capac.= "&amp; AZ424&amp;" ton")</f>
        <v>0</v>
      </c>
      <c r="H229" s="34">
        <f ca="1">IF(AM424="x",IF(AP424=0,0,AU424),0)</f>
        <v>0</v>
      </c>
      <c r="I229" s="627">
        <f ca="1">IF(H229=0,0,"FRETES TRANSPORTANDO:")</f>
        <v>0</v>
      </c>
      <c r="K229" s="761">
        <f>K178</f>
        <v>15</v>
      </c>
      <c r="O229" s="16"/>
      <c r="T229" s="16"/>
      <c r="V229" s="32" t="s">
        <v>1833</v>
      </c>
      <c r="W229" s="32" t="s">
        <v>1834</v>
      </c>
      <c r="X229" s="32"/>
      <c r="Z229" s="16"/>
      <c r="AP229" s="627"/>
    </row>
    <row r="230" spans="1:42" x14ac:dyDescent="0.35">
      <c r="A230" s="20"/>
      <c r="B230" s="200"/>
      <c r="C230" s="195">
        <f ca="1">IF(C229="X","Y",0)</f>
        <v>0</v>
      </c>
      <c r="D230" s="647"/>
      <c r="E230">
        <f ca="1">IF(AM424="x",IF(AP424=0,0,AP424),0)</f>
        <v>0</v>
      </c>
      <c r="F230" s="627">
        <f ca="1">IF(H229=0,0,IF($E$6=0,0,"vigas"))</f>
        <v>0</v>
      </c>
      <c r="K230" s="761"/>
      <c r="N230" s="4"/>
      <c r="O230" s="16"/>
      <c r="T230" s="16"/>
      <c r="V230" s="32">
        <v>1</v>
      </c>
      <c r="W230" s="32">
        <f ca="1">H217*INSUMOS!X67</f>
        <v>0</v>
      </c>
      <c r="X230" s="32">
        <f ca="1">IF(W230=0,10000000000,W230)</f>
        <v>10000000000</v>
      </c>
      <c r="Y230" s="32">
        <f>V230</f>
        <v>1</v>
      </c>
      <c r="Z230" s="16"/>
      <c r="AP230" s="627"/>
    </row>
    <row r="231" spans="1:42" x14ac:dyDescent="0.35">
      <c r="A231" s="20"/>
      <c r="B231" s="200"/>
      <c r="H231" s="388"/>
      <c r="I231" s="627"/>
      <c r="J231" s="627"/>
      <c r="K231" s="761"/>
      <c r="O231" s="16"/>
      <c r="T231" s="16"/>
      <c r="V231" s="32">
        <v>2</v>
      </c>
      <c r="W231" s="32">
        <f ca="1">H220*INSUMOS!X68</f>
        <v>0</v>
      </c>
      <c r="X231" s="32">
        <f ca="1">IF(W231=0,10000000000,W231)</f>
        <v>10000000000</v>
      </c>
      <c r="Y231" s="32">
        <f>V231</f>
        <v>2</v>
      </c>
      <c r="Z231" s="16"/>
      <c r="AP231" s="627"/>
    </row>
    <row r="232" spans="1:42" x14ac:dyDescent="0.35">
      <c r="A232" s="20">
        <f>IF(C232="x",1,0)</f>
        <v>0</v>
      </c>
      <c r="B232" s="200">
        <v>6</v>
      </c>
      <c r="C232" s="626">
        <f>ENTRADAS!C1147</f>
        <v>0</v>
      </c>
      <c r="D232">
        <f ca="1">IF(H232=0,0,VLOOKUP(B232,$AN$273:$BA$287,9,0)&amp;"  capac.= "&amp; AZ425&amp;" ton")</f>
        <v>0</v>
      </c>
      <c r="H232" s="34">
        <f ca="1">IF(AM425="x",IF(AP425=0,0,AU425),0)</f>
        <v>0</v>
      </c>
      <c r="I232" s="627">
        <f ca="1">IF(H232=0,0,"FRETES TRANSPORTANDO:")</f>
        <v>0</v>
      </c>
      <c r="K232" s="761">
        <f>K181</f>
        <v>0</v>
      </c>
      <c r="O232" s="16"/>
      <c r="T232" s="16"/>
      <c r="V232" s="32">
        <v>3</v>
      </c>
      <c r="W232" s="32">
        <f ca="1">H223*INSUMOS!X69</f>
        <v>0</v>
      </c>
      <c r="X232" s="32">
        <f ca="1">IF(W232=0,10000000000,W232)</f>
        <v>10000000000</v>
      </c>
      <c r="Y232" s="32">
        <f>V232</f>
        <v>3</v>
      </c>
      <c r="Z232" s="16"/>
      <c r="AP232" s="627"/>
    </row>
    <row r="233" spans="1:42" x14ac:dyDescent="0.35">
      <c r="A233" s="20"/>
      <c r="B233" s="200"/>
      <c r="C233" s="195">
        <f>IF(C232="X","Y",0)</f>
        <v>0</v>
      </c>
      <c r="D233" s="647"/>
      <c r="E233">
        <f ca="1">IF(AM425="x",IF(AP425=0,0,AP425),0)</f>
        <v>0</v>
      </c>
      <c r="F233" s="627">
        <f ca="1">IF(H232=0,0,IF($E$6=0,0,"vigas"))</f>
        <v>0</v>
      </c>
      <c r="K233" s="761"/>
      <c r="N233" s="4"/>
      <c r="O233" s="16"/>
      <c r="T233" s="16"/>
      <c r="V233" s="32">
        <v>4</v>
      </c>
      <c r="W233" s="32">
        <f ca="1">H226*INSUMOS!X70</f>
        <v>0</v>
      </c>
      <c r="X233" s="32">
        <f ca="1">IF(W233=0,10000000000,W233)</f>
        <v>10000000000</v>
      </c>
      <c r="Y233" s="32">
        <f>V233</f>
        <v>4</v>
      </c>
      <c r="Z233" s="16"/>
      <c r="AP233" s="627"/>
    </row>
    <row r="234" spans="1:42" x14ac:dyDescent="0.35">
      <c r="A234" s="20"/>
      <c r="B234" s="200"/>
      <c r="H234" s="388"/>
      <c r="I234" s="627"/>
      <c r="J234" s="627"/>
      <c r="K234" s="761"/>
      <c r="O234" s="16"/>
      <c r="T234" s="16"/>
      <c r="V234" s="32">
        <v>5</v>
      </c>
      <c r="W234" s="32">
        <f ca="1">H229*INSUMOS!X71</f>
        <v>0</v>
      </c>
      <c r="X234" s="32">
        <f ca="1">IF(W234=0,10000000000,W234)</f>
        <v>10000000000</v>
      </c>
      <c r="Y234" s="32">
        <f>V234</f>
        <v>5</v>
      </c>
      <c r="Z234" s="16"/>
      <c r="AP234" s="627"/>
    </row>
    <row r="235" spans="1:42" x14ac:dyDescent="0.35">
      <c r="A235" s="20">
        <f>IF(C235="x",1,0)</f>
        <v>0</v>
      </c>
      <c r="B235" s="200">
        <v>7</v>
      </c>
      <c r="C235" s="626">
        <f>ENTRADAS!C1150</f>
        <v>0</v>
      </c>
      <c r="D235">
        <f ca="1">IF(H235=0,0,VLOOKUP(B235,$AN$273:$BA$287,9,0)&amp;"  capac.= "&amp; AZ426&amp;" ton")</f>
        <v>0</v>
      </c>
      <c r="H235" s="34">
        <f ca="1">IF(AM426="x",IF(AP426=0,0,AU426),0)</f>
        <v>0</v>
      </c>
      <c r="I235" s="627">
        <f ca="1">IF(H235=0,0,"FRETES TRANSPORTANDO:")</f>
        <v>0</v>
      </c>
      <c r="K235" s="761">
        <f>K184</f>
        <v>0</v>
      </c>
      <c r="O235" s="16"/>
      <c r="T235" s="16"/>
      <c r="V235" s="20"/>
      <c r="W235" s="2069" t="s">
        <v>1844</v>
      </c>
      <c r="X235" s="1542"/>
      <c r="Y235" s="1545"/>
      <c r="Z235" s="16"/>
      <c r="AP235" s="627"/>
    </row>
    <row r="236" spans="1:42" x14ac:dyDescent="0.35">
      <c r="A236" s="20"/>
      <c r="B236" s="200"/>
      <c r="C236" s="195">
        <f>IF(C235="X","Y",0)</f>
        <v>0</v>
      </c>
      <c r="D236" s="647"/>
      <c r="E236">
        <f>IF(AM426="x",IF(AP4252=0,0,AP426),0)</f>
        <v>0</v>
      </c>
      <c r="F236" s="627">
        <f ca="1">IF(H235=0,0,IF($E$6=0,0,"vigas"))</f>
        <v>0</v>
      </c>
      <c r="K236" s="761"/>
      <c r="N236" s="4"/>
      <c r="O236" s="16"/>
      <c r="T236" s="16"/>
      <c r="V236" s="20"/>
      <c r="W236" s="32"/>
      <c r="X236" s="32">
        <f ca="1">IF(V239=0,0,SMALL(X230:X234,1))</f>
        <v>10000000000</v>
      </c>
      <c r="Y236" s="32">
        <f ca="1">IF(X236=0,0,VLOOKUP(X236,X230:Y234,2,0))</f>
        <v>1</v>
      </c>
      <c r="Z236" s="16"/>
      <c r="AP236" s="627"/>
    </row>
    <row r="237" spans="1:42" x14ac:dyDescent="0.35">
      <c r="A237" s="20"/>
      <c r="B237" s="200"/>
      <c r="H237" s="388"/>
      <c r="I237" s="627"/>
      <c r="J237" s="627"/>
      <c r="K237" s="761"/>
      <c r="O237" s="16"/>
      <c r="T237" s="16"/>
      <c r="V237" s="20"/>
      <c r="Z237" s="16"/>
      <c r="AP237" s="627"/>
    </row>
    <row r="238" spans="1:42" x14ac:dyDescent="0.35">
      <c r="A238" s="20">
        <f>IF(C238="x",1,0)</f>
        <v>0</v>
      </c>
      <c r="B238" s="200">
        <v>8</v>
      </c>
      <c r="C238" s="626">
        <f>ENTRADAS!C1153</f>
        <v>0</v>
      </c>
      <c r="D238">
        <f ca="1">IF(H238=0,0,VLOOKUP(B238,$AN$273:$BA$287,9,0)&amp;"  capac.= "&amp; AZ427&amp;" ton")</f>
        <v>0</v>
      </c>
      <c r="H238" s="34">
        <f ca="1">IF(AM427="x",IF(AP427=0,0,AU427),0)</f>
        <v>0</v>
      </c>
      <c r="I238" s="627">
        <f ca="1">IF(H238=0,0,"FRETES TRANSPORTANDO:")</f>
        <v>0</v>
      </c>
      <c r="K238" s="761">
        <f>K187</f>
        <v>0</v>
      </c>
      <c r="O238" s="16"/>
      <c r="T238" s="16"/>
      <c r="V238" s="20" t="s">
        <v>1845</v>
      </c>
      <c r="Z238" s="16"/>
      <c r="AP238" s="627"/>
    </row>
    <row r="239" spans="1:42" x14ac:dyDescent="0.35">
      <c r="A239" s="20"/>
      <c r="B239" s="200"/>
      <c r="C239" s="195">
        <f>IF(C238="X","Y",0)</f>
        <v>0</v>
      </c>
      <c r="D239" s="647"/>
      <c r="E239">
        <f ca="1">IF(AM427="x",IF(AP427=0,0,AP427),0)</f>
        <v>0</v>
      </c>
      <c r="F239" s="627">
        <f ca="1">IF(H238=0,0,IF($E$6=0,0,"vigas"))</f>
        <v>0</v>
      </c>
      <c r="K239" s="761"/>
      <c r="N239" s="4"/>
      <c r="O239" s="16"/>
      <c r="T239" s="16"/>
      <c r="V239" s="2" t="s">
        <v>35</v>
      </c>
      <c r="W239" s="3" t="s">
        <v>847</v>
      </c>
      <c r="X239" s="32"/>
      <c r="Y239" s="3" t="s">
        <v>848</v>
      </c>
      <c r="Z239" s="17"/>
      <c r="AP239" s="627"/>
    </row>
    <row r="240" spans="1:42" x14ac:dyDescent="0.35">
      <c r="A240" s="20"/>
      <c r="B240" s="200"/>
      <c r="H240" s="388"/>
      <c r="I240" s="627"/>
      <c r="J240" s="627"/>
      <c r="K240" s="761"/>
      <c r="O240" s="16"/>
      <c r="T240" s="16"/>
      <c r="AP240" s="627"/>
    </row>
    <row r="241" spans="1:42" x14ac:dyDescent="0.35">
      <c r="A241" s="20">
        <f>IF(C241="x",1,0)</f>
        <v>0</v>
      </c>
      <c r="B241" s="200">
        <v>9</v>
      </c>
      <c r="C241" s="626">
        <f>ENTRADAS!C1156</f>
        <v>0</v>
      </c>
      <c r="D241">
        <f ca="1">IF(H241=0,0,VLOOKUP(B241,$AN$273:$BA$287,9,0)&amp;"  capac.= "&amp; AZ428&amp;" ton")</f>
        <v>0</v>
      </c>
      <c r="H241" s="34">
        <f ca="1">IF(AM428="x",IF(AP428=0,0,AU428),0)</f>
        <v>0</v>
      </c>
      <c r="I241" s="627">
        <f ca="1">IF(H241=0,0,"FRETES TRANSPORTANDO:")</f>
        <v>0</v>
      </c>
      <c r="K241" s="761">
        <f>K190</f>
        <v>0</v>
      </c>
      <c r="O241" s="16"/>
      <c r="T241" s="16"/>
      <c r="AP241" s="627"/>
    </row>
    <row r="242" spans="1:42" x14ac:dyDescent="0.35">
      <c r="A242" s="20"/>
      <c r="B242" s="200"/>
      <c r="C242" s="195">
        <f>IF(C241="X","Y",0)</f>
        <v>0</v>
      </c>
      <c r="D242" s="647"/>
      <c r="E242">
        <f ca="1">IF(AM428="x",IF(AP428=0,0,AP428),0)</f>
        <v>0</v>
      </c>
      <c r="F242" s="627">
        <f ca="1">IF(H241=0,0,IF($E$6=0,0,"vigas"))</f>
        <v>0</v>
      </c>
      <c r="K242" s="761"/>
      <c r="N242" s="4"/>
      <c r="O242" s="16"/>
      <c r="T242" s="16"/>
      <c r="AP242" s="627"/>
    </row>
    <row r="243" spans="1:42" x14ac:dyDescent="0.35">
      <c r="A243" s="20"/>
      <c r="B243" s="200"/>
      <c r="H243" s="388"/>
      <c r="I243" s="627"/>
      <c r="J243" s="627"/>
      <c r="K243" s="761"/>
      <c r="O243" s="16"/>
      <c r="T243" s="16"/>
      <c r="AP243" s="627"/>
    </row>
    <row r="244" spans="1:42" x14ac:dyDescent="0.35">
      <c r="A244" s="20">
        <f>IF(C244="x",1,0)</f>
        <v>0</v>
      </c>
      <c r="B244" s="200">
        <v>10</v>
      </c>
      <c r="C244" s="626">
        <f>ENTRADAS!C1159</f>
        <v>0</v>
      </c>
      <c r="D244">
        <f ca="1">IF(H244=0,0,VLOOKUP(B244,$AN$273:$BA$287,9,0)&amp;"  capac.= "&amp; AZ429&amp;" ton")</f>
        <v>0</v>
      </c>
      <c r="H244" s="34">
        <f ca="1">IF(AM429="x",IF(AP429=0,0,AU429),0)</f>
        <v>0</v>
      </c>
      <c r="I244" s="627">
        <f ca="1">IF(H244=0,0,"FRETES TRANSPORTANDO:")</f>
        <v>0</v>
      </c>
      <c r="K244" s="761">
        <f>K193</f>
        <v>0</v>
      </c>
      <c r="O244" s="16"/>
      <c r="T244" s="16"/>
      <c r="AP244" s="627"/>
    </row>
    <row r="245" spans="1:42" x14ac:dyDescent="0.35">
      <c r="A245" s="20"/>
      <c r="B245" s="200"/>
      <c r="C245" s="195">
        <f>IF(C244="X","Y",0)</f>
        <v>0</v>
      </c>
      <c r="D245" s="647"/>
      <c r="E245">
        <f ca="1">IF(AM429="x",IF(AP429=0,0,AP429),0)</f>
        <v>0</v>
      </c>
      <c r="F245" s="627">
        <f ca="1">IF(H244=0,0,IF($E$6=0,0,"vigas"))</f>
        <v>0</v>
      </c>
      <c r="K245" s="761"/>
      <c r="N245" s="4"/>
      <c r="O245" s="16"/>
      <c r="T245" s="16"/>
      <c r="AP245" s="627"/>
    </row>
    <row r="246" spans="1:42" x14ac:dyDescent="0.35">
      <c r="A246" s="20"/>
      <c r="B246" s="200"/>
      <c r="C246" s="195"/>
      <c r="F246" s="627"/>
      <c r="H246" s="388"/>
      <c r="I246" s="627"/>
      <c r="J246" s="627"/>
      <c r="K246" s="761"/>
      <c r="N246" s="4"/>
      <c r="O246" s="16"/>
      <c r="T246" s="16"/>
      <c r="AP246" s="627"/>
    </row>
    <row r="247" spans="1:42" x14ac:dyDescent="0.35">
      <c r="A247" s="20">
        <f>IF(C247="x",1,0)</f>
        <v>0</v>
      </c>
      <c r="B247" s="200">
        <v>10</v>
      </c>
      <c r="C247" s="626">
        <f>ENTRADAS!C1162</f>
        <v>0</v>
      </c>
      <c r="D247">
        <f ca="1">IF(H247=0,0,VLOOKUP(B247,$AN$273:$BA$287,9,0)&amp;"  capac.= "&amp; AZ430&amp;" ton")</f>
        <v>0</v>
      </c>
      <c r="H247" s="34">
        <f ca="1">IF(AM430="x",IF(AP430=0,0,AU430),0)</f>
        <v>0</v>
      </c>
      <c r="I247" s="627">
        <f ca="1">IF(H247=0,0,"FRETES TRANSPORTANDO:")</f>
        <v>0</v>
      </c>
      <c r="K247" s="761">
        <f>K196</f>
        <v>0</v>
      </c>
      <c r="O247" s="16"/>
      <c r="T247" s="16"/>
      <c r="AP247" s="627"/>
    </row>
    <row r="248" spans="1:42" x14ac:dyDescent="0.35">
      <c r="A248" s="20"/>
      <c r="B248" s="200"/>
      <c r="C248" s="195">
        <f>IF(C247="X","Y",0)</f>
        <v>0</v>
      </c>
      <c r="D248" s="647"/>
      <c r="E248">
        <f ca="1">IF(AM430="x",IF(AP430=0,0,AP430),0)</f>
        <v>0</v>
      </c>
      <c r="F248" s="627">
        <f ca="1">IF(H247=0,0,IF($E$6=0,0,"vigas"))</f>
        <v>0</v>
      </c>
      <c r="K248" s="761"/>
      <c r="N248" s="4"/>
      <c r="O248" s="16"/>
      <c r="T248" s="16"/>
      <c r="AP248" s="627"/>
    </row>
    <row r="249" spans="1:42" x14ac:dyDescent="0.35">
      <c r="A249" s="20"/>
      <c r="B249" s="200"/>
      <c r="C249" s="195"/>
      <c r="F249" s="627"/>
      <c r="H249" s="388"/>
      <c r="I249" s="627"/>
      <c r="J249" s="627"/>
      <c r="K249" s="761"/>
      <c r="N249" s="4"/>
      <c r="O249" s="16"/>
      <c r="T249" s="16"/>
      <c r="AP249" s="627"/>
    </row>
    <row r="250" spans="1:42" x14ac:dyDescent="0.35">
      <c r="A250" s="20">
        <f>IF(C250="x",1,0)</f>
        <v>0</v>
      </c>
      <c r="B250" s="200">
        <v>10</v>
      </c>
      <c r="C250" s="626">
        <f>ENTRADAS!C1165</f>
        <v>0</v>
      </c>
      <c r="D250">
        <f ca="1">IF(H250=0,0,VLOOKUP(B250,$AN$273:$BA$287,9,0)&amp;"  capac.= "&amp; AZ431&amp;" ton")</f>
        <v>0</v>
      </c>
      <c r="H250" s="34">
        <f ca="1">IF(AM431="x",IF(AP431=0,0,AU431),0)</f>
        <v>0</v>
      </c>
      <c r="I250" s="627">
        <f ca="1">IF(H250=0,0,"FRETES TRANSPORTANDO:")</f>
        <v>0</v>
      </c>
      <c r="K250" s="761">
        <f>K199</f>
        <v>0</v>
      </c>
      <c r="O250" s="16"/>
      <c r="T250" s="16"/>
      <c r="AP250" s="627"/>
    </row>
    <row r="251" spans="1:42" x14ac:dyDescent="0.35">
      <c r="A251" s="20"/>
      <c r="B251" s="200"/>
      <c r="C251" s="195">
        <f>IF(C250="X","Y",0)</f>
        <v>0</v>
      </c>
      <c r="D251" s="647"/>
      <c r="E251">
        <f ca="1">IF(AM431="x",IF(AP431=0,0,AP431),0)</f>
        <v>0</v>
      </c>
      <c r="F251" s="627">
        <f ca="1">IF(H250=0,0,IF($E$6=0,0,"vigas"))</f>
        <v>0</v>
      </c>
      <c r="K251" s="761"/>
      <c r="N251" s="4"/>
      <c r="O251" s="16"/>
      <c r="T251" s="16"/>
      <c r="AP251" s="627"/>
    </row>
    <row r="252" spans="1:42" x14ac:dyDescent="0.35">
      <c r="A252" s="20"/>
      <c r="B252" s="200"/>
      <c r="C252" s="195"/>
      <c r="F252" s="627"/>
      <c r="H252" s="388"/>
      <c r="I252" s="627"/>
      <c r="J252" s="627"/>
      <c r="K252" s="761"/>
      <c r="N252" s="4"/>
      <c r="O252" s="16"/>
      <c r="T252" s="16"/>
      <c r="AP252" s="627"/>
    </row>
    <row r="253" spans="1:42" x14ac:dyDescent="0.35">
      <c r="A253" s="20">
        <f>IF(C253="x",1,0)</f>
        <v>0</v>
      </c>
      <c r="B253" s="200">
        <v>10</v>
      </c>
      <c r="C253" s="626">
        <f>ENTRADAS!C1168</f>
        <v>0</v>
      </c>
      <c r="D253">
        <f ca="1">IF(H253=0,0,VLOOKUP(B253,$AN$273:$BA$287,9,0)&amp;"  capac.= "&amp; AZ432&amp;" ton")</f>
        <v>0</v>
      </c>
      <c r="H253" s="34">
        <f ca="1">IF(AM432="x",IF(AP432=0,0,AU432),0)</f>
        <v>0</v>
      </c>
      <c r="I253" s="627">
        <f ca="1">IF(H253=0,0,"FRETES TRANSPORTANDO:")</f>
        <v>0</v>
      </c>
      <c r="K253" s="761">
        <f>K202</f>
        <v>0</v>
      </c>
      <c r="O253" s="16"/>
      <c r="T253" s="16"/>
      <c r="AP253" s="627"/>
    </row>
    <row r="254" spans="1:42" x14ac:dyDescent="0.35">
      <c r="A254" s="20"/>
      <c r="B254" s="200"/>
      <c r="C254" s="195">
        <f>IF(C253="X","Y",0)</f>
        <v>0</v>
      </c>
      <c r="D254" s="647"/>
      <c r="E254">
        <f ca="1">IF(AM432="x",IF(AP432=0,0,AP432),0)</f>
        <v>0</v>
      </c>
      <c r="F254" s="627">
        <f ca="1">IF(H253=0,0,IF($E$6=0,0,"vigas"))</f>
        <v>0</v>
      </c>
      <c r="K254" s="761"/>
      <c r="N254" s="4"/>
      <c r="O254" s="16"/>
      <c r="T254" s="16"/>
      <c r="AP254" s="627"/>
    </row>
    <row r="255" spans="1:42" x14ac:dyDescent="0.35">
      <c r="A255" s="20"/>
      <c r="B255" s="200"/>
      <c r="C255" s="195"/>
      <c r="F255" s="627"/>
      <c r="H255" s="388"/>
      <c r="I255" s="627"/>
      <c r="J255" s="627"/>
      <c r="K255" s="761"/>
      <c r="N255" s="4"/>
      <c r="O255" s="16"/>
      <c r="T255" s="16"/>
      <c r="AP255" s="627"/>
    </row>
    <row r="256" spans="1:42" x14ac:dyDescent="0.35">
      <c r="A256" s="20">
        <f>IF(C256="x",1,0)</f>
        <v>0</v>
      </c>
      <c r="B256" s="200">
        <v>10</v>
      </c>
      <c r="C256" s="626">
        <f>ENTRADAS!C1171</f>
        <v>0</v>
      </c>
      <c r="D256">
        <f ca="1">IF(H256=0,0,VLOOKUP(B256,$AN$273:$BA$287,9,0)&amp;"  capac.= "&amp; AZ433&amp;" ton")</f>
        <v>0</v>
      </c>
      <c r="H256" s="34">
        <f ca="1">IF(AM433="x",IF(AP433=0,0,AU433),0)</f>
        <v>0</v>
      </c>
      <c r="I256" s="627">
        <f ca="1">IF(H256=0,0,"FRETES TRANSPORTANDO:")</f>
        <v>0</v>
      </c>
      <c r="K256" s="761">
        <f>K205</f>
        <v>0</v>
      </c>
      <c r="O256" s="16"/>
      <c r="T256" s="16"/>
      <c r="AP256" s="627"/>
    </row>
    <row r="257" spans="1:64" x14ac:dyDescent="0.35">
      <c r="A257" s="20"/>
      <c r="B257" s="200"/>
      <c r="C257" s="195">
        <f>IF(C256="X","Y",0)</f>
        <v>0</v>
      </c>
      <c r="D257" s="647"/>
      <c r="E257">
        <f ca="1">IF(AM433="x",IF(AP433=0,0,AP433),0)</f>
        <v>0</v>
      </c>
      <c r="F257" s="627">
        <f ca="1">IF(H256=0,0,IF($E$6=0,0,"vigas"))</f>
        <v>0</v>
      </c>
      <c r="K257" s="761"/>
      <c r="N257" s="4"/>
      <c r="O257" s="16"/>
      <c r="T257" s="16"/>
      <c r="AP257" s="627"/>
    </row>
    <row r="258" spans="1:64" x14ac:dyDescent="0.35">
      <c r="A258" s="20"/>
      <c r="B258" s="200"/>
      <c r="C258" s="195"/>
      <c r="F258" s="627"/>
      <c r="H258" s="388"/>
      <c r="I258" s="627"/>
      <c r="J258" s="627"/>
      <c r="K258" s="761"/>
      <c r="N258" s="4"/>
      <c r="O258" s="16"/>
      <c r="T258" s="16"/>
      <c r="AP258" s="627"/>
    </row>
    <row r="259" spans="1:64" x14ac:dyDescent="0.35">
      <c r="A259" s="20">
        <f>IF(C259="x",1,0)</f>
        <v>0</v>
      </c>
      <c r="B259" s="200">
        <v>10</v>
      </c>
      <c r="C259" s="626">
        <f>ENTRADAS!C1174</f>
        <v>0</v>
      </c>
      <c r="D259">
        <f ca="1">IF(H259=0,0,VLOOKUP(B259,$AN$273:$BA$287,9,0)&amp;"  capac.= "&amp; AZ434&amp;" ton")</f>
        <v>0</v>
      </c>
      <c r="H259" s="34">
        <f ca="1">IF(AM434="x",IF(AP434=0,0,AU434),0)</f>
        <v>0</v>
      </c>
      <c r="I259" s="627">
        <f ca="1">IF(H259=0,0,"FRETES TRANSPORTANDO:")</f>
        <v>0</v>
      </c>
      <c r="K259" s="761">
        <f>K208</f>
        <v>0</v>
      </c>
      <c r="O259" s="16"/>
      <c r="T259" s="16"/>
      <c r="AP259" s="627"/>
    </row>
    <row r="260" spans="1:64" x14ac:dyDescent="0.35">
      <c r="A260" s="20"/>
      <c r="B260" s="200"/>
      <c r="C260" s="195">
        <f>IF(C259="X","Y",0)</f>
        <v>0</v>
      </c>
      <c r="D260" s="647"/>
      <c r="E260">
        <f ca="1">IF(AM434="x",IF(AP434=0,0,AP434),0)</f>
        <v>0</v>
      </c>
      <c r="F260" s="627">
        <f ca="1">IF(H259=0,0,IF($E$6=0,0,"vigas"))</f>
        <v>0</v>
      </c>
      <c r="N260" s="4"/>
      <c r="O260" s="16"/>
      <c r="T260" s="16"/>
      <c r="AP260" s="627"/>
    </row>
    <row r="261" spans="1:64" x14ac:dyDescent="0.35">
      <c r="A261" s="20"/>
      <c r="B261" s="201"/>
      <c r="C261" s="198">
        <f>IF(D418="X","Y",0)</f>
        <v>0</v>
      </c>
      <c r="D261" s="3">
        <f>IF(E261="X",1,0)</f>
        <v>0</v>
      </c>
      <c r="E261" s="3"/>
      <c r="F261" s="749"/>
      <c r="G261" s="3"/>
      <c r="H261" s="3"/>
      <c r="I261" s="3"/>
      <c r="J261" s="3"/>
      <c r="K261" s="3"/>
      <c r="L261" s="3"/>
      <c r="M261" s="3"/>
      <c r="N261" s="33"/>
      <c r="O261" s="17"/>
      <c r="T261" s="16"/>
      <c r="AP261" s="627"/>
    </row>
    <row r="262" spans="1:64" x14ac:dyDescent="0.35">
      <c r="B262" s="633" t="s">
        <v>2517</v>
      </c>
      <c r="C262" s="10"/>
      <c r="D262" s="10"/>
      <c r="E262" s="10"/>
      <c r="F262" s="10"/>
      <c r="G262" s="10"/>
      <c r="H262" s="10"/>
      <c r="I262" s="31">
        <f ca="1">E55</f>
        <v>0</v>
      </c>
      <c r="J262" t="s">
        <v>1061</v>
      </c>
      <c r="AP262" s="627"/>
    </row>
    <row r="263" spans="1:64" x14ac:dyDescent="0.35">
      <c r="B263" s="633" t="s">
        <v>2518</v>
      </c>
      <c r="C263" s="10"/>
      <c r="D263" s="10"/>
      <c r="E263" s="10"/>
      <c r="F263" s="10"/>
      <c r="G263" s="10"/>
      <c r="H263" s="10"/>
      <c r="I263" s="31">
        <f ca="1">IF(E6&lt;=6,0,H116)</f>
        <v>0</v>
      </c>
      <c r="J263" s="627" t="s">
        <v>101</v>
      </c>
    </row>
    <row r="264" spans="1:64" x14ac:dyDescent="0.35">
      <c r="B264" s="633" t="s">
        <v>442</v>
      </c>
      <c r="C264" s="10"/>
      <c r="D264" s="10"/>
      <c r="E264" s="10"/>
      <c r="F264" s="10"/>
      <c r="G264" s="10"/>
      <c r="H264" s="10"/>
      <c r="I264" s="31">
        <f ca="1">IF(I263=0,0,1)</f>
        <v>0</v>
      </c>
      <c r="J264" s="627" t="s">
        <v>46</v>
      </c>
    </row>
    <row r="265" spans="1:64" x14ac:dyDescent="0.35">
      <c r="B265" s="633" t="str">
        <f ca="1">CÁLCULOS!C352</f>
        <v>ANDAIME Painel Fecho: 8  unid.  2,5 X 1,0 X H=8  m (pisos a c/ 2 m) vol= 168 m³ durante 107 dias</v>
      </c>
      <c r="C265" s="10"/>
      <c r="D265" s="10"/>
      <c r="E265" s="10">
        <f>CÁLCULOS!F352</f>
        <v>0</v>
      </c>
      <c r="F265" s="10"/>
      <c r="G265" s="10"/>
      <c r="H265" s="10"/>
      <c r="I265" s="7">
        <f>IF(E265=0,0,H116)</f>
        <v>0</v>
      </c>
      <c r="J265" s="627" t="str">
        <f>IF(I265&lt;=1,"dia","dias")</f>
        <v>dia</v>
      </c>
      <c r="AP265" s="627"/>
    </row>
    <row r="266" spans="1:64" x14ac:dyDescent="0.35">
      <c r="B266" s="633" t="str">
        <f ca="1">"ESCADA de ACESSO: 2 unidades de  2,50 X 4,00  H="&amp;IF(CÁLCULOS!F335="x",CÁLCULOS!I11+1,0)&amp;" m"&amp;" /// volume= "&amp;IF(CÁLCULOS!I11=0,0,2.4*4*(CÁLCULOS!I11+1)*2)&amp;" m³"</f>
        <v>ESCADA de ACESSO: 2 unidades de  2,50 X 4,00  H=8,3 m /// volume= 159,36 m³</v>
      </c>
      <c r="C266" s="10"/>
      <c r="D266" s="10"/>
      <c r="E266" s="65"/>
      <c r="F266" s="646"/>
      <c r="G266" s="646"/>
      <c r="H266" s="10"/>
      <c r="I266" s="7">
        <f ca="1">H116</f>
        <v>0</v>
      </c>
      <c r="J266" s="627" t="str">
        <f ca="1">IF(I266&lt;=1,"dia","dias")</f>
        <v>dia</v>
      </c>
    </row>
    <row r="267" spans="1:64" x14ac:dyDescent="0.35">
      <c r="B267" s="633" t="s">
        <v>408</v>
      </c>
      <c r="C267" s="10"/>
      <c r="D267" s="10"/>
      <c r="E267" s="10"/>
      <c r="F267" s="10"/>
      <c r="G267" s="10"/>
      <c r="H267" s="10"/>
      <c r="I267" s="7">
        <f ca="1">ROUNDUP((0.21*D77),0)</f>
        <v>0</v>
      </c>
      <c r="J267" t="s">
        <v>46</v>
      </c>
      <c r="AP267" s="627"/>
    </row>
    <row r="268" spans="1:64" x14ac:dyDescent="0.35">
      <c r="B268" s="633" t="s">
        <v>551</v>
      </c>
      <c r="C268" s="10"/>
      <c r="D268" s="10"/>
      <c r="E268" s="10"/>
      <c r="F268" s="10"/>
      <c r="G268" s="10"/>
      <c r="H268" s="10"/>
      <c r="I268" s="7">
        <f ca="1">ROUNDUP(4*F78 /18,0)</f>
        <v>0</v>
      </c>
      <c r="J268" t="s">
        <v>552</v>
      </c>
    </row>
    <row r="269" spans="1:64" x14ac:dyDescent="0.35">
      <c r="B269" s="633" t="s">
        <v>2519</v>
      </c>
      <c r="C269" s="10"/>
      <c r="D269" s="10"/>
      <c r="E269" s="10"/>
      <c r="F269" s="10"/>
      <c r="G269" s="10"/>
      <c r="H269" s="10"/>
      <c r="I269" s="7">
        <f ca="1">C72*1.1</f>
        <v>0</v>
      </c>
      <c r="J269" t="s">
        <v>31</v>
      </c>
    </row>
    <row r="270" spans="1:64" ht="12.75" customHeight="1" x14ac:dyDescent="0.35">
      <c r="B270" s="633" t="s">
        <v>1441</v>
      </c>
      <c r="C270" s="10"/>
      <c r="D270" s="10"/>
      <c r="E270" s="10"/>
      <c r="F270" s="10"/>
      <c r="G270" s="10"/>
      <c r="H270" s="10"/>
      <c r="I270" s="7">
        <f ca="1">D76*1.03</f>
        <v>0</v>
      </c>
      <c r="J270" t="s">
        <v>31</v>
      </c>
      <c r="AM270" s="674"/>
      <c r="AN270" s="674"/>
      <c r="AO270" s="674"/>
      <c r="AP270" s="674"/>
      <c r="AQ270" s="674"/>
      <c r="AR270" s="1442" t="s">
        <v>2520</v>
      </c>
      <c r="AS270" s="674"/>
      <c r="AT270" s="674"/>
      <c r="AU270" s="1442" t="s">
        <v>2521</v>
      </c>
      <c r="BB270" s="1446" t="s">
        <v>2522</v>
      </c>
      <c r="BC270" s="1337" t="s">
        <v>327</v>
      </c>
      <c r="BD270" s="1337"/>
      <c r="BE270" s="1337"/>
      <c r="BF270" s="1337"/>
      <c r="BG270" s="1337"/>
      <c r="BH270" s="1337"/>
      <c r="BI270" s="1337"/>
      <c r="BJ270" s="1337"/>
      <c r="BK270" s="1337"/>
      <c r="BL270" s="1337"/>
    </row>
    <row r="271" spans="1:64" ht="25.5" x14ac:dyDescent="0.35">
      <c r="B271" s="633" t="s">
        <v>2523</v>
      </c>
      <c r="C271" s="10"/>
      <c r="D271" s="10"/>
      <c r="E271" s="10"/>
      <c r="F271" s="10"/>
      <c r="G271" s="10"/>
      <c r="H271" s="10"/>
      <c r="I271" s="7">
        <f ca="1">D75</f>
        <v>0</v>
      </c>
      <c r="J271" t="s">
        <v>46</v>
      </c>
      <c r="AM271" s="1097"/>
      <c r="AN271" s="1097" t="s">
        <v>346</v>
      </c>
      <c r="AO271" s="1097"/>
      <c r="AP271" s="1097" t="s">
        <v>2524</v>
      </c>
      <c r="AQ271" s="1097" t="s">
        <v>2376</v>
      </c>
      <c r="AR271" s="1443"/>
      <c r="AS271" s="1097" t="s">
        <v>2525</v>
      </c>
      <c r="AT271" s="1097" t="s">
        <v>2526</v>
      </c>
      <c r="AU271" s="2116"/>
      <c r="AV271" s="1318" t="s">
        <v>324</v>
      </c>
      <c r="AW271" s="1319"/>
      <c r="AX271" s="1319"/>
      <c r="AY271" s="1400"/>
      <c r="AZ271" s="1421" t="s">
        <v>330</v>
      </c>
      <c r="BA271" s="1318" t="s">
        <v>331</v>
      </c>
      <c r="BB271" s="1446"/>
      <c r="BC271" s="2070" t="s">
        <v>323</v>
      </c>
      <c r="BD271" s="1422" t="s">
        <v>324</v>
      </c>
      <c r="BE271" s="1422"/>
      <c r="BF271" s="1422"/>
      <c r="BG271" s="1422"/>
      <c r="BH271" s="1422" t="s">
        <v>330</v>
      </c>
      <c r="BI271" s="1422" t="s">
        <v>331</v>
      </c>
      <c r="BJ271" s="750" t="s">
        <v>275</v>
      </c>
      <c r="BK271" s="1228" t="s">
        <v>2527</v>
      </c>
      <c r="BL271" s="705" t="s">
        <v>333</v>
      </c>
    </row>
    <row r="272" spans="1:64" ht="25.5" x14ac:dyDescent="0.35">
      <c r="B272" s="652"/>
      <c r="C272" s="14"/>
      <c r="D272" s="14"/>
      <c r="E272" s="14"/>
      <c r="F272" s="14"/>
      <c r="G272" s="14"/>
      <c r="H272" s="14"/>
      <c r="I272" s="447"/>
      <c r="AM272" s="1047" t="s">
        <v>354</v>
      </c>
      <c r="AN272" s="1047" t="s">
        <v>355</v>
      </c>
      <c r="AO272" s="1047" t="s">
        <v>356</v>
      </c>
      <c r="AP272" s="1047" t="s">
        <v>357</v>
      </c>
      <c r="AQ272" s="1047" t="s">
        <v>357</v>
      </c>
      <c r="AR272" s="626" t="s">
        <v>1071</v>
      </c>
      <c r="AS272" s="1047" t="s">
        <v>2528</v>
      </c>
      <c r="AT272" s="1047" t="s">
        <v>2528</v>
      </c>
      <c r="AU272" s="386" t="s">
        <v>361</v>
      </c>
      <c r="AV272" s="1471"/>
      <c r="AW272" s="1472"/>
      <c r="AX272" s="1472"/>
      <c r="AY272" s="1473"/>
      <c r="AZ272" s="1422"/>
      <c r="BA272" s="1471"/>
      <c r="BB272" s="1446"/>
      <c r="BC272" s="2070"/>
      <c r="BD272" s="1352"/>
      <c r="BE272" s="1352"/>
      <c r="BF272" s="1352"/>
      <c r="BG272" s="1352"/>
      <c r="BH272" s="1352"/>
      <c r="BI272" s="1352"/>
      <c r="BJ272" s="639" t="s">
        <v>336</v>
      </c>
      <c r="BK272" s="639" t="s">
        <v>337</v>
      </c>
      <c r="BL272" s="673" t="s">
        <v>338</v>
      </c>
    </row>
    <row r="273" spans="2:64" x14ac:dyDescent="0.35">
      <c r="B273" s="1338" t="s">
        <v>104</v>
      </c>
      <c r="C273" s="1441"/>
      <c r="D273" s="1441"/>
      <c r="E273" s="1441"/>
      <c r="F273" s="1441"/>
      <c r="G273" s="1441"/>
      <c r="H273" s="1441"/>
      <c r="I273" s="1441"/>
      <c r="J273" s="1441"/>
      <c r="K273" s="1339"/>
      <c r="AL273" s="627">
        <f t="shared" ref="AL273:AL287" ca="1" si="247">IF(AU273=0,1,0)</f>
        <v>1</v>
      </c>
      <c r="AM273" s="673" t="str">
        <f>IF(CÁLCULOS!A153=1,"X",IF(0&gt;12,0,IF(AU273=0,0,IF(AU273&gt;=AU272,0,"X"))))</f>
        <v>X</v>
      </c>
      <c r="AN273" s="626">
        <f>CÁLCULOS!D153</f>
        <v>1</v>
      </c>
      <c r="AO273" s="626">
        <f>CÁLCULOS!H153</f>
        <v>25</v>
      </c>
      <c r="AP273" s="2">
        <f>IF(ENTRADAS!$D$912=0,0,IF($D$29=0,ROUNDDOWN(AO273/$AA$169,0),0))</f>
        <v>0</v>
      </c>
      <c r="AQ273" s="2">
        <f ca="1">IF($E$6=0,0,IF($AA$170=0,0,ROUNDDOWN(AO273/$AA$170,0)))</f>
        <v>0</v>
      </c>
      <c r="AR273" s="626">
        <f t="shared" ref="AR273:AR287" ca="1" si="248">IF(AO273=0,0,IF($D$29=0,0,ROUNDDOWN($AC$173/AO273,0)))</f>
        <v>0</v>
      </c>
      <c r="AS273" s="520">
        <f ca="1">IF(AO273=0,0,CY87)</f>
        <v>0</v>
      </c>
      <c r="AT273" s="389">
        <f ca="1">IF(AQ273=0,0,IF(AND($D$12/AQ273&gt;0,$D$12/AQ273&lt;1),1,ROUNDDOWN($D$12/AQ273,0)))</f>
        <v>0</v>
      </c>
      <c r="AU273" s="389">
        <f ca="1">AS273+AT273</f>
        <v>0</v>
      </c>
      <c r="AV273" s="978" t="str">
        <f>CÁLCULOS!E153</f>
        <v xml:space="preserve">CARRETA ABERTA </v>
      </c>
      <c r="AW273" s="10"/>
      <c r="AX273" s="10"/>
      <c r="AY273" s="6"/>
      <c r="AZ273" s="41">
        <f t="shared" ref="AZ273:AZ287" si="249">IF(AM273="x",AO273,0)</f>
        <v>25</v>
      </c>
      <c r="BA273" s="695" t="str">
        <f t="shared" ref="BA273:BA287" si="250">IF(AZ273=0,0,"ton")</f>
        <v>ton</v>
      </c>
      <c r="BB273" s="385">
        <f ca="1">AT273</f>
        <v>0</v>
      </c>
      <c r="BC273" s="2">
        <f>IF(BD273=0,0,1)</f>
        <v>1</v>
      </c>
      <c r="BD273" s="9" t="str">
        <f t="shared" ref="BD273:BD287" si="251">AV273</f>
        <v xml:space="preserve">CARRETA ABERTA </v>
      </c>
      <c r="BE273" s="10"/>
      <c r="BF273" s="10"/>
      <c r="BG273" s="6"/>
      <c r="BH273" s="41">
        <f>CÁLCULOS!H153</f>
        <v>25</v>
      </c>
      <c r="BI273" s="729">
        <f ca="1">IF(BJ273=0,0,"ton")</f>
        <v>0</v>
      </c>
      <c r="BJ273" s="390">
        <f t="shared" ref="BJ273:BJ287" ca="1" si="252">AU273</f>
        <v>0</v>
      </c>
      <c r="BK273" s="390">
        <f t="shared" ref="BK273:BK287" ca="1" si="253">IF(BJ273=0,0,AP273)</f>
        <v>0</v>
      </c>
      <c r="BL273" s="2" t="str">
        <f ca="1">IF(BD273=0,0,IF(BJ273=0,"NÃO","SIM"))</f>
        <v>NÃO</v>
      </c>
    </row>
    <row r="274" spans="2:64" x14ac:dyDescent="0.35">
      <c r="B274" s="633" t="s">
        <v>105</v>
      </c>
      <c r="C274" s="10"/>
      <c r="D274" s="10"/>
      <c r="E274" s="10"/>
      <c r="F274" s="10"/>
      <c r="G274" s="10"/>
      <c r="H274" s="10"/>
      <c r="I274" s="371"/>
      <c r="J274" s="6"/>
      <c r="K274" s="660">
        <f ca="1">ROUNDUP(SUM($H$138:$H$142)/7*5/30,0)</f>
        <v>0</v>
      </c>
      <c r="L274" s="627" t="s">
        <v>46</v>
      </c>
      <c r="AL274" s="627">
        <f t="shared" ca="1" si="247"/>
        <v>1</v>
      </c>
      <c r="AM274" s="673" t="str">
        <f>IF(CÁLCULOS!A154=1,"X",IF(0&gt;12,0,IF(AU274=0,0,IF(AU274&gt;=AU273,0,"X"))))</f>
        <v>X</v>
      </c>
      <c r="AN274" s="626">
        <f>CÁLCULOS!D154</f>
        <v>2</v>
      </c>
      <c r="AO274" s="626">
        <f>CÁLCULOS!H154</f>
        <v>31</v>
      </c>
      <c r="AP274" s="2">
        <f>IF(ENTRADAS!$D$912=0,0,IF($D$29=0,ROUNDDOWN(AO274/$AA$169,0),0))</f>
        <v>0</v>
      </c>
      <c r="AQ274" s="2">
        <f ca="1">IF($E$6=0,0,IF($AA$170=0,0,ROUNDDOWN(AO274/$AA$170,0)))</f>
        <v>0</v>
      </c>
      <c r="AR274" s="626">
        <f t="shared" ca="1" si="248"/>
        <v>0</v>
      </c>
      <c r="AS274" s="520">
        <f ca="1">IF(AO274=0,0,DR87)</f>
        <v>0</v>
      </c>
      <c r="AT274" s="389">
        <f t="shared" ref="AT274:AT287" ca="1" si="254">IF(AQ274=0,0,IF(AND($D$12/AQ274&gt;0,$D$12/AQ274&lt;1),1,ROUNDDOWN($D$12/AQ274,0)))</f>
        <v>0</v>
      </c>
      <c r="AU274" s="389">
        <f t="shared" ref="AU274:AU287" ca="1" si="255">AS274+AT274</f>
        <v>0</v>
      </c>
      <c r="AV274" s="978" t="str">
        <f>CÁLCULOS!E154</f>
        <v>CARRETA LS</v>
      </c>
      <c r="AW274" s="10"/>
      <c r="AX274" s="10"/>
      <c r="AY274" s="6"/>
      <c r="AZ274" s="41">
        <f t="shared" si="249"/>
        <v>31</v>
      </c>
      <c r="BA274" s="695" t="str">
        <f t="shared" si="250"/>
        <v>ton</v>
      </c>
      <c r="BB274" s="385">
        <f t="shared" ref="BB274:BB287" ca="1" si="256">AT274</f>
        <v>0</v>
      </c>
      <c r="BC274" s="2">
        <f>IF(BD274=0,0,2)</f>
        <v>2</v>
      </c>
      <c r="BD274" s="9" t="str">
        <f t="shared" si="251"/>
        <v>CARRETA LS</v>
      </c>
      <c r="BE274" s="10"/>
      <c r="BF274" s="10"/>
      <c r="BG274" s="6"/>
      <c r="BH274" s="41">
        <f>CÁLCULOS!H154</f>
        <v>31</v>
      </c>
      <c r="BI274" s="729">
        <f t="shared" ref="BI274:BI287" ca="1" si="257">IF(BJ274=0,0,"ton")</f>
        <v>0</v>
      </c>
      <c r="BJ274" s="390">
        <f t="shared" ca="1" si="252"/>
        <v>0</v>
      </c>
      <c r="BK274" s="390">
        <f t="shared" ca="1" si="253"/>
        <v>0</v>
      </c>
      <c r="BL274" s="2" t="str">
        <f t="shared" ref="BL274:BL287" ca="1" si="258">IF(BD274=0,0,IF(BJ274=0,"NÃO","SIM"))</f>
        <v>NÃO</v>
      </c>
    </row>
    <row r="275" spans="2:64" x14ac:dyDescent="0.35">
      <c r="B275" s="633" t="s">
        <v>106</v>
      </c>
      <c r="C275" s="10"/>
      <c r="D275" s="10"/>
      <c r="E275" s="10"/>
      <c r="F275" s="10"/>
      <c r="G275" s="10"/>
      <c r="H275" s="10"/>
      <c r="I275" s="371"/>
      <c r="J275" s="6"/>
      <c r="K275" s="660">
        <f ca="1">ROUNDUP(SUM($H$138:$H$142)/7*5/30,0)</f>
        <v>0</v>
      </c>
      <c r="L275" s="627" t="s">
        <v>46</v>
      </c>
      <c r="AL275" s="627">
        <f t="shared" ca="1" si="247"/>
        <v>1</v>
      </c>
      <c r="AM275" s="673" t="str">
        <f>IF(CÁLCULOS!A155=1,"X",IF(0&gt;12,0,IF(AU275=0,0,IF(AU275&gt;=AU274,0,"X"))))</f>
        <v>X</v>
      </c>
      <c r="AN275" s="626">
        <f>CÁLCULOS!D155</f>
        <v>3</v>
      </c>
      <c r="AO275" s="626">
        <f>CÁLCULOS!H155</f>
        <v>25</v>
      </c>
      <c r="AP275" s="2">
        <f>IF(ENTRADAS!$D$912=0,0,IF($D$29=0,ROUNDDOWN(AO275/$AA$169,0),0))</f>
        <v>0</v>
      </c>
      <c r="AQ275" s="2">
        <f t="shared" ref="AQ275:AQ287" ca="1" si="259">IF($E$6=0,0,IF($AA$170=0,0,ROUNDDOWN(AO275/$AA$170,0)))</f>
        <v>0</v>
      </c>
      <c r="AR275" s="626">
        <f t="shared" ca="1" si="248"/>
        <v>0</v>
      </c>
      <c r="AS275" s="520">
        <f ca="1">IF(AO275=0,0,EK87)</f>
        <v>0</v>
      </c>
      <c r="AT275" s="389">
        <f t="shared" ca="1" si="254"/>
        <v>0</v>
      </c>
      <c r="AU275" s="389">
        <f t="shared" ca="1" si="255"/>
        <v>0</v>
      </c>
      <c r="AV275" s="978" t="str">
        <f>CÁLCULOS!E155</f>
        <v>CARRETA VANDERLEIA</v>
      </c>
      <c r="AW275" s="10"/>
      <c r="AX275" s="10"/>
      <c r="AY275" s="6"/>
      <c r="AZ275" s="41">
        <f t="shared" si="249"/>
        <v>25</v>
      </c>
      <c r="BA275" s="695" t="str">
        <f t="shared" si="250"/>
        <v>ton</v>
      </c>
      <c r="BB275" s="385">
        <f t="shared" ca="1" si="256"/>
        <v>0</v>
      </c>
      <c r="BC275" s="2">
        <f>IF(BD275=0,0,3)</f>
        <v>3</v>
      </c>
      <c r="BD275" s="9" t="str">
        <f t="shared" si="251"/>
        <v>CARRETA VANDERLEIA</v>
      </c>
      <c r="BE275" s="10"/>
      <c r="BF275" s="10"/>
      <c r="BG275" s="6"/>
      <c r="BH275" s="41">
        <f>CÁLCULOS!H155</f>
        <v>25</v>
      </c>
      <c r="BI275" s="729">
        <f t="shared" ca="1" si="257"/>
        <v>0</v>
      </c>
      <c r="BJ275" s="390">
        <f t="shared" ca="1" si="252"/>
        <v>0</v>
      </c>
      <c r="BK275" s="390">
        <f t="shared" ca="1" si="253"/>
        <v>0</v>
      </c>
      <c r="BL275" s="2" t="str">
        <f t="shared" ca="1" si="258"/>
        <v>NÃO</v>
      </c>
    </row>
    <row r="276" spans="2:64" x14ac:dyDescent="0.35">
      <c r="B276" s="633" t="s">
        <v>107</v>
      </c>
      <c r="C276" s="10"/>
      <c r="D276" s="10"/>
      <c r="E276" s="10"/>
      <c r="F276" s="10"/>
      <c r="G276" s="10"/>
      <c r="H276" s="10"/>
      <c r="I276" s="371"/>
      <c r="J276" s="6"/>
      <c r="K276" s="660">
        <f ca="1">ROUNDUP(SUM($H$138:$H$142)/7*5/30,0)</f>
        <v>0</v>
      </c>
      <c r="L276" s="627" t="s">
        <v>46</v>
      </c>
      <c r="AL276" s="627">
        <f t="shared" ca="1" si="247"/>
        <v>1</v>
      </c>
      <c r="AM276" s="673" t="str">
        <f>IF(CÁLCULOS!A156=1,"X",IF(0&gt;12,0,IF(AU276=0,0,IF(AU276&gt;=AU275,0,"X"))))</f>
        <v>X</v>
      </c>
      <c r="AN276" s="626">
        <f>CÁLCULOS!D156</f>
        <v>4</v>
      </c>
      <c r="AO276" s="626">
        <f>CÁLCULOS!H156</f>
        <v>31</v>
      </c>
      <c r="AP276" s="2">
        <f>IF(ENTRADAS!$D$912=0,0,IF($D$29=0,ROUNDDOWN(AO276/$AA$169,0),0))</f>
        <v>0</v>
      </c>
      <c r="AQ276" s="2">
        <f t="shared" ca="1" si="259"/>
        <v>0</v>
      </c>
      <c r="AR276" s="626">
        <f t="shared" ca="1" si="248"/>
        <v>0</v>
      </c>
      <c r="AS276" s="520">
        <f ca="1">IF(AO276=0,0,FD87)</f>
        <v>0</v>
      </c>
      <c r="AT276" s="389">
        <f t="shared" ca="1" si="254"/>
        <v>0</v>
      </c>
      <c r="AU276" s="389">
        <f t="shared" ca="1" si="255"/>
        <v>0</v>
      </c>
      <c r="AV276" s="978" t="str">
        <f>CÁLCULOS!E156</f>
        <v>CARRETA VANDERLEIA</v>
      </c>
      <c r="AW276" s="10"/>
      <c r="AX276" s="10"/>
      <c r="AY276" s="6"/>
      <c r="AZ276" s="41">
        <f t="shared" si="249"/>
        <v>31</v>
      </c>
      <c r="BA276" s="695" t="str">
        <f t="shared" si="250"/>
        <v>ton</v>
      </c>
      <c r="BB276" s="385">
        <f t="shared" ca="1" si="256"/>
        <v>0</v>
      </c>
      <c r="BC276" s="2">
        <f>IF(BD276=0,0,4)</f>
        <v>4</v>
      </c>
      <c r="BD276" s="448" t="str">
        <f t="shared" si="251"/>
        <v>CARRETA VANDERLEIA</v>
      </c>
      <c r="BE276" s="10"/>
      <c r="BF276" s="10"/>
      <c r="BG276" s="6"/>
      <c r="BH276" s="41">
        <f>CÁLCULOS!H156</f>
        <v>31</v>
      </c>
      <c r="BI276" s="729">
        <f t="shared" ca="1" si="257"/>
        <v>0</v>
      </c>
      <c r="BJ276" s="390">
        <f t="shared" ca="1" si="252"/>
        <v>0</v>
      </c>
      <c r="BK276" s="390">
        <f t="shared" ca="1" si="253"/>
        <v>0</v>
      </c>
      <c r="BL276" s="2" t="str">
        <f t="shared" ca="1" si="258"/>
        <v>NÃO</v>
      </c>
    </row>
    <row r="277" spans="2:64" x14ac:dyDescent="0.35">
      <c r="B277" s="633" t="s">
        <v>108</v>
      </c>
      <c r="C277" s="10"/>
      <c r="D277" s="10"/>
      <c r="E277" s="10"/>
      <c r="F277" s="10"/>
      <c r="G277" s="10"/>
      <c r="H277" s="10"/>
      <c r="I277" s="371"/>
      <c r="J277" s="6"/>
      <c r="K277" s="660">
        <f ca="1">ROUNDUP(SUM($H$138:$H$142)/7*5/30,0)</f>
        <v>0</v>
      </c>
      <c r="L277" s="627" t="s">
        <v>46</v>
      </c>
      <c r="AL277" s="627">
        <f t="shared" ca="1" si="247"/>
        <v>1</v>
      </c>
      <c r="AM277" s="673" t="str">
        <f>IF(CÁLCULOS!A157=1,"X",IF(0&gt;12,0,IF(AU277=0,0,IF(AU277&gt;=AU276,0,"X"))))</f>
        <v>X</v>
      </c>
      <c r="AN277" s="626">
        <f>CÁLCULOS!D157</f>
        <v>5</v>
      </c>
      <c r="AO277" s="626">
        <f>CÁLCULOS!H157</f>
        <v>35</v>
      </c>
      <c r="AP277" s="2">
        <f>IF(ENTRADAS!$D$912=0,0,IF($D$29=0,ROUNDDOWN(AO277/$AA$169,0),0))</f>
        <v>0</v>
      </c>
      <c r="AQ277" s="2">
        <f t="shared" ca="1" si="259"/>
        <v>0</v>
      </c>
      <c r="AR277" s="626">
        <f t="shared" ca="1" si="248"/>
        <v>0</v>
      </c>
      <c r="AS277" s="520">
        <f ca="1">IF(AO277=0,0,FW87)</f>
        <v>0</v>
      </c>
      <c r="AT277" s="389">
        <f t="shared" ca="1" si="254"/>
        <v>0</v>
      </c>
      <c r="AU277" s="389">
        <f t="shared" ca="1" si="255"/>
        <v>0</v>
      </c>
      <c r="AV277" s="978" t="str">
        <f>CÁLCULOS!E157</f>
        <v>CARRETA VANDERLEIA</v>
      </c>
      <c r="AW277" s="10"/>
      <c r="AX277" s="10"/>
      <c r="AY277" s="6"/>
      <c r="AZ277" s="41">
        <f t="shared" si="249"/>
        <v>35</v>
      </c>
      <c r="BA277" s="695" t="str">
        <f t="shared" si="250"/>
        <v>ton</v>
      </c>
      <c r="BB277" s="385">
        <f t="shared" ca="1" si="256"/>
        <v>0</v>
      </c>
      <c r="BC277" s="2">
        <f>IF(BD277=0,0,5)</f>
        <v>5</v>
      </c>
      <c r="BD277" s="448" t="str">
        <f t="shared" si="251"/>
        <v>CARRETA VANDERLEIA</v>
      </c>
      <c r="BE277" s="10"/>
      <c r="BF277" s="10"/>
      <c r="BG277" s="6"/>
      <c r="BH277" s="41">
        <f>CÁLCULOS!H157</f>
        <v>35</v>
      </c>
      <c r="BI277" s="729">
        <f t="shared" ca="1" si="257"/>
        <v>0</v>
      </c>
      <c r="BJ277" s="390">
        <f t="shared" ca="1" si="252"/>
        <v>0</v>
      </c>
      <c r="BK277" s="390">
        <f t="shared" ca="1" si="253"/>
        <v>0</v>
      </c>
      <c r="BL277" s="2" t="str">
        <f t="shared" ca="1" si="258"/>
        <v>NÃO</v>
      </c>
    </row>
    <row r="278" spans="2:64" x14ac:dyDescent="0.35">
      <c r="B278" s="633" t="s">
        <v>109</v>
      </c>
      <c r="C278" s="10"/>
      <c r="D278" s="10"/>
      <c r="E278" s="10"/>
      <c r="F278" s="10"/>
      <c r="G278" s="10"/>
      <c r="H278" s="10"/>
      <c r="I278" s="371"/>
      <c r="J278" s="6"/>
      <c r="K278" s="660">
        <f ca="1">ROUNDUP(SUM($H$138:$H$142)/7*5/50,0)</f>
        <v>0</v>
      </c>
      <c r="L278" s="627" t="s">
        <v>46</v>
      </c>
      <c r="AL278" s="627">
        <f t="shared" ca="1" si="247"/>
        <v>1</v>
      </c>
      <c r="AM278" s="673" t="str">
        <f>IF(CÁLCULOS!A158=1,"X",IF(0&gt;12,0,IF(AU278=0,0,IF(AU278&gt;=AU277,0,"X"))))</f>
        <v>X</v>
      </c>
      <c r="AN278" s="626">
        <f>CÁLCULOS!D158</f>
        <v>6</v>
      </c>
      <c r="AO278" s="626">
        <f>CÁLCULOS!H158</f>
        <v>0</v>
      </c>
      <c r="AP278" s="2">
        <f>IF(ENTRADAS!$D$912=0,0,IF($D$29=0,ROUNDDOWN(AO278/$AA$169,0),0))</f>
        <v>0</v>
      </c>
      <c r="AQ278" s="2">
        <f t="shared" ca="1" si="259"/>
        <v>0</v>
      </c>
      <c r="AR278" s="626">
        <f t="shared" si="248"/>
        <v>0</v>
      </c>
      <c r="AS278" s="389"/>
      <c r="AT278" s="389">
        <f t="shared" ca="1" si="254"/>
        <v>0</v>
      </c>
      <c r="AU278" s="389">
        <f t="shared" ca="1" si="255"/>
        <v>0</v>
      </c>
      <c r="AV278" s="978">
        <f>CÁLCULOS!E158</f>
        <v>0</v>
      </c>
      <c r="AW278" s="10"/>
      <c r="AX278" s="10"/>
      <c r="AY278" s="6"/>
      <c r="AZ278" s="41">
        <f t="shared" si="249"/>
        <v>0</v>
      </c>
      <c r="BA278" s="695">
        <f t="shared" si="250"/>
        <v>0</v>
      </c>
      <c r="BB278" s="385">
        <f t="shared" ca="1" si="256"/>
        <v>0</v>
      </c>
      <c r="BC278" s="2">
        <f t="shared" ref="BC278:BC287" si="260">IF(BD278=0,0,5)</f>
        <v>0</v>
      </c>
      <c r="BD278" s="448">
        <f t="shared" si="251"/>
        <v>0</v>
      </c>
      <c r="BE278" s="10"/>
      <c r="BF278" s="10"/>
      <c r="BG278" s="6"/>
      <c r="BH278" s="41">
        <f>CÁLCULOS!H158</f>
        <v>0</v>
      </c>
      <c r="BI278" s="729">
        <f t="shared" ca="1" si="257"/>
        <v>0</v>
      </c>
      <c r="BJ278" s="390">
        <f t="shared" ca="1" si="252"/>
        <v>0</v>
      </c>
      <c r="BK278" s="390">
        <f t="shared" ca="1" si="253"/>
        <v>0</v>
      </c>
      <c r="BL278" s="2">
        <f t="shared" si="258"/>
        <v>0</v>
      </c>
    </row>
    <row r="279" spans="2:64" x14ac:dyDescent="0.35">
      <c r="B279" s="633" t="s">
        <v>110</v>
      </c>
      <c r="C279" s="10"/>
      <c r="D279" s="10"/>
      <c r="E279" s="10"/>
      <c r="F279" s="10"/>
      <c r="G279" s="10"/>
      <c r="H279" s="10"/>
      <c r="I279" s="371"/>
      <c r="J279" s="6"/>
      <c r="K279" s="660">
        <f ca="1">ROUNDUP(SUM($H$138:$H$142)/7*5/20,0)</f>
        <v>0</v>
      </c>
      <c r="L279" s="627" t="s">
        <v>46</v>
      </c>
      <c r="AL279" s="627">
        <f t="shared" ca="1" si="247"/>
        <v>1</v>
      </c>
      <c r="AM279" s="673" t="str">
        <f>IF(CÁLCULOS!A159=1,"X",IF(0&gt;12,0,IF(AU279=0,0,IF(AU279&gt;=AU278,0,"X"))))</f>
        <v>X</v>
      </c>
      <c r="AN279" s="626">
        <f>CÁLCULOS!D159</f>
        <v>7</v>
      </c>
      <c r="AO279" s="626">
        <f>CÁLCULOS!H159</f>
        <v>0</v>
      </c>
      <c r="AP279" s="2">
        <f>IF(ENTRADAS!$D$912=0,0,IF($D$29=0,ROUNDDOWN(AO279/$AA$169,0),0))</f>
        <v>0</v>
      </c>
      <c r="AQ279" s="2">
        <f t="shared" ca="1" si="259"/>
        <v>0</v>
      </c>
      <c r="AR279" s="626">
        <f t="shared" si="248"/>
        <v>0</v>
      </c>
      <c r="AS279" s="389"/>
      <c r="AT279" s="389">
        <f t="shared" ca="1" si="254"/>
        <v>0</v>
      </c>
      <c r="AU279" s="389">
        <f t="shared" ca="1" si="255"/>
        <v>0</v>
      </c>
      <c r="AV279" s="978">
        <f>CÁLCULOS!E159</f>
        <v>0</v>
      </c>
      <c r="AW279" s="10"/>
      <c r="AX279" s="10"/>
      <c r="AY279" s="6"/>
      <c r="AZ279" s="41">
        <f t="shared" si="249"/>
        <v>0</v>
      </c>
      <c r="BA279" s="695">
        <f t="shared" si="250"/>
        <v>0</v>
      </c>
      <c r="BB279" s="385">
        <f t="shared" ca="1" si="256"/>
        <v>0</v>
      </c>
      <c r="BC279" s="2">
        <f t="shared" si="260"/>
        <v>0</v>
      </c>
      <c r="BD279" s="448">
        <f t="shared" si="251"/>
        <v>0</v>
      </c>
      <c r="BE279" s="10"/>
      <c r="BF279" s="10"/>
      <c r="BG279" s="6"/>
      <c r="BH279" s="41">
        <f>CÁLCULOS!H159</f>
        <v>0</v>
      </c>
      <c r="BI279" s="729">
        <f t="shared" ca="1" si="257"/>
        <v>0</v>
      </c>
      <c r="BJ279" s="390">
        <f t="shared" ca="1" si="252"/>
        <v>0</v>
      </c>
      <c r="BK279" s="390">
        <f t="shared" ca="1" si="253"/>
        <v>0</v>
      </c>
      <c r="BL279" s="2">
        <f t="shared" si="258"/>
        <v>0</v>
      </c>
    </row>
    <row r="280" spans="2:64" x14ac:dyDescent="0.35">
      <c r="B280" s="633" t="s">
        <v>111</v>
      </c>
      <c r="C280" s="10"/>
      <c r="D280" s="10"/>
      <c r="E280" s="10"/>
      <c r="F280" s="10"/>
      <c r="G280" s="10"/>
      <c r="H280" s="10"/>
      <c r="I280" s="371"/>
      <c r="J280" s="6"/>
      <c r="K280" s="660">
        <f ca="1">ROUNDUP(SUM($H$138:$H$142)/7*5/20,0)</f>
        <v>0</v>
      </c>
      <c r="L280" s="627" t="s">
        <v>46</v>
      </c>
      <c r="AL280" s="627">
        <f t="shared" ca="1" si="247"/>
        <v>1</v>
      </c>
      <c r="AM280" s="673" t="str">
        <f>IF(CÁLCULOS!A160=1,"X",IF(0&gt;12,0,IF(AU280=0,0,IF(AU280&gt;=AU279,0,"X"))))</f>
        <v>X</v>
      </c>
      <c r="AN280" s="626">
        <f>CÁLCULOS!D160</f>
        <v>8</v>
      </c>
      <c r="AO280" s="626">
        <f>CÁLCULOS!H160</f>
        <v>0</v>
      </c>
      <c r="AP280" s="2">
        <f>IF(ENTRADAS!$D$912=0,0,IF($D$29=0,ROUNDDOWN(AO280/$AA$169,0),0))</f>
        <v>0</v>
      </c>
      <c r="AQ280" s="2">
        <f t="shared" ca="1" si="259"/>
        <v>0</v>
      </c>
      <c r="AR280" s="626">
        <f t="shared" si="248"/>
        <v>0</v>
      </c>
      <c r="AS280" s="389"/>
      <c r="AT280" s="389">
        <f t="shared" ca="1" si="254"/>
        <v>0</v>
      </c>
      <c r="AU280" s="389">
        <f t="shared" ca="1" si="255"/>
        <v>0</v>
      </c>
      <c r="AV280" s="978">
        <f>CÁLCULOS!E160</f>
        <v>0</v>
      </c>
      <c r="AW280" s="10"/>
      <c r="AX280" s="10"/>
      <c r="AY280" s="6"/>
      <c r="AZ280" s="41">
        <f t="shared" si="249"/>
        <v>0</v>
      </c>
      <c r="BA280" s="695">
        <f t="shared" si="250"/>
        <v>0</v>
      </c>
      <c r="BB280" s="385">
        <f t="shared" ca="1" si="256"/>
        <v>0</v>
      </c>
      <c r="BC280" s="2">
        <f t="shared" si="260"/>
        <v>0</v>
      </c>
      <c r="BD280" s="448">
        <f t="shared" si="251"/>
        <v>0</v>
      </c>
      <c r="BE280" s="10"/>
      <c r="BF280" s="10"/>
      <c r="BG280" s="6"/>
      <c r="BH280" s="41">
        <f>CÁLCULOS!H160</f>
        <v>0</v>
      </c>
      <c r="BI280" s="729">
        <f t="shared" ca="1" si="257"/>
        <v>0</v>
      </c>
      <c r="BJ280" s="390">
        <f t="shared" ca="1" si="252"/>
        <v>0</v>
      </c>
      <c r="BK280" s="390">
        <f t="shared" ca="1" si="253"/>
        <v>0</v>
      </c>
      <c r="BL280" s="2">
        <f t="shared" si="258"/>
        <v>0</v>
      </c>
    </row>
    <row r="281" spans="2:64" x14ac:dyDescent="0.35">
      <c r="B281" s="633" t="s">
        <v>112</v>
      </c>
      <c r="C281" s="10"/>
      <c r="D281" s="10"/>
      <c r="E281" s="10"/>
      <c r="F281" s="10"/>
      <c r="G281" s="10"/>
      <c r="H281" s="10"/>
      <c r="I281" s="371"/>
      <c r="J281" s="6"/>
      <c r="K281" s="660">
        <f ca="1">ROUNDUP(SUM($H$138:$H$142)/7*5/10,0)</f>
        <v>0</v>
      </c>
      <c r="L281" s="627" t="s">
        <v>46</v>
      </c>
      <c r="AL281" s="627">
        <f t="shared" ca="1" si="247"/>
        <v>1</v>
      </c>
      <c r="AM281" s="673" t="str">
        <f>IF(CÁLCULOS!A161=1,"X",IF(0&gt;12,0,IF(AU281=0,0,IF(AU281&gt;=AU280,0,"X"))))</f>
        <v>X</v>
      </c>
      <c r="AN281" s="626">
        <f>CÁLCULOS!D161</f>
        <v>9</v>
      </c>
      <c r="AO281" s="626">
        <f>CÁLCULOS!H161</f>
        <v>0</v>
      </c>
      <c r="AP281" s="2">
        <f>IF(ENTRADAS!$D$912=0,0,IF($D$29=0,ROUNDDOWN(AO281/$AA$169,0),0))</f>
        <v>0</v>
      </c>
      <c r="AQ281" s="2">
        <f t="shared" ca="1" si="259"/>
        <v>0</v>
      </c>
      <c r="AR281" s="626">
        <f t="shared" si="248"/>
        <v>0</v>
      </c>
      <c r="AS281" s="389"/>
      <c r="AT281" s="389">
        <f t="shared" ca="1" si="254"/>
        <v>0</v>
      </c>
      <c r="AU281" s="389">
        <f t="shared" ca="1" si="255"/>
        <v>0</v>
      </c>
      <c r="AV281" s="978">
        <f>CÁLCULOS!E161</f>
        <v>0</v>
      </c>
      <c r="AW281" s="10"/>
      <c r="AX281" s="10"/>
      <c r="AY281" s="6"/>
      <c r="AZ281" s="41">
        <f t="shared" si="249"/>
        <v>0</v>
      </c>
      <c r="BA281" s="695">
        <f t="shared" si="250"/>
        <v>0</v>
      </c>
      <c r="BB281" s="385">
        <f t="shared" ca="1" si="256"/>
        <v>0</v>
      </c>
      <c r="BC281" s="2">
        <f t="shared" si="260"/>
        <v>0</v>
      </c>
      <c r="BD281" s="448">
        <f t="shared" si="251"/>
        <v>0</v>
      </c>
      <c r="BE281" s="10"/>
      <c r="BF281" s="10"/>
      <c r="BG281" s="6"/>
      <c r="BH281" s="41">
        <f>CÁLCULOS!H161</f>
        <v>0</v>
      </c>
      <c r="BI281" s="729">
        <f t="shared" ca="1" si="257"/>
        <v>0</v>
      </c>
      <c r="BJ281" s="390">
        <f t="shared" ca="1" si="252"/>
        <v>0</v>
      </c>
      <c r="BK281" s="390">
        <f t="shared" ca="1" si="253"/>
        <v>0</v>
      </c>
      <c r="BL281" s="2">
        <f t="shared" si="258"/>
        <v>0</v>
      </c>
    </row>
    <row r="282" spans="2:64" x14ac:dyDescent="0.35">
      <c r="B282" s="633" t="s">
        <v>113</v>
      </c>
      <c r="C282" s="10"/>
      <c r="D282" s="10"/>
      <c r="E282" s="10"/>
      <c r="F282" s="10"/>
      <c r="G282" s="10"/>
      <c r="H282" s="10"/>
      <c r="I282" s="371"/>
      <c r="J282" s="6"/>
      <c r="K282" s="660">
        <f ca="1">ROUNDUP(SUM($H$138:$H$142)/7*5/10,0)</f>
        <v>0</v>
      </c>
      <c r="L282" s="627" t="s">
        <v>46</v>
      </c>
      <c r="AL282" s="627">
        <f t="shared" ca="1" si="247"/>
        <v>1</v>
      </c>
      <c r="AM282" s="673" t="str">
        <f>IF(CÁLCULOS!A162=1,"X",IF(0&gt;12,0,IF(AU282=0,0,IF(AU282&gt;=AU281,0,"X"))))</f>
        <v>X</v>
      </c>
      <c r="AN282" s="626">
        <f>CÁLCULOS!D162</f>
        <v>10</v>
      </c>
      <c r="AO282" s="626">
        <f>CÁLCULOS!H162</f>
        <v>0</v>
      </c>
      <c r="AP282" s="2">
        <f>IF(ENTRADAS!$D$912=0,0,IF($D$29=0,ROUNDDOWN(AO282/$AA$169,0),0))</f>
        <v>0</v>
      </c>
      <c r="AQ282" s="2">
        <f t="shared" ca="1" si="259"/>
        <v>0</v>
      </c>
      <c r="AR282" s="626">
        <f t="shared" si="248"/>
        <v>0</v>
      </c>
      <c r="AS282" s="389"/>
      <c r="AT282" s="389">
        <f t="shared" ca="1" si="254"/>
        <v>0</v>
      </c>
      <c r="AU282" s="389">
        <f t="shared" ca="1" si="255"/>
        <v>0</v>
      </c>
      <c r="AV282" s="978">
        <f>CÁLCULOS!E162</f>
        <v>0</v>
      </c>
      <c r="AW282" s="10"/>
      <c r="AX282" s="10"/>
      <c r="AY282" s="6"/>
      <c r="AZ282" s="41">
        <f t="shared" si="249"/>
        <v>0</v>
      </c>
      <c r="BA282" s="695">
        <f t="shared" si="250"/>
        <v>0</v>
      </c>
      <c r="BB282" s="385">
        <f t="shared" ca="1" si="256"/>
        <v>0</v>
      </c>
      <c r="BC282" s="2">
        <f t="shared" si="260"/>
        <v>0</v>
      </c>
      <c r="BD282" s="448">
        <f t="shared" si="251"/>
        <v>0</v>
      </c>
      <c r="BE282" s="10"/>
      <c r="BF282" s="10"/>
      <c r="BG282" s="6"/>
      <c r="BH282" s="41">
        <f>CÁLCULOS!H162</f>
        <v>0</v>
      </c>
      <c r="BI282" s="729">
        <f t="shared" ca="1" si="257"/>
        <v>0</v>
      </c>
      <c r="BJ282" s="390">
        <f t="shared" ca="1" si="252"/>
        <v>0</v>
      </c>
      <c r="BK282" s="390">
        <f t="shared" ca="1" si="253"/>
        <v>0</v>
      </c>
      <c r="BL282" s="2">
        <f t="shared" si="258"/>
        <v>0</v>
      </c>
    </row>
    <row r="283" spans="2:64" x14ac:dyDescent="0.35">
      <c r="B283" s="633" t="s">
        <v>114</v>
      </c>
      <c r="C283" s="10"/>
      <c r="D283" s="10"/>
      <c r="E283" s="10"/>
      <c r="F283" s="10"/>
      <c r="G283" s="10"/>
      <c r="H283" s="10"/>
      <c r="I283" s="371"/>
      <c r="J283" s="6"/>
      <c r="K283" s="660">
        <f ca="1">ROUNDUP(SUM($H$138:$H$142)/7*5/10,0)</f>
        <v>0</v>
      </c>
      <c r="L283" s="627" t="s">
        <v>46</v>
      </c>
      <c r="AL283" s="627">
        <f t="shared" ca="1" si="247"/>
        <v>1</v>
      </c>
      <c r="AM283" s="673" t="str">
        <f>IF(CÁLCULOS!A163=1,"X",IF(0&gt;12,0,IF(AU283=0,0,IF(AU283&gt;=AU282,0,"X"))))</f>
        <v>X</v>
      </c>
      <c r="AN283" s="626">
        <f>CÁLCULOS!D163</f>
        <v>11</v>
      </c>
      <c r="AO283" s="626">
        <f>CÁLCULOS!H163</f>
        <v>0</v>
      </c>
      <c r="AP283" s="2">
        <f>IF(ENTRADAS!$D$912=0,0,IF($D$29=0,ROUNDDOWN(AO283/$AA$169,0),0))</f>
        <v>0</v>
      </c>
      <c r="AQ283" s="2">
        <f t="shared" ca="1" si="259"/>
        <v>0</v>
      </c>
      <c r="AR283" s="626">
        <f t="shared" si="248"/>
        <v>0</v>
      </c>
      <c r="AS283" s="389"/>
      <c r="AT283" s="389">
        <f t="shared" ca="1" si="254"/>
        <v>0</v>
      </c>
      <c r="AU283" s="389">
        <f t="shared" ca="1" si="255"/>
        <v>0</v>
      </c>
      <c r="AV283" s="978">
        <f>CÁLCULOS!E163</f>
        <v>0</v>
      </c>
      <c r="AW283" s="10"/>
      <c r="AX283" s="10"/>
      <c r="AY283" s="6"/>
      <c r="AZ283" s="41">
        <f t="shared" si="249"/>
        <v>0</v>
      </c>
      <c r="BA283" s="695">
        <f t="shared" si="250"/>
        <v>0</v>
      </c>
      <c r="BB283" s="385">
        <f t="shared" ca="1" si="256"/>
        <v>0</v>
      </c>
      <c r="BC283" s="2">
        <f t="shared" si="260"/>
        <v>0</v>
      </c>
      <c r="BD283" s="448">
        <f t="shared" si="251"/>
        <v>0</v>
      </c>
      <c r="BE283" s="10"/>
      <c r="BF283" s="10"/>
      <c r="BG283" s="6"/>
      <c r="BH283" s="41">
        <f>CÁLCULOS!H163</f>
        <v>0</v>
      </c>
      <c r="BI283" s="729">
        <f t="shared" ca="1" si="257"/>
        <v>0</v>
      </c>
      <c r="BJ283" s="390">
        <f t="shared" ca="1" si="252"/>
        <v>0</v>
      </c>
      <c r="BK283" s="390">
        <f t="shared" ca="1" si="253"/>
        <v>0</v>
      </c>
      <c r="BL283" s="2">
        <f t="shared" si="258"/>
        <v>0</v>
      </c>
    </row>
    <row r="284" spans="2:64" x14ac:dyDescent="0.35">
      <c r="B284" s="633" t="s">
        <v>115</v>
      </c>
      <c r="C284" s="10"/>
      <c r="D284" s="10"/>
      <c r="E284" s="10"/>
      <c r="F284" s="10"/>
      <c r="G284" s="10"/>
      <c r="H284" s="10"/>
      <c r="I284" s="371"/>
      <c r="J284" s="6"/>
      <c r="K284" s="660">
        <f ca="1">ROUNDUP(SUM($H$138:$H$142)/7*5/50,0)</f>
        <v>0</v>
      </c>
      <c r="L284" s="627" t="s">
        <v>46</v>
      </c>
      <c r="AL284" s="627">
        <f t="shared" ca="1" si="247"/>
        <v>1</v>
      </c>
      <c r="AM284" s="673" t="str">
        <f>IF(CÁLCULOS!A164=1,"X",IF(0&gt;12,0,IF(AU284=0,0,IF(AU284&gt;=AU283,0,"X"))))</f>
        <v>X</v>
      </c>
      <c r="AN284" s="626">
        <f>CÁLCULOS!D164</f>
        <v>12</v>
      </c>
      <c r="AO284" s="626">
        <f>CÁLCULOS!H164</f>
        <v>0</v>
      </c>
      <c r="AP284" s="2">
        <f>IF(ENTRADAS!$D$912=0,0,IF($D$29=0,ROUNDDOWN(AO284/$AA$169,0),0))</f>
        <v>0</v>
      </c>
      <c r="AQ284" s="2">
        <f t="shared" ca="1" si="259"/>
        <v>0</v>
      </c>
      <c r="AR284" s="626">
        <f t="shared" si="248"/>
        <v>0</v>
      </c>
      <c r="AS284" s="389"/>
      <c r="AT284" s="389">
        <f t="shared" ca="1" si="254"/>
        <v>0</v>
      </c>
      <c r="AU284" s="389">
        <f t="shared" ca="1" si="255"/>
        <v>0</v>
      </c>
      <c r="AV284" s="978">
        <f>CÁLCULOS!E164</f>
        <v>0</v>
      </c>
      <c r="AW284" s="10"/>
      <c r="AX284" s="10"/>
      <c r="AY284" s="6"/>
      <c r="AZ284" s="41">
        <f t="shared" si="249"/>
        <v>0</v>
      </c>
      <c r="BA284" s="695">
        <f t="shared" si="250"/>
        <v>0</v>
      </c>
      <c r="BB284" s="385">
        <f t="shared" ca="1" si="256"/>
        <v>0</v>
      </c>
      <c r="BC284" s="2">
        <f t="shared" si="260"/>
        <v>0</v>
      </c>
      <c r="BD284" s="448">
        <f t="shared" si="251"/>
        <v>0</v>
      </c>
      <c r="BE284" s="10"/>
      <c r="BF284" s="10"/>
      <c r="BG284" s="6"/>
      <c r="BH284" s="41">
        <f>CÁLCULOS!H164</f>
        <v>0</v>
      </c>
      <c r="BI284" s="729">
        <f t="shared" ca="1" si="257"/>
        <v>0</v>
      </c>
      <c r="BJ284" s="390">
        <f t="shared" ca="1" si="252"/>
        <v>0</v>
      </c>
      <c r="BK284" s="390">
        <f t="shared" ca="1" si="253"/>
        <v>0</v>
      </c>
      <c r="BL284" s="2">
        <f t="shared" si="258"/>
        <v>0</v>
      </c>
    </row>
    <row r="285" spans="2:64" x14ac:dyDescent="0.35">
      <c r="B285" s="633" t="s">
        <v>116</v>
      </c>
      <c r="C285" s="10"/>
      <c r="D285" s="10"/>
      <c r="E285" s="10"/>
      <c r="F285" s="10"/>
      <c r="G285" s="10"/>
      <c r="H285" s="10"/>
      <c r="I285" s="371"/>
      <c r="J285" s="6"/>
      <c r="K285" s="660">
        <f ca="1">ROUNDUP(SUM($H$138:$H$142)/7*5/5,0)</f>
        <v>0</v>
      </c>
      <c r="L285" s="627" t="s">
        <v>46</v>
      </c>
      <c r="AL285" s="627">
        <f t="shared" ca="1" si="247"/>
        <v>1</v>
      </c>
      <c r="AM285" s="673" t="str">
        <f>IF(CÁLCULOS!A165=1,"X",IF(0&gt;12,0,IF(AU285=0,0,IF(AU285&gt;=AU284,0,"X"))))</f>
        <v>X</v>
      </c>
      <c r="AN285" s="626">
        <f>CÁLCULOS!D165</f>
        <v>13</v>
      </c>
      <c r="AO285" s="626">
        <f>CÁLCULOS!H165</f>
        <v>0</v>
      </c>
      <c r="AP285" s="2">
        <f>IF(ENTRADAS!$D$912=0,0,IF($D$29=0,ROUNDDOWN(AO285/$AA$169,0),0))</f>
        <v>0</v>
      </c>
      <c r="AQ285" s="2">
        <f t="shared" ca="1" si="259"/>
        <v>0</v>
      </c>
      <c r="AR285" s="626">
        <f t="shared" si="248"/>
        <v>0</v>
      </c>
      <c r="AS285" s="389"/>
      <c r="AT285" s="389">
        <f t="shared" ca="1" si="254"/>
        <v>0</v>
      </c>
      <c r="AU285" s="389">
        <f t="shared" ca="1" si="255"/>
        <v>0</v>
      </c>
      <c r="AV285" s="978">
        <f>CÁLCULOS!E165</f>
        <v>0</v>
      </c>
      <c r="AW285" s="10"/>
      <c r="AX285" s="10"/>
      <c r="AY285" s="6"/>
      <c r="AZ285" s="41">
        <f t="shared" si="249"/>
        <v>0</v>
      </c>
      <c r="BA285" s="695">
        <f t="shared" si="250"/>
        <v>0</v>
      </c>
      <c r="BB285" s="385">
        <f t="shared" ca="1" si="256"/>
        <v>0</v>
      </c>
      <c r="BC285" s="2">
        <f t="shared" si="260"/>
        <v>0</v>
      </c>
      <c r="BD285" s="448">
        <f t="shared" si="251"/>
        <v>0</v>
      </c>
      <c r="BE285" s="10"/>
      <c r="BF285" s="10"/>
      <c r="BG285" s="6"/>
      <c r="BH285" s="41">
        <f>CÁLCULOS!H165</f>
        <v>0</v>
      </c>
      <c r="BI285" s="729">
        <f t="shared" ca="1" si="257"/>
        <v>0</v>
      </c>
      <c r="BJ285" s="390">
        <f t="shared" ca="1" si="252"/>
        <v>0</v>
      </c>
      <c r="BK285" s="390">
        <f t="shared" ca="1" si="253"/>
        <v>0</v>
      </c>
      <c r="BL285" s="2">
        <f t="shared" si="258"/>
        <v>0</v>
      </c>
    </row>
    <row r="286" spans="2:64" x14ac:dyDescent="0.35">
      <c r="B286" s="633" t="s">
        <v>117</v>
      </c>
      <c r="C286" s="10"/>
      <c r="D286" s="10"/>
      <c r="E286" s="10"/>
      <c r="F286" s="10"/>
      <c r="G286" s="10"/>
      <c r="H286" s="10"/>
      <c r="I286" s="371"/>
      <c r="J286" s="6"/>
      <c r="K286" s="660">
        <f ca="1">ROUNDUP(SUM($H$138:$H$142)/7*5/30,0)</f>
        <v>0</v>
      </c>
      <c r="L286" s="627" t="s">
        <v>46</v>
      </c>
      <c r="AL286" s="627">
        <f t="shared" ca="1" si="247"/>
        <v>1</v>
      </c>
      <c r="AM286" s="673" t="str">
        <f>IF(CÁLCULOS!A166=1,"X",IF(0&gt;12,0,IF(AU286=0,0,IF(AU286&gt;=AU285,0,"X"))))</f>
        <v>X</v>
      </c>
      <c r="AN286" s="626">
        <f>CÁLCULOS!D166</f>
        <v>14</v>
      </c>
      <c r="AO286" s="626">
        <f>CÁLCULOS!H166</f>
        <v>0</v>
      </c>
      <c r="AP286" s="2">
        <f>IF(ENTRADAS!$D$912=0,0,IF($D$29=0,ROUNDDOWN(AO286/$AA$169,0),0))</f>
        <v>0</v>
      </c>
      <c r="AQ286" s="2">
        <f t="shared" ca="1" si="259"/>
        <v>0</v>
      </c>
      <c r="AR286" s="626">
        <f t="shared" si="248"/>
        <v>0</v>
      </c>
      <c r="AS286" s="389"/>
      <c r="AT286" s="389">
        <f t="shared" ca="1" si="254"/>
        <v>0</v>
      </c>
      <c r="AU286" s="389">
        <f t="shared" ca="1" si="255"/>
        <v>0</v>
      </c>
      <c r="AV286" s="978">
        <f>CÁLCULOS!E166</f>
        <v>0</v>
      </c>
      <c r="AW286" s="10"/>
      <c r="AX286" s="10"/>
      <c r="AY286" s="6"/>
      <c r="AZ286" s="41">
        <f t="shared" si="249"/>
        <v>0</v>
      </c>
      <c r="BA286" s="695">
        <f t="shared" si="250"/>
        <v>0</v>
      </c>
      <c r="BB286" s="385">
        <f t="shared" ca="1" si="256"/>
        <v>0</v>
      </c>
      <c r="BC286" s="2">
        <f t="shared" si="260"/>
        <v>0</v>
      </c>
      <c r="BD286" s="448">
        <f t="shared" si="251"/>
        <v>0</v>
      </c>
      <c r="BE286" s="10"/>
      <c r="BF286" s="10"/>
      <c r="BG286" s="6"/>
      <c r="BH286" s="41">
        <f>CÁLCULOS!H166</f>
        <v>0</v>
      </c>
      <c r="BI286" s="729">
        <f t="shared" ca="1" si="257"/>
        <v>0</v>
      </c>
      <c r="BJ286" s="390">
        <f t="shared" ca="1" si="252"/>
        <v>0</v>
      </c>
      <c r="BK286" s="390">
        <f t="shared" ca="1" si="253"/>
        <v>0</v>
      </c>
      <c r="BL286" s="2">
        <f t="shared" si="258"/>
        <v>0</v>
      </c>
    </row>
    <row r="287" spans="2:64" x14ac:dyDescent="0.35">
      <c r="B287" s="633" t="s">
        <v>118</v>
      </c>
      <c r="C287" s="10"/>
      <c r="D287" s="10"/>
      <c r="E287" s="10"/>
      <c r="F287" s="10"/>
      <c r="G287" s="10"/>
      <c r="H287" s="10"/>
      <c r="I287" s="371"/>
      <c r="J287" s="6"/>
      <c r="K287" s="660">
        <f ca="1">ROUNDUP(SUM($H$138:$H$142)/7*5/100,0)</f>
        <v>0</v>
      </c>
      <c r="L287" s="627" t="s">
        <v>46</v>
      </c>
      <c r="AL287" s="627">
        <f t="shared" ca="1" si="247"/>
        <v>1</v>
      </c>
      <c r="AM287" s="673" t="str">
        <f>IF(CÁLCULOS!A167=1,"X",IF(0&gt;12,0,IF(AU287=0,0,IF(AU287&gt;=AU286,0,"X"))))</f>
        <v>X</v>
      </c>
      <c r="AN287" s="626">
        <f>CÁLCULOS!D167</f>
        <v>15</v>
      </c>
      <c r="AO287" s="626">
        <f>CÁLCULOS!H167</f>
        <v>0</v>
      </c>
      <c r="AP287" s="2">
        <f>IF(ENTRADAS!$D$912=0,0,IF($D$29=0,ROUNDDOWN(AO287/$AA$169,0),0))</f>
        <v>0</v>
      </c>
      <c r="AQ287" s="2">
        <f t="shared" ca="1" si="259"/>
        <v>0</v>
      </c>
      <c r="AR287" s="626">
        <f t="shared" si="248"/>
        <v>0</v>
      </c>
      <c r="AS287" s="389"/>
      <c r="AT287" s="389">
        <f t="shared" ca="1" si="254"/>
        <v>0</v>
      </c>
      <c r="AU287" s="389">
        <f t="shared" ca="1" si="255"/>
        <v>0</v>
      </c>
      <c r="AV287" s="978">
        <f>CÁLCULOS!E167</f>
        <v>0</v>
      </c>
      <c r="AW287" s="10"/>
      <c r="AX287" s="10"/>
      <c r="AY287" s="6"/>
      <c r="AZ287" s="41">
        <f t="shared" si="249"/>
        <v>0</v>
      </c>
      <c r="BA287" s="695">
        <f t="shared" si="250"/>
        <v>0</v>
      </c>
      <c r="BB287" s="385">
        <f t="shared" ca="1" si="256"/>
        <v>0</v>
      </c>
      <c r="BC287" s="2">
        <f t="shared" si="260"/>
        <v>0</v>
      </c>
      <c r="BD287" s="448">
        <f t="shared" si="251"/>
        <v>0</v>
      </c>
      <c r="BE287" s="10"/>
      <c r="BF287" s="10"/>
      <c r="BG287" s="6"/>
      <c r="BH287" s="41">
        <f>CÁLCULOS!H167</f>
        <v>0</v>
      </c>
      <c r="BI287" s="729">
        <f t="shared" ca="1" si="257"/>
        <v>0</v>
      </c>
      <c r="BJ287" s="390">
        <f t="shared" ca="1" si="252"/>
        <v>0</v>
      </c>
      <c r="BK287" s="390">
        <f t="shared" ca="1" si="253"/>
        <v>0</v>
      </c>
      <c r="BL287" s="2">
        <f t="shared" si="258"/>
        <v>0</v>
      </c>
    </row>
    <row r="288" spans="2:64" x14ac:dyDescent="0.35">
      <c r="B288" s="633" t="s">
        <v>119</v>
      </c>
      <c r="C288" s="10"/>
      <c r="D288" s="10"/>
      <c r="E288" s="10"/>
      <c r="F288" s="10"/>
      <c r="G288" s="10"/>
      <c r="H288" s="10"/>
      <c r="I288" s="371"/>
      <c r="J288" s="6"/>
      <c r="K288" s="660">
        <f ca="1">ROUNDUP(SUM($H$138:$H$142)/7*5/100,0)</f>
        <v>0</v>
      </c>
      <c r="L288" s="627" t="s">
        <v>46</v>
      </c>
      <c r="AL288" s="627"/>
    </row>
    <row r="289" spans="1:38" x14ac:dyDescent="0.35">
      <c r="B289" s="633" t="s">
        <v>120</v>
      </c>
      <c r="C289" s="10"/>
      <c r="D289" s="10"/>
      <c r="E289" s="10"/>
      <c r="F289" s="10"/>
      <c r="G289" s="10"/>
      <c r="H289" s="10"/>
      <c r="I289" s="10"/>
      <c r="J289" s="6"/>
      <c r="K289" s="7">
        <f ca="1">PI()*E5*1.5*E3</f>
        <v>0</v>
      </c>
      <c r="L289" t="s">
        <v>78</v>
      </c>
      <c r="AL289" s="627"/>
    </row>
    <row r="290" spans="1:38" x14ac:dyDescent="0.35">
      <c r="AL290" s="627"/>
    </row>
    <row r="296" spans="1:38" ht="13.15" x14ac:dyDescent="0.4">
      <c r="A296" s="13"/>
      <c r="B296" s="14"/>
      <c r="C296" s="14"/>
      <c r="D296" s="14"/>
      <c r="E296" s="14"/>
      <c r="F296" s="202"/>
      <c r="G296" s="14"/>
      <c r="H296" s="14"/>
      <c r="I296" s="14"/>
    </row>
    <row r="298" spans="1:38" x14ac:dyDescent="0.35">
      <c r="A298" s="20"/>
    </row>
    <row r="299" spans="1:38" x14ac:dyDescent="0.35">
      <c r="A299" s="20"/>
      <c r="M299" s="627"/>
    </row>
    <row r="300" spans="1:38" x14ac:dyDescent="0.35">
      <c r="A300" s="20"/>
      <c r="C300" s="627" t="s">
        <v>562</v>
      </c>
    </row>
    <row r="301" spans="1:38" x14ac:dyDescent="0.35">
      <c r="A301" s="20"/>
      <c r="C301" s="7">
        <f>B120</f>
        <v>1</v>
      </c>
      <c r="D301" s="627" t="str">
        <f>IF(C301&gt;1,"EQUIPES","EQUIPE")</f>
        <v>EQUIPE</v>
      </c>
      <c r="E301" s="183" t="s">
        <v>563</v>
      </c>
    </row>
    <row r="302" spans="1:38" x14ac:dyDescent="0.35">
      <c r="A302" s="20"/>
      <c r="F302" t="s">
        <v>200</v>
      </c>
    </row>
    <row r="303" spans="1:38" x14ac:dyDescent="0.35">
      <c r="A303" s="20"/>
      <c r="C303" t="s">
        <v>201</v>
      </c>
      <c r="F303" t="s">
        <v>202</v>
      </c>
    </row>
    <row r="304" spans="1:38" x14ac:dyDescent="0.35">
      <c r="A304" s="20"/>
      <c r="C304" s="31">
        <f t="shared" ref="C304:C309" si="261">B122</f>
        <v>1</v>
      </c>
      <c r="D304" s="627" t="s">
        <v>2529</v>
      </c>
      <c r="F304" s="250">
        <f t="shared" ref="F304:F309" si="262">E122</f>
        <v>0</v>
      </c>
      <c r="G304" t="s">
        <v>203</v>
      </c>
    </row>
    <row r="305" spans="1:9" x14ac:dyDescent="0.35">
      <c r="A305" s="20"/>
      <c r="C305" s="31">
        <f t="shared" si="261"/>
        <v>1</v>
      </c>
      <c r="D305" t="s">
        <v>91</v>
      </c>
      <c r="F305" s="250">
        <f t="shared" si="262"/>
        <v>0</v>
      </c>
      <c r="G305" t="s">
        <v>203</v>
      </c>
    </row>
    <row r="306" spans="1:9" x14ac:dyDescent="0.35">
      <c r="A306" s="20"/>
      <c r="C306" s="31">
        <f t="shared" si="261"/>
        <v>1</v>
      </c>
      <c r="D306" s="204" t="s">
        <v>715</v>
      </c>
      <c r="F306" s="250">
        <f t="shared" si="262"/>
        <v>0</v>
      </c>
      <c r="G306" t="s">
        <v>203</v>
      </c>
    </row>
    <row r="307" spans="1:9" x14ac:dyDescent="0.35">
      <c r="A307" s="20"/>
      <c r="C307" s="31">
        <f t="shared" si="261"/>
        <v>1</v>
      </c>
      <c r="D307" s="204" t="s">
        <v>566</v>
      </c>
      <c r="F307" s="250">
        <f t="shared" si="262"/>
        <v>0</v>
      </c>
      <c r="G307" t="s">
        <v>203</v>
      </c>
    </row>
    <row r="308" spans="1:9" x14ac:dyDescent="0.35">
      <c r="A308" s="20"/>
      <c r="C308" s="31">
        <f t="shared" si="261"/>
        <v>4</v>
      </c>
      <c r="D308" t="s">
        <v>95</v>
      </c>
      <c r="F308" s="250">
        <f t="shared" si="262"/>
        <v>0</v>
      </c>
      <c r="G308" t="s">
        <v>203</v>
      </c>
    </row>
    <row r="309" spans="1:9" x14ac:dyDescent="0.35">
      <c r="A309" s="20"/>
      <c r="C309" s="31">
        <f t="shared" si="261"/>
        <v>1</v>
      </c>
      <c r="D309" t="s">
        <v>204</v>
      </c>
      <c r="F309" s="250">
        <f t="shared" si="262"/>
        <v>0</v>
      </c>
      <c r="G309" t="s">
        <v>203</v>
      </c>
    </row>
    <row r="310" spans="1:9" x14ac:dyDescent="0.35">
      <c r="A310" s="20"/>
    </row>
    <row r="311" spans="1:9" x14ac:dyDescent="0.35">
      <c r="A311" s="20"/>
      <c r="C311" t="s">
        <v>567</v>
      </c>
      <c r="F311" s="661">
        <f>E129</f>
        <v>0</v>
      </c>
      <c r="G311" t="s">
        <v>46</v>
      </c>
    </row>
    <row r="312" spans="1:9" x14ac:dyDescent="0.35">
      <c r="A312" s="20"/>
    </row>
    <row r="313" spans="1:9" x14ac:dyDescent="0.35">
      <c r="A313" s="20"/>
      <c r="C313" s="633" t="s">
        <v>569</v>
      </c>
      <c r="D313" s="10"/>
      <c r="E313" s="6"/>
      <c r="F313" s="2077">
        <f>ENTRADAS!F506</f>
        <v>0</v>
      </c>
      <c r="G313" s="2078"/>
      <c r="H313" s="6" t="s">
        <v>570</v>
      </c>
    </row>
    <row r="314" spans="1:9" x14ac:dyDescent="0.35">
      <c r="A314" s="20"/>
      <c r="C314" s="633" t="s">
        <v>1925</v>
      </c>
      <c r="D314" s="10"/>
      <c r="E314" s="6"/>
      <c r="F314" s="2077">
        <f ca="1">ENTRADAS!F507</f>
        <v>0</v>
      </c>
      <c r="G314" s="2078"/>
      <c r="H314" s="6" t="s">
        <v>570</v>
      </c>
    </row>
    <row r="315" spans="1:9" x14ac:dyDescent="0.35">
      <c r="A315" s="20"/>
      <c r="C315" s="633" t="s">
        <v>573</v>
      </c>
      <c r="D315" s="10"/>
      <c r="E315" s="6"/>
      <c r="F315" s="2077">
        <f>ENTRADAS!F508</f>
        <v>0</v>
      </c>
      <c r="G315" s="2078"/>
      <c r="H315" s="6" t="s">
        <v>570</v>
      </c>
    </row>
    <row r="316" spans="1:9" x14ac:dyDescent="0.35">
      <c r="A316" s="20"/>
      <c r="C316" s="633" t="s">
        <v>574</v>
      </c>
      <c r="D316" s="10"/>
      <c r="E316" s="6"/>
      <c r="F316" s="2077">
        <f>ENTRADAS!F509</f>
        <v>0</v>
      </c>
      <c r="G316" s="2078"/>
      <c r="H316" s="6" t="s">
        <v>570</v>
      </c>
    </row>
    <row r="317" spans="1:9" x14ac:dyDescent="0.35">
      <c r="A317" s="20"/>
      <c r="C317" s="633" t="s">
        <v>575</v>
      </c>
      <c r="D317" s="10"/>
      <c r="E317" s="6"/>
      <c r="F317" s="2077">
        <f ca="1">ENTRADAS!F510</f>
        <v>0</v>
      </c>
      <c r="G317" s="2078"/>
      <c r="H317" s="6" t="s">
        <v>570</v>
      </c>
    </row>
    <row r="318" spans="1:9" x14ac:dyDescent="0.35">
      <c r="A318" s="20"/>
      <c r="C318" s="633" t="s">
        <v>576</v>
      </c>
      <c r="D318" s="10"/>
      <c r="E318" s="6"/>
      <c r="F318" s="2077">
        <f>ENTRADAS!F511</f>
        <v>0</v>
      </c>
      <c r="G318" s="2078"/>
      <c r="H318" s="6" t="s">
        <v>570</v>
      </c>
    </row>
    <row r="319" spans="1:9" x14ac:dyDescent="0.35">
      <c r="A319" s="20"/>
    </row>
    <row r="320" spans="1:9" x14ac:dyDescent="0.35">
      <c r="A320" s="20"/>
      <c r="C320" s="627" t="s">
        <v>579</v>
      </c>
      <c r="F320" s="626" t="str">
        <f>ENTRADAS!F758</f>
        <v>x</v>
      </c>
      <c r="G320" s="627" t="s">
        <v>52</v>
      </c>
      <c r="H320" s="626">
        <f>ENTRADAS!H758</f>
        <v>0</v>
      </c>
      <c r="I320" s="627" t="s">
        <v>53</v>
      </c>
    </row>
    <row r="321" spans="1:10" x14ac:dyDescent="0.35">
      <c r="A321" s="20"/>
      <c r="C321" s="627"/>
      <c r="D321" s="183" t="str">
        <f>IF(F320="x","será considerado 25% para ajuda de custo",IF(H320="X","não será considerado % para ajuda de custo",0))</f>
        <v>será considerado 25% para ajuda de custo</v>
      </c>
    </row>
    <row r="322" spans="1:10" x14ac:dyDescent="0.35">
      <c r="A322" s="20"/>
    </row>
    <row r="323" spans="1:10" x14ac:dyDescent="0.35">
      <c r="A323" s="20"/>
    </row>
    <row r="324" spans="1:10" x14ac:dyDescent="0.35">
      <c r="A324" s="20"/>
    </row>
    <row r="325" spans="1:10" x14ac:dyDescent="0.35">
      <c r="A325" s="20"/>
    </row>
    <row r="326" spans="1:10" x14ac:dyDescent="0.35">
      <c r="A326" s="20"/>
    </row>
    <row r="327" spans="1:10" x14ac:dyDescent="0.35">
      <c r="A327" s="20"/>
    </row>
    <row r="328" spans="1:10" x14ac:dyDescent="0.35">
      <c r="A328" s="20"/>
      <c r="C328" t="s">
        <v>1927</v>
      </c>
      <c r="G328" s="626">
        <f>ENTRADAS!G766</f>
        <v>0</v>
      </c>
      <c r="H328" s="627" t="s">
        <v>52</v>
      </c>
      <c r="I328" s="626">
        <f>ENTRADAS!I766</f>
        <v>0</v>
      </c>
      <c r="J328" s="627" t="s">
        <v>53</v>
      </c>
    </row>
    <row r="329" spans="1:10" x14ac:dyDescent="0.35">
      <c r="A329" s="20"/>
      <c r="C329">
        <f>IF(G328="X","GRANDE VITÓRIA ( considerar carro de apoio ?)",0)</f>
        <v>0</v>
      </c>
      <c r="G329" s="626">
        <f>ENTRADAS!G767</f>
        <v>0</v>
      </c>
      <c r="H329" s="627">
        <f>IF(G328="X","SIM",0)</f>
        <v>0</v>
      </c>
      <c r="I329" s="626">
        <f>ENTRADAS!I767</f>
        <v>0</v>
      </c>
      <c r="J329" s="627">
        <f>IF(G328="X","NÃO",0)</f>
        <v>0</v>
      </c>
    </row>
    <row r="330" spans="1:10" x14ac:dyDescent="0.35">
      <c r="A330" s="20"/>
    </row>
    <row r="331" spans="1:10" x14ac:dyDescent="0.35">
      <c r="A331" s="20"/>
      <c r="C331" s="627" t="str">
        <f>IF(G328="X",0,"PERCURSO DA  EQUIPE ( km ) casa x alojamento")</f>
        <v>PERCURSO DA  EQUIPE ( km ) casa x alojamento</v>
      </c>
      <c r="G331" s="7">
        <f>ENTRADAS!G769</f>
        <v>1000</v>
      </c>
      <c r="H331" t="str">
        <f>IF(G328="X",0,"km")</f>
        <v>km</v>
      </c>
    </row>
    <row r="332" spans="1:10" x14ac:dyDescent="0.35">
      <c r="A332" s="20"/>
      <c r="C332" s="627" t="str">
        <f>IF(G328="X",0,"PERCURSO DA  EQUIPE ( km ) alojamento x obra")</f>
        <v>PERCURSO DA  EQUIPE ( km ) alojamento x obra</v>
      </c>
      <c r="F332" s="16"/>
      <c r="G332" s="7">
        <f>ENTRADAS!G770</f>
        <v>20</v>
      </c>
      <c r="H332" t="str">
        <f>IF(G328="X",0,"km")</f>
        <v>km</v>
      </c>
    </row>
    <row r="333" spans="1:10" x14ac:dyDescent="0.35">
      <c r="A333" s="20"/>
      <c r="C333" s="627"/>
    </row>
    <row r="334" spans="1:10" x14ac:dyDescent="0.35">
      <c r="A334" s="20"/>
      <c r="C334" s="627" t="str">
        <f>IF(G328="X",0,"CONSIDERAR ALOJAMENTO nos DIAS de FOLGA ?")</f>
        <v>CONSIDERAR ALOJAMENTO nos DIAS de FOLGA ?</v>
      </c>
      <c r="G334" s="626" t="str">
        <f>ENTRADAS!G772</f>
        <v>x</v>
      </c>
      <c r="H334" s="627" t="str">
        <f>IF(G328="X",0,"SIM")</f>
        <v>SIM</v>
      </c>
      <c r="I334" s="626">
        <f>ENTRADAS!I772</f>
        <v>0</v>
      </c>
      <c r="J334" s="627" t="str">
        <f>IF(G328="X",0,"NÃO")</f>
        <v>NÃO</v>
      </c>
    </row>
    <row r="335" spans="1:10" x14ac:dyDescent="0.35">
      <c r="A335" s="20"/>
      <c r="C335" s="627"/>
    </row>
    <row r="336" spans="1:10" x14ac:dyDescent="0.35">
      <c r="A336" s="20"/>
      <c r="C336" s="1337" t="str">
        <f>IF(G328="X",0,"TIPO DA VIAGEM DA EQUIPE:")</f>
        <v>TIPO DA VIAGEM DA EQUIPE:</v>
      </c>
      <c r="D336" s="2070"/>
      <c r="E336" s="2070"/>
      <c r="F336" s="1428" t="s">
        <v>583</v>
      </c>
      <c r="G336" s="1427"/>
      <c r="H336" s="1427" t="s">
        <v>584</v>
      </c>
      <c r="I336" s="1427"/>
    </row>
    <row r="337" spans="1:13" x14ac:dyDescent="0.35">
      <c r="A337" s="20"/>
      <c r="C337" s="633" t="str">
        <f>IF(G328="X",0,"CARRO")</f>
        <v>CARRO</v>
      </c>
      <c r="D337" s="413">
        <v>5</v>
      </c>
      <c r="E337" s="629" t="str">
        <f>IF(G328="X",0,"lugares")</f>
        <v>lugares</v>
      </c>
      <c r="F337" s="1428" t="s">
        <v>10</v>
      </c>
      <c r="G337" s="1427"/>
      <c r="H337" s="1427" t="s">
        <v>10</v>
      </c>
      <c r="I337" s="1427"/>
      <c r="K337">
        <f>IF(G337="x",1,0)</f>
        <v>0</v>
      </c>
    </row>
    <row r="338" spans="1:13" x14ac:dyDescent="0.35">
      <c r="A338" s="20"/>
      <c r="C338" s="633" t="str">
        <f>IF(G328="X",0,"VAN")</f>
        <v>VAN</v>
      </c>
      <c r="D338" s="413">
        <v>12</v>
      </c>
      <c r="E338" s="629" t="str">
        <f>IF(G328="X",0,"lugares")</f>
        <v>lugares</v>
      </c>
      <c r="F338" s="1428" t="s">
        <v>10</v>
      </c>
      <c r="G338" s="1427"/>
      <c r="H338" s="1427" t="s">
        <v>10</v>
      </c>
      <c r="I338" s="1427"/>
    </row>
    <row r="339" spans="1:13" x14ac:dyDescent="0.35">
      <c r="A339" s="20"/>
      <c r="C339" s="9" t="str">
        <f>IF(G328="X",0,"ÔNIBUS")</f>
        <v>ÔNIBUS</v>
      </c>
      <c r="D339" s="10"/>
      <c r="E339" s="6"/>
      <c r="F339" s="1428" t="s">
        <v>10</v>
      </c>
      <c r="G339" s="1427"/>
      <c r="H339" s="1427" t="s">
        <v>10</v>
      </c>
      <c r="I339" s="1427"/>
    </row>
    <row r="340" spans="1:13" x14ac:dyDescent="0.35">
      <c r="A340" s="20"/>
      <c r="C340" s="9" t="str">
        <f>IF(G328="X",0,"AVIÃO")</f>
        <v>AVIÃO</v>
      </c>
      <c r="D340" s="10"/>
      <c r="E340" s="6"/>
      <c r="F340" s="1428" t="s">
        <v>10</v>
      </c>
      <c r="G340" s="1427"/>
      <c r="H340" s="1427" t="s">
        <v>10</v>
      </c>
      <c r="I340" s="1427"/>
    </row>
    <row r="341" spans="1:13" x14ac:dyDescent="0.35">
      <c r="A341" s="20"/>
      <c r="G341" s="627"/>
    </row>
    <row r="342" spans="1:13" x14ac:dyDescent="0.35">
      <c r="A342" s="20"/>
      <c r="C342" s="627" t="str">
        <f>IF(G328="X",0,"CICLO DA VIAGEM CASA x ALOJAMENTO ----------------------------")</f>
        <v>CICLO DA VIAGEM CASA x ALOJAMENTO ----------------------------</v>
      </c>
      <c r="H342" s="7">
        <f>ENTRADAS!H780</f>
        <v>60</v>
      </c>
      <c r="I342" t="str">
        <f>IF(G328="X",0,"dias")</f>
        <v>dias</v>
      </c>
    </row>
    <row r="343" spans="1:13" x14ac:dyDescent="0.35">
      <c r="A343" s="20"/>
      <c r="C343" s="627"/>
    </row>
    <row r="344" spans="1:13" x14ac:dyDescent="0.35">
      <c r="A344" s="20"/>
      <c r="C344" s="627" t="str">
        <f>IF(G328="X",0,"FOLGA ( marcar 'X' na opção desejada ):")</f>
        <v>FOLGA ( marcar 'X' na opção desejada ):</v>
      </c>
    </row>
    <row r="345" spans="1:13" x14ac:dyDescent="0.35">
      <c r="A345" s="20"/>
      <c r="C345" s="627"/>
    </row>
    <row r="346" spans="1:13" x14ac:dyDescent="0.35">
      <c r="A346" s="20"/>
      <c r="C346" s="626">
        <f>ENTRADAS!C784</f>
        <v>0</v>
      </c>
      <c r="D346" s="627" t="str">
        <f>IF(G328="X",0,"sem folga ( acabar e ir embora )")</f>
        <v>sem folga ( acabar e ir embora )</v>
      </c>
      <c r="G346" s="626">
        <f>ENTRADAS!G784</f>
        <v>0</v>
      </c>
      <c r="H346" s="627" t="str">
        <f>IF(G328="X",0,"1 útil + sábado/domingo")</f>
        <v>1 útil + sábado/domingo</v>
      </c>
      <c r="M346" s="627"/>
    </row>
    <row r="347" spans="1:13" x14ac:dyDescent="0.35">
      <c r="A347" s="20"/>
      <c r="C347" s="627"/>
    </row>
    <row r="348" spans="1:13" x14ac:dyDescent="0.35">
      <c r="A348" s="20"/>
      <c r="C348" s="626">
        <f>ENTRADAS!C786</f>
        <v>0</v>
      </c>
      <c r="D348" s="627" t="str">
        <f>IF(G328="X",0,"2 dias úteis + sábado/domingo")</f>
        <v>2 dias úteis + sábado/domingo</v>
      </c>
      <c r="G348" s="626" t="str">
        <f>ENTRADAS!G786</f>
        <v>x</v>
      </c>
      <c r="H348" s="627" t="str">
        <f>IF(G328="X",0,"3 dias úteis + sábado/domingo ")</f>
        <v xml:space="preserve">3 dias úteis + sábado/domingo </v>
      </c>
    </row>
    <row r="349" spans="1:13" x14ac:dyDescent="0.35">
      <c r="A349" s="20"/>
      <c r="C349" s="627"/>
    </row>
    <row r="350" spans="1:13" x14ac:dyDescent="0.35">
      <c r="A350" s="20"/>
      <c r="C350" s="627" t="s">
        <v>590</v>
      </c>
      <c r="H350" s="31">
        <f>IF(C346="X",0,IF(G346="X",3,IF(C348="X",4,IF(G348="X",5,0))))</f>
        <v>5</v>
      </c>
    </row>
    <row r="351" spans="1:13" x14ac:dyDescent="0.35">
      <c r="A351" s="20"/>
      <c r="C351" s="627"/>
    </row>
    <row r="352" spans="1:13" x14ac:dyDescent="0.35">
      <c r="A352" s="20"/>
      <c r="C352" s="627" t="str">
        <f>IF(G328="X",0,"Percurso MÁX. a rodar por dia  e descansar ( CARRO E VAN )---")</f>
        <v>Percurso MÁX. a rodar por dia  e descansar ( CARRO E VAN )---</v>
      </c>
      <c r="H352" s="7">
        <f>IF(G328="X",0,ENTRADAS!H790)</f>
        <v>1000</v>
      </c>
      <c r="I352" s="627" t="str">
        <f>IF(G328="X",0,"km rodados")</f>
        <v>km rodados</v>
      </c>
    </row>
    <row r="353" spans="1:19" x14ac:dyDescent="0.35">
      <c r="A353" s="20"/>
      <c r="C353" s="627"/>
    </row>
    <row r="354" spans="1:19" x14ac:dyDescent="0.35">
      <c r="A354" s="20"/>
      <c r="C354" s="627" t="s">
        <v>213</v>
      </c>
      <c r="L354" s="7">
        <f>I131</f>
        <v>0</v>
      </c>
      <c r="M354" s="627" t="s">
        <v>130</v>
      </c>
    </row>
    <row r="355" spans="1:19" x14ac:dyDescent="0.35">
      <c r="A355" s="20"/>
      <c r="C355" s="627"/>
    </row>
    <row r="356" spans="1:19" x14ac:dyDescent="0.35">
      <c r="A356" s="20"/>
      <c r="C356" s="627" t="s">
        <v>216</v>
      </c>
      <c r="L356" s="7">
        <f>I133</f>
        <v>0</v>
      </c>
      <c r="M356" s="627" t="s">
        <v>130</v>
      </c>
    </row>
    <row r="357" spans="1:19" x14ac:dyDescent="0.35">
      <c r="A357" s="20"/>
      <c r="C357" s="627"/>
    </row>
    <row r="358" spans="1:19" x14ac:dyDescent="0.35">
      <c r="A358" s="20"/>
      <c r="C358" s="627"/>
      <c r="D358" s="9">
        <f>IF(G328="X","PASSAGEM DE ÔNIBUS NA GRANDE VITÓRIA",0)</f>
        <v>0</v>
      </c>
      <c r="E358" s="10"/>
      <c r="F358" s="10"/>
      <c r="G358" s="10"/>
      <c r="H358" s="10"/>
      <c r="I358" s="10"/>
      <c r="J358" s="10"/>
      <c r="K358" s="10"/>
      <c r="L358" s="10"/>
      <c r="M358" s="6"/>
      <c r="N358" s="414">
        <f>IF(G328="X",L407*2*SUM(C304:C309)*C301,0)</f>
        <v>0</v>
      </c>
      <c r="O358" s="6">
        <f>IF(G328="X","passagens",0)</f>
        <v>0</v>
      </c>
    </row>
    <row r="359" spans="1:19" x14ac:dyDescent="0.35">
      <c r="A359" s="20"/>
      <c r="C359" s="627"/>
    </row>
    <row r="360" spans="1:19" x14ac:dyDescent="0.35">
      <c r="A360" s="20"/>
      <c r="C360" s="627"/>
      <c r="D360" s="9">
        <f>IF(G329="X","CARRO DE APOIO À OBRA",0)</f>
        <v>0</v>
      </c>
      <c r="E360" s="10"/>
      <c r="F360" s="10"/>
      <c r="G360" s="10"/>
      <c r="H360" s="10"/>
      <c r="I360" s="10"/>
      <c r="J360" s="10"/>
      <c r="K360" s="10"/>
      <c r="L360" s="10"/>
      <c r="M360" s="6"/>
      <c r="N360" s="9">
        <f>IF(G329="X",L412,0)</f>
        <v>0</v>
      </c>
      <c r="O360" s="6">
        <f>IF(G329="X","dias",0)</f>
        <v>0</v>
      </c>
    </row>
    <row r="361" spans="1:19" x14ac:dyDescent="0.35">
      <c r="A361" s="20"/>
      <c r="C361" s="627"/>
    </row>
    <row r="362" spans="1:19" x14ac:dyDescent="0.35">
      <c r="A362" s="20"/>
      <c r="C362" s="633"/>
      <c r="D362" s="646" t="str">
        <f>IF(G328="X",0,"VIAGEM DE CASA X ALOJAMENTO ( IDA E VOLTA )")</f>
        <v>VIAGEM DE CASA X ALOJAMENTO ( IDA E VOLTA )</v>
      </c>
      <c r="E362" s="10"/>
      <c r="F362" s="10"/>
      <c r="G362" s="10"/>
      <c r="H362" s="10"/>
      <c r="I362" s="409">
        <f>G331*2</f>
        <v>2000</v>
      </c>
      <c r="J362" s="646" t="str">
        <f>IF(G328="X",0,"km")</f>
        <v>km</v>
      </c>
      <c r="K362" s="10"/>
      <c r="L362" s="646" t="str">
        <f>IF(G328="X",0,"MARCAR 'X'")</f>
        <v>MARCAR 'X'</v>
      </c>
      <c r="M362" s="10"/>
      <c r="N362" s="10"/>
      <c r="O362" s="6"/>
    </row>
    <row r="363" spans="1:19" x14ac:dyDescent="0.35">
      <c r="A363" s="20"/>
      <c r="B363" s="1538">
        <f>IF(C363="x",1,0)</f>
        <v>1</v>
      </c>
      <c r="C363" s="1421" t="str">
        <f>ENTRADAS!C808</f>
        <v>x</v>
      </c>
      <c r="D363" s="636" t="str">
        <f>IF(G328="X",0,IF(F337="x","Carro comum   ( viagem casa x alojamento x casa)"&amp;"     "&amp;ROUNDUP((SUM(C304:C309)*C301/D337),0)&amp;"   veículos",0))</f>
        <v>Carro comum   ( viagem casa x alojamento x casa)     2   veículos</v>
      </c>
      <c r="E363" s="652"/>
      <c r="F363" s="1122"/>
      <c r="G363" s="14"/>
      <c r="H363" s="652"/>
      <c r="I363" s="652"/>
      <c r="J363" s="14" t="str">
        <f ca="1">IF(H342=0,0,IF(F337="x","( percorrendo total= "&amp;IF(F337="x",G331*2*ROUNDUP((SUM(C304:C309)*C301/D337),0)*ROUNDUP((L407)/H342,0),0)&amp;" km)",0))</f>
        <v>( percorrendo total= 0 km)</v>
      </c>
      <c r="K363" s="415"/>
      <c r="L363" s="652"/>
      <c r="M363" s="1123"/>
      <c r="N363" s="1423">
        <f ca="1">IF(E6=0,0,IF(H342/(L407+L323)&gt;=1,S363,T363))</f>
        <v>0</v>
      </c>
      <c r="O363" s="1124" t="str">
        <f>IF(G328="X",0,IF(G331&lt;=H352,"dias (sem","dias (c/"))</f>
        <v>dias (sem</v>
      </c>
      <c r="P363" s="818"/>
      <c r="Q363" s="818"/>
      <c r="R363" s="818"/>
      <c r="S363" s="195">
        <f ca="1">IF(H342=0,0,IF(F311=0,(IF(F337="x",(ROUNDDOWN((L407+L323)/H342,0)*H350*ROUNDUP((SUM(C304:C309)*C301/D337),0))+(ROUNDUP(ROUNDUP((SUM(C304:C309)*C301/D337),0),0))*(ROUNDUP(ROUNDUP(G331/H352,0)*1,0))*2,0)),(IF(F337="x",(ROUNDDOWN((L407+L323)/H342,0)*H350*ROUNDUP(((SUM(C304:C309)-C309)*C301/D337),0))+(ROUNDUP(ROUNDUP(((SUM(C304:C309)-C309)*C301/D337),0),0))*(ROUNDUP(ROUNDUP(G331/H352,0)*1,0))*2,0))))</f>
        <v>4</v>
      </c>
    </row>
    <row r="364" spans="1:19" x14ac:dyDescent="0.35">
      <c r="A364" s="20"/>
      <c r="B364" s="1538"/>
      <c r="C364" s="1422"/>
      <c r="D364" s="637" t="e">
        <f ca="1">IF(I362=0,0,IF(H342/(L407+L323)&gt;=1,S364,T364))</f>
        <v>#DIV/0!</v>
      </c>
      <c r="E364" s="749"/>
      <c r="F364" s="1125"/>
      <c r="G364" s="3"/>
      <c r="H364" s="749"/>
      <c r="I364" s="749"/>
      <c r="J364" s="3"/>
      <c r="K364" s="416"/>
      <c r="L364" s="749"/>
      <c r="M364" s="1127"/>
      <c r="N364" s="1424"/>
      <c r="O364" s="994" t="str">
        <f>IF(G328="X",0,IF(G331&lt;=H352,"descanso)","descanso"))</f>
        <v>descanso)</v>
      </c>
      <c r="P364" s="1010"/>
      <c r="Q364" s="1010"/>
      <c r="R364" s="1010"/>
      <c r="S364" s="195" t="str">
        <f ca="1">IF(H342=0,0,IF(F337="x",ROUNDUP((SUM(C304:C309)*C301/D337),0)&amp;" veículos fazem "&amp;ROUNDUP((L407)/H342,0)&amp;" "&amp;"viagens de ida com "&amp;G331&amp;" km   e "&amp;ROUNDUP((L407)/H342,0)&amp;" "&amp;"viagens de volta "&amp;G331&amp;" km "&amp;"  somente mob. e desmob. ",0))</f>
        <v xml:space="preserve">2 veículos fazem 0 viagens de ida com 1000 km   e 0 viagens de volta 1000 km   somente mob. e desmob. </v>
      </c>
    </row>
    <row r="365" spans="1:19" x14ac:dyDescent="0.35">
      <c r="A365" s="20"/>
      <c r="B365" s="1538">
        <f>IF(C365="x",1,0)</f>
        <v>0</v>
      </c>
      <c r="C365" s="1421">
        <f>ENTRADAS!C810</f>
        <v>0</v>
      </c>
      <c r="D365" s="636" t="str">
        <f>IF(G328="X",0,IF(F338="x",IF(F338="x","    VAN   "&amp;D338&amp;" lugares ( viagem casa x alojamento x casa)"&amp;"   "&amp;ROUNDUP((SUM(C304:C309)*C301/D338),0)&amp;" veículo",0),0))</f>
        <v xml:space="preserve">    VAN   12 lugares ( viagem casa x alojamento x casa)   1 veículo</v>
      </c>
      <c r="E365" s="652"/>
      <c r="F365" s="1122"/>
      <c r="G365" s="14"/>
      <c r="H365" s="652"/>
      <c r="I365" s="652"/>
      <c r="J365" s="14" t="str">
        <f ca="1">IF(H342=0,0,IF(F338="x","( percorrendo total= "&amp;IF(F338="x",G331*2*ROUNDUP((SUM(C304:C309)*C301/12),0)*ROUNDUP((L407)/H342,0),0)&amp;" km)",0))</f>
        <v>( percorrendo total= 0 km)</v>
      </c>
      <c r="K365" s="415"/>
      <c r="L365" s="652"/>
      <c r="M365" s="1123"/>
      <c r="N365" s="1423">
        <f ca="1">IF(E6=0,0,IF(H342/(L407+L323)&gt;=1,S365,T365))</f>
        <v>0</v>
      </c>
      <c r="O365" s="1124" t="str">
        <f>IF(G328="X",0,IF(G331&lt;=H352,"dias (sem","dias (c/"))</f>
        <v>dias (sem</v>
      </c>
      <c r="P365" s="818"/>
      <c r="Q365" s="818"/>
      <c r="R365" s="818"/>
      <c r="S365" s="195">
        <f ca="1">IF(H342=0,0,IF(F311=0,(IF(F337="x",(ROUNDDOWN((L407+L323)/H342,0)*H350*ROUNDUP((SUM(C304:C309)*C301/D338),0))+(ROUNDUP(ROUNDUP((SUM(C304:C309)*C301/D338),0),0))*(ROUNDUP(ROUNDUP(G331/H352,0)*1,0))*2,0)),(IF(F337="x",(ROUNDDOWN((L407+L323)/H342,0)*H350*ROUNDUP(((SUM(C304:C309)-C309)*C301/D338),0))+(ROUNDUP(ROUNDUP(((SUM(C304:C309)-C309)*C301/D338),0),0))*(ROUNDUP(ROUNDUP(G331/H352,0)*1,0))*2,0))))</f>
        <v>2</v>
      </c>
    </row>
    <row r="366" spans="1:19" x14ac:dyDescent="0.35">
      <c r="A366" s="20"/>
      <c r="B366" s="1538"/>
      <c r="C366" s="1422"/>
      <c r="D366" s="637" t="e">
        <f ca="1">IF(I362=0,0,IF(H342/(L407+L323)&gt;=1,S366,T366))</f>
        <v>#DIV/0!</v>
      </c>
      <c r="E366" s="749"/>
      <c r="F366" s="1125"/>
      <c r="G366" s="3"/>
      <c r="H366" s="749"/>
      <c r="I366" s="749"/>
      <c r="J366" s="3"/>
      <c r="K366" s="416"/>
      <c r="L366" s="749"/>
      <c r="M366" s="1127"/>
      <c r="N366" s="1424"/>
      <c r="O366" s="994" t="str">
        <f>IF(G328="X",0,IF(G331&lt;=H352,"descanso)","descanso"))</f>
        <v>descanso)</v>
      </c>
      <c r="P366" s="1010"/>
      <c r="Q366" s="1010"/>
      <c r="R366" s="1010"/>
      <c r="S366" s="195" t="str">
        <f ca="1">IF(H342=0,0,IF(F337="x",ROUNDUP((SUM(C304:C309)*C301/D338),0)&amp;" veículos fazem "&amp;ROUNDUP((L407)/H342,0)&amp;" "&amp;"viagens de ida com "&amp;G331&amp;" km   e "&amp;ROUNDUP((L407)/H342,0)&amp;" "&amp;"viagens de volta "&amp;G331&amp;" km "&amp;"  somente mob. e desmob. ",0))</f>
        <v xml:space="preserve">1 veículos fazem 0 viagens de ida com 1000 km   e 0 viagens de volta 1000 km   somente mob. e desmob. </v>
      </c>
    </row>
    <row r="367" spans="1:19" x14ac:dyDescent="0.35">
      <c r="A367" s="20"/>
      <c r="B367">
        <f>IF(C367="x",1,0)</f>
        <v>0</v>
      </c>
      <c r="C367" s="626">
        <f>ENTRADAS!C812</f>
        <v>0</v>
      </c>
      <c r="D367" s="727" t="str">
        <f>IF(G328="X",0,IF(F339="x",IF(F339="x","ÔNIBUS comercial ( casa x alojamento x casa - ida e volta )",0),0))</f>
        <v>ÔNIBUS comercial ( casa x alojamento x casa - ida e volta )</v>
      </c>
      <c r="E367" s="995"/>
      <c r="F367" s="1128"/>
      <c r="G367" s="35"/>
      <c r="H367" s="995"/>
      <c r="I367" s="995"/>
      <c r="J367" s="35" t="str">
        <f ca="1">IF(H342=0,0,IF(D367=0,0,"( percorrendo total= "&amp;IF(F339="x",G331*2*ROUNDUP((SUM(C304:C309)*C301/40),0)*ROUNDUP((L407)/H342,0),0)&amp;" km)"))</f>
        <v>( percorrendo total= 0 km)</v>
      </c>
      <c r="K367" s="417"/>
      <c r="L367" s="995"/>
      <c r="M367" s="1130"/>
      <c r="N367" s="1131">
        <f ca="1">IF(G328="X",0,IF(E6=0,0,IF(J399=0,S367,T367)))</f>
        <v>0</v>
      </c>
      <c r="O367" s="1132" t="str">
        <f>IF(G328="X",0,"passagens")</f>
        <v>passagens</v>
      </c>
      <c r="P367" s="667"/>
      <c r="Q367" s="667"/>
      <c r="R367" s="667"/>
      <c r="S367" s="195">
        <f ca="1">IF(E6=0,0,IF(F311=0,IF(F339="x",ROUNDUP((SUM(C304:C309)*C301*1),0),0),IF(F339="x",ROUNDUP(((SUM(C304:C309)-C309)*C301*1),0),0)))</f>
        <v>0</v>
      </c>
    </row>
    <row r="368" spans="1:19" x14ac:dyDescent="0.35">
      <c r="A368" s="20"/>
      <c r="B368">
        <f>IF(C368="x",1,0)</f>
        <v>0</v>
      </c>
      <c r="C368" s="626">
        <f>ENTRADAS!C813</f>
        <v>0</v>
      </c>
      <c r="D368" s="727" t="str">
        <f>IF(G328="X",0,IF(F340="x",IF(F340="x","AVIÃO comercial ( casa x alojamento x casa - ida e volta )",0),0))</f>
        <v>AVIÃO comercial ( casa x alojamento x casa - ida e volta )</v>
      </c>
      <c r="E368" s="995"/>
      <c r="F368" s="1128"/>
      <c r="G368" s="35"/>
      <c r="H368" s="995"/>
      <c r="I368" s="995"/>
      <c r="J368" s="35"/>
      <c r="K368" s="417"/>
      <c r="L368" s="995"/>
      <c r="M368" s="1130"/>
      <c r="N368" s="1131">
        <f ca="1">IF(G328="X",0,IF(E6=0,0,IF(J399=0,S368,T368)))</f>
        <v>0</v>
      </c>
      <c r="O368" s="1132" t="str">
        <f>IF(G328="X",0,"passagens")</f>
        <v>passagens</v>
      </c>
      <c r="P368" s="667"/>
      <c r="Q368" s="667"/>
      <c r="R368" s="667"/>
      <c r="S368" s="195">
        <f ca="1">IF(E6=0,0,IF(F311=0,IF(F340="x",ROUNDUP((SUM(C304:C309)*C301*1),0),0),IF(F340="x",ROUNDUP(((SUM(C304:C309)-C309)*C301*1),0),0)))</f>
        <v>0</v>
      </c>
    </row>
    <row r="369" spans="1:19" x14ac:dyDescent="0.35">
      <c r="A369" s="20"/>
      <c r="C369" s="627"/>
    </row>
    <row r="370" spans="1:19" x14ac:dyDescent="0.35">
      <c r="A370" s="20"/>
      <c r="C370" s="633"/>
      <c r="D370" s="646" t="str">
        <f>IF(G328="X",0,"VIAGEM DE ALOJAMENTO X OBRA X ALOJAMENTO ( IDA E VOLTA )")</f>
        <v>VIAGEM DE ALOJAMENTO X OBRA X ALOJAMENTO ( IDA E VOLTA )</v>
      </c>
      <c r="E370" s="10"/>
      <c r="F370" s="10"/>
      <c r="G370" s="10"/>
      <c r="H370" s="10"/>
      <c r="I370" s="10"/>
      <c r="J370" s="409">
        <f>G332*2</f>
        <v>40</v>
      </c>
      <c r="K370" s="646" t="str">
        <f>IF(G328="X",0,"km")</f>
        <v>km</v>
      </c>
      <c r="L370" s="10"/>
      <c r="M370" s="646" t="str">
        <f>IF(G328="X",0,"MARCAR 'X'")</f>
        <v>MARCAR 'X'</v>
      </c>
      <c r="N370" s="10"/>
      <c r="O370" s="6"/>
    </row>
    <row r="371" spans="1:19" x14ac:dyDescent="0.35">
      <c r="A371" s="20"/>
      <c r="B371" s="1538">
        <f>IF(C371="x",1,0)</f>
        <v>1</v>
      </c>
      <c r="C371" s="1421" t="str">
        <f>ENTRADAS!C817</f>
        <v>x</v>
      </c>
      <c r="D371" s="636" t="s">
        <v>2530</v>
      </c>
      <c r="E371" s="652"/>
      <c r="F371" s="1122"/>
      <c r="G371" s="14"/>
      <c r="H371" s="652"/>
      <c r="I371" s="652"/>
      <c r="J371" s="14" t="s">
        <v>2531</v>
      </c>
      <c r="K371" s="415"/>
      <c r="L371" s="652"/>
      <c r="M371" s="1123"/>
      <c r="N371" s="1423">
        <f ca="1">Q379</f>
        <v>0</v>
      </c>
      <c r="O371" s="1425" t="str">
        <f>IF(G328="X",0,IF(G328="X",0,"dias "))</f>
        <v xml:space="preserve">dias </v>
      </c>
      <c r="P371" s="977"/>
      <c r="Q371" s="627" t="s">
        <v>1930</v>
      </c>
    </row>
    <row r="372" spans="1:19" x14ac:dyDescent="0.35">
      <c r="A372" s="20"/>
      <c r="B372" s="1538"/>
      <c r="C372" s="1422"/>
      <c r="D372" s="637" t="s">
        <v>2532</v>
      </c>
      <c r="E372" s="749"/>
      <c r="F372" s="1125"/>
      <c r="G372" s="3"/>
      <c r="H372" s="749"/>
      <c r="I372" s="749"/>
      <c r="J372" s="3"/>
      <c r="K372" s="416"/>
      <c r="L372" s="749"/>
      <c r="M372" s="1127"/>
      <c r="N372" s="1424" t="s">
        <v>596</v>
      </c>
      <c r="O372" s="1426" t="s">
        <v>597</v>
      </c>
      <c r="P372" s="667"/>
      <c r="Q372" s="630" t="s">
        <v>1931</v>
      </c>
      <c r="R372" s="630" t="s">
        <v>1932</v>
      </c>
      <c r="S372" s="630" t="s">
        <v>1933</v>
      </c>
    </row>
    <row r="373" spans="1:19" x14ac:dyDescent="0.35">
      <c r="A373" s="20"/>
      <c r="B373" s="1538">
        <f>IF(C373="x",1,0)</f>
        <v>0</v>
      </c>
      <c r="C373" s="1421">
        <f>ENTRADAS!C819</f>
        <v>0</v>
      </c>
      <c r="D373" s="636" t="s">
        <v>2530</v>
      </c>
      <c r="E373" s="652"/>
      <c r="F373" s="1122"/>
      <c r="G373" s="14"/>
      <c r="H373" s="652"/>
      <c r="I373" s="652"/>
      <c r="J373" s="14"/>
      <c r="K373" s="415"/>
      <c r="L373" s="652"/>
      <c r="M373" s="1123"/>
      <c r="N373" s="1423">
        <f ca="1">Q380</f>
        <v>0</v>
      </c>
      <c r="O373" s="1425" t="str">
        <f>IF(G328="X",0,"dias")</f>
        <v>dias</v>
      </c>
      <c r="P373" s="977"/>
      <c r="Q373" s="660">
        <f>SUM(C304:C309)-F311</f>
        <v>9</v>
      </c>
      <c r="R373" s="7">
        <f>SUM(C304:C309)</f>
        <v>9</v>
      </c>
      <c r="S373" s="7">
        <f>D337-Q373</f>
        <v>-4</v>
      </c>
    </row>
    <row r="374" spans="1:19" x14ac:dyDescent="0.35">
      <c r="A374" s="20"/>
      <c r="B374" s="1538"/>
      <c r="C374" s="1422"/>
      <c r="D374" s="637"/>
      <c r="E374" s="749"/>
      <c r="F374" s="1125" t="str">
        <f>IF(G328="X",0,IF(H337="x","locado em todo o tempo da obra",0))</f>
        <v>locado em todo o tempo da obra</v>
      </c>
      <c r="G374" s="3"/>
      <c r="H374" s="749"/>
      <c r="I374" s="749"/>
      <c r="J374" s="3"/>
      <c r="K374" s="416"/>
      <c r="L374" s="749"/>
      <c r="M374" s="1127"/>
      <c r="N374" s="1424"/>
      <c r="O374" s="1426"/>
      <c r="P374" s="667"/>
      <c r="Q374" s="627" t="s">
        <v>1934</v>
      </c>
      <c r="S374" s="32">
        <f>ROUNDUP(Q373*C301/D337,0)</f>
        <v>2</v>
      </c>
    </row>
    <row r="375" spans="1:19" x14ac:dyDescent="0.35">
      <c r="A375" s="20"/>
      <c r="B375" s="1538">
        <f>IF(C375="x",1,0)</f>
        <v>0</v>
      </c>
      <c r="C375" s="1421">
        <f>ENTRADAS!C821</f>
        <v>0</v>
      </c>
      <c r="D375" s="636" t="str">
        <f>IF(G328="X",0,IF(H338="x","    VAN   "&amp;D338&amp;" lugares ( viagem alojam. x obra x alojam. )"&amp;"  "&amp;ROUNDUP((SUM(C304:C309)*C301/D338),0)&amp;" veículo",0))</f>
        <v xml:space="preserve">    VAN   12 lugares ( viagem alojam. x obra x alojam. )  1 veículo</v>
      </c>
      <c r="E375" s="652"/>
      <c r="F375" s="1122"/>
      <c r="G375" s="14"/>
      <c r="H375" s="652"/>
      <c r="I375" s="652"/>
      <c r="J375" s="14" t="str">
        <f ca="1">IF(G328="X",0,"( percorrendo total= "&amp;IF(H338="x",G332*2*ROUNDUP((SUM(C304:C309)*C301/D338),0)*ROUNDUP((L407),0),0)&amp;" km)")</f>
        <v>( percorrendo total= 0 km)</v>
      </c>
      <c r="K375" s="415"/>
      <c r="L375" s="652"/>
      <c r="M375" s="1123"/>
      <c r="N375" s="1423">
        <f ca="1">IF(G328="X",0,ROUNDUP((SUM(C304:C309)*C301/D338),0)*(L407+L323))</f>
        <v>0</v>
      </c>
      <c r="O375" s="1425" t="str">
        <f>IF(G328="X",0,"dias ")</f>
        <v xml:space="preserve">dias </v>
      </c>
      <c r="P375" s="977"/>
      <c r="Q375" s="627" t="s">
        <v>1935</v>
      </c>
      <c r="S375" s="32">
        <f>S374*D337-Q373</f>
        <v>1</v>
      </c>
    </row>
    <row r="376" spans="1:19" x14ac:dyDescent="0.35">
      <c r="A376" s="20"/>
      <c r="B376" s="1538"/>
      <c r="C376" s="1422"/>
      <c r="D376" s="637" t="str">
        <f ca="1">IF(G328="X",0,ROUNDUP((SUM(C304:C309)*C301/D338),0)&amp;" veículo faz "&amp;ROUNDUP((L407),0)&amp;" "&amp;"viagens de ida com "&amp;G332&amp;" km   e "&amp;ROUNDUP((L407),0)&amp;" "&amp;"viagens de volta "&amp;G332&amp;" km ")</f>
        <v xml:space="preserve">1 veículo faz 0 viagens de ida com 20 km   e 0 viagens de volta 20 km </v>
      </c>
      <c r="E376" s="749"/>
      <c r="F376" s="1125"/>
      <c r="G376" s="3"/>
      <c r="H376" s="749"/>
      <c r="I376" s="749"/>
      <c r="J376" s="3"/>
      <c r="K376" s="416"/>
      <c r="L376" s="749"/>
      <c r="M376" s="1127"/>
      <c r="N376" s="1424"/>
      <c r="O376" s="1426" t="s">
        <v>597</v>
      </c>
      <c r="P376" s="667"/>
      <c r="Q376" s="627" t="s">
        <v>1936</v>
      </c>
      <c r="S376" s="7">
        <f>S375-F311</f>
        <v>1</v>
      </c>
    </row>
    <row r="377" spans="1:19" x14ac:dyDescent="0.35">
      <c r="A377" s="20"/>
      <c r="B377" s="1538">
        <f>IF(C377="x",1,0)</f>
        <v>0</v>
      </c>
      <c r="C377" s="1421">
        <f>ENTRADAS!C823</f>
        <v>0</v>
      </c>
      <c r="D377" s="636" t="str">
        <f>IF(G328="X",0,IF(H338="x","    VAN   "&amp;D338&amp;" lugares ( viagem alojam. x obra x alojam. )"&amp;"  "&amp;ROUNDUP((SUM(C304:C309)*C301/D338),0)&amp;" veículo",0))</f>
        <v xml:space="preserve">    VAN   12 lugares ( viagem alojam. x obra x alojam. )  1 veículo</v>
      </c>
      <c r="E377" s="652"/>
      <c r="F377" s="1122"/>
      <c r="G377" s="14"/>
      <c r="H377" s="652"/>
      <c r="I377" s="652"/>
      <c r="J377" s="14"/>
      <c r="K377" s="415"/>
      <c r="L377" s="652"/>
      <c r="M377" s="1123"/>
      <c r="N377" s="1423">
        <f ca="1">IF(G328="X",0,L410*ROUNDUP((SUM(C304:C309)*C301/D338),0))</f>
        <v>0</v>
      </c>
      <c r="O377" s="1425" t="str">
        <f>IF(G328="X",0,"dias ")</f>
        <v xml:space="preserve">dias </v>
      </c>
      <c r="P377" s="977"/>
      <c r="Q377" s="627" t="s">
        <v>1844</v>
      </c>
      <c r="S377" s="32" t="str">
        <f>IF(S376&gt;=0,"sim","não")</f>
        <v>sim</v>
      </c>
    </row>
    <row r="378" spans="1:19" x14ac:dyDescent="0.35">
      <c r="A378" s="20"/>
      <c r="B378" s="1538"/>
      <c r="C378" s="1422"/>
      <c r="D378" s="637"/>
      <c r="E378" s="749"/>
      <c r="F378" s="1125" t="str">
        <f>IF(G328="X",0,IF(H338="x","locado em todo o tempo da obra",0))</f>
        <v>locado em todo o tempo da obra</v>
      </c>
      <c r="G378" s="3"/>
      <c r="H378" s="749"/>
      <c r="I378" s="749"/>
      <c r="J378" s="3"/>
      <c r="K378" s="416"/>
      <c r="L378" s="749"/>
      <c r="M378" s="1127"/>
      <c r="N378" s="1424"/>
      <c r="O378" s="1426" t="s">
        <v>597</v>
      </c>
      <c r="P378" s="667"/>
    </row>
    <row r="379" spans="1:19" x14ac:dyDescent="0.35">
      <c r="A379" s="20"/>
      <c r="B379" s="1538">
        <f>IF(C379="x",1,0)</f>
        <v>0</v>
      </c>
      <c r="C379" s="1421">
        <f>ENTRADAS!C825</f>
        <v>0</v>
      </c>
      <c r="D379" s="636" t="str">
        <f>IF(G328="X",0,IF(H339="x","Ônibus comercial "&amp;"  ( viagem alojam. x obra x alojam. )"&amp;"    "&amp;ROUNDUP((SUM(C304:C309)*C301/40),0)&amp;" veículo",0))</f>
        <v>Ônibus comercial   ( viagem alojam. x obra x alojam. )    1 veículo</v>
      </c>
      <c r="E379" s="652"/>
      <c r="F379" s="1122"/>
      <c r="G379" s="14"/>
      <c r="H379" s="652"/>
      <c r="I379" s="652"/>
      <c r="J379" s="14" t="str">
        <f ca="1">IF(G328="X",0,"( percorrendo total= "&amp;IF(H339="x",G332*2*ROUNDUP((SUM(C304:C309)*C301/40),0)*ROUNDUP((L407),0),0)&amp;" km)")</f>
        <v>( percorrendo total= 0 km)</v>
      </c>
      <c r="K379" s="415"/>
      <c r="L379" s="652"/>
      <c r="M379" s="1123"/>
      <c r="N379" s="1423">
        <f ca="1">IF(G328="X",0,ROUNDUP((SUM(C304:C309)*C301/D338),0)*(L407+L323))</f>
        <v>0</v>
      </c>
      <c r="O379" s="1425" t="str">
        <f>IF(G328="X",0,"dias")</f>
        <v>dias</v>
      </c>
      <c r="P379" s="977"/>
      <c r="Q379" s="32">
        <f ca="1">IF(AND(U503="não",ENTRADAS!D839="X"),IF(G328="X",0,ROUNDUP((SUM(C304:C309)*C301/D337),0)*(L407+L323)),IF(ENTRADAS!G833="X",IF(G328="X",0,1*(L407+L323)),IF(AND(F311&gt;0,ENTRADAS!C838=1),IF(G328="X",0,ROUNDUP(((SUM(C304:C309)-F311)*C301/D337),0)*(L407+L323)),IF(G328="X",0,ROUNDUP((SUM(C304:C309)*C301/D337),0)*(L407+L323)))))</f>
        <v>0</v>
      </c>
    </row>
    <row r="380" spans="1:19" x14ac:dyDescent="0.35">
      <c r="A380" s="20"/>
      <c r="B380" s="1538"/>
      <c r="C380" s="1422"/>
      <c r="D380" s="637" t="str">
        <f ca="1">IF(G328="X",0,ROUNDUP((SUM(C304:C309)*C301/40),0)&amp;" veículo faz "&amp;ROUNDUP((L407),0)&amp;" "&amp;"viagens de ida com "&amp;G332&amp;" km   e "&amp;ROUNDUP((L407),0)&amp;" "&amp;"viagens de volta "&amp;G332&amp;" km ")</f>
        <v xml:space="preserve">1 veículo faz 0 viagens de ida com 20 km   e 0 viagens de volta 20 km </v>
      </c>
      <c r="E380" s="749"/>
      <c r="F380" s="1125"/>
      <c r="G380" s="3"/>
      <c r="H380" s="749"/>
      <c r="I380" s="749"/>
      <c r="J380" s="3"/>
      <c r="K380" s="416"/>
      <c r="L380" s="749"/>
      <c r="M380" s="1127"/>
      <c r="N380" s="1424"/>
      <c r="O380" s="1426" t="s">
        <v>597</v>
      </c>
      <c r="P380" s="667"/>
      <c r="Q380" s="32">
        <f ca="1">IF(AND(U503="não",ENTRADAS!D839="X"),IF(G328="X",0,ROUNDUP((SUM(C304:C309)*C301/D337),0)*(L410)),IF(ENTRADAS!G833="X",IF(G328="X",0,1*(L410)),IF(AND(F311&gt;0,ENTRADAS!C838=1),IF(G328="X",0,ROUNDUP(((SUM(C304:C309)-F311)*C301/D337),0)*(L410)),IF(G328="X",0,ROUNDUP((SUM(C304:C309)*C301/D337),0)*(L410)))))</f>
        <v>0</v>
      </c>
    </row>
    <row r="381" spans="1:19" x14ac:dyDescent="0.35">
      <c r="A381" s="20"/>
      <c r="C381" s="627"/>
    </row>
    <row r="382" spans="1:19" x14ac:dyDescent="0.35">
      <c r="A382" s="20"/>
    </row>
    <row r="383" spans="1:19" x14ac:dyDescent="0.35">
      <c r="A383" s="20"/>
      <c r="C383" s="1338" t="s">
        <v>607</v>
      </c>
      <c r="D383" s="1441"/>
      <c r="E383" s="1441"/>
      <c r="F383" s="1441"/>
      <c r="G383" s="1441"/>
      <c r="H383" s="1441"/>
      <c r="I383" s="1441"/>
      <c r="J383" s="1441"/>
      <c r="K383" s="1441"/>
      <c r="L383" s="1339"/>
    </row>
    <row r="384" spans="1:19" x14ac:dyDescent="0.35">
      <c r="A384" s="20"/>
      <c r="C384" s="13" t="str">
        <f>IF(G328="X",0,IF(C301=0,0,IF(C385=0,0,"VIAGEM DE CASA X ALOJAMENTO X CASA ( IDA E VOLTA )")))</f>
        <v>VIAGEM DE CASA X ALOJAMENTO X CASA ( IDA E VOLTA )</v>
      </c>
      <c r="D384" s="14"/>
      <c r="E384" s="14"/>
      <c r="F384" s="14"/>
      <c r="G384" s="14"/>
      <c r="H384" s="14"/>
      <c r="I384" s="14"/>
      <c r="J384" s="14"/>
      <c r="K384" s="15"/>
      <c r="L384" s="1349">
        <f ca="1">IF(B363+B365+B367+B368=0,0,VLOOKUP($BO$8,C363:O368,12,0))</f>
        <v>0</v>
      </c>
      <c r="M384" s="1134" t="str">
        <f>IF(C363="X",O363,IF(C365="X",O365,IF(C367="X",O367,IF(C368="X",O368,0))))</f>
        <v>dias (sem</v>
      </c>
      <c r="N384" s="1010"/>
      <c r="O384" s="1010"/>
      <c r="P384" s="1010"/>
      <c r="Q384" s="1010"/>
      <c r="R384" s="1010"/>
    </row>
    <row r="385" spans="1:19" x14ac:dyDescent="0.35">
      <c r="A385" s="20"/>
      <c r="C385" s="637" t="str">
        <f>IF(G328="X",0,IF(B363+B365+B367+B368=0,"VIAGEM CASA X ALOJAMENTO ",VLOOKUP($BO$8,C363:O368,2,0)))</f>
        <v>Carro comum   ( viagem casa x alojamento x casa)     2   veículos</v>
      </c>
      <c r="D385" s="3"/>
      <c r="E385" s="1125"/>
      <c r="F385" s="3"/>
      <c r="G385" s="749"/>
      <c r="H385" s="749" t="str">
        <f ca="1">IF(B363+B365+B367+B368=0,0,VLOOKUP($BO$8,C363:O368,8,0))</f>
        <v>( percorrendo total= 0 km)</v>
      </c>
      <c r="I385" s="3"/>
      <c r="J385" s="416"/>
      <c r="K385" s="748"/>
      <c r="L385" s="1509"/>
      <c r="M385" s="1134" t="str">
        <f>IF(C363="X",O364,IF(C365="X",O366,IF(C367="X","ida e volta juntas",IF(C368="X","ida e volta juntas",0))))</f>
        <v>descanso)</v>
      </c>
      <c r="N385" s="1010"/>
      <c r="O385" s="1010"/>
      <c r="P385" s="1010"/>
      <c r="Q385" s="1010"/>
      <c r="R385" s="1010"/>
    </row>
    <row r="386" spans="1:19" x14ac:dyDescent="0.35">
      <c r="A386" s="20"/>
      <c r="C386" s="13" t="str">
        <f>IF(B373=1,D373,IF(B371=1,D371,IF(B375=1,D375,IF(B377=1,D377,IF(B379=1,D379,0)))))</f>
        <v>falta alterar SE(G327="X";0;SE(H336="x";"Carro comum ( viagem alojam. x obra x alojam. )"&amp;"   "&amp;ARREDONDAR.PARA.CIMA((SOMA(C304:C308)*C301/D336);0)&amp;" carros";0))</v>
      </c>
      <c r="D386" s="14"/>
      <c r="E386" s="14"/>
      <c r="F386" s="14"/>
      <c r="G386" s="14"/>
      <c r="H386" s="14"/>
      <c r="I386" s="14"/>
      <c r="J386" s="14"/>
      <c r="K386" s="15"/>
      <c r="L386" s="1349">
        <f ca="1">IF(B371+B373+B375+B377+B379=0,0,IF(B371=1,N371,IF(B373=1,N373,IF(B375=1,N375,IF(B377=1,N377,IF(B379=1,N379,0))))))</f>
        <v>0</v>
      </c>
      <c r="M386" s="1351" t="str">
        <f>IF(C371="X",O371,IF(C373="X",O373,IF(C375="X",O375,IF(C377="X",O377,IF(C379="X",O379,0)))))</f>
        <v xml:space="preserve">dias </v>
      </c>
      <c r="N386" s="1460"/>
      <c r="O386" s="1460"/>
      <c r="P386" s="667"/>
      <c r="Q386" s="667"/>
      <c r="R386" s="667"/>
    </row>
    <row r="387" spans="1:19" x14ac:dyDescent="0.35">
      <c r="A387" s="20"/>
      <c r="C387" s="637" t="str">
        <f>IF(B371+B373+B375+B377+B379=0,0,IF(B371=1,D372,IF(B373=1,F374,IF(B375=1,D376,IF(B377=1,F378,IF(B379=1,D380,0))))))</f>
        <v>falta alterar SE(G327="X";0;ARREDONDAR.PARA.CIMA((SOMA(C304:C308)*C301/D336);0)&amp;" veículos fazem "&amp;ARREDONDAR.PARA.CIMA((L404);0)&amp;" "&amp;"viagens de ida com "&amp;G331&amp;" km   e "&amp;ARREDONDAR.PARA.CIMA((L404);0)&amp;" "&amp;"viagens de volta "&amp;G331&amp;" km ")</v>
      </c>
      <c r="D387" s="3"/>
      <c r="E387" s="1125"/>
      <c r="F387" s="3"/>
      <c r="G387" s="749"/>
      <c r="H387" s="749"/>
      <c r="I387" s="3"/>
      <c r="J387" s="416"/>
      <c r="K387" s="748"/>
      <c r="L387" s="1509"/>
      <c r="M387" s="1351"/>
      <c r="N387" s="1460"/>
      <c r="O387" s="1460"/>
      <c r="P387" s="667"/>
      <c r="Q387" s="667"/>
      <c r="R387" s="667"/>
    </row>
    <row r="388" spans="1:19" x14ac:dyDescent="0.35">
      <c r="A388" s="20"/>
      <c r="C388" s="633" t="s">
        <v>608</v>
      </c>
      <c r="D388" s="10"/>
      <c r="E388" s="10"/>
      <c r="F388" s="10"/>
      <c r="G388" s="10"/>
      <c r="H388" s="10"/>
      <c r="I388" s="10"/>
      <c r="J388" s="371"/>
      <c r="K388" s="629"/>
      <c r="L388" s="660">
        <f ca="1">ROUNDUP(SUM(C304:C309)*C301*(L407+L323),0)</f>
        <v>0</v>
      </c>
      <c r="M388" s="627" t="s">
        <v>46</v>
      </c>
    </row>
    <row r="389" spans="1:19" x14ac:dyDescent="0.35">
      <c r="A389" s="20"/>
      <c r="C389" s="633" t="s">
        <v>609</v>
      </c>
      <c r="D389" s="10"/>
      <c r="E389" s="10"/>
      <c r="F389" s="10"/>
      <c r="G389" s="10"/>
      <c r="H389" s="10"/>
      <c r="I389" s="10"/>
      <c r="J389" s="371"/>
      <c r="K389" s="629"/>
      <c r="L389" s="660">
        <f ca="1">ROUNDUP(IF(G328="X",0,IF(E6=0,0,IF(F311=0,(SUM(C304:C309)*C301*(J402*4))+(L407*SUM(C304:C309)*C301),((SUM(C304:C309)-C309)*C301*(J402*4))+(L407*(SUM(C304:C309)-C309)*C301)))),0)</f>
        <v>0</v>
      </c>
      <c r="M389" s="627" t="s">
        <v>46</v>
      </c>
    </row>
    <row r="390" spans="1:19" x14ac:dyDescent="0.35">
      <c r="A390" s="20"/>
      <c r="C390" s="633" t="s">
        <v>610</v>
      </c>
      <c r="D390" s="10"/>
      <c r="E390" s="10"/>
      <c r="F390" s="10"/>
      <c r="G390" s="10"/>
      <c r="H390" s="10"/>
      <c r="I390" s="10"/>
      <c r="J390" s="371"/>
      <c r="K390" s="629"/>
      <c r="L390" s="660">
        <f ca="1">IF(E6=0,0,N390)</f>
        <v>0</v>
      </c>
      <c r="M390" s="627" t="s">
        <v>46</v>
      </c>
      <c r="N390" s="195">
        <f>IF(G328="X",0,IF(F311=0,IF(B363=1,ROUNDUP((G331*2*SUM(C304:C309)*C301)/500,0),IF(B365=1,ROUNDUP((G331*2*SUM(C304:C309)*C301)/500,0),IF(B367=1,L384*ROUNDUP((G331*2*ROUNDUP((SUM(C304:C309)*C301/40),0)*ROUNDUP((L407+L323)/H342,0))/500,0),IF(B368=1,L384,0)))),IF(B363=1,ROUNDUP((G331*2*(SUM(C304:C309)-C309)*C301)/500,0),IF(B365=1,ROUNDUP((G331*2*(SUM(C304:C309)-C309)*C301)/500,0),IF(B367=1,L384*ROUNDUP((G331*2*ROUNDUP(((SUM(C304:C309)-C309)*C301/40),0)*ROUNDUP((L407+L323)/H342,0))/500,0),IF(B368=1,L384,0))))))</f>
        <v>36</v>
      </c>
    </row>
    <row r="391" spans="1:19" x14ac:dyDescent="0.35">
      <c r="A391" s="20"/>
      <c r="C391" s="633" t="s">
        <v>611</v>
      </c>
      <c r="D391" s="10"/>
      <c r="E391" s="10"/>
      <c r="F391" s="10"/>
      <c r="G391" s="10"/>
      <c r="H391" s="10"/>
      <c r="I391" s="10"/>
      <c r="J391" s="371"/>
      <c r="K391" s="629"/>
      <c r="L391" s="660">
        <f ca="1">ROUNDUP(SUM(C304:C309)*C301*(L407+L323),0)</f>
        <v>0</v>
      </c>
      <c r="M391" s="627" t="s">
        <v>46</v>
      </c>
    </row>
    <row r="392" spans="1:19" x14ac:dyDescent="0.35">
      <c r="A392" s="20"/>
      <c r="C392" s="633" t="s">
        <v>612</v>
      </c>
      <c r="D392" s="10"/>
      <c r="E392" s="10"/>
      <c r="F392" s="10"/>
      <c r="G392" s="10"/>
      <c r="H392" s="10"/>
      <c r="I392" s="10"/>
      <c r="J392" s="371"/>
      <c r="K392" s="629"/>
      <c r="L392" s="660">
        <f ca="1">ROUNDUP(IF(G328="X",0,IF(F311=0,SUM(C304:C309)*C301*1*2*J402,(SUM(C304:C309)-C309)*C301*1*2)),0)</f>
        <v>0</v>
      </c>
      <c r="M392" s="627" t="s">
        <v>46</v>
      </c>
    </row>
    <row r="393" spans="1:19" x14ac:dyDescent="0.35">
      <c r="A393" s="20"/>
      <c r="C393" s="633" t="s">
        <v>1937</v>
      </c>
      <c r="D393" s="10"/>
      <c r="E393" s="10"/>
      <c r="F393" s="10"/>
      <c r="G393" s="10"/>
      <c r="H393" s="10"/>
      <c r="I393" s="10"/>
      <c r="J393" s="371"/>
      <c r="K393" s="629"/>
      <c r="L393" s="660">
        <f ca="1">L391+L392</f>
        <v>0</v>
      </c>
      <c r="M393" s="627" t="s">
        <v>46</v>
      </c>
    </row>
    <row r="394" spans="1:19" x14ac:dyDescent="0.35">
      <c r="A394" s="20"/>
      <c r="C394" s="633" t="s">
        <v>613</v>
      </c>
      <c r="D394" s="10"/>
      <c r="E394" s="413">
        <f>IF(F311=0,SUM(C305:C309)*C301,(SUM(C304:C309)-C309)*C301)</f>
        <v>8</v>
      </c>
      <c r="F394" s="10" t="s">
        <v>614</v>
      </c>
      <c r="G394" s="10"/>
      <c r="H394" s="10"/>
      <c r="I394" s="10"/>
      <c r="J394" s="10"/>
      <c r="K394" s="6"/>
      <c r="L394" s="7">
        <f ca="1">ROUNDUP(IF(G328="X",0,IF(C346="X",L410,L407+(J402*2))),0)</f>
        <v>0</v>
      </c>
      <c r="M394" s="627" t="s">
        <v>101</v>
      </c>
      <c r="O394" s="195">
        <f>IF(B367+B368&gt;0,0,IF(G331&lt;=H352,0,IF(J400&lt;=2,0,((J400/2)-1)*2*SUM(C304:C309)*C301)))</f>
        <v>0</v>
      </c>
      <c r="P394" s="195"/>
      <c r="Q394" s="195"/>
      <c r="R394" s="195"/>
      <c r="S394" s="195"/>
    </row>
    <row r="395" spans="1:19" x14ac:dyDescent="0.35">
      <c r="A395" s="20"/>
      <c r="C395" s="633" t="s">
        <v>1938</v>
      </c>
      <c r="D395" s="10"/>
      <c r="E395" s="413">
        <f>IF(G395=0,0,IF(F311=0,IF(B367+B368&gt;0,0,SUM(C304:C309)*C301),IF(B367+B368&gt;0,0,(SUM(C304:C309)-C309)*C301)))</f>
        <v>0</v>
      </c>
      <c r="F395" s="10">
        <f>IF(G395=0,0,"PESSOAS")</f>
        <v>0</v>
      </c>
      <c r="G395" s="10"/>
      <c r="H395" s="10"/>
      <c r="I395" s="10"/>
      <c r="J395" s="10"/>
      <c r="K395" s="6"/>
      <c r="L395" s="7">
        <f>IF(G328="X",0,O395)</f>
        <v>0</v>
      </c>
      <c r="M395" s="627" t="s">
        <v>1939</v>
      </c>
      <c r="O395" s="195">
        <f>IF(S395+T395=2,((J398/2)-1)*2*SUM(C304:C309)*C301,O394)</f>
        <v>0</v>
      </c>
      <c r="P395" s="195"/>
      <c r="Q395" s="195"/>
      <c r="R395" s="195"/>
      <c r="S395" s="195">
        <f>IF(J398&gt;0,1,0)</f>
        <v>1</v>
      </c>
    </row>
    <row r="396" spans="1:19" x14ac:dyDescent="0.35">
      <c r="A396" s="20"/>
      <c r="C396" s="633">
        <f>IF(L396=0,0,"VALE TRANSPORTE LOCAL ( CONSIDERADO MESMO VALOR DA GRANDE VITÓRIA")</f>
        <v>0</v>
      </c>
      <c r="D396" s="10"/>
      <c r="E396" s="413"/>
      <c r="F396" s="10"/>
      <c r="G396" s="10"/>
      <c r="H396" s="10"/>
      <c r="I396" s="10"/>
      <c r="J396" s="10"/>
      <c r="K396" s="6"/>
      <c r="L396" s="7">
        <f>IF(ENTRADAS!D841="x",L407*F311*2,0)</f>
        <v>0</v>
      </c>
      <c r="M396" s="627" t="s">
        <v>46</v>
      </c>
      <c r="O396" s="195"/>
      <c r="P396" s="195"/>
      <c r="Q396" s="195"/>
      <c r="R396" s="195"/>
      <c r="S396" s="195"/>
    </row>
    <row r="397" spans="1:19" x14ac:dyDescent="0.35">
      <c r="A397" s="20"/>
      <c r="C397" s="627"/>
      <c r="E397" s="418"/>
      <c r="L397" s="4"/>
      <c r="M397" s="627"/>
    </row>
    <row r="398" spans="1:19" x14ac:dyDescent="0.35">
      <c r="A398" s="20"/>
      <c r="C398" s="627" t="s">
        <v>616</v>
      </c>
      <c r="E398" s="418"/>
      <c r="J398" s="4">
        <f>IF(G331&lt;100,0,IF(C363="X",(ROUNDUP(ROUNDUP(G331/H352,0)*1,0))*2,IF(C365="X",(ROUNDUP(ROUNDUP(G331/H352,0)*1,0))*2,IF(C367="X",IF(ROUNDUP(I362/1500,0)&lt;=1,2,ROUNDUP(I362/1500,0)),IF(C368="X",IF(ROUNDUP(I362/5000,0)&lt;=1,2,ROUNDUP(I362/5000,0)),0)))))</f>
        <v>2</v>
      </c>
      <c r="L398" s="419" t="str">
        <f>IF(G331&lt;100,"dias -- distância menor que 100 km","dias -- distância maior que 100 km")</f>
        <v>dias -- distância maior que 100 km</v>
      </c>
      <c r="M398" s="627"/>
    </row>
    <row r="399" spans="1:19" x14ac:dyDescent="0.35">
      <c r="A399" s="20"/>
      <c r="C399" s="627" t="str">
        <f>IF(H350&lt;=2,"QUANT. DE FOLGAS DE CAMPO COM  "&amp;H350&amp;" dia "&amp;IF(H350=1," dias"&amp;IF(H350=1," (só o domingo)"," (só sábado e domingo)")&amp;"------------------------------------------------------------","-----------------------------------------------------------"),"QUANT. DE FOLGAS DE CAMPO COM  "&amp;H350&amp;" dia "&amp;" sendo "&amp;H350-2&amp; " dia útil + sábado e domingo------------------------------------------------------------")</f>
        <v>QUANT. DE FOLGAS DE CAMPO COM  5 dia  sendo 3 dia útil + sábado e domingo------------------------------------------------------------</v>
      </c>
      <c r="E399" s="418"/>
      <c r="F399" s="4"/>
      <c r="J399" s="4">
        <f ca="1">IF(C346="X",0,IF(H342=0,0,IF((L407+L323)/5*7&lt;=H342,0,(ROUNDDOWN(((L407+L323)/5*7/H342)-1,0)))))</f>
        <v>0</v>
      </c>
      <c r="L399" s="627" t="str">
        <f ca="1">IF(J399&gt;0,"folga","sem folga, acabar a obra e ir embora")</f>
        <v>sem folga, acabar a obra e ir embora</v>
      </c>
    </row>
    <row r="400" spans="1:19" x14ac:dyDescent="0.35">
      <c r="A400" s="20"/>
      <c r="C400" s="627" t="s">
        <v>617</v>
      </c>
      <c r="E400" s="418"/>
      <c r="J400" s="4">
        <f ca="1">IF(C346="X",0,IF(G331&lt;100,0,IF(C363="X",(ROUNDUP(ROUNDUP(G331/H352,0)*ROUNDDOWN((L407+L323)/H342,0),0))*2,IF(C365="X",(ROUNDUP(ROUNDUP(G331/H352,0)*ROUNDDOWN((L407+L323)/H342,0),0))*2,IF(C367="X",IF(ROUNDUP(I362/1500,0)&lt;=1,2,ROUNDUP(I362/1500,0)),IF(C368="X",IF(ROUNDUP(I362/5000,0)&lt;=1,2,ROUNDUP(I362/5000,0)),0))))))</f>
        <v>0</v>
      </c>
      <c r="L400" s="627" t="str">
        <f>IF(G331&lt;100,"dia -- distância menor que 100 km","distância maior que 100 km")</f>
        <v>distância maior que 100 km</v>
      </c>
    </row>
    <row r="401" spans="1:20" x14ac:dyDescent="0.35">
      <c r="A401" s="20"/>
      <c r="C401" s="627" t="s">
        <v>618</v>
      </c>
      <c r="J401" s="4">
        <f ca="1">ROUNDUP((L407+L323)/(5+(L354/100*5)),0)</f>
        <v>0</v>
      </c>
      <c r="L401" s="627" t="s">
        <v>619</v>
      </c>
      <c r="P401">
        <f>(5+(L354/100*5))</f>
        <v>5</v>
      </c>
    </row>
    <row r="402" spans="1:20" x14ac:dyDescent="0.35">
      <c r="A402" s="20"/>
      <c r="C402" s="627" t="s">
        <v>620</v>
      </c>
      <c r="E402" s="418"/>
      <c r="J402" s="4">
        <f ca="1">IF(E6=0,0,ROUNDUP((L407+L323)/(5+(L354/100*5)),0)-J403)</f>
        <v>0</v>
      </c>
      <c r="L402" s="627" t="s">
        <v>619</v>
      </c>
    </row>
    <row r="403" spans="1:20" x14ac:dyDescent="0.35">
      <c r="A403" s="20"/>
      <c r="C403" s="627" t="s">
        <v>621</v>
      </c>
      <c r="E403" s="418"/>
      <c r="J403" s="4">
        <f ca="1">IF(H342=0,0,IF(H342&gt;L410,0,(ROUNDDOWN(((L407+L323)/5*7/H342)-1,0))))</f>
        <v>0</v>
      </c>
      <c r="L403" s="627" t="str">
        <f ca="1">IF(J403&gt;0,"finais de semana","sem folga, acabar a obra e ir embora")</f>
        <v>sem folga, acabar a obra e ir embora</v>
      </c>
    </row>
    <row r="404" spans="1:20" x14ac:dyDescent="0.35">
      <c r="A404" s="20"/>
      <c r="C404" s="627" t="s">
        <v>622</v>
      </c>
      <c r="E404" s="418"/>
      <c r="J404" s="761">
        <f ca="1">(J399*H350)+IF(L354=0,0,(J401*S407+2))+L323</f>
        <v>0</v>
      </c>
      <c r="L404" t="str">
        <f ca="1">IF(J404&lt;=1,"dia","dias")</f>
        <v>dia</v>
      </c>
      <c r="P404" t="s">
        <v>1941</v>
      </c>
      <c r="S404">
        <v>7</v>
      </c>
    </row>
    <row r="405" spans="1:20" x14ac:dyDescent="0.35">
      <c r="A405" s="20"/>
      <c r="C405" s="627" t="s">
        <v>623</v>
      </c>
      <c r="E405" s="418"/>
      <c r="J405" s="761">
        <f ca="1">IF(E6=0,0,(J399*H350)+(J401*S407+2)+L323+J398)</f>
        <v>0</v>
      </c>
      <c r="L405" t="str">
        <f ca="1">IF(J405&lt;=1,"dia","dias")</f>
        <v>dia</v>
      </c>
      <c r="P405" t="s">
        <v>1942</v>
      </c>
      <c r="S405">
        <f>(5+(L354/100*5))</f>
        <v>5</v>
      </c>
    </row>
    <row r="406" spans="1:20" x14ac:dyDescent="0.35">
      <c r="A406" s="20"/>
      <c r="C406" s="627"/>
      <c r="D406" s="627"/>
      <c r="E406" s="627"/>
      <c r="F406" s="627"/>
      <c r="G406" s="627"/>
      <c r="H406" s="627"/>
      <c r="I406" s="627"/>
      <c r="J406" s="627"/>
      <c r="K406" s="627"/>
      <c r="L406" s="627"/>
      <c r="M406" s="627"/>
      <c r="N406" s="627"/>
      <c r="P406" t="s">
        <v>1943</v>
      </c>
      <c r="S406">
        <f>S405-5</f>
        <v>0</v>
      </c>
      <c r="T406" t="s">
        <v>101</v>
      </c>
    </row>
    <row r="407" spans="1:20" ht="13.15" x14ac:dyDescent="0.4">
      <c r="A407" s="20"/>
      <c r="C407" s="410" t="s">
        <v>624</v>
      </c>
      <c r="D407" s="411"/>
      <c r="E407" s="411"/>
      <c r="F407" s="411"/>
      <c r="G407" s="411"/>
      <c r="H407" s="411"/>
      <c r="I407" s="411"/>
      <c r="J407" s="10"/>
      <c r="K407" s="10"/>
      <c r="L407" s="36">
        <f ca="1">ROUNDUP(H114,0)</f>
        <v>0</v>
      </c>
      <c r="M407" s="412" t="str">
        <f ca="1">IF(L407&lt;=1,"dia","dias")</f>
        <v>dia</v>
      </c>
      <c r="N407" s="761"/>
      <c r="P407" t="s">
        <v>1944</v>
      </c>
      <c r="S407">
        <f>1-S406/2</f>
        <v>1</v>
      </c>
      <c r="T407" t="s">
        <v>1945</v>
      </c>
    </row>
    <row r="408" spans="1:20" ht="13.15" x14ac:dyDescent="0.4">
      <c r="A408" s="20"/>
      <c r="C408" s="627"/>
      <c r="D408" s="420"/>
      <c r="E408" s="420"/>
      <c r="F408" s="420"/>
      <c r="G408" s="420"/>
      <c r="H408" s="420"/>
      <c r="I408" s="420"/>
      <c r="L408" s="421"/>
      <c r="M408" s="420"/>
    </row>
    <row r="409" spans="1:20" x14ac:dyDescent="0.35">
      <c r="A409" s="20"/>
      <c r="C409" s="627"/>
      <c r="E409" s="418"/>
      <c r="L409" s="4"/>
      <c r="M409" s="627"/>
      <c r="O409" s="4"/>
      <c r="P409" s="4"/>
      <c r="Q409" s="4"/>
      <c r="R409" s="4"/>
    </row>
    <row r="410" spans="1:20" ht="13.15" x14ac:dyDescent="0.4">
      <c r="A410" s="20"/>
      <c r="C410" s="410" t="s">
        <v>1951</v>
      </c>
      <c r="D410" s="411"/>
      <c r="E410" s="411"/>
      <c r="F410" s="411"/>
      <c r="G410" s="411"/>
      <c r="H410" s="411"/>
      <c r="I410" s="411"/>
      <c r="J410" s="10"/>
      <c r="K410" s="10"/>
      <c r="L410" s="36">
        <f ca="1">ROUNDUP(H116,0)</f>
        <v>0</v>
      </c>
      <c r="M410" s="412" t="str">
        <f ca="1">IF(L410&lt;=1,"dia","dias")</f>
        <v>dia</v>
      </c>
    </row>
    <row r="411" spans="1:20" ht="13.15" x14ac:dyDescent="0.4">
      <c r="A411" s="20"/>
      <c r="C411" s="420"/>
      <c r="D411" s="420"/>
      <c r="E411" s="420"/>
      <c r="F411" s="420"/>
      <c r="G411" s="420"/>
      <c r="H411" s="420"/>
      <c r="I411" s="420"/>
      <c r="L411" s="421"/>
      <c r="M411" s="420"/>
    </row>
    <row r="412" spans="1:20" ht="13.15" x14ac:dyDescent="0.4">
      <c r="A412" s="20"/>
      <c r="C412" s="410" t="s">
        <v>627</v>
      </c>
      <c r="D412" s="411"/>
      <c r="E412" s="411"/>
      <c r="F412" s="411"/>
      <c r="G412" s="411"/>
      <c r="H412" s="411"/>
      <c r="I412" s="411"/>
      <c r="J412" s="10"/>
      <c r="K412" s="10"/>
      <c r="L412" s="36">
        <f ca="1">IF(E6=0,0,ROUNDUP(L407+J405,0))</f>
        <v>0</v>
      </c>
      <c r="M412" s="412" t="str">
        <f ca="1">IF(L412&lt;=1,"dia","dias")</f>
        <v>dia</v>
      </c>
      <c r="O412" s="422"/>
      <c r="P412" s="422"/>
      <c r="Q412" s="422"/>
      <c r="R412" s="422"/>
    </row>
    <row r="417" spans="2:64" x14ac:dyDescent="0.35">
      <c r="AM417" s="674"/>
      <c r="AN417" s="674"/>
      <c r="AO417" s="674"/>
      <c r="AP417" s="674"/>
      <c r="AQ417" s="626"/>
      <c r="AR417" s="626"/>
      <c r="AS417" s="674"/>
      <c r="AT417" s="674"/>
      <c r="AU417" s="638" t="s">
        <v>343</v>
      </c>
      <c r="BC417" s="1337" t="s">
        <v>327</v>
      </c>
      <c r="BD417" s="1337"/>
      <c r="BE417" s="1337"/>
      <c r="BF417" s="1337"/>
      <c r="BG417" s="1337"/>
      <c r="BH417" s="1337"/>
      <c r="BI417" s="1337"/>
      <c r="BJ417" s="1337"/>
      <c r="BK417" s="1337"/>
      <c r="BL417" s="1337"/>
    </row>
    <row r="418" spans="2:64" ht="25.5" x14ac:dyDescent="0.35">
      <c r="AM418" s="1097"/>
      <c r="AN418" s="1097" t="s">
        <v>346</v>
      </c>
      <c r="AO418" s="1097"/>
      <c r="AP418" s="1097" t="s">
        <v>2533</v>
      </c>
      <c r="AQ418" s="969"/>
      <c r="AR418" s="626"/>
      <c r="AS418" s="674"/>
      <c r="AT418" s="1097" t="s">
        <v>2534</v>
      </c>
      <c r="AU418" s="750" t="s">
        <v>349</v>
      </c>
      <c r="AV418" s="1352" t="s">
        <v>324</v>
      </c>
      <c r="AW418" s="1352"/>
      <c r="AX418" s="1352"/>
      <c r="AY418" s="1352"/>
      <c r="AZ418" s="1352" t="s">
        <v>330</v>
      </c>
      <c r="BA418" s="1352" t="s">
        <v>331</v>
      </c>
      <c r="BC418" s="2070" t="s">
        <v>323</v>
      </c>
      <c r="BD418" s="1422" t="s">
        <v>324</v>
      </c>
      <c r="BE418" s="1422"/>
      <c r="BF418" s="1422"/>
      <c r="BG418" s="1422"/>
      <c r="BH418" s="1422" t="s">
        <v>330</v>
      </c>
      <c r="BI418" s="1422" t="s">
        <v>331</v>
      </c>
      <c r="BJ418" s="750" t="s">
        <v>275</v>
      </c>
      <c r="BK418" s="750" t="s">
        <v>2535</v>
      </c>
      <c r="BL418" s="705" t="s">
        <v>333</v>
      </c>
    </row>
    <row r="419" spans="2:64" ht="25.5" x14ac:dyDescent="0.35">
      <c r="B419" t="s">
        <v>1741</v>
      </c>
      <c r="AM419" s="1047" t="s">
        <v>354</v>
      </c>
      <c r="AN419" s="1047" t="s">
        <v>355</v>
      </c>
      <c r="AO419" s="1047" t="s">
        <v>356</v>
      </c>
      <c r="AP419" s="1047" t="s">
        <v>357</v>
      </c>
      <c r="AQ419" s="969"/>
      <c r="AR419" s="626"/>
      <c r="AS419" s="674"/>
      <c r="AT419" s="1047" t="s">
        <v>2536</v>
      </c>
      <c r="AU419" s="386" t="s">
        <v>361</v>
      </c>
      <c r="AV419" s="1352"/>
      <c r="AW419" s="1352"/>
      <c r="AX419" s="1352"/>
      <c r="AY419" s="1352"/>
      <c r="AZ419" s="1352"/>
      <c r="BA419" s="1352"/>
      <c r="BC419" s="2070"/>
      <c r="BD419" s="1352"/>
      <c r="BE419" s="1352"/>
      <c r="BF419" s="1352"/>
      <c r="BG419" s="1352"/>
      <c r="BH419" s="1352"/>
      <c r="BI419" s="1352"/>
      <c r="BJ419" s="639" t="s">
        <v>336</v>
      </c>
      <c r="BK419" s="639" t="s">
        <v>337</v>
      </c>
      <c r="BL419" s="673" t="s">
        <v>338</v>
      </c>
    </row>
    <row r="420" spans="2:64" x14ac:dyDescent="0.35">
      <c r="AL420" s="627">
        <f ca="1">IF(AU420=0,1,0)</f>
        <v>1</v>
      </c>
      <c r="AM420" s="673" t="str">
        <f t="shared" ref="AM420:AO434" si="263">AM273</f>
        <v>X</v>
      </c>
      <c r="AN420" s="626">
        <f t="shared" si="263"/>
        <v>1</v>
      </c>
      <c r="AO420" s="626">
        <f t="shared" si="263"/>
        <v>25</v>
      </c>
      <c r="AP420" s="2">
        <f t="shared" ref="AP420:AP434" ca="1" si="264">IF($E$6=0,0,IF($D$29=0,0,ROUNDDOWN(AO420/$AP$123,0)))</f>
        <v>0</v>
      </c>
      <c r="AQ420" s="969"/>
      <c r="AR420" s="626"/>
      <c r="AS420" s="674"/>
      <c r="AT420" s="389">
        <f ca="1">AP420</f>
        <v>0</v>
      </c>
      <c r="AU420" s="389">
        <f ca="1">IF(AT420=0,0,ROUNDUP(($H$428)/AT420,0))</f>
        <v>0</v>
      </c>
      <c r="AV420" s="978" t="str">
        <f t="shared" ref="AV420:AV434" si="265">AV273</f>
        <v xml:space="preserve">CARRETA ABERTA </v>
      </c>
      <c r="AW420" s="10"/>
      <c r="AX420" s="10"/>
      <c r="AY420" s="6"/>
      <c r="AZ420" s="41">
        <f>IF(AM420="x",AO420,0)</f>
        <v>25</v>
      </c>
      <c r="BA420" s="729" t="str">
        <f>IF(AZ420=0,0,"ton")</f>
        <v>ton</v>
      </c>
      <c r="BC420" s="2">
        <f>IF(BD420=0,0,1)</f>
        <v>1</v>
      </c>
      <c r="BD420" s="9" t="str">
        <f>AV420</f>
        <v xml:space="preserve">CARRETA ABERTA </v>
      </c>
      <c r="BE420" s="10"/>
      <c r="BF420" s="10"/>
      <c r="BG420" s="6"/>
      <c r="BH420" s="41">
        <f t="shared" ref="BH420:BH434" si="266">BH273</f>
        <v>25</v>
      </c>
      <c r="BI420" s="729">
        <f ca="1">IF(BJ420=0,0,"ton")</f>
        <v>0</v>
      </c>
      <c r="BJ420" s="390">
        <f ca="1">AU420</f>
        <v>0</v>
      </c>
      <c r="BK420" s="390">
        <f ca="1">IF(BJ420=0,0,AP420)</f>
        <v>0</v>
      </c>
      <c r="BL420" s="2" t="str">
        <f ca="1">IF(BD420=0,0,IF(BJ420=0,"NÃO","SIM"))</f>
        <v>NÃO</v>
      </c>
    </row>
    <row r="421" spans="2:64" x14ac:dyDescent="0.35">
      <c r="AL421" s="627">
        <f ca="1">IF(AU421=0,1,0)</f>
        <v>1</v>
      </c>
      <c r="AM421" s="673" t="str">
        <f t="shared" si="263"/>
        <v>X</v>
      </c>
      <c r="AN421" s="626">
        <f t="shared" si="263"/>
        <v>2</v>
      </c>
      <c r="AO421" s="626">
        <f t="shared" si="263"/>
        <v>31</v>
      </c>
      <c r="AP421" s="2">
        <f t="shared" ca="1" si="264"/>
        <v>0</v>
      </c>
      <c r="AQ421" s="969"/>
      <c r="AR421" s="626"/>
      <c r="AS421" s="674"/>
      <c r="AT421" s="389">
        <f t="shared" ref="AT421:AT434" ca="1" si="267">AP421</f>
        <v>0</v>
      </c>
      <c r="AU421" s="389">
        <f t="shared" ref="AU421:AU434" ca="1" si="268">IF(AT421=0,0,ROUNDUP(($H$428)/AT421,0))</f>
        <v>0</v>
      </c>
      <c r="AV421" s="978" t="str">
        <f t="shared" si="265"/>
        <v>CARRETA LS</v>
      </c>
      <c r="AW421" s="10"/>
      <c r="AX421" s="10"/>
      <c r="AY421" s="6"/>
      <c r="AZ421" s="41">
        <f t="shared" ref="AZ421:AZ434" si="269">IF(AM421="x",AO421,0)</f>
        <v>31</v>
      </c>
      <c r="BA421" s="729" t="str">
        <f t="shared" ref="BA421:BA434" si="270">IF(AZ421=0,0,"ton")</f>
        <v>ton</v>
      </c>
      <c r="BC421" s="2">
        <f>IF(BD421=0,0,2)</f>
        <v>2</v>
      </c>
      <c r="BD421" s="9" t="str">
        <f>AV421</f>
        <v>CARRETA LS</v>
      </c>
      <c r="BE421" s="10"/>
      <c r="BF421" s="10"/>
      <c r="BG421" s="6"/>
      <c r="BH421" s="41">
        <f t="shared" si="266"/>
        <v>31</v>
      </c>
      <c r="BI421" s="729">
        <f t="shared" ref="BI421:BI434" ca="1" si="271">IF(BJ421=0,0,"ton")</f>
        <v>0</v>
      </c>
      <c r="BJ421" s="390">
        <f t="shared" ref="BJ421:BJ434" ca="1" si="272">AU421</f>
        <v>0</v>
      </c>
      <c r="BK421" s="390">
        <f t="shared" ref="BK421:BK434" ca="1" si="273">IF(BJ421=0,0,AP421)</f>
        <v>0</v>
      </c>
      <c r="BL421" s="2" t="str">
        <f t="shared" ref="BL421:BL434" ca="1" si="274">IF(BD421=0,0,IF(BJ421=0,"NÃO","SIM"))</f>
        <v>NÃO</v>
      </c>
    </row>
    <row r="422" spans="2:64" x14ac:dyDescent="0.35">
      <c r="B422" t="s">
        <v>649</v>
      </c>
      <c r="H422">
        <f ca="1">D12</f>
        <v>0</v>
      </c>
      <c r="I422" t="s">
        <v>1802</v>
      </c>
      <c r="AL422" s="627">
        <f ca="1">IF(AU422=0,1,0)</f>
        <v>1</v>
      </c>
      <c r="AM422" s="673" t="str">
        <f t="shared" si="263"/>
        <v>X</v>
      </c>
      <c r="AN422" s="626">
        <f t="shared" si="263"/>
        <v>3</v>
      </c>
      <c r="AO422" s="626">
        <f t="shared" si="263"/>
        <v>25</v>
      </c>
      <c r="AP422" s="2">
        <f t="shared" ca="1" si="264"/>
        <v>0</v>
      </c>
      <c r="AQ422" s="969"/>
      <c r="AR422" s="626"/>
      <c r="AS422" s="674"/>
      <c r="AT422" s="389">
        <f t="shared" ca="1" si="267"/>
        <v>0</v>
      </c>
      <c r="AU422" s="389">
        <f t="shared" ca="1" si="268"/>
        <v>0</v>
      </c>
      <c r="AV422" s="978" t="str">
        <f t="shared" si="265"/>
        <v>CARRETA VANDERLEIA</v>
      </c>
      <c r="AW422" s="10"/>
      <c r="AX422" s="10"/>
      <c r="AY422" s="6"/>
      <c r="AZ422" s="41">
        <f t="shared" si="269"/>
        <v>25</v>
      </c>
      <c r="BA422" s="729" t="str">
        <f t="shared" si="270"/>
        <v>ton</v>
      </c>
      <c r="BC422" s="2">
        <f>IF(BD422=0,0,3)</f>
        <v>3</v>
      </c>
      <c r="BD422" s="9" t="str">
        <f>AV422</f>
        <v>CARRETA VANDERLEIA</v>
      </c>
      <c r="BE422" s="10"/>
      <c r="BF422" s="10"/>
      <c r="BG422" s="6"/>
      <c r="BH422" s="41">
        <f t="shared" si="266"/>
        <v>25</v>
      </c>
      <c r="BI422" s="729">
        <f t="shared" ca="1" si="271"/>
        <v>0</v>
      </c>
      <c r="BJ422" s="390">
        <f t="shared" ca="1" si="272"/>
        <v>0</v>
      </c>
      <c r="BK422" s="390">
        <f t="shared" ca="1" si="273"/>
        <v>0</v>
      </c>
      <c r="BL422" s="2" t="str">
        <f t="shared" ca="1" si="274"/>
        <v>NÃO</v>
      </c>
    </row>
    <row r="423" spans="2:64" x14ac:dyDescent="0.35">
      <c r="AL423" s="627">
        <f ca="1">IF(AU423=0,1,0)</f>
        <v>1</v>
      </c>
      <c r="AM423" s="673" t="str">
        <f t="shared" si="263"/>
        <v>X</v>
      </c>
      <c r="AN423" s="626">
        <f t="shared" si="263"/>
        <v>4</v>
      </c>
      <c r="AO423" s="626">
        <f t="shared" si="263"/>
        <v>31</v>
      </c>
      <c r="AP423" s="2">
        <f t="shared" ca="1" si="264"/>
        <v>0</v>
      </c>
      <c r="AQ423" s="969"/>
      <c r="AR423" s="626"/>
      <c r="AS423" s="674"/>
      <c r="AT423" s="389">
        <f t="shared" ca="1" si="267"/>
        <v>0</v>
      </c>
      <c r="AU423" s="389">
        <f t="shared" ca="1" si="268"/>
        <v>0</v>
      </c>
      <c r="AV423" s="978" t="str">
        <f t="shared" si="265"/>
        <v>CARRETA VANDERLEIA</v>
      </c>
      <c r="AW423" s="10"/>
      <c r="AX423" s="10"/>
      <c r="AY423" s="6"/>
      <c r="AZ423" s="41">
        <f t="shared" si="269"/>
        <v>31</v>
      </c>
      <c r="BA423" s="729" t="str">
        <f t="shared" si="270"/>
        <v>ton</v>
      </c>
      <c r="BC423" s="2">
        <f>IF(BD423=0,0,4)</f>
        <v>4</v>
      </c>
      <c r="BD423" s="448" t="str">
        <f>AV423</f>
        <v>CARRETA VANDERLEIA</v>
      </c>
      <c r="BE423" s="10"/>
      <c r="BF423" s="10"/>
      <c r="BG423" s="6"/>
      <c r="BH423" s="41">
        <f t="shared" si="266"/>
        <v>31</v>
      </c>
      <c r="BI423" s="729">
        <f t="shared" ca="1" si="271"/>
        <v>0</v>
      </c>
      <c r="BJ423" s="390">
        <f t="shared" ca="1" si="272"/>
        <v>0</v>
      </c>
      <c r="BK423" s="390">
        <f t="shared" ca="1" si="273"/>
        <v>0</v>
      </c>
      <c r="BL423" s="2" t="str">
        <f t="shared" ca="1" si="274"/>
        <v>NÃO</v>
      </c>
    </row>
    <row r="424" spans="2:64" x14ac:dyDescent="0.35">
      <c r="C424" t="s">
        <v>2537</v>
      </c>
      <c r="H424" s="4">
        <f>ENTRADAS!F942</f>
        <v>1</v>
      </c>
      <c r="I424" t="s">
        <v>46</v>
      </c>
      <c r="AL424" s="627">
        <f ca="1">IF(AU424=0,1,0)</f>
        <v>1</v>
      </c>
      <c r="AM424" s="673" t="str">
        <f t="shared" si="263"/>
        <v>X</v>
      </c>
      <c r="AN424" s="626">
        <f t="shared" si="263"/>
        <v>5</v>
      </c>
      <c r="AO424" s="626">
        <f t="shared" si="263"/>
        <v>35</v>
      </c>
      <c r="AP424" s="2">
        <f t="shared" ca="1" si="264"/>
        <v>0</v>
      </c>
      <c r="AQ424" s="969"/>
      <c r="AR424" s="626"/>
      <c r="AS424" s="674"/>
      <c r="AT424" s="389">
        <f t="shared" ca="1" si="267"/>
        <v>0</v>
      </c>
      <c r="AU424" s="389">
        <f t="shared" ca="1" si="268"/>
        <v>0</v>
      </c>
      <c r="AV424" s="978" t="str">
        <f t="shared" si="265"/>
        <v>CARRETA VANDERLEIA</v>
      </c>
      <c r="AW424" s="10"/>
      <c r="AX424" s="10"/>
      <c r="AY424" s="6"/>
      <c r="AZ424" s="41">
        <f t="shared" si="269"/>
        <v>35</v>
      </c>
      <c r="BA424" s="729" t="str">
        <f t="shared" si="270"/>
        <v>ton</v>
      </c>
      <c r="BC424" s="2">
        <f>IF(BD424=0,0,5)</f>
        <v>5</v>
      </c>
      <c r="BD424" s="448" t="str">
        <f>AV424</f>
        <v>CARRETA VANDERLEIA</v>
      </c>
      <c r="BE424" s="10"/>
      <c r="BF424" s="10"/>
      <c r="BG424" s="6"/>
      <c r="BH424" s="41">
        <f t="shared" si="266"/>
        <v>35</v>
      </c>
      <c r="BI424" s="729">
        <f t="shared" ca="1" si="271"/>
        <v>0</v>
      </c>
      <c r="BJ424" s="390">
        <f t="shared" ca="1" si="272"/>
        <v>0</v>
      </c>
      <c r="BK424" s="390">
        <f t="shared" ca="1" si="273"/>
        <v>0</v>
      </c>
      <c r="BL424" s="2" t="str">
        <f t="shared" ca="1" si="274"/>
        <v>NÃO</v>
      </c>
    </row>
    <row r="425" spans="2:64" x14ac:dyDescent="0.35">
      <c r="C425" t="s">
        <v>2538</v>
      </c>
      <c r="H425" s="4">
        <f>ENTRADAS!F945</f>
        <v>1.5</v>
      </c>
      <c r="I425" t="s">
        <v>2539</v>
      </c>
      <c r="AL425" s="627">
        <f t="shared" ref="AL425:AL434" ca="1" si="275">IF(AU425=0,1,0)</f>
        <v>1</v>
      </c>
      <c r="AM425" s="673" t="str">
        <f t="shared" si="263"/>
        <v>X</v>
      </c>
      <c r="AN425" s="626">
        <f t="shared" si="263"/>
        <v>6</v>
      </c>
      <c r="AO425" s="626">
        <f t="shared" si="263"/>
        <v>0</v>
      </c>
      <c r="AP425" s="2">
        <f t="shared" ca="1" si="264"/>
        <v>0</v>
      </c>
      <c r="AQ425" s="969"/>
      <c r="AR425" s="626"/>
      <c r="AS425" s="674"/>
      <c r="AT425" s="389">
        <f t="shared" ca="1" si="267"/>
        <v>0</v>
      </c>
      <c r="AU425" s="389">
        <f t="shared" ca="1" si="268"/>
        <v>0</v>
      </c>
      <c r="AV425" s="978">
        <f t="shared" si="265"/>
        <v>0</v>
      </c>
      <c r="AW425" s="10"/>
      <c r="AX425" s="10"/>
      <c r="AY425" s="6"/>
      <c r="AZ425" s="41">
        <f t="shared" si="269"/>
        <v>0</v>
      </c>
      <c r="BA425" s="729">
        <f t="shared" si="270"/>
        <v>0</v>
      </c>
      <c r="BC425" s="2">
        <f t="shared" ref="BC425:BC434" si="276">IF(BD425=0,0,5)</f>
        <v>0</v>
      </c>
      <c r="BD425" s="448">
        <f t="shared" ref="BD425:BD434" si="277">AV425</f>
        <v>0</v>
      </c>
      <c r="BE425" s="10"/>
      <c r="BF425" s="10"/>
      <c r="BG425" s="6"/>
      <c r="BH425" s="41">
        <f t="shared" si="266"/>
        <v>0</v>
      </c>
      <c r="BI425" s="729">
        <f t="shared" ca="1" si="271"/>
        <v>0</v>
      </c>
      <c r="BJ425" s="390">
        <f t="shared" ca="1" si="272"/>
        <v>0</v>
      </c>
      <c r="BK425" s="390">
        <f t="shared" ca="1" si="273"/>
        <v>0</v>
      </c>
      <c r="BL425" s="2">
        <f t="shared" si="274"/>
        <v>0</v>
      </c>
    </row>
    <row r="426" spans="2:64" x14ac:dyDescent="0.35">
      <c r="C426" t="s">
        <v>2540</v>
      </c>
      <c r="H426">
        <f ca="1">ROUNDUP(H425*H422/H424,0)</f>
        <v>0</v>
      </c>
      <c r="I426" t="s">
        <v>101</v>
      </c>
      <c r="K426">
        <f ca="1">H426</f>
        <v>0</v>
      </c>
      <c r="AL426" s="627">
        <f t="shared" ca="1" si="275"/>
        <v>1</v>
      </c>
      <c r="AM426" s="673" t="str">
        <f t="shared" si="263"/>
        <v>X</v>
      </c>
      <c r="AN426" s="626">
        <f t="shared" si="263"/>
        <v>7</v>
      </c>
      <c r="AO426" s="626">
        <f t="shared" si="263"/>
        <v>0</v>
      </c>
      <c r="AP426" s="2">
        <f t="shared" ca="1" si="264"/>
        <v>0</v>
      </c>
      <c r="AQ426" s="969"/>
      <c r="AR426" s="626"/>
      <c r="AS426" s="674"/>
      <c r="AT426" s="389">
        <f t="shared" ca="1" si="267"/>
        <v>0</v>
      </c>
      <c r="AU426" s="389">
        <f t="shared" ca="1" si="268"/>
        <v>0</v>
      </c>
      <c r="AV426" s="978">
        <f t="shared" si="265"/>
        <v>0</v>
      </c>
      <c r="AW426" s="10"/>
      <c r="AX426" s="10"/>
      <c r="AY426" s="6"/>
      <c r="AZ426" s="41">
        <f t="shared" si="269"/>
        <v>0</v>
      </c>
      <c r="BA426" s="729">
        <f t="shared" si="270"/>
        <v>0</v>
      </c>
      <c r="BC426" s="2">
        <f t="shared" si="276"/>
        <v>0</v>
      </c>
      <c r="BD426" s="448">
        <f t="shared" si="277"/>
        <v>0</v>
      </c>
      <c r="BE426" s="10"/>
      <c r="BF426" s="10"/>
      <c r="BG426" s="6"/>
      <c r="BH426" s="41">
        <f t="shared" si="266"/>
        <v>0</v>
      </c>
      <c r="BI426" s="729">
        <f t="shared" ca="1" si="271"/>
        <v>0</v>
      </c>
      <c r="BJ426" s="390">
        <f t="shared" ca="1" si="272"/>
        <v>0</v>
      </c>
      <c r="BK426" s="390">
        <f t="shared" ca="1" si="273"/>
        <v>0</v>
      </c>
      <c r="BL426" s="2">
        <f t="shared" si="274"/>
        <v>0</v>
      </c>
    </row>
    <row r="427" spans="2:64" x14ac:dyDescent="0.35">
      <c r="AL427" s="627">
        <f t="shared" ca="1" si="275"/>
        <v>1</v>
      </c>
      <c r="AM427" s="673" t="str">
        <f t="shared" si="263"/>
        <v>X</v>
      </c>
      <c r="AN427" s="626">
        <f t="shared" si="263"/>
        <v>8</v>
      </c>
      <c r="AO427" s="626">
        <f t="shared" si="263"/>
        <v>0</v>
      </c>
      <c r="AP427" s="2">
        <f t="shared" ca="1" si="264"/>
        <v>0</v>
      </c>
      <c r="AQ427" s="969"/>
      <c r="AR427" s="626"/>
      <c r="AS427" s="674"/>
      <c r="AT427" s="389">
        <f t="shared" ca="1" si="267"/>
        <v>0</v>
      </c>
      <c r="AU427" s="389">
        <f t="shared" ca="1" si="268"/>
        <v>0</v>
      </c>
      <c r="AV427" s="978">
        <f t="shared" si="265"/>
        <v>0</v>
      </c>
      <c r="AW427" s="10"/>
      <c r="AX427" s="10"/>
      <c r="AY427" s="6"/>
      <c r="AZ427" s="41">
        <f t="shared" si="269"/>
        <v>0</v>
      </c>
      <c r="BA427" s="729">
        <f t="shared" si="270"/>
        <v>0</v>
      </c>
      <c r="BC427" s="2">
        <f t="shared" si="276"/>
        <v>0</v>
      </c>
      <c r="BD427" s="448">
        <f t="shared" si="277"/>
        <v>0</v>
      </c>
      <c r="BE427" s="10"/>
      <c r="BF427" s="10"/>
      <c r="BG427" s="6"/>
      <c r="BH427" s="41">
        <f t="shared" si="266"/>
        <v>0</v>
      </c>
      <c r="BI427" s="729">
        <f t="shared" ca="1" si="271"/>
        <v>0</v>
      </c>
      <c r="BJ427" s="390">
        <f t="shared" ca="1" si="272"/>
        <v>0</v>
      </c>
      <c r="BK427" s="390">
        <f t="shared" ca="1" si="273"/>
        <v>0</v>
      </c>
      <c r="BL427" s="2">
        <f t="shared" si="274"/>
        <v>0</v>
      </c>
    </row>
    <row r="428" spans="2:64" x14ac:dyDescent="0.35">
      <c r="B428" t="s">
        <v>2535</v>
      </c>
      <c r="H428">
        <f ca="1">D29</f>
        <v>0</v>
      </c>
      <c r="I428" t="s">
        <v>1802</v>
      </c>
      <c r="AL428" s="627">
        <f t="shared" ca="1" si="275"/>
        <v>1</v>
      </c>
      <c r="AM428" s="673" t="str">
        <f t="shared" si="263"/>
        <v>X</v>
      </c>
      <c r="AN428" s="626">
        <f t="shared" si="263"/>
        <v>9</v>
      </c>
      <c r="AO428" s="626">
        <f t="shared" si="263"/>
        <v>0</v>
      </c>
      <c r="AP428" s="2">
        <f t="shared" ca="1" si="264"/>
        <v>0</v>
      </c>
      <c r="AQ428" s="969"/>
      <c r="AR428" s="626"/>
      <c r="AS428" s="674"/>
      <c r="AT428" s="389">
        <f t="shared" ca="1" si="267"/>
        <v>0</v>
      </c>
      <c r="AU428" s="389">
        <f t="shared" ca="1" si="268"/>
        <v>0</v>
      </c>
      <c r="AV428" s="978">
        <f t="shared" si="265"/>
        <v>0</v>
      </c>
      <c r="AW428" s="10"/>
      <c r="AX428" s="10"/>
      <c r="AY428" s="6"/>
      <c r="AZ428" s="41">
        <f t="shared" si="269"/>
        <v>0</v>
      </c>
      <c r="BA428" s="729">
        <f t="shared" si="270"/>
        <v>0</v>
      </c>
      <c r="BC428" s="2">
        <f t="shared" si="276"/>
        <v>0</v>
      </c>
      <c r="BD428" s="448">
        <f t="shared" si="277"/>
        <v>0</v>
      </c>
      <c r="BE428" s="10"/>
      <c r="BF428" s="10"/>
      <c r="BG428" s="6"/>
      <c r="BH428" s="41">
        <f t="shared" si="266"/>
        <v>0</v>
      </c>
      <c r="BI428" s="729">
        <f t="shared" ca="1" si="271"/>
        <v>0</v>
      </c>
      <c r="BJ428" s="390">
        <f t="shared" ca="1" si="272"/>
        <v>0</v>
      </c>
      <c r="BK428" s="390">
        <f t="shared" ca="1" si="273"/>
        <v>0</v>
      </c>
      <c r="BL428" s="2">
        <f t="shared" si="274"/>
        <v>0</v>
      </c>
    </row>
    <row r="429" spans="2:64" x14ac:dyDescent="0.35">
      <c r="AL429" s="627">
        <f t="shared" ca="1" si="275"/>
        <v>1</v>
      </c>
      <c r="AM429" s="673" t="str">
        <f t="shared" si="263"/>
        <v>X</v>
      </c>
      <c r="AN429" s="626">
        <f t="shared" si="263"/>
        <v>10</v>
      </c>
      <c r="AO429" s="626">
        <f t="shared" si="263"/>
        <v>0</v>
      </c>
      <c r="AP429" s="2">
        <f t="shared" ca="1" si="264"/>
        <v>0</v>
      </c>
      <c r="AQ429" s="969"/>
      <c r="AR429" s="626"/>
      <c r="AS429" s="674"/>
      <c r="AT429" s="389">
        <f t="shared" ca="1" si="267"/>
        <v>0</v>
      </c>
      <c r="AU429" s="389">
        <f t="shared" ca="1" si="268"/>
        <v>0</v>
      </c>
      <c r="AV429" s="978">
        <f t="shared" si="265"/>
        <v>0</v>
      </c>
      <c r="AW429" s="10"/>
      <c r="AX429" s="10"/>
      <c r="AY429" s="6"/>
      <c r="AZ429" s="41">
        <f t="shared" si="269"/>
        <v>0</v>
      </c>
      <c r="BA429" s="729">
        <f t="shared" si="270"/>
        <v>0</v>
      </c>
      <c r="BC429" s="2">
        <f t="shared" si="276"/>
        <v>0</v>
      </c>
      <c r="BD429" s="448">
        <f t="shared" si="277"/>
        <v>0</v>
      </c>
      <c r="BE429" s="10"/>
      <c r="BF429" s="10"/>
      <c r="BG429" s="6"/>
      <c r="BH429" s="41">
        <f t="shared" si="266"/>
        <v>0</v>
      </c>
      <c r="BI429" s="729">
        <f t="shared" ca="1" si="271"/>
        <v>0</v>
      </c>
      <c r="BJ429" s="390">
        <f t="shared" ca="1" si="272"/>
        <v>0</v>
      </c>
      <c r="BK429" s="390">
        <f t="shared" ca="1" si="273"/>
        <v>0</v>
      </c>
      <c r="BL429" s="2">
        <f t="shared" si="274"/>
        <v>0</v>
      </c>
    </row>
    <row r="430" spans="2:64" x14ac:dyDescent="0.35">
      <c r="C430" s="627" t="s">
        <v>2541</v>
      </c>
      <c r="H430" s="4">
        <f>ENTRADAS!F957</f>
        <v>1</v>
      </c>
      <c r="I430" t="s">
        <v>46</v>
      </c>
      <c r="AL430" s="627">
        <f t="shared" ca="1" si="275"/>
        <v>1</v>
      </c>
      <c r="AM430" s="673" t="str">
        <f t="shared" si="263"/>
        <v>X</v>
      </c>
      <c r="AN430" s="626">
        <f t="shared" si="263"/>
        <v>11</v>
      </c>
      <c r="AO430" s="626">
        <f t="shared" si="263"/>
        <v>0</v>
      </c>
      <c r="AP430" s="2">
        <f t="shared" ca="1" si="264"/>
        <v>0</v>
      </c>
      <c r="AQ430" s="969"/>
      <c r="AR430" s="626"/>
      <c r="AS430" s="674"/>
      <c r="AT430" s="389">
        <f t="shared" ca="1" si="267"/>
        <v>0</v>
      </c>
      <c r="AU430" s="389">
        <f t="shared" ca="1" si="268"/>
        <v>0</v>
      </c>
      <c r="AV430" s="978">
        <f t="shared" si="265"/>
        <v>0</v>
      </c>
      <c r="AW430" s="10"/>
      <c r="AX430" s="10"/>
      <c r="AY430" s="6"/>
      <c r="AZ430" s="41">
        <f t="shared" si="269"/>
        <v>0</v>
      </c>
      <c r="BA430" s="729">
        <f t="shared" si="270"/>
        <v>0</v>
      </c>
      <c r="BC430" s="2">
        <f t="shared" si="276"/>
        <v>0</v>
      </c>
      <c r="BD430" s="448">
        <f t="shared" si="277"/>
        <v>0</v>
      </c>
      <c r="BE430" s="10"/>
      <c r="BF430" s="10"/>
      <c r="BG430" s="6"/>
      <c r="BH430" s="41">
        <f t="shared" si="266"/>
        <v>0</v>
      </c>
      <c r="BI430" s="729">
        <f t="shared" ca="1" si="271"/>
        <v>0</v>
      </c>
      <c r="BJ430" s="390">
        <f t="shared" ca="1" si="272"/>
        <v>0</v>
      </c>
      <c r="BK430" s="390">
        <f t="shared" ca="1" si="273"/>
        <v>0</v>
      </c>
      <c r="BL430" s="2">
        <f t="shared" si="274"/>
        <v>0</v>
      </c>
    </row>
    <row r="431" spans="2:64" x14ac:dyDescent="0.35">
      <c r="C431" t="s">
        <v>2538</v>
      </c>
      <c r="H431" s="4">
        <f>ENTRADAS!F960</f>
        <v>1.5</v>
      </c>
      <c r="I431" t="s">
        <v>2539</v>
      </c>
      <c r="AL431" s="627">
        <f t="shared" ca="1" si="275"/>
        <v>1</v>
      </c>
      <c r="AM431" s="673" t="str">
        <f t="shared" si="263"/>
        <v>X</v>
      </c>
      <c r="AN431" s="626">
        <f t="shared" si="263"/>
        <v>12</v>
      </c>
      <c r="AO431" s="626">
        <f t="shared" si="263"/>
        <v>0</v>
      </c>
      <c r="AP431" s="2">
        <f t="shared" ca="1" si="264"/>
        <v>0</v>
      </c>
      <c r="AQ431" s="969"/>
      <c r="AR431" s="626"/>
      <c r="AS431" s="674"/>
      <c r="AT431" s="389">
        <f t="shared" ca="1" si="267"/>
        <v>0</v>
      </c>
      <c r="AU431" s="389">
        <f t="shared" ca="1" si="268"/>
        <v>0</v>
      </c>
      <c r="AV431" s="978">
        <f t="shared" si="265"/>
        <v>0</v>
      </c>
      <c r="AW431" s="10"/>
      <c r="AX431" s="10"/>
      <c r="AY431" s="6"/>
      <c r="AZ431" s="41">
        <f t="shared" si="269"/>
        <v>0</v>
      </c>
      <c r="BA431" s="729">
        <f t="shared" si="270"/>
        <v>0</v>
      </c>
      <c r="BC431" s="2">
        <f t="shared" si="276"/>
        <v>0</v>
      </c>
      <c r="BD431" s="448">
        <f t="shared" si="277"/>
        <v>0</v>
      </c>
      <c r="BE431" s="10"/>
      <c r="BF431" s="10"/>
      <c r="BG431" s="6"/>
      <c r="BH431" s="41">
        <f t="shared" si="266"/>
        <v>0</v>
      </c>
      <c r="BI431" s="729">
        <f t="shared" ca="1" si="271"/>
        <v>0</v>
      </c>
      <c r="BJ431" s="390">
        <f t="shared" ca="1" si="272"/>
        <v>0</v>
      </c>
      <c r="BK431" s="390">
        <f t="shared" ca="1" si="273"/>
        <v>0</v>
      </c>
      <c r="BL431" s="2">
        <f t="shared" si="274"/>
        <v>0</v>
      </c>
    </row>
    <row r="432" spans="2:64" x14ac:dyDescent="0.35">
      <c r="C432" t="s">
        <v>2540</v>
      </c>
      <c r="H432">
        <f ca="1">ROUNDUP(H431*H428/H430,0)</f>
        <v>0</v>
      </c>
      <c r="I432" t="s">
        <v>101</v>
      </c>
      <c r="K432">
        <f ca="1">H432</f>
        <v>0</v>
      </c>
      <c r="AL432" s="627">
        <f t="shared" ca="1" si="275"/>
        <v>1</v>
      </c>
      <c r="AM432" s="673" t="str">
        <f t="shared" si="263"/>
        <v>X</v>
      </c>
      <c r="AN432" s="626">
        <f t="shared" si="263"/>
        <v>13</v>
      </c>
      <c r="AO432" s="626">
        <f t="shared" si="263"/>
        <v>0</v>
      </c>
      <c r="AP432" s="2">
        <f t="shared" ca="1" si="264"/>
        <v>0</v>
      </c>
      <c r="AQ432" s="969"/>
      <c r="AR432" s="626"/>
      <c r="AS432" s="674"/>
      <c r="AT432" s="389">
        <f t="shared" ca="1" si="267"/>
        <v>0</v>
      </c>
      <c r="AU432" s="389">
        <f t="shared" ca="1" si="268"/>
        <v>0</v>
      </c>
      <c r="AV432" s="978">
        <f t="shared" si="265"/>
        <v>0</v>
      </c>
      <c r="AW432" s="10"/>
      <c r="AX432" s="10"/>
      <c r="AY432" s="6"/>
      <c r="AZ432" s="41">
        <f t="shared" si="269"/>
        <v>0</v>
      </c>
      <c r="BA432" s="729">
        <f t="shared" si="270"/>
        <v>0</v>
      </c>
      <c r="BC432" s="2">
        <f t="shared" si="276"/>
        <v>0</v>
      </c>
      <c r="BD432" s="448">
        <f t="shared" si="277"/>
        <v>0</v>
      </c>
      <c r="BE432" s="10"/>
      <c r="BF432" s="10"/>
      <c r="BG432" s="6"/>
      <c r="BH432" s="41">
        <f t="shared" si="266"/>
        <v>0</v>
      </c>
      <c r="BI432" s="729">
        <f t="shared" ca="1" si="271"/>
        <v>0</v>
      </c>
      <c r="BJ432" s="390">
        <f t="shared" ca="1" si="272"/>
        <v>0</v>
      </c>
      <c r="BK432" s="390">
        <f t="shared" ca="1" si="273"/>
        <v>0</v>
      </c>
      <c r="BL432" s="2">
        <f t="shared" si="274"/>
        <v>0</v>
      </c>
    </row>
    <row r="433" spans="2:64" x14ac:dyDescent="0.35">
      <c r="AL433" s="627">
        <f t="shared" ca="1" si="275"/>
        <v>1</v>
      </c>
      <c r="AM433" s="673" t="str">
        <f t="shared" si="263"/>
        <v>X</v>
      </c>
      <c r="AN433" s="626">
        <f t="shared" si="263"/>
        <v>14</v>
      </c>
      <c r="AO433" s="626">
        <f t="shared" si="263"/>
        <v>0</v>
      </c>
      <c r="AP433" s="2">
        <f t="shared" ca="1" si="264"/>
        <v>0</v>
      </c>
      <c r="AQ433" s="969"/>
      <c r="AR433" s="626"/>
      <c r="AS433" s="674"/>
      <c r="AT433" s="389">
        <f t="shared" ca="1" si="267"/>
        <v>0</v>
      </c>
      <c r="AU433" s="389">
        <f t="shared" ca="1" si="268"/>
        <v>0</v>
      </c>
      <c r="AV433" s="978">
        <f t="shared" si="265"/>
        <v>0</v>
      </c>
      <c r="AW433" s="10"/>
      <c r="AX433" s="10"/>
      <c r="AY433" s="6"/>
      <c r="AZ433" s="41">
        <f t="shared" si="269"/>
        <v>0</v>
      </c>
      <c r="BA433" s="729">
        <f t="shared" si="270"/>
        <v>0</v>
      </c>
      <c r="BC433" s="2">
        <f t="shared" si="276"/>
        <v>0</v>
      </c>
      <c r="BD433" s="448">
        <f t="shared" si="277"/>
        <v>0</v>
      </c>
      <c r="BE433" s="10"/>
      <c r="BF433" s="10"/>
      <c r="BG433" s="6"/>
      <c r="BH433" s="41">
        <f t="shared" si="266"/>
        <v>0</v>
      </c>
      <c r="BI433" s="729">
        <f t="shared" ca="1" si="271"/>
        <v>0</v>
      </c>
      <c r="BJ433" s="390">
        <f t="shared" ca="1" si="272"/>
        <v>0</v>
      </c>
      <c r="BK433" s="390">
        <f t="shared" ca="1" si="273"/>
        <v>0</v>
      </c>
      <c r="BL433" s="2">
        <f t="shared" si="274"/>
        <v>0</v>
      </c>
    </row>
    <row r="434" spans="2:64" x14ac:dyDescent="0.35">
      <c r="B434" t="s">
        <v>677</v>
      </c>
      <c r="H434" s="4">
        <f ca="1">D35</f>
        <v>0</v>
      </c>
      <c r="I434" t="s">
        <v>1802</v>
      </c>
      <c r="AL434" s="627">
        <f t="shared" ca="1" si="275"/>
        <v>1</v>
      </c>
      <c r="AM434" s="673" t="str">
        <f t="shared" si="263"/>
        <v>X</v>
      </c>
      <c r="AN434" s="626">
        <f t="shared" si="263"/>
        <v>15</v>
      </c>
      <c r="AO434" s="626">
        <f t="shared" si="263"/>
        <v>0</v>
      </c>
      <c r="AP434" s="2">
        <f t="shared" ca="1" si="264"/>
        <v>0</v>
      </c>
      <c r="AQ434" s="969"/>
      <c r="AR434" s="626"/>
      <c r="AS434" s="674"/>
      <c r="AT434" s="389">
        <f t="shared" ca="1" si="267"/>
        <v>0</v>
      </c>
      <c r="AU434" s="389">
        <f t="shared" ca="1" si="268"/>
        <v>0</v>
      </c>
      <c r="AV434" s="978">
        <f t="shared" si="265"/>
        <v>0</v>
      </c>
      <c r="AW434" s="10"/>
      <c r="AX434" s="10"/>
      <c r="AY434" s="6"/>
      <c r="AZ434" s="41">
        <f t="shared" si="269"/>
        <v>0</v>
      </c>
      <c r="BA434" s="729">
        <f t="shared" si="270"/>
        <v>0</v>
      </c>
      <c r="BC434" s="2">
        <f t="shared" si="276"/>
        <v>0</v>
      </c>
      <c r="BD434" s="448">
        <f t="shared" si="277"/>
        <v>0</v>
      </c>
      <c r="BE434" s="10"/>
      <c r="BF434" s="10"/>
      <c r="BG434" s="6"/>
      <c r="BH434" s="41">
        <f t="shared" si="266"/>
        <v>0</v>
      </c>
      <c r="BI434" s="729">
        <f t="shared" ca="1" si="271"/>
        <v>0</v>
      </c>
      <c r="BJ434" s="390">
        <f t="shared" ca="1" si="272"/>
        <v>0</v>
      </c>
      <c r="BK434" s="390">
        <f t="shared" ca="1" si="273"/>
        <v>0</v>
      </c>
      <c r="BL434" s="2">
        <f t="shared" si="274"/>
        <v>0</v>
      </c>
    </row>
    <row r="436" spans="2:64" x14ac:dyDescent="0.35">
      <c r="C436" s="627" t="s">
        <v>2542</v>
      </c>
      <c r="H436" s="4">
        <f>ENTRADAS!F978</f>
        <v>4</v>
      </c>
      <c r="I436" t="s">
        <v>46</v>
      </c>
    </row>
    <row r="437" spans="2:64" x14ac:dyDescent="0.35">
      <c r="C437" t="s">
        <v>2543</v>
      </c>
      <c r="H437" s="4">
        <f>ENTRADAS!F981</f>
        <v>1.5</v>
      </c>
      <c r="I437" t="s">
        <v>2539</v>
      </c>
    </row>
    <row r="438" spans="2:64" x14ac:dyDescent="0.35">
      <c r="C438" t="s">
        <v>2540</v>
      </c>
      <c r="H438">
        <f ca="1">ROUNDUP(H437*H434/H436,0)</f>
        <v>0</v>
      </c>
      <c r="I438" t="s">
        <v>101</v>
      </c>
      <c r="K438">
        <f ca="1">H438</f>
        <v>0</v>
      </c>
    </row>
    <row r="441" spans="2:64" x14ac:dyDescent="0.35">
      <c r="J441" s="627"/>
      <c r="K441" s="627"/>
    </row>
    <row r="442" spans="2:64" x14ac:dyDescent="0.35">
      <c r="B442" s="627" t="s">
        <v>2544</v>
      </c>
      <c r="C442" s="627"/>
      <c r="D442" s="627"/>
      <c r="E442" s="627"/>
      <c r="F442" s="627"/>
      <c r="G442" s="627"/>
      <c r="H442" s="627"/>
      <c r="I442" s="627"/>
      <c r="J442" s="627"/>
      <c r="K442" s="627"/>
    </row>
    <row r="443" spans="2:64" x14ac:dyDescent="0.35">
      <c r="B443" s="1009">
        <f>ENTRADAS!C1008</f>
        <v>1</v>
      </c>
      <c r="C443" s="627" t="str">
        <f>IF(B443&gt;1,"EQUIPES","EQUIPE")</f>
        <v>EQUIPE</v>
      </c>
      <c r="D443" s="183"/>
      <c r="E443" s="627"/>
      <c r="F443" s="627"/>
      <c r="G443" s="627"/>
      <c r="H443" s="627"/>
      <c r="I443" s="627"/>
      <c r="J443" s="627"/>
      <c r="K443" s="627"/>
    </row>
    <row r="444" spans="2:64" x14ac:dyDescent="0.35">
      <c r="B444" s="627"/>
      <c r="C444" s="627"/>
      <c r="D444" s="627"/>
      <c r="E444" s="627" t="s">
        <v>200</v>
      </c>
      <c r="F444" s="627"/>
      <c r="G444" s="627"/>
      <c r="H444" s="627"/>
      <c r="I444" s="627"/>
      <c r="J444" s="627"/>
      <c r="K444" s="627"/>
    </row>
    <row r="445" spans="2:64" x14ac:dyDescent="0.35">
      <c r="B445" s="627" t="s">
        <v>201</v>
      </c>
      <c r="C445" s="627"/>
      <c r="D445" s="627"/>
      <c r="E445" s="627" t="s">
        <v>202</v>
      </c>
      <c r="F445" s="627"/>
      <c r="G445" s="627"/>
      <c r="H445" s="627"/>
      <c r="I445" s="627"/>
      <c r="J445" s="627"/>
      <c r="K445" s="627"/>
    </row>
    <row r="446" spans="2:64" x14ac:dyDescent="0.35">
      <c r="B446" s="1009">
        <f>ENTRADAS!C1011</f>
        <v>1</v>
      </c>
      <c r="C446" s="627" t="s">
        <v>91</v>
      </c>
      <c r="D446" s="627"/>
      <c r="E446" s="7">
        <f>ENTRADAS!F1011</f>
        <v>0</v>
      </c>
      <c r="F446" s="627" t="s">
        <v>203</v>
      </c>
      <c r="G446" s="627"/>
      <c r="H446" s="627"/>
      <c r="I446" s="627"/>
      <c r="J446" s="627"/>
      <c r="K446" s="627"/>
    </row>
    <row r="447" spans="2:64" x14ac:dyDescent="0.35">
      <c r="B447" s="1009">
        <f>ENTRADAS!C1012</f>
        <v>1</v>
      </c>
      <c r="C447" s="204" t="s">
        <v>715</v>
      </c>
      <c r="D447" s="627"/>
      <c r="E447" s="7">
        <f>ENTRADAS!F1012</f>
        <v>0</v>
      </c>
      <c r="F447" s="627" t="s">
        <v>203</v>
      </c>
      <c r="G447" s="627"/>
      <c r="H447" s="627"/>
      <c r="I447" s="627"/>
      <c r="J447" s="627"/>
      <c r="K447" s="627"/>
    </row>
    <row r="448" spans="2:64" x14ac:dyDescent="0.35">
      <c r="B448" s="1009">
        <f>ENTRADAS!C1013</f>
        <v>1</v>
      </c>
      <c r="C448" s="204" t="s">
        <v>566</v>
      </c>
      <c r="D448" s="627"/>
      <c r="E448" s="7">
        <f>ENTRADAS!F1013</f>
        <v>0</v>
      </c>
      <c r="F448" s="627" t="s">
        <v>203</v>
      </c>
      <c r="G448" s="627"/>
      <c r="H448" s="627"/>
      <c r="I448" s="627"/>
      <c r="J448" s="627"/>
      <c r="K448" s="627"/>
    </row>
    <row r="449" spans="2:11" x14ac:dyDescent="0.35">
      <c r="B449" s="1009">
        <f ca="1">ENTRADAS!C1014</f>
        <v>3</v>
      </c>
      <c r="C449" s="627" t="s">
        <v>95</v>
      </c>
      <c r="D449" s="627"/>
      <c r="E449" s="7">
        <f>ENTRADAS!F1014</f>
        <v>0</v>
      </c>
      <c r="F449" s="627" t="s">
        <v>203</v>
      </c>
      <c r="G449" s="627"/>
      <c r="H449" s="627"/>
      <c r="I449" s="627"/>
      <c r="J449" s="627"/>
      <c r="K449" s="627"/>
    </row>
    <row r="450" spans="2:11" x14ac:dyDescent="0.35">
      <c r="B450" s="1009">
        <f>ENTRADAS!C1015</f>
        <v>1</v>
      </c>
      <c r="C450" s="627" t="s">
        <v>204</v>
      </c>
      <c r="D450" s="627"/>
      <c r="E450" s="7">
        <f>ENTRADAS!F1015</f>
        <v>0</v>
      </c>
      <c r="F450" s="627" t="s">
        <v>203</v>
      </c>
      <c r="G450" s="627"/>
      <c r="H450" s="627"/>
      <c r="I450" s="627"/>
      <c r="J450" s="627"/>
    </row>
    <row r="451" spans="2:11" x14ac:dyDescent="0.35">
      <c r="B451" s="1009">
        <f>ENTRADAS!C1016</f>
        <v>1</v>
      </c>
      <c r="C451" s="627" t="s">
        <v>270</v>
      </c>
      <c r="D451" s="627"/>
      <c r="E451" s="7">
        <f>ENTRADAS!F1016</f>
        <v>0</v>
      </c>
      <c r="F451" s="627" t="s">
        <v>203</v>
      </c>
      <c r="G451" s="627"/>
      <c r="H451" s="627"/>
      <c r="I451" s="627"/>
      <c r="J451" s="627"/>
    </row>
    <row r="452" spans="2:11" x14ac:dyDescent="0.35">
      <c r="B452" s="1009">
        <f>ENTRADAS!C1018</f>
        <v>2</v>
      </c>
      <c r="C452" s="627" t="s">
        <v>208</v>
      </c>
      <c r="D452" s="627"/>
      <c r="E452" s="7">
        <f>ENTRADAS!F1018</f>
        <v>0</v>
      </c>
      <c r="F452" s="627" t="s">
        <v>203</v>
      </c>
      <c r="G452" s="627"/>
      <c r="H452" s="627"/>
      <c r="I452" s="627"/>
      <c r="J452" s="627"/>
    </row>
    <row r="453" spans="2:11" x14ac:dyDescent="0.35">
      <c r="B453" s="1009">
        <f>ENTRADAS!C1019</f>
        <v>1</v>
      </c>
      <c r="C453" s="627" t="s">
        <v>209</v>
      </c>
      <c r="D453" s="627"/>
      <c r="E453" s="7">
        <f>ENTRADAS!F1019</f>
        <v>0</v>
      </c>
      <c r="F453" s="627" t="s">
        <v>203</v>
      </c>
      <c r="G453" s="627"/>
      <c r="H453" s="627"/>
      <c r="I453" s="627"/>
      <c r="J453" s="627"/>
    </row>
    <row r="454" spans="2:11" x14ac:dyDescent="0.35">
      <c r="B454" s="627"/>
      <c r="C454" s="627"/>
      <c r="D454" s="627"/>
      <c r="E454" s="627"/>
      <c r="F454" s="627"/>
      <c r="G454" s="627"/>
      <c r="H454" s="627"/>
      <c r="I454" s="627"/>
      <c r="J454" s="627"/>
    </row>
    <row r="455" spans="2:11" x14ac:dyDescent="0.35">
      <c r="B455" s="627" t="s">
        <v>567</v>
      </c>
      <c r="C455" s="627"/>
      <c r="D455" s="627"/>
      <c r="E455" s="7">
        <f>ENTRADAS!F1021</f>
        <v>0</v>
      </c>
      <c r="F455" s="627" t="s">
        <v>46</v>
      </c>
      <c r="G455" s="627"/>
      <c r="H455" s="627"/>
      <c r="I455" s="627"/>
      <c r="J455" s="627"/>
    </row>
    <row r="456" spans="2:11" x14ac:dyDescent="0.35">
      <c r="B456" s="999"/>
      <c r="C456" s="627"/>
      <c r="D456" s="627"/>
      <c r="E456" s="627"/>
      <c r="F456" s="627"/>
      <c r="G456" s="627"/>
      <c r="H456" s="627"/>
      <c r="I456" s="627"/>
    </row>
    <row r="457" spans="2:11" x14ac:dyDescent="0.35">
      <c r="B457" s="627" t="s">
        <v>213</v>
      </c>
      <c r="C457" s="627"/>
      <c r="D457" s="627"/>
      <c r="E457" s="627"/>
      <c r="F457" s="627"/>
      <c r="G457" s="627"/>
      <c r="H457" s="627"/>
      <c r="I457" s="7">
        <f>ENTRADAS!L1029</f>
        <v>0</v>
      </c>
      <c r="J457" s="627" t="s">
        <v>130</v>
      </c>
      <c r="K457" s="4"/>
    </row>
    <row r="458" spans="2:11" x14ac:dyDescent="0.35">
      <c r="B458" s="627"/>
      <c r="C458" s="627"/>
      <c r="D458" s="627"/>
      <c r="E458" s="627"/>
      <c r="F458" s="627"/>
      <c r="G458" s="627"/>
      <c r="H458" s="627"/>
      <c r="I458" s="627"/>
      <c r="J458" s="627"/>
    </row>
    <row r="459" spans="2:11" x14ac:dyDescent="0.35">
      <c r="B459" s="627" t="s">
        <v>216</v>
      </c>
      <c r="C459" s="627"/>
      <c r="D459" s="627"/>
      <c r="E459" s="627"/>
      <c r="F459" s="627"/>
      <c r="G459" s="627"/>
      <c r="H459" s="627"/>
      <c r="I459" s="7">
        <f>ENTRADAS!L1031</f>
        <v>0</v>
      </c>
      <c r="J459" s="627" t="s">
        <v>130</v>
      </c>
    </row>
    <row r="462" spans="2:11" x14ac:dyDescent="0.35">
      <c r="B462" t="s">
        <v>691</v>
      </c>
    </row>
    <row r="463" spans="2:11" x14ac:dyDescent="0.35">
      <c r="C463" t="s">
        <v>692</v>
      </c>
    </row>
    <row r="464" spans="2:11" x14ac:dyDescent="0.35">
      <c r="D464" s="7">
        <f>ENTRADAS!E1038</f>
        <v>0</v>
      </c>
      <c r="E464" s="627" t="s">
        <v>52</v>
      </c>
      <c r="F464" s="7">
        <f>ENTRADAS!G1038</f>
        <v>0</v>
      </c>
      <c r="G464" s="627" t="s">
        <v>53</v>
      </c>
    </row>
    <row r="465" spans="3:7" x14ac:dyDescent="0.35">
      <c r="G465" s="627"/>
    </row>
    <row r="466" spans="3:7" x14ac:dyDescent="0.35">
      <c r="C466" t="s">
        <v>693</v>
      </c>
      <c r="E466" s="7">
        <f>ENTRADAS!F1040</f>
        <v>0</v>
      </c>
      <c r="F466" t="s">
        <v>130</v>
      </c>
    </row>
    <row r="469" spans="3:7" x14ac:dyDescent="0.35">
      <c r="C469" t="s">
        <v>694</v>
      </c>
    </row>
    <row r="470" spans="3:7" x14ac:dyDescent="0.35">
      <c r="C470" t="s">
        <v>695</v>
      </c>
      <c r="F470" s="436">
        <f>IF(E466=0,0,ENTRADAS!G1044)</f>
        <v>0</v>
      </c>
      <c r="G470" s="627" t="s">
        <v>52</v>
      </c>
    </row>
    <row r="471" spans="3:7" x14ac:dyDescent="0.35">
      <c r="F471" s="1"/>
    </row>
    <row r="472" spans="3:7" x14ac:dyDescent="0.35">
      <c r="C472" t="s">
        <v>696</v>
      </c>
      <c r="F472" s="436">
        <f>IF(E466=0,0,ENTRADAS!G1046)</f>
        <v>0</v>
      </c>
      <c r="G472" s="627" t="s">
        <v>52</v>
      </c>
    </row>
    <row r="473" spans="3:7" x14ac:dyDescent="0.35">
      <c r="F473" s="1"/>
    </row>
    <row r="474" spans="3:7" x14ac:dyDescent="0.35">
      <c r="C474" t="s">
        <v>697</v>
      </c>
      <c r="F474" s="436">
        <f>IF(E466=0,0,ENTRADAS!G1048)</f>
        <v>0</v>
      </c>
      <c r="G474" s="627" t="s">
        <v>52</v>
      </c>
    </row>
    <row r="475" spans="3:7" x14ac:dyDescent="0.35">
      <c r="F475" s="1"/>
    </row>
    <row r="476" spans="3:7" x14ac:dyDescent="0.35">
      <c r="C476" t="s">
        <v>698</v>
      </c>
      <c r="F476" s="436">
        <f>IF(E466=0,0,ENTRADAS!G1050)</f>
        <v>0</v>
      </c>
      <c r="G476" s="627" t="s">
        <v>52</v>
      </c>
    </row>
    <row r="478" spans="3:7" x14ac:dyDescent="0.35">
      <c r="C478" s="627" t="s">
        <v>699</v>
      </c>
      <c r="F478" s="436">
        <f>IF(E466=0,0,ENTRADAS!G1052)</f>
        <v>0</v>
      </c>
      <c r="G478" s="627" t="s">
        <v>52</v>
      </c>
    </row>
    <row r="480" spans="3:7" x14ac:dyDescent="0.35">
      <c r="C480" s="627" t="s">
        <v>700</v>
      </c>
      <c r="F480" s="436">
        <f>IF(E466=0,0,ENTRADAS!G1054)</f>
        <v>0</v>
      </c>
      <c r="G480" s="627" t="s">
        <v>52</v>
      </c>
    </row>
    <row r="482" spans="2:12" x14ac:dyDescent="0.35">
      <c r="B482" s="627" t="s">
        <v>2545</v>
      </c>
    </row>
    <row r="483" spans="2:12" x14ac:dyDescent="0.35">
      <c r="C483" t="s">
        <v>2372</v>
      </c>
      <c r="H483">
        <f ca="1">ROUNDUP(K483,0)</f>
        <v>0</v>
      </c>
      <c r="I483" t="s">
        <v>101</v>
      </c>
      <c r="K483">
        <f ca="1">K438</f>
        <v>0</v>
      </c>
      <c r="L483" t="s">
        <v>2546</v>
      </c>
    </row>
    <row r="485" spans="2:12" x14ac:dyDescent="0.35">
      <c r="C485" s="627"/>
    </row>
    <row r="486" spans="2:12" x14ac:dyDescent="0.35">
      <c r="C486" s="627" t="s">
        <v>2547</v>
      </c>
      <c r="H486">
        <f ca="1">P515</f>
        <v>0</v>
      </c>
      <c r="I486" s="627" t="s">
        <v>101</v>
      </c>
    </row>
    <row r="489" spans="2:12" x14ac:dyDescent="0.35">
      <c r="B489" s="627" t="s">
        <v>2548</v>
      </c>
    </row>
    <row r="490" spans="2:12" x14ac:dyDescent="0.35">
      <c r="C490" t="s">
        <v>2372</v>
      </c>
      <c r="H490">
        <f>ROUNDUP(K490,0)</f>
        <v>0</v>
      </c>
      <c r="I490" t="s">
        <v>101</v>
      </c>
      <c r="K490">
        <f>IF(D464="x",(LARGE(K426:K438,1))-(LARGE(K426:K438,1))*E466/100,0)</f>
        <v>0</v>
      </c>
      <c r="L490" t="s">
        <v>2549</v>
      </c>
    </row>
    <row r="491" spans="2:12" x14ac:dyDescent="0.35">
      <c r="L491" t="s">
        <v>2550</v>
      </c>
    </row>
    <row r="492" spans="2:12" x14ac:dyDescent="0.35">
      <c r="C492" s="627" t="s">
        <v>2551</v>
      </c>
      <c r="H492" t="e">
        <f ca="1">ROUND(H490*S515,0)</f>
        <v>#DIV/0!</v>
      </c>
      <c r="I492" t="s">
        <v>101</v>
      </c>
      <c r="L492" t="s">
        <v>2552</v>
      </c>
    </row>
    <row r="493" spans="2:12" x14ac:dyDescent="0.35">
      <c r="C493" s="627" t="s">
        <v>2553</v>
      </c>
      <c r="H493">
        <f>IF(D464="X",IF(H486-ROUNDUP(H492,0)&gt;CÁLCULOS!M679,H486-H495,ROUNDUP(H492,0)),0)</f>
        <v>0</v>
      </c>
      <c r="I493" t="s">
        <v>101</v>
      </c>
    </row>
    <row r="495" spans="2:12" x14ac:dyDescent="0.35">
      <c r="C495" s="627" t="s">
        <v>2554</v>
      </c>
      <c r="H495">
        <f>IF(D464="X",IF(H486-ROUNDUP(H492,0)&gt;CÁLCULOS!M679,CÁLCULOS!M679,H486-ROUNDUP(H492,0)),0)</f>
        <v>0</v>
      </c>
      <c r="I495" s="627" t="s">
        <v>101</v>
      </c>
    </row>
    <row r="497" spans="2:17" x14ac:dyDescent="0.35">
      <c r="B497" s="1226" t="s">
        <v>2555</v>
      </c>
      <c r="C497" s="1164"/>
      <c r="D497" s="1164"/>
      <c r="E497" s="1164"/>
      <c r="F497" s="1164"/>
      <c r="G497" s="1164"/>
      <c r="H497" s="739" t="s">
        <v>101</v>
      </c>
    </row>
    <row r="498" spans="2:17" x14ac:dyDescent="0.35">
      <c r="B498" s="741"/>
      <c r="C498" s="1163"/>
      <c r="D498" s="1163"/>
      <c r="E498" s="1163"/>
      <c r="F498" s="1163"/>
      <c r="G498" s="1163"/>
      <c r="H498" s="1014" t="s">
        <v>102</v>
      </c>
    </row>
    <row r="499" spans="2:17" x14ac:dyDescent="0.35">
      <c r="B499" s="740" t="s">
        <v>91</v>
      </c>
      <c r="C499" s="399"/>
      <c r="D499" s="1016"/>
      <c r="E499" s="399"/>
      <c r="F499" s="1015"/>
      <c r="G499" s="1015"/>
      <c r="H499" s="7">
        <f ca="1">IF(F470="x",($B$443*B446*$Q$518)+(0),($B$443*B446*$P$518)+(0))</f>
        <v>0</v>
      </c>
      <c r="I499" s="630" t="s">
        <v>103</v>
      </c>
      <c r="L499" s="745" t="s">
        <v>2556</v>
      </c>
      <c r="M499" s="511"/>
      <c r="N499" s="511"/>
    </row>
    <row r="500" spans="2:17" x14ac:dyDescent="0.35">
      <c r="B500" s="740" t="s">
        <v>93</v>
      </c>
      <c r="C500" s="399"/>
      <c r="D500" s="1016"/>
      <c r="E500" s="399"/>
      <c r="F500" s="1015"/>
      <c r="G500" s="1015"/>
      <c r="H500" s="7">
        <f ca="1">IF(F472="x",($B$443*B447*$Q$518)+(0),($B$443*B447*$P$518)+(0))</f>
        <v>0</v>
      </c>
      <c r="I500" s="630" t="s">
        <v>103</v>
      </c>
      <c r="L500" s="517">
        <f>ENTRADAS!L1029</f>
        <v>0</v>
      </c>
      <c r="M500" s="745" t="s">
        <v>130</v>
      </c>
      <c r="N500" s="511"/>
    </row>
    <row r="501" spans="2:17" x14ac:dyDescent="0.35">
      <c r="B501" s="740" t="s">
        <v>94</v>
      </c>
      <c r="C501" s="399"/>
      <c r="D501" s="1016"/>
      <c r="E501" s="399"/>
      <c r="F501" s="1015"/>
      <c r="G501" s="1015"/>
      <c r="H501" s="7">
        <f ca="1">IF(F474="x",($B$443*B448*$Q$518)+(0),($B$443*B448*$P$518)+(0))</f>
        <v>0</v>
      </c>
      <c r="I501" s="630" t="s">
        <v>103</v>
      </c>
    </row>
    <row r="502" spans="2:17" x14ac:dyDescent="0.35">
      <c r="B502" s="740" t="s">
        <v>95</v>
      </c>
      <c r="C502" s="399"/>
      <c r="D502" s="1016"/>
      <c r="E502" s="399"/>
      <c r="F502" s="1015"/>
      <c r="G502" s="1015"/>
      <c r="H502" s="7">
        <f ca="1">($B$443*B449*$P$518)+(0)</f>
        <v>0</v>
      </c>
      <c r="I502" s="630" t="s">
        <v>103</v>
      </c>
      <c r="P502" s="627" t="s">
        <v>2557</v>
      </c>
      <c r="Q502" s="627" t="s">
        <v>2558</v>
      </c>
    </row>
    <row r="503" spans="2:17" x14ac:dyDescent="0.35">
      <c r="B503" s="740" t="s">
        <v>96</v>
      </c>
      <c r="C503" s="399"/>
      <c r="D503" s="1016"/>
      <c r="E503" s="399"/>
      <c r="F503" s="1015"/>
      <c r="G503" s="1015"/>
      <c r="H503" s="7">
        <f ca="1">($B$443*B450*$P$518)+(0)</f>
        <v>0</v>
      </c>
      <c r="I503" s="630" t="s">
        <v>103</v>
      </c>
      <c r="K503" s="633" t="s">
        <v>1946</v>
      </c>
      <c r="P503" s="4">
        <f>ENTRADAS!G1024</f>
        <v>0</v>
      </c>
      <c r="Q503" s="4">
        <f>P503</f>
        <v>0</v>
      </c>
    </row>
    <row r="504" spans="2:17" x14ac:dyDescent="0.35">
      <c r="B504" s="740" t="s">
        <v>270</v>
      </c>
      <c r="C504" s="399"/>
      <c r="D504" s="1016"/>
      <c r="E504" s="399"/>
      <c r="F504" s="1015"/>
      <c r="G504" s="1015"/>
      <c r="H504" s="7">
        <f ca="1">IF(F476="x",($B$443*B451*$Q$518)+(0),($B$443*B451*$P$518)+(0))</f>
        <v>0</v>
      </c>
      <c r="I504" s="630" t="s">
        <v>103</v>
      </c>
      <c r="K504" s="633" t="s">
        <v>1948</v>
      </c>
      <c r="P504" s="4">
        <f>ENTRADAS!O1024</f>
        <v>0</v>
      </c>
      <c r="Q504" s="4">
        <f>P504</f>
        <v>0</v>
      </c>
    </row>
    <row r="505" spans="2:17" x14ac:dyDescent="0.35">
      <c r="B505" s="633" t="s">
        <v>2095</v>
      </c>
      <c r="C505" s="10"/>
      <c r="D505" s="10"/>
      <c r="E505" s="10"/>
      <c r="F505" s="10"/>
      <c r="G505" s="10"/>
      <c r="H505" s="7">
        <f ca="1">IF(E6=0,0,IF(I457&gt;0,(H517/9/5*7+H517*I457/100/8),H517/9/5*7))*(1+L500/100)</f>
        <v>0</v>
      </c>
      <c r="I505" s="630" t="s">
        <v>103</v>
      </c>
      <c r="K505" s="633" t="s">
        <v>1949</v>
      </c>
      <c r="P505" s="4">
        <f>ENTRADAS!G1026</f>
        <v>0</v>
      </c>
      <c r="Q505" s="4">
        <f>P505</f>
        <v>0</v>
      </c>
    </row>
    <row r="506" spans="2:17" x14ac:dyDescent="0.35">
      <c r="B506" s="740" t="s">
        <v>208</v>
      </c>
      <c r="C506" s="399"/>
      <c r="D506" s="1016"/>
      <c r="E506" s="399"/>
      <c r="F506" s="1015"/>
      <c r="G506" s="1015"/>
      <c r="H506" s="7">
        <f ca="1">IF(F478="x",($B$443*B452*$Q$518)+(0),($B$443*B452*$P$518)+(0))</f>
        <v>0</v>
      </c>
      <c r="I506" s="630" t="s">
        <v>103</v>
      </c>
      <c r="K506" s="633" t="s">
        <v>1950</v>
      </c>
      <c r="P506" s="4">
        <f>ENTRADAS!O1026</f>
        <v>0</v>
      </c>
      <c r="Q506" s="4">
        <f>P506</f>
        <v>0</v>
      </c>
    </row>
    <row r="507" spans="2:17" x14ac:dyDescent="0.35">
      <c r="B507" s="633" t="s">
        <v>209</v>
      </c>
      <c r="C507" s="10"/>
      <c r="D507" s="10"/>
      <c r="E507" s="10"/>
      <c r="F507" s="10"/>
      <c r="G507" s="10"/>
      <c r="H507" s="7">
        <f ca="1">IF(F480="x",($B$443*B453*$Q$518)+(0),($B$443*B453*$P$518)+(0))</f>
        <v>0</v>
      </c>
      <c r="I507" s="630" t="s">
        <v>103</v>
      </c>
      <c r="K507" s="633" t="s">
        <v>2559</v>
      </c>
    </row>
    <row r="508" spans="2:17" x14ac:dyDescent="0.35">
      <c r="K508" s="633" t="s">
        <v>2060</v>
      </c>
    </row>
    <row r="509" spans="2:17" x14ac:dyDescent="0.35">
      <c r="H509" s="948" t="s">
        <v>86</v>
      </c>
      <c r="I509" s="739" t="s">
        <v>87</v>
      </c>
      <c r="K509" s="633" t="s">
        <v>1973</v>
      </c>
      <c r="P509">
        <f ca="1">K438</f>
        <v>0</v>
      </c>
      <c r="Q509">
        <f>H490</f>
        <v>0</v>
      </c>
    </row>
    <row r="510" spans="2:17" x14ac:dyDescent="0.35">
      <c r="B510" s="978" t="s">
        <v>2560</v>
      </c>
      <c r="C510" s="972"/>
      <c r="D510" s="972"/>
      <c r="E510" s="972"/>
      <c r="F510" s="972"/>
      <c r="G510" s="972"/>
      <c r="H510" s="949" t="s">
        <v>89</v>
      </c>
      <c r="I510" s="975" t="s">
        <v>90</v>
      </c>
      <c r="K510" s="633" t="s">
        <v>1966</v>
      </c>
      <c r="P510">
        <f ca="1">IF(P505&gt;0,0,P509/5)</f>
        <v>0</v>
      </c>
      <c r="Q510">
        <f>IF(Q505&gt;0,0,Q509/5)</f>
        <v>0</v>
      </c>
    </row>
    <row r="511" spans="2:17" x14ac:dyDescent="0.35">
      <c r="B511" s="740" t="s">
        <v>91</v>
      </c>
      <c r="C511" s="399"/>
      <c r="D511" s="1016"/>
      <c r="E511" s="399"/>
      <c r="F511" s="1015"/>
      <c r="G511" s="1015"/>
      <c r="H511" s="423">
        <f ca="1">IF(AND(E466=100,F470="X"),$B$443*B446*(H493*9-H493*I457/100*9),IF(F470="x",($B$443*B446*$K$490)*9,($B$443*B446*$K$483)*9))</f>
        <v>0</v>
      </c>
      <c r="I511" s="661">
        <f ca="1">(H511+(H511*$I$457/100))</f>
        <v>0</v>
      </c>
      <c r="J511" s="627" t="s">
        <v>92</v>
      </c>
      <c r="K511" s="633" t="s">
        <v>1968</v>
      </c>
      <c r="P511">
        <f>IF(P505&gt;0,P509/6,0)</f>
        <v>0</v>
      </c>
      <c r="Q511">
        <f>IF(Q505&gt;0,Q509/6,0)</f>
        <v>0</v>
      </c>
    </row>
    <row r="512" spans="2:17" x14ac:dyDescent="0.35">
      <c r="B512" s="740" t="s">
        <v>93</v>
      </c>
      <c r="C512" s="399"/>
      <c r="D512" s="1016"/>
      <c r="E512" s="399"/>
      <c r="F512" s="1015"/>
      <c r="G512" s="1015"/>
      <c r="H512" s="423">
        <f ca="1">IF(AND(E466=100,F472="X"),$B$443*B447*(H493*9-H493*I457/100*9),IF(F472="x",($B$443*B447*$K$490)*9,($B$443*B447*$K$483)*9))</f>
        <v>0</v>
      </c>
      <c r="I512" s="661">
        <f t="shared" ref="I512:I517" ca="1" si="278">(H512+(H512*$I$457/100))</f>
        <v>0</v>
      </c>
      <c r="J512" s="627" t="s">
        <v>92</v>
      </c>
      <c r="K512" s="633" t="s">
        <v>1969</v>
      </c>
      <c r="P512">
        <f ca="1">IF(P505&gt;0,(P511*P503*(1+P504/100)/8),(P510*P503*(1+P504/100)/8))</f>
        <v>0</v>
      </c>
      <c r="Q512">
        <f>IF(Q505&gt;0,(Q511*Q503*(1+Q504/100)/8),(Q510*Q503*(1+Q504/100)/8))</f>
        <v>0</v>
      </c>
    </row>
    <row r="513" spans="2:19" x14ac:dyDescent="0.35">
      <c r="B513" s="740" t="s">
        <v>94</v>
      </c>
      <c r="C513" s="399"/>
      <c r="D513" s="1016"/>
      <c r="E513" s="399"/>
      <c r="F513" s="1015"/>
      <c r="G513" s="1015"/>
      <c r="H513" s="423">
        <f ca="1">IF(F474="x",($B$443*B448*$K$490)*9,($B$443*B448*$K$483)*9)</f>
        <v>0</v>
      </c>
      <c r="I513" s="661">
        <f t="shared" ca="1" si="278"/>
        <v>0</v>
      </c>
      <c r="J513" s="627" t="s">
        <v>92</v>
      </c>
      <c r="K513" s="633" t="s">
        <v>1970</v>
      </c>
      <c r="P513">
        <f>IF(P505&gt;0,(P511*P505*(P506/100)/8),0)</f>
        <v>0</v>
      </c>
      <c r="Q513">
        <f>IF(Q505&gt;0,(Q511*Q505*(Q506/100)/8),0)</f>
        <v>0</v>
      </c>
    </row>
    <row r="514" spans="2:19" x14ac:dyDescent="0.35">
      <c r="B514" s="740" t="s">
        <v>95</v>
      </c>
      <c r="C514" s="399"/>
      <c r="D514" s="1016"/>
      <c r="E514" s="399"/>
      <c r="F514" s="1015"/>
      <c r="G514" s="1015"/>
      <c r="H514" s="423">
        <f ca="1">($B$443*B449*$K$483)*9</f>
        <v>0</v>
      </c>
      <c r="I514" s="661">
        <f t="shared" ca="1" si="278"/>
        <v>0</v>
      </c>
      <c r="J514" s="627" t="s">
        <v>92</v>
      </c>
      <c r="K514" s="633"/>
    </row>
    <row r="515" spans="2:19" x14ac:dyDescent="0.35">
      <c r="B515" s="740" t="s">
        <v>96</v>
      </c>
      <c r="C515" s="399"/>
      <c r="D515" s="1016"/>
      <c r="E515" s="399"/>
      <c r="F515" s="1015"/>
      <c r="G515" s="1015"/>
      <c r="H515" s="423">
        <f ca="1">($B$443*B450*$K$483)*9</f>
        <v>0</v>
      </c>
      <c r="I515" s="661">
        <f t="shared" ca="1" si="278"/>
        <v>0</v>
      </c>
      <c r="J515" s="627" t="s">
        <v>92</v>
      </c>
      <c r="K515" s="633" t="s">
        <v>1971</v>
      </c>
      <c r="P515">
        <f ca="1">ROUNDUP((P510+P511)*7,0)</f>
        <v>0</v>
      </c>
      <c r="Q515">
        <f>ROUNDUP((Q510+Q511)*7,0)</f>
        <v>0</v>
      </c>
      <c r="S515" t="e">
        <f ca="1">P515/P516</f>
        <v>#DIV/0!</v>
      </c>
    </row>
    <row r="516" spans="2:19" x14ac:dyDescent="0.35">
      <c r="B516" s="740" t="s">
        <v>270</v>
      </c>
      <c r="C516" s="399"/>
      <c r="D516" s="1016"/>
      <c r="E516" s="399"/>
      <c r="F516" s="1015"/>
      <c r="G516" s="1015"/>
      <c r="H516" s="423">
        <f ca="1">IF(AND(E466=100,F470="X"),$B$443*B451*(H493*9-H493*I457/100*9),IF(F470="x",($B$443*B451*$K$490)*9,($B$443*B451*$K$483)*9))</f>
        <v>0</v>
      </c>
      <c r="I516" s="661">
        <f t="shared" ca="1" si="278"/>
        <v>0</v>
      </c>
      <c r="J516" s="627" t="s">
        <v>92</v>
      </c>
      <c r="K516" s="633" t="s">
        <v>2076</v>
      </c>
      <c r="P516">
        <f ca="1">ROUNDUP(P509,0)</f>
        <v>0</v>
      </c>
      <c r="Q516">
        <f>ROUNDUP(Q509,0)</f>
        <v>0</v>
      </c>
    </row>
    <row r="517" spans="2:19" x14ac:dyDescent="0.35">
      <c r="B517" s="633" t="s">
        <v>2095</v>
      </c>
      <c r="C517" s="10"/>
      <c r="D517" s="10"/>
      <c r="E517" s="10"/>
      <c r="F517" s="10"/>
      <c r="G517" s="10"/>
      <c r="H517" s="423">
        <f ca="1">IF(E6=0,0,I525/1.03*0.07)</f>
        <v>0</v>
      </c>
      <c r="I517" s="661">
        <f t="shared" ca="1" si="278"/>
        <v>0</v>
      </c>
      <c r="J517" s="627" t="s">
        <v>92</v>
      </c>
      <c r="K517" s="633" t="s">
        <v>1974</v>
      </c>
      <c r="P517">
        <f ca="1">P515-P516</f>
        <v>0</v>
      </c>
      <c r="Q517">
        <f>Q515-Q516</f>
        <v>0</v>
      </c>
    </row>
    <row r="518" spans="2:19" x14ac:dyDescent="0.35">
      <c r="B518" s="740" t="s">
        <v>208</v>
      </c>
      <c r="C518" s="399"/>
      <c r="D518" s="1016"/>
      <c r="E518" s="399"/>
      <c r="F518" s="1015"/>
      <c r="G518" s="1015"/>
      <c r="H518" s="423">
        <f ca="1">IF(F478="x",($B$443*B452*$K$490)*9,($B$443*B452*$K$483)*9)</f>
        <v>0</v>
      </c>
      <c r="I518" s="661">
        <f ca="1">(H518+(0))</f>
        <v>0</v>
      </c>
      <c r="J518" s="627" t="s">
        <v>92</v>
      </c>
      <c r="K518" s="633" t="s">
        <v>1975</v>
      </c>
      <c r="P518">
        <f ca="1">ROUNDUP(P507+P508+(P510+P511)*7+P512+P513,0)</f>
        <v>0</v>
      </c>
      <c r="Q518">
        <f>ROUNDUP(Q507+Q508+(Q510+Q511)*7+Q512+Q513,0)</f>
        <v>0</v>
      </c>
    </row>
    <row r="519" spans="2:19" x14ac:dyDescent="0.35">
      <c r="B519" s="633" t="s">
        <v>209</v>
      </c>
      <c r="C519" s="10"/>
      <c r="D519" s="10"/>
      <c r="E519" s="10"/>
      <c r="F519" s="10"/>
      <c r="G519" s="10"/>
      <c r="H519" s="250">
        <f ca="1">IF(F480="x",($B$443*B453*$K$490)*9,($B$443*B453*$K$483)*9)</f>
        <v>0</v>
      </c>
      <c r="I519" s="661">
        <f ca="1">(H519+(H519*$I$457/100))</f>
        <v>0</v>
      </c>
      <c r="J519" s="627" t="s">
        <v>92</v>
      </c>
    </row>
    <row r="521" spans="2:19" x14ac:dyDescent="0.35">
      <c r="B521" s="633" t="s">
        <v>2561</v>
      </c>
      <c r="C521" s="10"/>
      <c r="D521" s="10"/>
      <c r="E521" s="10"/>
      <c r="F521" s="10"/>
      <c r="G521" s="10"/>
      <c r="H521" s="10"/>
      <c r="I521" s="449">
        <f>H436</f>
        <v>4</v>
      </c>
      <c r="J521" s="627" t="s">
        <v>46</v>
      </c>
    </row>
    <row r="522" spans="2:19" x14ac:dyDescent="0.35">
      <c r="B522" s="633" t="s">
        <v>2562</v>
      </c>
      <c r="C522" s="10"/>
      <c r="D522" s="10"/>
      <c r="E522" s="10"/>
      <c r="F522" s="10"/>
      <c r="G522" s="10"/>
      <c r="H522" s="10"/>
      <c r="I522" s="449">
        <f>H424</f>
        <v>1</v>
      </c>
      <c r="J522" s="627" t="s">
        <v>46</v>
      </c>
    </row>
    <row r="523" spans="2:19" x14ac:dyDescent="0.35">
      <c r="B523" s="633" t="s">
        <v>2563</v>
      </c>
      <c r="C523" s="10"/>
      <c r="D523" s="10"/>
      <c r="E523" s="10"/>
      <c r="F523" s="10"/>
      <c r="G523" s="10"/>
      <c r="H523" s="10"/>
      <c r="I523" s="449">
        <f>H430</f>
        <v>1</v>
      </c>
      <c r="J523" s="627" t="s">
        <v>46</v>
      </c>
    </row>
    <row r="524" spans="2:19" x14ac:dyDescent="0.35">
      <c r="B524" s="633" t="s">
        <v>2564</v>
      </c>
      <c r="C524" s="10"/>
      <c r="D524" s="10"/>
      <c r="E524" s="10"/>
      <c r="F524" s="10"/>
      <c r="G524" s="10"/>
      <c r="H524" s="10"/>
      <c r="I524" s="449">
        <f ca="1">K524*1.03</f>
        <v>0</v>
      </c>
      <c r="J524" s="633" t="s">
        <v>31</v>
      </c>
      <c r="K524" s="6">
        <f ca="1">(C53+C60+C66)</f>
        <v>0</v>
      </c>
    </row>
    <row r="525" spans="2:19" x14ac:dyDescent="0.35">
      <c r="B525" s="633" t="s">
        <v>169</v>
      </c>
      <c r="C525" s="10"/>
      <c r="D525" s="10"/>
      <c r="E525" s="10"/>
      <c r="F525" s="10"/>
      <c r="G525" s="10"/>
      <c r="H525" s="10"/>
      <c r="I525" s="449">
        <f ca="1">(C54+C61+C67)*1.03</f>
        <v>0</v>
      </c>
      <c r="J525" s="627" t="s">
        <v>64</v>
      </c>
    </row>
    <row r="526" spans="2:19" x14ac:dyDescent="0.35">
      <c r="B526" s="633" t="s">
        <v>2565</v>
      </c>
      <c r="C526" s="10"/>
      <c r="D526" s="10"/>
      <c r="E526" s="10"/>
      <c r="F526" s="10"/>
      <c r="G526" s="10"/>
      <c r="H526" s="10"/>
      <c r="I526" s="1120">
        <f ca="1">(D12*3)+(D29+D35)*2</f>
        <v>0</v>
      </c>
      <c r="J526" s="627" t="s">
        <v>46</v>
      </c>
    </row>
    <row r="527" spans="2:19" x14ac:dyDescent="0.35">
      <c r="B527" s="633" t="s">
        <v>2566</v>
      </c>
      <c r="C527" s="10"/>
      <c r="D527" s="10"/>
      <c r="E527" s="10"/>
      <c r="F527" s="10"/>
      <c r="G527" s="10"/>
      <c r="H527" s="10"/>
      <c r="I527" s="1229">
        <f ca="1">IF(E6=0,0,ROUNDUP(0.2*(C65+(D14+D15+D15)*D16*D12+(D30+D31+D31)*(AL12*E3-(D12*D14))),0))</f>
        <v>0</v>
      </c>
      <c r="J527" s="627" t="s">
        <v>177</v>
      </c>
    </row>
    <row r="528" spans="2:19" x14ac:dyDescent="0.35">
      <c r="B528" s="633" t="s">
        <v>2567</v>
      </c>
      <c r="C528" s="10"/>
      <c r="D528" s="10"/>
      <c r="E528" s="10"/>
      <c r="F528" s="10"/>
      <c r="G528" s="10"/>
      <c r="H528" s="10"/>
      <c r="I528" s="1229">
        <f ca="1">IF(E6=0,0,ROUNDUP(0.2*((PI()*((AL9^2)-(0.5^2))*E3)+(D14+D15)*2*D16*D12+(D30+D31+D31)*(AL12*E3-(D12*D14))),0))</f>
        <v>0</v>
      </c>
      <c r="J528" s="627" t="s">
        <v>177</v>
      </c>
    </row>
    <row r="529" spans="2:12" x14ac:dyDescent="0.35">
      <c r="B529" s="633" t="s">
        <v>171</v>
      </c>
      <c r="C529" s="10"/>
      <c r="D529" s="10"/>
      <c r="E529" s="10"/>
      <c r="F529" s="10"/>
      <c r="G529" s="10"/>
      <c r="H529" s="10"/>
      <c r="I529" s="449">
        <f ca="1">IF(E6=0,0,(I527*3)/0.2)</f>
        <v>0</v>
      </c>
      <c r="J529" s="627" t="s">
        <v>46</v>
      </c>
    </row>
    <row r="530" spans="2:12" x14ac:dyDescent="0.35">
      <c r="B530" s="633" t="s">
        <v>174</v>
      </c>
      <c r="C530" s="10"/>
      <c r="D530" s="10"/>
      <c r="E530" s="10"/>
      <c r="F530" s="10"/>
      <c r="G530" s="10"/>
      <c r="H530" s="10"/>
      <c r="I530" s="449">
        <f ca="1">I525*0.007</f>
        <v>0</v>
      </c>
      <c r="J530" s="627" t="s">
        <v>64</v>
      </c>
    </row>
    <row r="531" spans="2:12" x14ac:dyDescent="0.35">
      <c r="B531" s="633" t="s">
        <v>2568</v>
      </c>
      <c r="C531" s="10"/>
      <c r="D531" s="10"/>
      <c r="E531" s="10"/>
      <c r="F531" s="10"/>
      <c r="G531" s="10"/>
      <c r="H531" s="10"/>
      <c r="I531" s="449">
        <f>O29*0.89</f>
        <v>0</v>
      </c>
      <c r="J531" s="627" t="s">
        <v>64</v>
      </c>
    </row>
    <row r="532" spans="2:12" x14ac:dyDescent="0.35">
      <c r="B532" s="633" t="s">
        <v>2569</v>
      </c>
      <c r="C532" s="10"/>
      <c r="D532" s="10"/>
      <c r="E532" s="10"/>
      <c r="F532" s="10"/>
      <c r="G532" s="10"/>
      <c r="H532" s="10"/>
      <c r="I532" s="449">
        <f>P29</f>
        <v>0</v>
      </c>
      <c r="J532" s="627" t="s">
        <v>2570</v>
      </c>
    </row>
    <row r="534" spans="2:12" x14ac:dyDescent="0.35">
      <c r="B534" s="633" t="s">
        <v>2571</v>
      </c>
      <c r="C534" s="10"/>
      <c r="D534" s="10"/>
      <c r="E534" s="10"/>
      <c r="F534" s="10"/>
      <c r="G534" s="10"/>
      <c r="H534" s="10"/>
      <c r="I534" s="449">
        <f ca="1">C56+C74</f>
        <v>0</v>
      </c>
      <c r="J534" s="627" t="s">
        <v>78</v>
      </c>
    </row>
    <row r="535" spans="2:12" x14ac:dyDescent="0.35">
      <c r="B535" s="633" t="s">
        <v>2572</v>
      </c>
      <c r="C535" s="10"/>
      <c r="D535" s="10"/>
      <c r="E535" s="10"/>
      <c r="F535" s="10"/>
      <c r="G535" s="10"/>
      <c r="H535" s="10"/>
      <c r="I535" s="449">
        <f ca="1">C62</f>
        <v>0</v>
      </c>
      <c r="J535" s="627" t="s">
        <v>78</v>
      </c>
    </row>
    <row r="536" spans="2:12" x14ac:dyDescent="0.35">
      <c r="B536" s="633" t="s">
        <v>2573</v>
      </c>
      <c r="C536" s="10"/>
      <c r="D536" s="10"/>
      <c r="E536" s="10"/>
      <c r="F536" s="10"/>
      <c r="G536" s="10"/>
      <c r="H536" s="10"/>
      <c r="I536" s="449">
        <f ca="1">C68</f>
        <v>0</v>
      </c>
      <c r="J536" s="627" t="s">
        <v>78</v>
      </c>
    </row>
    <row r="537" spans="2:12" x14ac:dyDescent="0.35">
      <c r="B537" s="633" t="s">
        <v>2574</v>
      </c>
      <c r="C537" s="10"/>
      <c r="D537" s="10"/>
      <c r="E537" s="10"/>
      <c r="F537" s="10"/>
      <c r="G537" s="10"/>
      <c r="H537" s="10"/>
      <c r="I537" s="449">
        <f ca="1">C69</f>
        <v>2.3750440461138833</v>
      </c>
      <c r="J537" s="627" t="s">
        <v>78</v>
      </c>
    </row>
    <row r="538" spans="2:12" x14ac:dyDescent="0.35">
      <c r="B538" s="633" t="s">
        <v>2575</v>
      </c>
      <c r="C538" s="10"/>
      <c r="D538" s="10"/>
      <c r="E538" s="10"/>
      <c r="F538" s="10"/>
      <c r="G538" s="10"/>
      <c r="H538" s="10"/>
      <c r="I538" s="449">
        <f ca="1">F69</f>
        <v>1.5393804002589984</v>
      </c>
      <c r="J538" s="627" t="s">
        <v>78</v>
      </c>
    </row>
    <row r="540" spans="2:12" x14ac:dyDescent="0.35">
      <c r="B540" s="633" t="s">
        <v>628</v>
      </c>
      <c r="C540" s="646"/>
      <c r="D540" s="646"/>
      <c r="E540" s="646"/>
      <c r="F540" s="646"/>
      <c r="G540" s="646"/>
      <c r="H540" s="646"/>
      <c r="I540" s="646"/>
      <c r="J540" s="646"/>
      <c r="K540" s="626" t="s">
        <v>275</v>
      </c>
    </row>
    <row r="541" spans="2:12" x14ac:dyDescent="0.35">
      <c r="B541" s="633" t="s">
        <v>105</v>
      </c>
      <c r="C541" s="10"/>
      <c r="D541" s="10"/>
      <c r="E541" s="10"/>
      <c r="F541" s="10"/>
      <c r="G541" s="10"/>
      <c r="H541" s="10"/>
      <c r="I541" s="371"/>
      <c r="J541" s="6"/>
      <c r="K541" s="660">
        <f ca="1">ROUNDUP(SUM(H499:H507)/7*5/60,0)</f>
        <v>0</v>
      </c>
      <c r="L541" s="627" t="s">
        <v>46</v>
      </c>
    </row>
    <row r="542" spans="2:12" x14ac:dyDescent="0.35">
      <c r="B542" s="633" t="s">
        <v>106</v>
      </c>
      <c r="C542" s="10"/>
      <c r="D542" s="10"/>
      <c r="E542" s="10"/>
      <c r="F542" s="10"/>
      <c r="G542" s="10"/>
      <c r="H542" s="10"/>
      <c r="I542" s="371"/>
      <c r="J542" s="6"/>
      <c r="K542" s="660">
        <f ca="1">ROUNDUP(SUM(H499:H507)/7*5/60,0)</f>
        <v>0</v>
      </c>
      <c r="L542" s="627" t="s">
        <v>46</v>
      </c>
    </row>
    <row r="543" spans="2:12" x14ac:dyDescent="0.35">
      <c r="B543" s="633" t="s">
        <v>107</v>
      </c>
      <c r="C543" s="10"/>
      <c r="D543" s="10"/>
      <c r="E543" s="10"/>
      <c r="F543" s="10"/>
      <c r="G543" s="10"/>
      <c r="H543" s="10"/>
      <c r="I543" s="371"/>
      <c r="J543" s="6"/>
      <c r="K543" s="660">
        <f ca="1">ROUNDUP(SUM(H499:H507)/7*5/50,0)</f>
        <v>0</v>
      </c>
      <c r="L543" s="627" t="s">
        <v>46</v>
      </c>
    </row>
    <row r="544" spans="2:12" x14ac:dyDescent="0.35">
      <c r="B544" s="633" t="s">
        <v>108</v>
      </c>
      <c r="C544" s="10"/>
      <c r="D544" s="10"/>
      <c r="E544" s="10"/>
      <c r="F544" s="10"/>
      <c r="G544" s="10"/>
      <c r="H544" s="10"/>
      <c r="I544" s="371"/>
      <c r="J544" s="6"/>
      <c r="K544" s="660">
        <f ca="1">ROUNDUP(SUM(H499:H507)/7*5/30,0)</f>
        <v>0</v>
      </c>
      <c r="L544" s="627" t="s">
        <v>46</v>
      </c>
    </row>
    <row r="545" spans="2:12" x14ac:dyDescent="0.35">
      <c r="B545" s="633" t="s">
        <v>109</v>
      </c>
      <c r="C545" s="10"/>
      <c r="D545" s="10"/>
      <c r="E545" s="10"/>
      <c r="F545" s="10"/>
      <c r="G545" s="10"/>
      <c r="H545" s="10"/>
      <c r="I545" s="371"/>
      <c r="J545" s="6"/>
      <c r="K545" s="660">
        <f ca="1">ROUNDUP(SUM(H499:H507)/7*5/30,0)</f>
        <v>0</v>
      </c>
      <c r="L545" s="627" t="s">
        <v>46</v>
      </c>
    </row>
    <row r="546" spans="2:12" x14ac:dyDescent="0.35">
      <c r="B546" s="633" t="s">
        <v>110</v>
      </c>
      <c r="C546" s="10"/>
      <c r="D546" s="10"/>
      <c r="E546" s="10"/>
      <c r="F546" s="10"/>
      <c r="G546" s="10"/>
      <c r="H546" s="10"/>
      <c r="I546" s="371"/>
      <c r="J546" s="6"/>
      <c r="K546" s="660">
        <f ca="1">ROUNDUP(SUM(H499:H507)/7*5/10,0)</f>
        <v>0</v>
      </c>
      <c r="L546" s="627" t="s">
        <v>46</v>
      </c>
    </row>
    <row r="547" spans="2:12" x14ac:dyDescent="0.35">
      <c r="B547" s="633" t="s">
        <v>111</v>
      </c>
      <c r="C547" s="10"/>
      <c r="D547" s="10"/>
      <c r="E547" s="10"/>
      <c r="F547" s="10"/>
      <c r="G547" s="10"/>
      <c r="H547" s="10"/>
      <c r="I547" s="371"/>
      <c r="J547" s="6"/>
      <c r="K547" s="660">
        <f ca="1">ROUNDUP(SUM(H499:H507)/7*5/10,0)</f>
        <v>0</v>
      </c>
      <c r="L547" s="627" t="s">
        <v>46</v>
      </c>
    </row>
    <row r="548" spans="2:12" x14ac:dyDescent="0.35">
      <c r="B548" s="633" t="s">
        <v>112</v>
      </c>
      <c r="C548" s="10"/>
      <c r="D548" s="10"/>
      <c r="E548" s="10"/>
      <c r="F548" s="10"/>
      <c r="G548" s="10"/>
      <c r="H548" s="10"/>
      <c r="I548" s="371"/>
      <c r="J548" s="6"/>
      <c r="K548" s="660">
        <f ca="1">ROUNDUP(SUM(H499:H507)/7*5/15,0)</f>
        <v>0</v>
      </c>
      <c r="L548" s="627" t="s">
        <v>46</v>
      </c>
    </row>
    <row r="549" spans="2:12" x14ac:dyDescent="0.35">
      <c r="B549" s="633" t="s">
        <v>113</v>
      </c>
      <c r="C549" s="10"/>
      <c r="D549" s="10"/>
      <c r="E549" s="10"/>
      <c r="F549" s="10"/>
      <c r="G549" s="10"/>
      <c r="H549" s="10"/>
      <c r="I549" s="371"/>
      <c r="J549" s="6"/>
      <c r="K549" s="660">
        <f ca="1">ROUNDUP(SUM(H499:H507)/7*5/15,0)</f>
        <v>0</v>
      </c>
      <c r="L549" s="627" t="s">
        <v>46</v>
      </c>
    </row>
    <row r="550" spans="2:12" x14ac:dyDescent="0.35">
      <c r="B550" s="633" t="s">
        <v>114</v>
      </c>
      <c r="C550" s="10"/>
      <c r="D550" s="10"/>
      <c r="E550" s="10"/>
      <c r="F550" s="10"/>
      <c r="G550" s="10"/>
      <c r="H550" s="10"/>
      <c r="I550" s="371"/>
      <c r="J550" s="6"/>
      <c r="K550" s="660">
        <f ca="1">ROUNDUP(SUM(H499:H507)/7*5/15,0)</f>
        <v>0</v>
      </c>
      <c r="L550" s="627" t="s">
        <v>46</v>
      </c>
    </row>
    <row r="551" spans="2:12" x14ac:dyDescent="0.35">
      <c r="B551" s="633" t="s">
        <v>115</v>
      </c>
      <c r="C551" s="10"/>
      <c r="D551" s="10"/>
      <c r="E551" s="10"/>
      <c r="F551" s="10"/>
      <c r="G551" s="10"/>
      <c r="H551" s="10"/>
      <c r="I551" s="371"/>
      <c r="J551" s="6"/>
      <c r="K551" s="660">
        <f ca="1">ROUNDUP(SUM(H499:H507)/7*5/30,0)</f>
        <v>0</v>
      </c>
      <c r="L551" s="627" t="s">
        <v>46</v>
      </c>
    </row>
    <row r="552" spans="2:12" x14ac:dyDescent="0.35">
      <c r="B552" s="633" t="s">
        <v>116</v>
      </c>
      <c r="C552" s="10"/>
      <c r="D552" s="10"/>
      <c r="E552" s="10"/>
      <c r="F552" s="10"/>
      <c r="G552" s="10"/>
      <c r="H552" s="10"/>
      <c r="I552" s="371"/>
      <c r="J552" s="6"/>
      <c r="K552" s="660">
        <f ca="1">ROUNDUP(SUM(H499:H507)/7*5/5,0)</f>
        <v>0</v>
      </c>
      <c r="L552" s="627" t="s">
        <v>46</v>
      </c>
    </row>
    <row r="553" spans="2:12" x14ac:dyDescent="0.35">
      <c r="B553" s="633" t="s">
        <v>117</v>
      </c>
      <c r="C553" s="10"/>
      <c r="D553" s="10"/>
      <c r="E553" s="10"/>
      <c r="F553" s="10"/>
      <c r="G553" s="10"/>
      <c r="H553" s="10"/>
      <c r="I553" s="371"/>
      <c r="J553" s="6"/>
      <c r="K553" s="660">
        <f ca="1">ROUNDUP(SUM(H499:H507)/7*5/60,0)</f>
        <v>0</v>
      </c>
      <c r="L553" s="627" t="s">
        <v>46</v>
      </c>
    </row>
    <row r="555" spans="2:12" x14ac:dyDescent="0.35">
      <c r="B555" s="633" t="s">
        <v>629</v>
      </c>
      <c r="C555" s="646"/>
      <c r="D555" s="646"/>
      <c r="E555" s="646"/>
      <c r="F555" s="646"/>
      <c r="G555" s="646"/>
      <c r="H555" s="646"/>
      <c r="I555" s="646"/>
      <c r="J555" s="646"/>
      <c r="K555" s="626" t="s">
        <v>275</v>
      </c>
    </row>
    <row r="556" spans="2:12" x14ac:dyDescent="0.35">
      <c r="B556" s="633" t="s">
        <v>630</v>
      </c>
      <c r="C556" s="10"/>
      <c r="D556" s="10"/>
      <c r="E556" s="10"/>
      <c r="F556" s="10"/>
      <c r="G556" s="10"/>
      <c r="H556" s="10"/>
      <c r="I556" s="371"/>
      <c r="J556" s="6"/>
      <c r="K556" s="660">
        <f ca="1">ROUNDUP(SUM(H511:H516)/9,0)</f>
        <v>0</v>
      </c>
      <c r="L556" s="627" t="s">
        <v>46</v>
      </c>
    </row>
    <row r="557" spans="2:12" x14ac:dyDescent="0.35">
      <c r="B557" s="633" t="s">
        <v>631</v>
      </c>
      <c r="C557" s="10"/>
      <c r="D557" s="10"/>
      <c r="E557" s="10"/>
      <c r="F557" s="10"/>
      <c r="G557" s="10"/>
      <c r="H557" s="10"/>
      <c r="I557" s="371"/>
      <c r="J557" s="6"/>
      <c r="K557" s="660">
        <f ca="1">ROUNDUP(SUM(H511:H516)/9,0)</f>
        <v>0</v>
      </c>
      <c r="L557" s="627" t="s">
        <v>46</v>
      </c>
    </row>
    <row r="558" spans="2:12" x14ac:dyDescent="0.35">
      <c r="B558" s="633" t="s">
        <v>632</v>
      </c>
      <c r="C558" s="10"/>
      <c r="D558" s="10"/>
      <c r="E558" s="10"/>
      <c r="F558" s="10"/>
      <c r="G558" s="10"/>
      <c r="H558" s="10"/>
      <c r="I558" s="371"/>
      <c r="J558" s="6"/>
      <c r="K558" s="660">
        <f ca="1">ROUNDUP(SUM(H511:H516)/9*2,0)</f>
        <v>0</v>
      </c>
      <c r="L558" s="627" t="s">
        <v>46</v>
      </c>
    </row>
  </sheetData>
  <sheetProtection algorithmName="SHA-512" hashValue="nUX4gvNmDP759Frkzz9anWDIGLeGWn/bjc1LSsYxQPhOg9IfN2FmphuBYd7AzBJREczJ08oNMYKNuSSlP7D0eA==" saltValue="Qog1vBEnWeQQo/qZE3AJdg==" spinCount="100000" sheet="1" objects="1" scenarios="1"/>
  <protectedRanges>
    <protectedRange sqref="B120" name="Intervalo2"/>
  </protectedRanges>
  <mergeCells count="409">
    <mergeCell ref="BZ147:BZ150"/>
    <mergeCell ref="BX147:BX150"/>
    <mergeCell ref="CH147:CH150"/>
    <mergeCell ref="CI147:CI150"/>
    <mergeCell ref="CP147:CP150"/>
    <mergeCell ref="G5:I5"/>
    <mergeCell ref="G6:H6"/>
    <mergeCell ref="G7:H7"/>
    <mergeCell ref="K10:L12"/>
    <mergeCell ref="N10:N12"/>
    <mergeCell ref="O10:O12"/>
    <mergeCell ref="M10:M12"/>
    <mergeCell ref="P10:P12"/>
    <mergeCell ref="BT147:BT150"/>
    <mergeCell ref="BU147:BU150"/>
    <mergeCell ref="BW147:BW150"/>
    <mergeCell ref="BY147:BY150"/>
    <mergeCell ref="BS147:BS150"/>
    <mergeCell ref="BR147:BR150"/>
    <mergeCell ref="CK145:CQ145"/>
    <mergeCell ref="CK136:CQ136"/>
    <mergeCell ref="CK138:CQ138"/>
    <mergeCell ref="CK139:CQ139"/>
    <mergeCell ref="CG147:CG150"/>
    <mergeCell ref="CA147:CA150"/>
    <mergeCell ref="CB147:CB150"/>
    <mergeCell ref="DB147:DB150"/>
    <mergeCell ref="CC147:CC150"/>
    <mergeCell ref="CD147:CD150"/>
    <mergeCell ref="CE147:CE150"/>
    <mergeCell ref="CF147:CF150"/>
    <mergeCell ref="CK147:CK150"/>
    <mergeCell ref="CL147:CL150"/>
    <mergeCell ref="CM147:CM150"/>
    <mergeCell ref="CY147:CY150"/>
    <mergeCell ref="CN147:CN150"/>
    <mergeCell ref="CO147:CO150"/>
    <mergeCell ref="CR147:CR150"/>
    <mergeCell ref="CX147:CX150"/>
    <mergeCell ref="CU147:CU150"/>
    <mergeCell ref="CZ147:CZ150"/>
    <mergeCell ref="CT147:CT150"/>
    <mergeCell ref="CS147:CS150"/>
    <mergeCell ref="CV147:CV150"/>
    <mergeCell ref="CW147:CW150"/>
    <mergeCell ref="FU67:FU70"/>
    <mergeCell ref="EL67:EL70"/>
    <mergeCell ref="DD100:DI100"/>
    <mergeCell ref="FY66:GC66"/>
    <mergeCell ref="FY88:FY91"/>
    <mergeCell ref="FZ88:FZ91"/>
    <mergeCell ref="GA88:GA91"/>
    <mergeCell ref="GB88:GB91"/>
    <mergeCell ref="GC88:GC91"/>
    <mergeCell ref="FY68:FY70"/>
    <mergeCell ref="FZ68:FZ70"/>
    <mergeCell ref="GA68:GA70"/>
    <mergeCell ref="GB68:GB70"/>
    <mergeCell ref="GC68:GC70"/>
    <mergeCell ref="DM89:DM92"/>
    <mergeCell ref="FV67:FV70"/>
    <mergeCell ref="EA67:EA70"/>
    <mergeCell ref="DJ89:DJ92"/>
    <mergeCell ref="FG67:FI70"/>
    <mergeCell ref="FJ67:FJ70"/>
    <mergeCell ref="FK67:FK70"/>
    <mergeCell ref="FL67:FL70"/>
    <mergeCell ref="FS67:FS70"/>
    <mergeCell ref="FT67:FT70"/>
    <mergeCell ref="DN89:DN92"/>
    <mergeCell ref="DK89:DK92"/>
    <mergeCell ref="DR67:DR70"/>
    <mergeCell ref="CY131:DF131"/>
    <mergeCell ref="FR67:FR70"/>
    <mergeCell ref="EW67:EW70"/>
    <mergeCell ref="EY67:EY70"/>
    <mergeCell ref="EZ67:EZ70"/>
    <mergeCell ref="FA67:FA70"/>
    <mergeCell ref="FB67:FB70"/>
    <mergeCell ref="CU93:CZ93"/>
    <mergeCell ref="CU94:CZ94"/>
    <mergeCell ref="DD93:DI93"/>
    <mergeCell ref="CU97:CZ97"/>
    <mergeCell ref="CU98:CZ98"/>
    <mergeCell ref="DD102:DI102"/>
    <mergeCell ref="EI67:EI70"/>
    <mergeCell ref="EE67:EE70"/>
    <mergeCell ref="EF67:EF70"/>
    <mergeCell ref="EG67:EG70"/>
    <mergeCell ref="EH67:EH70"/>
    <mergeCell ref="DY67:DY70"/>
    <mergeCell ref="DZ67:DZ70"/>
    <mergeCell ref="CU89:CZ92"/>
    <mergeCell ref="FX93:FX95"/>
    <mergeCell ref="FU96:FW96"/>
    <mergeCell ref="DG132:DN132"/>
    <mergeCell ref="CY132:DF132"/>
    <mergeCell ref="CK114:CQ114"/>
    <mergeCell ref="CU103:CZ103"/>
    <mergeCell ref="CU104:CZ104"/>
    <mergeCell ref="DD103:DI103"/>
    <mergeCell ref="DD99:DI99"/>
    <mergeCell ref="DD97:DI97"/>
    <mergeCell ref="DD115:DI115"/>
    <mergeCell ref="DD116:DI116"/>
    <mergeCell ref="DD117:DI117"/>
    <mergeCell ref="DD124:DI124"/>
    <mergeCell ref="DD118:DI118"/>
    <mergeCell ref="CU105:CZ105"/>
    <mergeCell ref="CU100:CZ100"/>
    <mergeCell ref="CU101:CZ101"/>
    <mergeCell ref="DG131:DN131"/>
    <mergeCell ref="CK122:CQ122"/>
    <mergeCell ref="CK132:CQ132"/>
    <mergeCell ref="CK94:CQ94"/>
    <mergeCell ref="CK115:CQ115"/>
    <mergeCell ref="CK116:CQ116"/>
    <mergeCell ref="CK146:CQ146"/>
    <mergeCell ref="CR131:CX131"/>
    <mergeCell ref="CR132:CX132"/>
    <mergeCell ref="CR133:CX133"/>
    <mergeCell ref="CR134:CX134"/>
    <mergeCell ref="CR135:CX135"/>
    <mergeCell ref="CR136:CX136"/>
    <mergeCell ref="CK142:CQ142"/>
    <mergeCell ref="CK143:CQ143"/>
    <mergeCell ref="CK144:CQ144"/>
    <mergeCell ref="CK133:CQ133"/>
    <mergeCell ref="CK134:CQ134"/>
    <mergeCell ref="CK135:CQ135"/>
    <mergeCell ref="CK137:CQ137"/>
    <mergeCell ref="CK140:CQ140"/>
    <mergeCell ref="CK141:CQ141"/>
    <mergeCell ref="CR137:CX137"/>
    <mergeCell ref="CK131:CQ131"/>
    <mergeCell ref="CR144:CX144"/>
    <mergeCell ref="CR145:CX145"/>
    <mergeCell ref="CR142:CX142"/>
    <mergeCell ref="CR143:CX143"/>
    <mergeCell ref="CR138:CX138"/>
    <mergeCell ref="CR139:CX139"/>
    <mergeCell ref="CR140:CX140"/>
    <mergeCell ref="CR141:CX141"/>
    <mergeCell ref="CG89:CG92"/>
    <mergeCell ref="CS89:CS92"/>
    <mergeCell ref="CT89:CT92"/>
    <mergeCell ref="CK98:CQ98"/>
    <mergeCell ref="CE89:CE92"/>
    <mergeCell ref="CD89:CD92"/>
    <mergeCell ref="CF89:CF92"/>
    <mergeCell ref="CK101:CQ101"/>
    <mergeCell ref="CK103:CQ103"/>
    <mergeCell ref="CK117:CQ117"/>
    <mergeCell ref="CK118:CQ118"/>
    <mergeCell ref="CK119:CQ119"/>
    <mergeCell ref="CK104:CQ104"/>
    <mergeCell ref="CK105:CQ105"/>
    <mergeCell ref="CK124:CQ124"/>
    <mergeCell ref="CU102:CZ102"/>
    <mergeCell ref="CK111:CQ111"/>
    <mergeCell ref="CK112:CQ112"/>
    <mergeCell ref="CK113:CQ113"/>
    <mergeCell ref="CK95:CQ95"/>
    <mergeCell ref="CK96:CQ96"/>
    <mergeCell ref="CK93:CQ93"/>
    <mergeCell ref="CK121:CQ121"/>
    <mergeCell ref="CK120:CQ120"/>
    <mergeCell ref="CK102:CQ102"/>
    <mergeCell ref="CK123:CQ123"/>
    <mergeCell ref="CK106:CQ106"/>
    <mergeCell ref="CK107:CQ107"/>
    <mergeCell ref="CK108:CQ108"/>
    <mergeCell ref="CK110:CQ110"/>
    <mergeCell ref="CK100:CQ100"/>
    <mergeCell ref="DD89:DI92"/>
    <mergeCell ref="CD20:CD23"/>
    <mergeCell ref="CK99:CQ99"/>
    <mergeCell ref="FW67:FW70"/>
    <mergeCell ref="FD67:FD70"/>
    <mergeCell ref="CT67:CT70"/>
    <mergeCell ref="CU67:CU70"/>
    <mergeCell ref="CV67:CV70"/>
    <mergeCell ref="CW67:CW70"/>
    <mergeCell ref="FC67:FC70"/>
    <mergeCell ref="EJ67:EJ70"/>
    <mergeCell ref="EK67:EK70"/>
    <mergeCell ref="DH67:DH70"/>
    <mergeCell ref="DP67:DP70"/>
    <mergeCell ref="DJ67:DJ70"/>
    <mergeCell ref="DK67:DK70"/>
    <mergeCell ref="DL67:DL70"/>
    <mergeCell ref="DN67:DN70"/>
    <mergeCell ref="DQ67:DQ70"/>
    <mergeCell ref="CY67:CY70"/>
    <mergeCell ref="FF66:FT66"/>
    <mergeCell ref="FE67:FE70"/>
    <mergeCell ref="FF67:FF70"/>
    <mergeCell ref="FM67:FM70"/>
    <mergeCell ref="CA20:CA23"/>
    <mergeCell ref="CA67:CA70"/>
    <mergeCell ref="BY20:BY23"/>
    <mergeCell ref="CB20:CB23"/>
    <mergeCell ref="CC89:CC92"/>
    <mergeCell ref="CH89:CH92"/>
    <mergeCell ref="CI89:CI92"/>
    <mergeCell ref="CK89:CQ92"/>
    <mergeCell ref="CF67:CF70"/>
    <mergeCell ref="CE67:CE70"/>
    <mergeCell ref="CA89:CA92"/>
    <mergeCell ref="CB89:CB92"/>
    <mergeCell ref="CC20:CC23"/>
    <mergeCell ref="CG67:CG70"/>
    <mergeCell ref="CD67:CD70"/>
    <mergeCell ref="CC67:CC70"/>
    <mergeCell ref="CN67:CN70"/>
    <mergeCell ref="CO67:CO70"/>
    <mergeCell ref="CQ67:CQ70"/>
    <mergeCell ref="BT20:BT23"/>
    <mergeCell ref="BU67:BU70"/>
    <mergeCell ref="BV67:BV70"/>
    <mergeCell ref="BU20:BU23"/>
    <mergeCell ref="BV20:BV23"/>
    <mergeCell ref="BZ67:BZ70"/>
    <mergeCell ref="BU41:BU44"/>
    <mergeCell ref="BW41:BW44"/>
    <mergeCell ref="BX41:BX44"/>
    <mergeCell ref="BW20:BW23"/>
    <mergeCell ref="BY67:BY70"/>
    <mergeCell ref="BY41:BY44"/>
    <mergeCell ref="BZ41:BZ44"/>
    <mergeCell ref="BR24:BS24"/>
    <mergeCell ref="BT41:BT44"/>
    <mergeCell ref="BR41:BR44"/>
    <mergeCell ref="BS67:BS70"/>
    <mergeCell ref="BX67:BX70"/>
    <mergeCell ref="BS41:BS44"/>
    <mergeCell ref="BR72:BR86"/>
    <mergeCell ref="BX62:BX65"/>
    <mergeCell ref="BQ152:BQ166"/>
    <mergeCell ref="BQ151:BR151"/>
    <mergeCell ref="BW67:BW70"/>
    <mergeCell ref="BR25:BR39"/>
    <mergeCell ref="BV147:BV150"/>
    <mergeCell ref="AV418:AY419"/>
    <mergeCell ref="AZ418:AZ419"/>
    <mergeCell ref="BA418:BA419"/>
    <mergeCell ref="BC418:BC419"/>
    <mergeCell ref="BD418:BG419"/>
    <mergeCell ref="BH418:BH419"/>
    <mergeCell ref="BB270:BB272"/>
    <mergeCell ref="BH271:BH272"/>
    <mergeCell ref="BV41:BV44"/>
    <mergeCell ref="BI418:BI419"/>
    <mergeCell ref="BC417:BL417"/>
    <mergeCell ref="BD271:BG272"/>
    <mergeCell ref="BQ46:BQ60"/>
    <mergeCell ref="BQ45:BR45"/>
    <mergeCell ref="BC271:BC272"/>
    <mergeCell ref="BI271:BI272"/>
    <mergeCell ref="BT67:BT70"/>
    <mergeCell ref="AV271:AY272"/>
    <mergeCell ref="AZ271:AZ272"/>
    <mergeCell ref="BA271:BA272"/>
    <mergeCell ref="C383:L383"/>
    <mergeCell ref="L384:L385"/>
    <mergeCell ref="L386:L387"/>
    <mergeCell ref="M386:O387"/>
    <mergeCell ref="N363:N364"/>
    <mergeCell ref="F338:G338"/>
    <mergeCell ref="H338:I338"/>
    <mergeCell ref="F313:G313"/>
    <mergeCell ref="F314:G314"/>
    <mergeCell ref="F315:G315"/>
    <mergeCell ref="F316:G316"/>
    <mergeCell ref="F317:G317"/>
    <mergeCell ref="F337:G337"/>
    <mergeCell ref="H337:I337"/>
    <mergeCell ref="C336:E336"/>
    <mergeCell ref="F336:G336"/>
    <mergeCell ref="H336:I336"/>
    <mergeCell ref="F318:G318"/>
    <mergeCell ref="B377:B378"/>
    <mergeCell ref="C377:C378"/>
    <mergeCell ref="N377:N378"/>
    <mergeCell ref="O377:O378"/>
    <mergeCell ref="B379:B380"/>
    <mergeCell ref="C379:C380"/>
    <mergeCell ref="N379:N380"/>
    <mergeCell ref="O379:O380"/>
    <mergeCell ref="O371:O372"/>
    <mergeCell ref="B373:B374"/>
    <mergeCell ref="C373:C374"/>
    <mergeCell ref="N373:N374"/>
    <mergeCell ref="O373:O374"/>
    <mergeCell ref="B375:B376"/>
    <mergeCell ref="C375:C376"/>
    <mergeCell ref="N375:N376"/>
    <mergeCell ref="O375:O376"/>
    <mergeCell ref="B365:B366"/>
    <mergeCell ref="C365:C366"/>
    <mergeCell ref="N365:N366"/>
    <mergeCell ref="B371:B372"/>
    <mergeCell ref="C371:C372"/>
    <mergeCell ref="N371:N372"/>
    <mergeCell ref="F339:G339"/>
    <mergeCell ref="H339:I339"/>
    <mergeCell ref="F340:G340"/>
    <mergeCell ref="H340:I340"/>
    <mergeCell ref="B363:B364"/>
    <mergeCell ref="C363:C364"/>
    <mergeCell ref="I156:I157"/>
    <mergeCell ref="J156:J157"/>
    <mergeCell ref="I158:I159"/>
    <mergeCell ref="AU270:AU271"/>
    <mergeCell ref="J158:J159"/>
    <mergeCell ref="L162:L165"/>
    <mergeCell ref="M162:N165"/>
    <mergeCell ref="O162:O165"/>
    <mergeCell ref="W184:Y184"/>
    <mergeCell ref="W235:Y235"/>
    <mergeCell ref="Z159:Z161"/>
    <mergeCell ref="AA159:AA161"/>
    <mergeCell ref="AR270:AR271"/>
    <mergeCell ref="BS20:BS23"/>
    <mergeCell ref="B273:K273"/>
    <mergeCell ref="BC270:BL270"/>
    <mergeCell ref="BR71:BS71"/>
    <mergeCell ref="BX20:BX23"/>
    <mergeCell ref="DM67:DM70"/>
    <mergeCell ref="CH66:CV66"/>
    <mergeCell ref="CH67:CH70"/>
    <mergeCell ref="CI67:CK70"/>
    <mergeCell ref="CL67:CL70"/>
    <mergeCell ref="CM67:CM70"/>
    <mergeCell ref="CB67:CB70"/>
    <mergeCell ref="BZ20:BZ23"/>
    <mergeCell ref="CP67:CP70"/>
    <mergeCell ref="DA66:DO66"/>
    <mergeCell ref="CZ67:CZ70"/>
    <mergeCell ref="DA67:DA70"/>
    <mergeCell ref="DB67:DD70"/>
    <mergeCell ref="DE67:DE70"/>
    <mergeCell ref="DF67:DF70"/>
    <mergeCell ref="DG67:DG70"/>
    <mergeCell ref="DI67:DI70"/>
    <mergeCell ref="DO67:DO70"/>
    <mergeCell ref="CK97:CQ97"/>
    <mergeCell ref="FN67:FN70"/>
    <mergeCell ref="FO67:FO70"/>
    <mergeCell ref="FP67:FP70"/>
    <mergeCell ref="FQ67:FQ70"/>
    <mergeCell ref="DB89:DB92"/>
    <mergeCell ref="DC89:DC92"/>
    <mergeCell ref="CQ147:CQ150"/>
    <mergeCell ref="EM66:FA66"/>
    <mergeCell ref="ET67:ET70"/>
    <mergeCell ref="EU67:EU70"/>
    <mergeCell ref="EV67:EV70"/>
    <mergeCell ref="EM67:EM70"/>
    <mergeCell ref="EN67:EP70"/>
    <mergeCell ref="EQ67:EQ70"/>
    <mergeCell ref="ER67:ER70"/>
    <mergeCell ref="ES67:ES70"/>
    <mergeCell ref="EX67:EX70"/>
    <mergeCell ref="CX67:CX70"/>
    <mergeCell ref="DT66:EH66"/>
    <mergeCell ref="DS67:DS70"/>
    <mergeCell ref="DT67:DT70"/>
    <mergeCell ref="DU67:DW70"/>
    <mergeCell ref="DX67:DX70"/>
    <mergeCell ref="EB67:EB70"/>
    <mergeCell ref="EC67:EC70"/>
    <mergeCell ref="ED67:ED70"/>
    <mergeCell ref="CR67:CR70"/>
    <mergeCell ref="CS67:CS70"/>
    <mergeCell ref="CJ147:CJ150"/>
    <mergeCell ref="DC147:DC150"/>
    <mergeCell ref="DD147:DD150"/>
    <mergeCell ref="CU95:CZ95"/>
    <mergeCell ref="CU96:CZ96"/>
    <mergeCell ref="CU99:CZ99"/>
    <mergeCell ref="DD121:DI121"/>
    <mergeCell ref="DD122:DI122"/>
    <mergeCell ref="DD123:DI123"/>
    <mergeCell ref="DD111:DI111"/>
    <mergeCell ref="DD108:DI108"/>
    <mergeCell ref="DD104:DI104"/>
    <mergeCell ref="DD105:DI105"/>
    <mergeCell ref="DD106:DI106"/>
    <mergeCell ref="DD110:DI110"/>
    <mergeCell ref="DD101:DI101"/>
    <mergeCell ref="CU108:CZ108"/>
    <mergeCell ref="CU106:CZ106"/>
    <mergeCell ref="CU107:CZ107"/>
    <mergeCell ref="DG147:DG150"/>
    <mergeCell ref="DE147:DE150"/>
    <mergeCell ref="DF147:DF150"/>
    <mergeCell ref="DD119:DI119"/>
    <mergeCell ref="DD120:DI120"/>
    <mergeCell ref="DA147:DA150"/>
    <mergeCell ref="DD94:DI94"/>
    <mergeCell ref="DD95:DI95"/>
    <mergeCell ref="DD96:DI96"/>
    <mergeCell ref="DD112:DI112"/>
    <mergeCell ref="DD98:DI98"/>
    <mergeCell ref="DD107:DI107"/>
    <mergeCell ref="DH147:DH150"/>
    <mergeCell ref="DD113:DI113"/>
    <mergeCell ref="DD114:DI114"/>
  </mergeCells>
  <dataValidations disablePrompts="1" count="3">
    <dataValidation type="list" allowBlank="1" showInputMessage="1" showErrorMessage="1" error="valor não é válido !" sqref="D337" xr:uid="{00000000-0002-0000-0900-000000000000}">
      <formula1>$BO$12:$BO$15</formula1>
    </dataValidation>
    <dataValidation type="list" allowBlank="1" showInputMessage="1" showErrorMessage="1" error="valor não é válido !" sqref="D338" xr:uid="{00000000-0002-0000-0900-000001000000}">
      <formula1>$BO$17:$BO$22</formula1>
    </dataValidation>
    <dataValidation type="list" allowBlank="1" showInputMessage="1" showErrorMessage="1" error="TEM QUE SER &quot;X&quot; " sqref="H337:H340 F337:F340" xr:uid="{00000000-0002-0000-0900-000002000000}">
      <formula1>$BO$8</formula1>
    </dataValidation>
  </dataValidations>
  <pageMargins left="0.511811024" right="0.511811024" top="0.78740157499999996" bottom="0.78740157499999996" header="0.31496062000000002" footer="0.31496062000000002"/>
  <pageSetup paperSize="9" orientation="portrait"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9"/>
  <dimension ref="A1:R115"/>
  <sheetViews>
    <sheetView showGridLines="0" showZeros="0" topLeftCell="A26" zoomScaleNormal="100" workbookViewId="0">
      <selection activeCell="L30" sqref="L30"/>
    </sheetView>
  </sheetViews>
  <sheetFormatPr defaultRowHeight="12.75" x14ac:dyDescent="0.35"/>
  <cols>
    <col min="1" max="1" width="10.59765625" customWidth="1"/>
    <col min="2" max="2" width="12.3984375" customWidth="1"/>
    <col min="3" max="3" width="10.86328125" customWidth="1"/>
    <col min="4" max="4" width="11.86328125" customWidth="1"/>
    <col min="5" max="5" width="8.3984375" customWidth="1"/>
    <col min="6" max="6" width="2.59765625" customWidth="1"/>
    <col min="7" max="7" width="14" customWidth="1"/>
    <col min="8" max="8" width="12.59765625" customWidth="1"/>
    <col min="9" max="9" width="1.1328125" customWidth="1"/>
    <col min="10" max="10" width="11.86328125" customWidth="1"/>
    <col min="11" max="11" width="10" customWidth="1"/>
    <col min="12" max="12" width="10.86328125" customWidth="1"/>
    <col min="13" max="13" width="10.1328125" customWidth="1"/>
    <col min="14" max="15" width="10" customWidth="1"/>
    <col min="16" max="16" width="10.1328125" customWidth="1"/>
    <col min="17" max="18" width="10" customWidth="1"/>
  </cols>
  <sheetData>
    <row r="1" spans="1:18" ht="13.5" x14ac:dyDescent="0.35">
      <c r="A1" s="1533"/>
      <c r="B1" s="1535"/>
      <c r="C1" s="1393" t="s">
        <v>2576</v>
      </c>
      <c r="D1" s="1393"/>
      <c r="E1" s="1393"/>
      <c r="F1" s="1393"/>
      <c r="G1" s="1393"/>
      <c r="H1" s="1393"/>
      <c r="I1" s="1393"/>
      <c r="J1" s="1393"/>
      <c r="K1" s="794"/>
      <c r="L1" s="794"/>
    </row>
    <row r="2" spans="1:18" ht="13.5" x14ac:dyDescent="0.35">
      <c r="A2" s="1536"/>
      <c r="B2" s="1538"/>
      <c r="C2" s="1393"/>
      <c r="D2" s="1393"/>
      <c r="E2" s="1393"/>
      <c r="F2" s="1393"/>
      <c r="G2" s="1393"/>
      <c r="H2" s="1393"/>
      <c r="I2" s="1393"/>
      <c r="J2" s="1393"/>
      <c r="K2" s="794"/>
      <c r="L2" s="794"/>
    </row>
    <row r="3" spans="1:18" x14ac:dyDescent="0.35">
      <c r="A3" s="1536"/>
      <c r="B3" s="1538"/>
      <c r="C3" s="985" t="s">
        <v>5</v>
      </c>
      <c r="D3" s="1500" t="str">
        <f>CÁLCULOS!F3</f>
        <v>Passarelli</v>
      </c>
      <c r="E3" s="1500"/>
      <c r="F3" s="1500"/>
      <c r="G3" s="1500"/>
      <c r="H3" s="1500"/>
      <c r="I3" s="1500"/>
      <c r="J3" s="1501"/>
      <c r="K3" s="977"/>
      <c r="L3" s="977"/>
    </row>
    <row r="4" spans="1:18" x14ac:dyDescent="0.35">
      <c r="A4" s="1539"/>
      <c r="B4" s="1541"/>
      <c r="C4" s="821" t="s">
        <v>7</v>
      </c>
      <c r="D4" s="1487" t="str">
        <f>CÁLCULOS!F4</f>
        <v>12 tqs Nereda</v>
      </c>
      <c r="E4" s="1487"/>
      <c r="F4" s="1487"/>
      <c r="G4" s="1487"/>
      <c r="H4" s="1487"/>
      <c r="I4" s="1487"/>
      <c r="J4" s="1488"/>
      <c r="K4" s="977"/>
      <c r="L4" s="977"/>
    </row>
    <row r="5" spans="1:18" x14ac:dyDescent="0.35">
      <c r="A5" s="1"/>
      <c r="B5" s="1"/>
      <c r="C5" s="818"/>
      <c r="D5" s="977"/>
      <c r="E5" s="977"/>
      <c r="F5" s="977"/>
      <c r="G5" s="977"/>
      <c r="H5" s="977"/>
      <c r="I5" s="977"/>
      <c r="J5" s="977"/>
      <c r="K5" s="977"/>
      <c r="L5" s="977"/>
    </row>
    <row r="6" spans="1:18" ht="21.75" customHeight="1" x14ac:dyDescent="0.35">
      <c r="A6" s="2186" t="s">
        <v>1364</v>
      </c>
      <c r="B6" s="2187"/>
      <c r="C6" s="2187"/>
      <c r="D6" s="2187"/>
      <c r="E6" s="2187"/>
      <c r="F6" s="2187"/>
      <c r="G6" s="2187"/>
      <c r="H6" s="2187"/>
      <c r="I6" s="2187"/>
      <c r="J6" s="2188"/>
      <c r="K6" s="2173" t="s">
        <v>2577</v>
      </c>
      <c r="L6" s="2173" t="s">
        <v>2578</v>
      </c>
      <c r="M6" s="798">
        <f>CÁLCULOS!X531/100</f>
        <v>0.6</v>
      </c>
      <c r="N6" s="798">
        <f>CÁLCULOS!X533/100</f>
        <v>0.6</v>
      </c>
      <c r="O6" s="2206" t="s">
        <v>2579</v>
      </c>
      <c r="P6" s="2206" t="s">
        <v>2580</v>
      </c>
      <c r="Q6" s="802">
        <f>ENTRADAS!O1193/100</f>
        <v>0</v>
      </c>
      <c r="R6" s="802">
        <f>ENTRADAS!O1195/100</f>
        <v>0</v>
      </c>
    </row>
    <row r="7" spans="1:18" ht="75" customHeight="1" x14ac:dyDescent="0.35">
      <c r="A7" s="2183" t="str">
        <f>IF(ENTRADAS!D912="x","INSUMOS DE M.O. ( MONTAGEM - TOTAL COM MOBILIZAÇÃO - PARA CUSTO )
( PAREDES + COBERTURA )","INSUMOS DE M.O. ( MONTAGEM - TOTAL COM MOBILIZAÇÃO - PARA CUSTO )
( PAREDES  )")</f>
        <v>INSUMOS DE M.O. ( MONTAGEM - TOTAL COM MOBILIZAÇÃO - PARA CUSTO )
( PAREDES  )</v>
      </c>
      <c r="B7" s="2184"/>
      <c r="C7" s="2184"/>
      <c r="D7" s="2184"/>
      <c r="E7" s="2184"/>
      <c r="F7" s="2184"/>
      <c r="G7" s="2185"/>
      <c r="H7" s="528" t="s">
        <v>275</v>
      </c>
      <c r="I7" s="2192" t="s">
        <v>891</v>
      </c>
      <c r="J7" s="2193"/>
      <c r="K7" s="2174"/>
      <c r="L7" s="2174"/>
      <c r="M7" s="799" t="s">
        <v>2581</v>
      </c>
      <c r="N7" s="799" t="s">
        <v>2582</v>
      </c>
      <c r="O7" s="2207"/>
      <c r="P7" s="2207"/>
      <c r="Q7" s="801" t="s">
        <v>2583</v>
      </c>
      <c r="R7" s="799" t="s">
        <v>2584</v>
      </c>
    </row>
    <row r="8" spans="1:18" ht="19.5" customHeight="1" x14ac:dyDescent="0.35">
      <c r="A8" s="1173" t="str">
        <f>CÁLCULOS!C558</f>
        <v>GESTOR DE CONTRATOS NA MONTAGEM</v>
      </c>
      <c r="B8" s="75"/>
      <c r="C8" s="1174"/>
      <c r="D8" s="75"/>
      <c r="E8" s="1175"/>
      <c r="F8" s="1175"/>
      <c r="G8" s="75"/>
      <c r="H8" s="69">
        <f ca="1">CÁLCULOS!L558+LAJES!H137</f>
        <v>114</v>
      </c>
      <c r="I8" s="803" t="s">
        <v>101</v>
      </c>
      <c r="J8" s="71"/>
      <c r="K8" s="69">
        <f>IF(ENTRADAS!$I$15=0,0,CÁLCULOS!$C$423*CÁLCULOS!C426)</f>
        <v>1</v>
      </c>
      <c r="L8" s="69">
        <f ca="1">IF(K8=0,0,CÁLCULOS!$X$548/7*5)</f>
        <v>76.428571428571431</v>
      </c>
      <c r="M8" s="69"/>
      <c r="N8" s="69"/>
      <c r="O8" s="69">
        <f>IF(ENTRADAS!$D$912=0,0,LAJES!$B$120*LAJES!B122)</f>
        <v>0</v>
      </c>
      <c r="P8" s="69">
        <f>IF(O8=0,0,LAJES!$S$128/7*5)</f>
        <v>0</v>
      </c>
      <c r="Q8" s="69"/>
      <c r="R8" s="69"/>
    </row>
    <row r="9" spans="1:18" ht="19.5" customHeight="1" x14ac:dyDescent="0.35">
      <c r="A9" s="1173" t="str">
        <f>CÁLCULOS!C559</f>
        <v>ENCARREGADO NA MONTAGEM</v>
      </c>
      <c r="B9" s="75"/>
      <c r="C9" s="1174"/>
      <c r="D9" s="75"/>
      <c r="E9" s="1175"/>
      <c r="F9" s="1175"/>
      <c r="G9" s="75"/>
      <c r="H9" s="69">
        <f ca="1">CÁLCULOS!L559+LAJES!H138</f>
        <v>214.2</v>
      </c>
      <c r="I9" s="803" t="s">
        <v>101</v>
      </c>
      <c r="J9" s="71"/>
      <c r="K9" s="803">
        <f>IF(ENTRADAS!$I$15=0,0,CÁLCULOS!$C$423*CÁLCULOS!C427)</f>
        <v>1.7</v>
      </c>
      <c r="L9" s="69">
        <f ca="1">IF(K9=0,0,CÁLCULOS!$X$548/7*5)</f>
        <v>76.428571428571431</v>
      </c>
      <c r="M9" s="69">
        <f ca="1">IF($M$6=0,0,IF(K9=0,0,((CÁLCULOS!$X$544+CÁLCULOS!$X$545)*5*K9)/K9))</f>
        <v>76.388888888888886</v>
      </c>
      <c r="N9" s="69">
        <f ca="1">IF($N$6=0,0,IF(K9=0,0,CÁLCULOS!$X$545*K9/K9))</f>
        <v>15.277777777777779</v>
      </c>
      <c r="O9" s="69">
        <f>IF(ENTRADAS!$D$912=0,0,LAJES!$B$120*LAJES!B123)</f>
        <v>0</v>
      </c>
      <c r="P9" s="69">
        <f>IF(O9=0,0,LAJES!$S$128/7*5)</f>
        <v>0</v>
      </c>
      <c r="Q9" s="69">
        <f>IF($Q$6=0,0,IF(O9=0,0,((LAJES!$S$124+LAJES!$S$125)*5*O9)/O9))</f>
        <v>0</v>
      </c>
      <c r="R9" s="69">
        <f>IF($R$6=0,0,IF(O9=0,0,((LAJES!$S$125)*O9)/O9))</f>
        <v>0</v>
      </c>
    </row>
    <row r="10" spans="1:18" ht="19.5" customHeight="1" x14ac:dyDescent="0.35">
      <c r="A10" s="1173" t="str">
        <f>CÁLCULOS!C560</f>
        <v>TECNICO DE EDIFICAÇÕES NA MONTAGEM</v>
      </c>
      <c r="B10" s="75"/>
      <c r="C10" s="1174"/>
      <c r="D10" s="75"/>
      <c r="E10" s="1175"/>
      <c r="F10" s="1175"/>
      <c r="G10" s="75"/>
      <c r="H10" s="69">
        <f ca="1">CÁLCULOS!L560+LAJES!H139</f>
        <v>126</v>
      </c>
      <c r="I10" s="803" t="s">
        <v>101</v>
      </c>
      <c r="J10" s="71"/>
      <c r="K10" s="69">
        <f>IF(ENTRADAS!$I$15=0,0,CÁLCULOS!$C$423*CÁLCULOS!C428)</f>
        <v>1</v>
      </c>
      <c r="L10" s="69">
        <f ca="1">IF(K10=0,0,CÁLCULOS!$X$548/7*5)</f>
        <v>76.428571428571431</v>
      </c>
      <c r="M10" s="69">
        <f ca="1">IF($M$6=0,0,IF(K10=0,0,((CÁLCULOS!$X$544+CÁLCULOS!$X$545)*5*K10)/K10))</f>
        <v>76.388888888888886</v>
      </c>
      <c r="N10" s="69">
        <f ca="1">IF($N$6=0,0,IF(K10=0,0,CÁLCULOS!$X$545*K10/K10))</f>
        <v>15.277777777777779</v>
      </c>
      <c r="O10" s="69">
        <f>IF(ENTRADAS!$D$912=0,0,LAJES!$B$120*LAJES!B124)</f>
        <v>0</v>
      </c>
      <c r="P10" s="69">
        <f>IF(O10=0,0,LAJES!$S$128/7*5)</f>
        <v>0</v>
      </c>
      <c r="Q10" s="69">
        <f>IF($Q$6=0,0,IF(O10=0,0,((LAJES!$S$124+LAJES!$S$125)*5*O10)/O10))</f>
        <v>0</v>
      </c>
      <c r="R10" s="69">
        <f>IF($R$6=0,0,IF(O10=0,0,((LAJES!$S$125)*O10)/O10))</f>
        <v>0</v>
      </c>
    </row>
    <row r="11" spans="1:18" ht="19.5" customHeight="1" x14ac:dyDescent="0.35">
      <c r="A11" s="1173" t="str">
        <f>CÁLCULOS!C561</f>
        <v>TÉCNICO DE SEGURANÇA NA MONTAGEM</v>
      </c>
      <c r="B11" s="75"/>
      <c r="C11" s="1174"/>
      <c r="D11" s="75"/>
      <c r="E11" s="1175"/>
      <c r="F11" s="1175"/>
      <c r="G11" s="75"/>
      <c r="H11" s="69">
        <f ca="1">CÁLCULOS!L561+LAJES!H140</f>
        <v>0</v>
      </c>
      <c r="I11" s="803" t="s">
        <v>101</v>
      </c>
      <c r="J11" s="71"/>
      <c r="K11" s="69">
        <f>IF(ENTRADAS!$I$15=0,0,CÁLCULOS!$C$423*CÁLCULOS!C429)</f>
        <v>0</v>
      </c>
      <c r="L11" s="69">
        <f>IF(K11=0,0,CÁLCULOS!$X$548/7*5)</f>
        <v>0</v>
      </c>
      <c r="M11" s="69">
        <f>IF($M$6=0,0,IF(K11=0,0,((CÁLCULOS!$X$544+CÁLCULOS!$X$545)*5*K11)/K11))</f>
        <v>0</v>
      </c>
      <c r="N11" s="69">
        <f>IF($N$6=0,0,IF(K11=0,0,CÁLCULOS!$X$545*K11/K11))</f>
        <v>0</v>
      </c>
      <c r="O11" s="69">
        <f>IF(ENTRADAS!$D$912=0,0,LAJES!$B$120*LAJES!B125)</f>
        <v>0</v>
      </c>
      <c r="P11" s="69">
        <f>IF(O11=0,0,LAJES!$S$128/7*5)</f>
        <v>0</v>
      </c>
      <c r="Q11" s="69">
        <f>IF($Q$6=0,0,IF(O11=0,0,((LAJES!$S$124+LAJES!$S$125)*5*O11)/O11))</f>
        <v>0</v>
      </c>
      <c r="R11" s="69">
        <f>IF($R$6=0,0,IF(O11=0,0,((LAJES!$S$125)*O11)/O11))</f>
        <v>0</v>
      </c>
    </row>
    <row r="12" spans="1:18" ht="19.5" customHeight="1" x14ac:dyDescent="0.35">
      <c r="A12" s="1173" t="str">
        <f>CÁLCULOS!C562</f>
        <v>OFICIAL POLIVALENTE NA MONTAGEM</v>
      </c>
      <c r="B12" s="75"/>
      <c r="C12" s="1174"/>
      <c r="D12" s="75"/>
      <c r="E12" s="1175"/>
      <c r="F12" s="1175"/>
      <c r="G12" s="75"/>
      <c r="H12" s="69">
        <f ca="1">CÁLCULOS!L562+LAJES!H141</f>
        <v>1008</v>
      </c>
      <c r="I12" s="803" t="s">
        <v>101</v>
      </c>
      <c r="J12" s="71"/>
      <c r="K12" s="69">
        <f>IF(ENTRADAS!$I$15=0,0,CÁLCULOS!$C$423*CÁLCULOS!C430)</f>
        <v>8</v>
      </c>
      <c r="L12" s="69">
        <f ca="1">IF(K12=0,0,CÁLCULOS!$X$548/7*5)</f>
        <v>76.428571428571431</v>
      </c>
      <c r="M12" s="69">
        <f ca="1">IF($M$6=0,0,IF(K12=0,0,((CÁLCULOS!$X$544+CÁLCULOS!$X$545)*5*K12)/K12))</f>
        <v>76.388888888888886</v>
      </c>
      <c r="N12" s="69">
        <f ca="1">IF($N$6=0,0,IF(K12=0,0,CÁLCULOS!$X$545*K12/K12))</f>
        <v>15.277777777777779</v>
      </c>
      <c r="O12" s="69">
        <f>IF(ENTRADAS!$D$912=0,0,LAJES!$B$120*LAJES!B126)</f>
        <v>0</v>
      </c>
      <c r="P12" s="69">
        <f>IF(O12=0,0,LAJES!$S$128/7*5)</f>
        <v>0</v>
      </c>
      <c r="Q12" s="69">
        <f>IF($Q$6=0,0,IF(O12=0,0,((LAJES!$S$124+LAJES!$S$125)*5*O12)/O12))</f>
        <v>0</v>
      </c>
      <c r="R12" s="69">
        <f>IF($R$6=0,0,IF(O12=0,0,((LAJES!$S$125)*O12)/O12))</f>
        <v>0</v>
      </c>
    </row>
    <row r="13" spans="1:18" ht="19.5" customHeight="1" x14ac:dyDescent="0.35">
      <c r="A13" s="1173" t="str">
        <f>CÁLCULOS!C563</f>
        <v>AUXILIAR DE OBRAS NA MONTAGEM</v>
      </c>
      <c r="B13" s="75"/>
      <c r="C13" s="1174"/>
      <c r="D13" s="75"/>
      <c r="E13" s="1175"/>
      <c r="F13" s="1175"/>
      <c r="G13" s="75"/>
      <c r="H13" s="69">
        <f ca="1">CÁLCULOS!L563+LAJES!H142</f>
        <v>126</v>
      </c>
      <c r="I13" s="803" t="s">
        <v>101</v>
      </c>
      <c r="J13" s="71"/>
      <c r="K13" s="69">
        <f>IF(ENTRADAS!$I$15=0,0,CÁLCULOS!$C$423*CÁLCULOS!C431)</f>
        <v>1</v>
      </c>
      <c r="L13" s="69">
        <f ca="1">IF(K13=0,0,CÁLCULOS!$X$548/7*5)</f>
        <v>76.428571428571431</v>
      </c>
      <c r="M13" s="69">
        <f ca="1">IF($M$6=0,0,IF(K13=0,0,((CÁLCULOS!$X$544+CÁLCULOS!$X$545)*5*K13)/K13))</f>
        <v>76.388888888888886</v>
      </c>
      <c r="N13" s="69">
        <f ca="1">IF($N$6=0,0,IF(K13=0,0,CÁLCULOS!$X$545*K13/K13))</f>
        <v>15.277777777777779</v>
      </c>
      <c r="O13" s="69">
        <f>IF(ENTRADAS!$D$912=0,0,LAJES!$B$120*LAJES!B127)</f>
        <v>0</v>
      </c>
      <c r="P13" s="69">
        <f>IF(O13=0,0,LAJES!$S$128/7*5)</f>
        <v>0</v>
      </c>
      <c r="Q13" s="69">
        <f>IF($Q$6=0,0,IF(O13=0,0,((LAJES!$S$124+LAJES!$S$125)*5*O13)/O13))</f>
        <v>0</v>
      </c>
      <c r="R13" s="69">
        <f>IF($R$6=0,0,IF(O13=0,0,((LAJES!$S$125)*O13)/O13))</f>
        <v>0</v>
      </c>
    </row>
    <row r="14" spans="1:18" ht="7.5" customHeight="1" x14ac:dyDescent="0.35">
      <c r="A14" s="1230"/>
      <c r="B14" s="524"/>
      <c r="C14" s="1231"/>
      <c r="D14" s="524"/>
      <c r="E14" s="1230"/>
      <c r="F14" s="1230"/>
      <c r="G14" s="524"/>
      <c r="H14" s="525"/>
      <c r="I14" s="1232"/>
      <c r="J14" s="525"/>
      <c r="K14" s="795"/>
      <c r="L14" s="795"/>
    </row>
    <row r="15" spans="1:18" ht="39.75" hidden="1" customHeight="1" x14ac:dyDescent="0.35">
      <c r="A15" s="2191" t="s">
        <v>2585</v>
      </c>
      <c r="B15" s="2184"/>
      <c r="C15" s="2184"/>
      <c r="D15" s="2184"/>
      <c r="E15" s="2184"/>
      <c r="F15" s="2184"/>
      <c r="G15" s="529" t="s">
        <v>2586</v>
      </c>
      <c r="H15" s="529" t="s">
        <v>2587</v>
      </c>
      <c r="I15" s="2189" t="s">
        <v>2588</v>
      </c>
      <c r="J15" s="2190"/>
      <c r="K15" s="524"/>
      <c r="L15" s="524"/>
    </row>
    <row r="16" spans="1:18" ht="19.5" hidden="1" customHeight="1" x14ac:dyDescent="0.35">
      <c r="A16" s="1173" t="s">
        <v>91</v>
      </c>
      <c r="B16" s="75"/>
      <c r="C16" s="1174"/>
      <c r="D16" s="75"/>
      <c r="E16" s="1175"/>
      <c r="F16" s="1175"/>
      <c r="G16" s="69">
        <f ca="1">CÁLCULOS!L541</f>
        <v>1931.625</v>
      </c>
      <c r="H16" s="1233">
        <f ca="1">RELATÓRIO!$W$12</f>
        <v>4255.6799999999994</v>
      </c>
      <c r="I16" s="1234"/>
      <c r="J16" s="526">
        <f ca="1">IF(H16=0,0,G16/H16)</f>
        <v>0.45389338484096553</v>
      </c>
      <c r="K16" s="524"/>
      <c r="L16" s="524"/>
    </row>
    <row r="17" spans="1:18" ht="19.5" hidden="1" customHeight="1" x14ac:dyDescent="0.35">
      <c r="A17" s="1173" t="s">
        <v>95</v>
      </c>
      <c r="B17" s="75"/>
      <c r="C17" s="1174"/>
      <c r="D17" s="75"/>
      <c r="E17" s="1175"/>
      <c r="F17" s="1175"/>
      <c r="G17" s="69">
        <f ca="1">CÁLCULOS!L544</f>
        <v>9090</v>
      </c>
      <c r="H17" s="1233">
        <f ca="1">RELATÓRIO!$W$12</f>
        <v>4255.6799999999994</v>
      </c>
      <c r="I17" s="1234"/>
      <c r="J17" s="526">
        <f ca="1">IF(H17=0,0,G17/H17)</f>
        <v>2.135968869839838</v>
      </c>
      <c r="K17" s="524"/>
      <c r="L17" s="524"/>
    </row>
    <row r="18" spans="1:18" ht="19.5" hidden="1" customHeight="1" x14ac:dyDescent="0.35">
      <c r="A18" s="1173" t="s">
        <v>96</v>
      </c>
      <c r="B18" s="75"/>
      <c r="C18" s="1174"/>
      <c r="D18" s="75"/>
      <c r="E18" s="1175"/>
      <c r="F18" s="1175"/>
      <c r="G18" s="69">
        <f ca="1">CÁLCULOS!L545</f>
        <v>1136.25</v>
      </c>
      <c r="H18" s="1233">
        <f ca="1">RELATÓRIO!$W$12</f>
        <v>4255.6799999999994</v>
      </c>
      <c r="I18" s="1234"/>
      <c r="J18" s="526">
        <f ca="1">IF(H18=0,0,G18/H18)</f>
        <v>0.26699610872997975</v>
      </c>
      <c r="K18" s="524"/>
      <c r="L18" s="524"/>
    </row>
    <row r="19" spans="1:18" ht="30.75" hidden="1" customHeight="1" x14ac:dyDescent="0.35">
      <c r="A19" s="2182" t="s">
        <v>2589</v>
      </c>
      <c r="B19" s="2182"/>
      <c r="C19" s="2182"/>
      <c r="D19" s="2182"/>
      <c r="E19" s="2182"/>
      <c r="F19" s="2182"/>
      <c r="G19" s="803">
        <f ca="1">G16+G17+G18</f>
        <v>12157.875</v>
      </c>
      <c r="H19" s="1233">
        <f ca="1">RELATÓRIO!$W$12</f>
        <v>4255.6799999999994</v>
      </c>
      <c r="I19" s="1234"/>
      <c r="J19" s="527">
        <f ca="1">IF(H19=0,0,G19/H19)</f>
        <v>2.8568583634107831</v>
      </c>
      <c r="K19" s="524"/>
      <c r="L19" s="524"/>
    </row>
    <row r="20" spans="1:18" ht="7.5" hidden="1" customHeight="1" x14ac:dyDescent="0.35">
      <c r="A20" s="1230"/>
      <c r="B20" s="524"/>
      <c r="C20" s="1231"/>
      <c r="D20" s="524"/>
      <c r="E20" s="1230"/>
      <c r="F20" s="1230"/>
      <c r="G20" s="524"/>
      <c r="H20" s="524"/>
      <c r="I20" s="524"/>
      <c r="J20" s="524"/>
      <c r="K20" s="524"/>
      <c r="L20" s="524"/>
    </row>
    <row r="21" spans="1:18" ht="39" hidden="1" customHeight="1" x14ac:dyDescent="0.35">
      <c r="A21" s="2191" t="s">
        <v>2590</v>
      </c>
      <c r="B21" s="2184"/>
      <c r="C21" s="2184"/>
      <c r="D21" s="2184"/>
      <c r="E21" s="2184"/>
      <c r="F21" s="2184"/>
      <c r="G21" s="529" t="s">
        <v>2586</v>
      </c>
      <c r="H21" s="529" t="s">
        <v>2591</v>
      </c>
      <c r="I21" s="2189" t="s">
        <v>2588</v>
      </c>
      <c r="J21" s="2190"/>
    </row>
    <row r="22" spans="1:18" ht="19.5" hidden="1" customHeight="1" x14ac:dyDescent="0.35">
      <c r="A22" s="1173" t="s">
        <v>91</v>
      </c>
      <c r="B22" s="75"/>
      <c r="C22" s="1174"/>
      <c r="D22" s="75"/>
      <c r="E22" s="1175"/>
      <c r="F22" s="1175"/>
      <c r="G22" s="69">
        <f ca="1">LAJES!H147</f>
        <v>0</v>
      </c>
      <c r="H22" s="1233">
        <f>LAJES!$AK$4*LAJES!$E$3</f>
        <v>0</v>
      </c>
      <c r="I22" s="1234"/>
      <c r="J22" s="526">
        <f>IF(H22=0,0,G22/H22)</f>
        <v>0</v>
      </c>
    </row>
    <row r="23" spans="1:18" ht="19.5" hidden="1" customHeight="1" x14ac:dyDescent="0.35">
      <c r="A23" s="1173" t="s">
        <v>95</v>
      </c>
      <c r="B23" s="75"/>
      <c r="C23" s="1174"/>
      <c r="D23" s="75"/>
      <c r="E23" s="1175"/>
      <c r="F23" s="1175"/>
      <c r="G23" s="69">
        <f ca="1">LAJES!H150</f>
        <v>0</v>
      </c>
      <c r="H23" s="1233">
        <f>LAJES!$AK$4*LAJES!$E$3</f>
        <v>0</v>
      </c>
      <c r="I23" s="1234"/>
      <c r="J23" s="526">
        <f>IF(H23=0,0,G23/H23)</f>
        <v>0</v>
      </c>
    </row>
    <row r="24" spans="1:18" ht="19.5" hidden="1" customHeight="1" x14ac:dyDescent="0.35">
      <c r="A24" s="1173" t="s">
        <v>96</v>
      </c>
      <c r="B24" s="75"/>
      <c r="C24" s="1174"/>
      <c r="D24" s="75"/>
      <c r="E24" s="1175"/>
      <c r="F24" s="1175"/>
      <c r="G24" s="69">
        <f ca="1">LAJES!H151</f>
        <v>0</v>
      </c>
      <c r="H24" s="1233">
        <f>LAJES!$AK$4*LAJES!$E$3</f>
        <v>0</v>
      </c>
      <c r="I24" s="1234"/>
      <c r="J24" s="526">
        <f>IF(H24=0,0,G24/H24)</f>
        <v>0</v>
      </c>
    </row>
    <row r="25" spans="1:18" ht="33" hidden="1" customHeight="1" x14ac:dyDescent="0.35">
      <c r="A25" s="2182" t="s">
        <v>2589</v>
      </c>
      <c r="B25" s="2182"/>
      <c r="C25" s="2182"/>
      <c r="D25" s="2182"/>
      <c r="E25" s="2182"/>
      <c r="F25" s="2182"/>
      <c r="G25" s="803">
        <f ca="1">G22+G23+G24</f>
        <v>0</v>
      </c>
      <c r="H25" s="1233">
        <f>LAJES!$AK$4*LAJES!$E$3</f>
        <v>0</v>
      </c>
      <c r="I25" s="1234"/>
      <c r="J25" s="527">
        <f>IF(H25=0,0,G25/H25)</f>
        <v>0</v>
      </c>
    </row>
    <row r="26" spans="1:18" x14ac:dyDescent="0.35">
      <c r="A26" s="1"/>
      <c r="B26" s="1"/>
      <c r="C26" s="818"/>
      <c r="D26" s="977"/>
      <c r="E26" s="977"/>
      <c r="F26" s="977"/>
      <c r="G26" s="977"/>
      <c r="H26" s="977"/>
      <c r="I26" s="977"/>
      <c r="J26" s="977"/>
      <c r="K26" s="977"/>
      <c r="L26" s="977"/>
    </row>
    <row r="27" spans="1:18" x14ac:dyDescent="0.35">
      <c r="A27" s="1"/>
      <c r="B27" s="1"/>
      <c r="C27" s="818"/>
      <c r="D27" s="977"/>
      <c r="E27" s="977"/>
      <c r="F27" s="977"/>
      <c r="G27" s="977"/>
      <c r="H27" s="977"/>
      <c r="I27" s="977"/>
      <c r="J27" s="977"/>
      <c r="K27" s="977"/>
      <c r="L27" s="977"/>
    </row>
    <row r="28" spans="1:18" ht="19.5" customHeight="1" x14ac:dyDescent="0.35">
      <c r="A28" s="2180" t="s">
        <v>1741</v>
      </c>
      <c r="B28" s="2181"/>
      <c r="C28" s="2181"/>
      <c r="D28" s="2181"/>
      <c r="E28" s="2181"/>
      <c r="F28" s="2181"/>
      <c r="G28" s="2181"/>
      <c r="H28" s="2181"/>
      <c r="I28" s="2181"/>
      <c r="J28" s="2181"/>
      <c r="K28" s="2208" t="s">
        <v>2577</v>
      </c>
      <c r="L28" s="2173" t="s">
        <v>2578</v>
      </c>
      <c r="M28" s="798">
        <f>CÁLCULOS!G686/100</f>
        <v>0.5</v>
      </c>
      <c r="N28" s="798">
        <f>CÁLCULOS!G688/100</f>
        <v>1</v>
      </c>
      <c r="O28" s="2210" t="s">
        <v>2579</v>
      </c>
      <c r="P28" s="2206" t="s">
        <v>2580</v>
      </c>
      <c r="Q28" s="800">
        <f>LAJES!P504/100</f>
        <v>0</v>
      </c>
      <c r="R28" s="800">
        <f>LAJES!P506/100</f>
        <v>0</v>
      </c>
    </row>
    <row r="29" spans="1:18" ht="69.599999999999994" customHeight="1" x14ac:dyDescent="0.35">
      <c r="A29" s="2175" t="str">
        <f>IF(ENTRADAS!D912="x","INSUMOS DE M.O. ( CONFECÇÃO - TOTAL - PARA CUSTO )
( PAREDES + COBERTURA )","INSUMOS DE M.O. (CONFECÇÃO - TOTAL COM MOBILIZAÇÃO - PARA CUSTO )
( PAREDES  )")</f>
        <v>INSUMOS DE M.O. (CONFECÇÃO - TOTAL COM MOBILIZAÇÃO - PARA CUSTO )
( PAREDES  )</v>
      </c>
      <c r="B29" s="2176"/>
      <c r="C29" s="2176"/>
      <c r="D29" s="2176"/>
      <c r="E29" s="2176"/>
      <c r="F29" s="2176"/>
      <c r="G29" s="2177"/>
      <c r="H29" s="797" t="s">
        <v>275</v>
      </c>
      <c r="I29" s="2178" t="s">
        <v>891</v>
      </c>
      <c r="J29" s="2179"/>
      <c r="K29" s="2209"/>
      <c r="L29" s="2174"/>
      <c r="M29" s="799" t="s">
        <v>2581</v>
      </c>
      <c r="N29" s="799" t="s">
        <v>2582</v>
      </c>
      <c r="O29" s="2211"/>
      <c r="P29" s="2207"/>
      <c r="Q29" s="801" t="s">
        <v>2583</v>
      </c>
      <c r="R29" s="799" t="s">
        <v>2584</v>
      </c>
    </row>
    <row r="30" spans="1:18" ht="20.25" customHeight="1" x14ac:dyDescent="0.35">
      <c r="A30" s="1173" t="str">
        <f>CÁLCULOS!C767</f>
        <v>ENCARREGADO NA FABRICAÇÃO</v>
      </c>
      <c r="B30" s="75"/>
      <c r="C30" s="1174"/>
      <c r="D30" s="75"/>
      <c r="E30" s="1175"/>
      <c r="F30" s="1175"/>
      <c r="G30" s="75"/>
      <c r="H30" s="69">
        <f ca="1">CÁLCULOS!L767+LAJES!H499</f>
        <v>59.5</v>
      </c>
      <c r="I30" s="803" t="s">
        <v>101</v>
      </c>
      <c r="J30" s="71"/>
      <c r="K30" s="71">
        <f>IF(ENTRADAS!$I$15=0,0,CÁLCULOS!C640*CÁLCULOS!C643)</f>
        <v>0.5</v>
      </c>
      <c r="L30" s="69">
        <f ca="1">IF(K30=0,0,CÁLCULOS!$G$701/7*5)</f>
        <v>72.142857142857139</v>
      </c>
      <c r="M30" s="43">
        <f ca="1">IF(M28=0,0,IF(K30=0,0,((CÁLCULOS!G696+CÁLCULOS!G697)*5*CÁLCULOS!C640*CÁLCULOS!C643)/K30))</f>
        <v>71.666666666666671</v>
      </c>
      <c r="N30" s="43">
        <f ca="1">IF(N28=0,0,IF(K30=0,0,(CÁLCULOS!G697*CÁLCULOS!C640*CÁLCULOS!C643)/K30))</f>
        <v>14.333333333333334</v>
      </c>
      <c r="O30" s="43">
        <f>IF(ENTRADAS!$D$912=0,0,LAJES!B443*LAJES!B446)</f>
        <v>0</v>
      </c>
      <c r="P30" s="69">
        <f>IF(O30=0,0,IF(LAJES!$F$470="x",LAJES!$Q$515*7/5,LAJES!$P$515*7/5))</f>
        <v>0</v>
      </c>
      <c r="Q30" s="43">
        <f>IF(Q28=0,0,IF(O30=0,0,IF(LAJES!F470="x",((LAJES!Q510+LAJES!Q511)*5*LAJES!B443*LAJES!B446/O30),((LAJES!P510+LAJES!P511)*5*LAJES!B443*LAJES!B446/O30))))</f>
        <v>0</v>
      </c>
      <c r="R30" s="43">
        <f>IF(R28=0,0,IF(O30=0,0,IF(LAJES!F470="x",(LAJES!Q511*LAJES!B443*LAJES!B446/O30),(LAJES!P511*LAJES!B443*LAJES!B446/O30))))</f>
        <v>0</v>
      </c>
    </row>
    <row r="31" spans="1:18" ht="20.25" customHeight="1" x14ac:dyDescent="0.35">
      <c r="A31" s="1173" t="str">
        <f>CÁLCULOS!C768</f>
        <v>OFICIAL POLIVALENTE NA FABRICAÇÃO</v>
      </c>
      <c r="B31" s="75"/>
      <c r="C31" s="1174"/>
      <c r="D31" s="75"/>
      <c r="E31" s="1175"/>
      <c r="F31" s="1175"/>
      <c r="G31" s="75"/>
      <c r="H31" s="69">
        <f ca="1">CÁLCULOS!L768+LAJES!H502</f>
        <v>833</v>
      </c>
      <c r="I31" s="803" t="s">
        <v>101</v>
      </c>
      <c r="J31" s="71"/>
      <c r="K31" s="69">
        <f>IF(ENTRADAS!$I$15=0,0,CÁLCULOS!C640*CÁLCULOS!C644)</f>
        <v>7</v>
      </c>
      <c r="L31" s="69">
        <f ca="1">IF(K31=0,0,CÁLCULOS!$G$701/7*5)</f>
        <v>72.142857142857139</v>
      </c>
      <c r="M31" s="43">
        <f ca="1">IF(M28=0,0,IF(K31=0,0,((CÁLCULOS!G696+CÁLCULOS!G697)*5*CÁLCULOS!C640*CÁLCULOS!C644)/K31))</f>
        <v>71.666666666666671</v>
      </c>
      <c r="N31" s="43">
        <f ca="1">IF(N28=0,0,IF(K31=0,0,(CÁLCULOS!G697*CÁLCULOS!C640*CÁLCULOS!C644)/K31))</f>
        <v>14.333333333333334</v>
      </c>
      <c r="O31" s="43">
        <f>IF(ENTRADAS!$D$912=0,0,LAJES!B443*LAJES!B449)</f>
        <v>0</v>
      </c>
      <c r="P31" s="69">
        <f>IF(O31=0,0,IF(LAJES!$F$470="x",LAJES!$Q$515*7/5,LAJES!$P$515*7/5))</f>
        <v>0</v>
      </c>
      <c r="Q31" s="43">
        <f>IF(Q28=0,0,IF(O31=0,0,(LAJES!P511+LAJES!P512)*5*LAJES!B443*LAJES!B449/O31))</f>
        <v>0</v>
      </c>
      <c r="R31" s="43">
        <f>IF(R28=0,0,IF(O31=0,0,(LAJES!P511*LAJES!B443*LAJES!B449)/O31))</f>
        <v>0</v>
      </c>
    </row>
    <row r="32" spans="1:18" ht="20.25" customHeight="1" x14ac:dyDescent="0.35">
      <c r="A32" s="1173" t="str">
        <f>CÁLCULOS!C773</f>
        <v>ARMADOR ( polivalente ) NA FABRICAÇÃO</v>
      </c>
      <c r="B32" s="75"/>
      <c r="C32" s="1174"/>
      <c r="D32" s="75"/>
      <c r="E32" s="1175"/>
      <c r="F32" s="1175"/>
      <c r="G32" s="75"/>
      <c r="H32" s="69">
        <f ca="1">CÁLCULOS!L773+LAJES!H505</f>
        <v>94.854570090751253</v>
      </c>
      <c r="I32" s="803" t="s">
        <v>101</v>
      </c>
      <c r="J32" s="71"/>
      <c r="K32" s="69">
        <f ca="1">IF(ENTRADAS!$I$15=0,0,CÁLCULOS!C640*ENTRADAS!B258)</f>
        <v>0</v>
      </c>
      <c r="L32" s="69">
        <f ca="1">IF(K32=0,0,CÁLCULOS!$G$701/7*5)</f>
        <v>0</v>
      </c>
      <c r="M32" s="43">
        <f ca="1">IF(M28=0,0,IF(K32=0,0,((CÁLCULOS!G696+CÁLCULOS!G697)*5*CÁLCULOS!C640*ENTRADAS!B258)/K32))</f>
        <v>0</v>
      </c>
      <c r="N32" s="43">
        <f ca="1">IF(N28=0,0,IF(K32=0,0,(CÁLCULOS!G697*CÁLCULOS!C640*ENTRADAS!B258)/K32))</f>
        <v>0</v>
      </c>
      <c r="O32" s="43">
        <f>IF(ENTRADAS!$D$912=0,0,IF((LAJES!P510+LAJES!P511)=0,0,LAJES!H505/((LAJES!P510+LAJES!P511)*7)))</f>
        <v>0</v>
      </c>
      <c r="P32" s="69">
        <f>IF(O32=0,0,IF(LAJES!$F$470="x",LAJES!$Q$515*7/5,LAJES!$P$515*7/5))</f>
        <v>0</v>
      </c>
      <c r="Q32" s="43"/>
      <c r="R32" s="43"/>
    </row>
    <row r="33" spans="1:18" ht="20.25" customHeight="1" x14ac:dyDescent="0.35">
      <c r="A33" s="1173" t="str">
        <f>CÁLCULOS!C769</f>
        <v>AUXILIAR DE OBRAS NA FABRICAÇÃO</v>
      </c>
      <c r="B33" s="75"/>
      <c r="C33" s="1174"/>
      <c r="D33" s="75"/>
      <c r="E33" s="1175"/>
      <c r="F33" s="1175"/>
      <c r="G33" s="75"/>
      <c r="H33" s="69">
        <f ca="1">CÁLCULOS!L769+LAJES!H503</f>
        <v>119</v>
      </c>
      <c r="I33" s="803" t="s">
        <v>101</v>
      </c>
      <c r="J33" s="71"/>
      <c r="K33" s="69">
        <f>IF(ENTRADAS!$I$15=0,0,CÁLCULOS!C640*CÁLCULOS!C645)</f>
        <v>1</v>
      </c>
      <c r="L33" s="69">
        <f ca="1">IF(K33=0,0,CÁLCULOS!$G$701/7*5)</f>
        <v>72.142857142857139</v>
      </c>
      <c r="M33" s="43">
        <f ca="1">IF(M28=0,0,IF(K33=0,0,((CÁLCULOS!G696+CÁLCULOS!G697)*5*CÁLCULOS!C640*CÁLCULOS!C645)/K33))</f>
        <v>71.666666666666671</v>
      </c>
      <c r="N33" s="43">
        <f ca="1">IF(N28=0,0,IF(K33=0,0,(CÁLCULOS!G697*CÁLCULOS!C640*CÁLCULOS!C645)/K33))</f>
        <v>14.333333333333334</v>
      </c>
      <c r="O33" s="43">
        <f>IF(ENTRADAS!$D$912=0,0,LAJES!B443*LAJES!B450)</f>
        <v>0</v>
      </c>
      <c r="P33" s="69">
        <f>IF(O33=0,0,IF(LAJES!$F$470="x",LAJES!$Q$515*7/5,LAJES!$P$515*7/5))</f>
        <v>0</v>
      </c>
      <c r="Q33" s="43">
        <f>IF(Q28=0,0,IF(O33=0,0,(LAJES!P511+LAJES!P512)*5*LAJES!B443*LAJES!B450/O33))</f>
        <v>0</v>
      </c>
      <c r="R33" s="43">
        <f>IF(R28=0,0,IF(O33=0,0,(LAJES!P511*LAJES!B443*LAJES!B450)/O33))</f>
        <v>0</v>
      </c>
    </row>
    <row r="34" spans="1:18" ht="20.25" customHeight="1" x14ac:dyDescent="0.35">
      <c r="A34" s="1173" t="str">
        <f>CÁLCULOS!C770</f>
        <v>SOLDADOR NA FABRICAÇÃO</v>
      </c>
      <c r="B34" s="75"/>
      <c r="C34" s="1174"/>
      <c r="D34" s="75"/>
      <c r="E34" s="1175"/>
      <c r="F34" s="1175"/>
      <c r="G34" s="75"/>
      <c r="H34" s="69">
        <f ca="1">CÁLCULOS!L770+LAJES!H504</f>
        <v>436.56195965417868</v>
      </c>
      <c r="I34" s="803" t="s">
        <v>101</v>
      </c>
      <c r="J34" s="71"/>
      <c r="K34" s="69">
        <f>IF(ENTRADAS!$I$15=0,0,CÁLCULOS!C640*CÁLCULOS!C646)</f>
        <v>3.6685878962536025</v>
      </c>
      <c r="L34" s="69">
        <f ca="1">IF(K34=0,0,CÁLCULOS!$G$701/7*5)</f>
        <v>72.142857142857139</v>
      </c>
      <c r="M34" s="43">
        <f ca="1">IF(M28=0,0,IF(K34=0,0,((CÁLCULOS!G696+CÁLCULOS!G697)*5*CÁLCULOS!C640*CÁLCULOS!C646)/K34))</f>
        <v>71.666666666666671</v>
      </c>
      <c r="N34" s="43">
        <f ca="1">IF(N28=0,0,IF(K34=0,0,(CÁLCULOS!G697*CÁLCULOS!C640*CÁLCULOS!C646)/K34))</f>
        <v>14.333333333333334</v>
      </c>
      <c r="O34" s="43">
        <f>IF(ENTRADAS!$D$912=0,0,LAJES!B443*LAJES!B451)</f>
        <v>0</v>
      </c>
      <c r="P34" s="69">
        <f>IF(O34=0,0,IF(LAJES!$F$470="x",LAJES!$Q$515*7/5,LAJES!$P$515*7/5))</f>
        <v>0</v>
      </c>
      <c r="Q34" s="43">
        <f>IF(Q28=0,0,IF(O34=0,0,IF(LAJES!F476="x",((LAJES!Q510+LAJES!Q511)*5*LAJES!B443*LAJES!B451/O34),((LAJES!P510+LAJES!P511)*5*LAJES!B443*LAJES!B451/O34))))</f>
        <v>0</v>
      </c>
      <c r="R34" s="43">
        <f>IF(R28=0,0,IF(O34=0,0,IF(LAJES!F470="x",(LAJES!Q511*LAJES!B443*LAJES!B451/O34),(LAJES!P511*LAJES!B443*LAJES!B451/O34))))</f>
        <v>0</v>
      </c>
    </row>
    <row r="35" spans="1:18" ht="20.25" customHeight="1" x14ac:dyDescent="0.35">
      <c r="A35" s="1173" t="str">
        <f>CÁLCULOS!C771</f>
        <v>TÉCNICO EM EDIFICAÇÕES NA FABRICAÇÃO</v>
      </c>
      <c r="B35" s="75"/>
      <c r="C35" s="1174"/>
      <c r="D35" s="75"/>
      <c r="E35" s="1175"/>
      <c r="F35" s="1175"/>
      <c r="G35" s="75"/>
      <c r="H35" s="69">
        <f ca="1">CÁLCULOS!L771+LAJES!H500</f>
        <v>59.5</v>
      </c>
      <c r="I35" s="803" t="s">
        <v>101</v>
      </c>
      <c r="J35" s="71"/>
      <c r="K35" s="69">
        <f>IF(ENTRADAS!$I$15=0,0,CÁLCULOS!C640*CÁLCULOS!C647)</f>
        <v>0.5</v>
      </c>
      <c r="L35" s="69">
        <f ca="1">IF(K35=0,0,CÁLCULOS!$G$701/7*5)</f>
        <v>72.142857142857139</v>
      </c>
      <c r="M35" s="43">
        <f ca="1">IF(M28=0,0,IF(K35=0,0,((CÁLCULOS!G696+CÁLCULOS!G697)*5*CÁLCULOS!C640*CÁLCULOS!C647)/K35))</f>
        <v>71.666666666666671</v>
      </c>
      <c r="N35" s="43">
        <f ca="1">IF(N28=0,0,IF(K35=0,0,(CÁLCULOS!G697*CÁLCULOS!C640*CÁLCULOS!C647)/K35))</f>
        <v>14.333333333333334</v>
      </c>
      <c r="O35" s="43">
        <f>IF(ENTRADAS!$D$912=0,0,LAJES!B443*LAJES!B447)</f>
        <v>0</v>
      </c>
      <c r="P35" s="69">
        <f>IF(O35=0,0,IF(LAJES!$F$470="x",LAJES!$Q$515*7/5,LAJES!$P$515*7/5))</f>
        <v>0</v>
      </c>
      <c r="Q35" s="43">
        <f>IF(Q28=0,0,IF(O35=0,0,IF(LAJES!F472="x",((LAJES!Q510+LAJES!Q511)*5*LAJES!B443*LAJES!B447/O35),((LAJES!P510+LAJES!P511)*5*LAJES!B443*LAJES!B447/O35))))</f>
        <v>0</v>
      </c>
      <c r="R35" s="43">
        <f>IF(R28=0,0,IF(O35=0,0,IF(LAJES!F470="x",(LAJES!Q511*LAJES!B443*LAJES!B447/O35),(LAJES!P511*LAJES!B443*LAJES!B447/O35))))</f>
        <v>0</v>
      </c>
    </row>
    <row r="36" spans="1:18" ht="20.25" customHeight="1" x14ac:dyDescent="0.35">
      <c r="A36" s="1173" t="str">
        <f>CÁLCULOS!C772</f>
        <v>TÉCNICO DE SEGURANÇA NA FABRICAÇÃO</v>
      </c>
      <c r="B36" s="75"/>
      <c r="C36" s="1174"/>
      <c r="D36" s="75"/>
      <c r="E36" s="1175"/>
      <c r="F36" s="1175"/>
      <c r="G36" s="75"/>
      <c r="H36" s="69">
        <f ca="1">CÁLCULOS!L772+LAJES!H501</f>
        <v>55</v>
      </c>
      <c r="I36" s="803" t="s">
        <v>101</v>
      </c>
      <c r="J36" s="71"/>
      <c r="K36" s="69">
        <f>IF(ENTRADAS!$I$15=0,0,CÁLCULOS!C640*CÁLCULOS!C648)</f>
        <v>0.5</v>
      </c>
      <c r="L36" s="69">
        <f ca="1">IF(K36=0,0,CÁLCULOS!$G$701/7*5)</f>
        <v>72.142857142857139</v>
      </c>
      <c r="M36" s="43">
        <f ca="1">IF(M28=0,0,IF(K36=0,0,((CÁLCULOS!G696+CÁLCULOS!G697)*5*CÁLCULOS!C640*CÁLCULOS!C648)/K36))</f>
        <v>71.666666666666671</v>
      </c>
      <c r="N36" s="43">
        <f ca="1">IF(N28=0,0,IF(K36=0,0,(CÁLCULOS!G697*CÁLCULOS!C640*CÁLCULOS!C648)/K36))</f>
        <v>14.333333333333334</v>
      </c>
      <c r="O36" s="43">
        <f>IF(ENTRADAS!$D$912=0,0,LAJES!B443*LAJES!B448)</f>
        <v>0</v>
      </c>
      <c r="P36" s="69">
        <f>IF(O36=0,0,IF(LAJES!$F$470="x",LAJES!$Q$515*7/5,LAJES!$P$515*7/5))</f>
        <v>0</v>
      </c>
      <c r="Q36" s="43">
        <f>IF(Q28=0,0,IF(O36=0,0,IF(LAJES!F474="x",((LAJES!Q510+LAJES!Q511)*5*LAJES!B443*LAJES!B448/O36),((LAJES!P510+LAJES!P511)*5*LAJES!B443*LAJES!B448/O36))))</f>
        <v>0</v>
      </c>
      <c r="R36" s="43">
        <f>IF(R28=0,0,IF(O36=0,0,IF(LAJES!F470="x",(LAJES!Q511*LAJES!B443*LAJES!B448/O36),(LAJES!P511*LAJES!B443*LAJES!B448/O36))))</f>
        <v>0</v>
      </c>
    </row>
    <row r="37" spans="1:18" ht="20.25" customHeight="1" x14ac:dyDescent="0.35">
      <c r="A37" s="1173" t="str">
        <f>CÁLCULOS!C774</f>
        <v>GESTOR DE FÁBRICA NA FABRICAÇÃO</v>
      </c>
      <c r="B37" s="75"/>
      <c r="C37" s="1174"/>
      <c r="D37" s="75"/>
      <c r="E37" s="1175"/>
      <c r="F37" s="1175"/>
      <c r="G37" s="75"/>
      <c r="H37" s="69">
        <f ca="1">CÁLCULOS!L774+LAJES!H506</f>
        <v>101</v>
      </c>
      <c r="I37" s="803" t="s">
        <v>101</v>
      </c>
      <c r="J37" s="71"/>
      <c r="K37" s="69">
        <f>IF(ENTRADAS!$I$15=0,0,CÁLCULOS!C640*CÁLCULOS!C649)</f>
        <v>1</v>
      </c>
      <c r="L37" s="69">
        <f ca="1">IF(K37=0,0,CÁLCULOS!$G$701/7*5)</f>
        <v>72.142857142857139</v>
      </c>
      <c r="M37" s="43"/>
      <c r="N37" s="43"/>
      <c r="O37" s="43">
        <f>IF(ENTRADAS!$D$912=0,0,LAJES!B443*LAJES!B452)</f>
        <v>0</v>
      </c>
      <c r="P37" s="69">
        <f>IF(O37=0,0,IF(LAJES!$F$470="x",LAJES!$Q$515*7/5,LAJES!$P$515*7/5))</f>
        <v>0</v>
      </c>
      <c r="Q37" s="43"/>
      <c r="R37" s="43"/>
    </row>
    <row r="38" spans="1:18" ht="20.25" customHeight="1" x14ac:dyDescent="0.35">
      <c r="A38" s="1173" t="str">
        <f>CÁLCULOS!C775</f>
        <v>ADM NA FABRICAÇÃO</v>
      </c>
      <c r="B38" s="75"/>
      <c r="C38" s="1174"/>
      <c r="D38" s="75"/>
      <c r="E38" s="1175"/>
      <c r="F38" s="1175"/>
      <c r="G38" s="75"/>
      <c r="H38" s="69">
        <f ca="1">CÁLCULOS!L775+LAJES!H507</f>
        <v>55</v>
      </c>
      <c r="I38" s="803" t="s">
        <v>101</v>
      </c>
      <c r="J38" s="71"/>
      <c r="K38" s="69">
        <f>IF(ENTRADAS!$I$15=0,0,CÁLCULOS!C640*CÁLCULOS!C650)</f>
        <v>0.5</v>
      </c>
      <c r="L38" s="69">
        <f ca="1">IF(K38=0,0,CÁLCULOS!$G$701/7*5)</f>
        <v>72.142857142857139</v>
      </c>
      <c r="M38" s="43">
        <f ca="1">IF(M28=0,0,IF(K38=0,0,((CÁLCULOS!G696+CÁLCULOS!G697)*5*CÁLCULOS!C640*CÁLCULOS!C650)/K38))</f>
        <v>71.666666666666671</v>
      </c>
      <c r="N38" s="43">
        <f ca="1">IF(N28=0,0,IF(K38=0,0,(CÁLCULOS!G697*CÁLCULOS!C640*CÁLCULOS!C650)/K38))</f>
        <v>14.333333333333334</v>
      </c>
      <c r="O38" s="43">
        <f>IF(ENTRADAS!$D$912=0,0,LAJES!B443*LAJES!B453)</f>
        <v>0</v>
      </c>
      <c r="P38" s="69">
        <f>IF(O38=0,0,IF(LAJES!$F$470="x",LAJES!$Q$515*7/5,LAJES!$P$515*7/5))</f>
        <v>0</v>
      </c>
      <c r="Q38" s="43">
        <f>IF(Q28=0,0,IF(O38=0,0,IF(LAJES!F480="x",((LAJES!Q510+LAJES!Q511)*5*LAJES!B443*LAJES!B453/O38),((LAJES!P510+LAJES!P511)*5*LAJES!B443*LAJES!B453/O38))))</f>
        <v>0</v>
      </c>
      <c r="R38" s="43">
        <f>IF(R28=0,0,IF(O38=0,0,IF(LAJES!F470="x",(LAJES!Q511*LAJES!B443*LAJES!B453/O38),(LAJES!P511*LAJES!B443*LAJES!B453/O38))))</f>
        <v>0</v>
      </c>
    </row>
    <row r="39" spans="1:18" ht="9" hidden="1" customHeight="1" x14ac:dyDescent="0.35">
      <c r="A39" s="55"/>
      <c r="B39" s="25"/>
      <c r="C39" s="1169"/>
      <c r="D39" s="25"/>
      <c r="E39" s="1010"/>
      <c r="F39" s="1010"/>
      <c r="G39" s="25"/>
      <c r="H39" s="2205"/>
      <c r="I39" s="2205"/>
      <c r="J39" s="2205"/>
      <c r="K39" s="1133"/>
      <c r="L39" s="1133"/>
    </row>
    <row r="40" spans="1:18" ht="39.75" hidden="1" customHeight="1" x14ac:dyDescent="0.35">
      <c r="A40" s="2170" t="s">
        <v>2592</v>
      </c>
      <c r="B40" s="2171"/>
      <c r="C40" s="2171"/>
      <c r="D40" s="2171"/>
      <c r="E40" s="2171"/>
      <c r="F40" s="2172"/>
      <c r="G40" s="530" t="s">
        <v>2586</v>
      </c>
      <c r="H40" s="530" t="s">
        <v>2587</v>
      </c>
      <c r="I40" s="2203" t="s">
        <v>2588</v>
      </c>
      <c r="J40" s="2204"/>
      <c r="K40" s="1235"/>
      <c r="L40" s="1235"/>
      <c r="M40" s="793"/>
    </row>
    <row r="41" spans="1:18" ht="19.5" hidden="1" customHeight="1" x14ac:dyDescent="0.35">
      <c r="A41" s="1173" t="s">
        <v>91</v>
      </c>
      <c r="B41" s="75"/>
      <c r="C41" s="1174"/>
      <c r="D41" s="75"/>
      <c r="E41" s="1175"/>
      <c r="F41" s="1175"/>
      <c r="G41" s="69">
        <f ca="1">CÁLCULOS!L742</f>
        <v>470.55681818181813</v>
      </c>
      <c r="H41" s="1233">
        <f ca="1">RELATÓRIO!$W$12</f>
        <v>4255.6799999999994</v>
      </c>
      <c r="I41" s="1234"/>
      <c r="J41" s="526">
        <f ca="1">IF(H41=0,0,G41/H41)</f>
        <v>0.11057147581157846</v>
      </c>
      <c r="K41" s="1235"/>
      <c r="L41" s="1235"/>
    </row>
    <row r="42" spans="1:18" ht="19.5" hidden="1" customHeight="1" x14ac:dyDescent="0.35">
      <c r="A42" s="1173" t="s">
        <v>95</v>
      </c>
      <c r="B42" s="75"/>
      <c r="C42" s="1174"/>
      <c r="D42" s="75"/>
      <c r="E42" s="1175"/>
      <c r="F42" s="1175"/>
      <c r="G42" s="69">
        <f ca="1">CÁLCULOS!L743</f>
        <v>6587.795454545454</v>
      </c>
      <c r="H42" s="1233">
        <f ca="1">RELATÓRIO!$W$12</f>
        <v>4255.6799999999994</v>
      </c>
      <c r="I42" s="1234"/>
      <c r="J42" s="526">
        <f t="shared" ref="J42:J46" ca="1" si="0">IF(H42=0,0,G42/H42)</f>
        <v>1.5480006613620985</v>
      </c>
      <c r="K42" s="1235"/>
      <c r="L42" s="1235"/>
    </row>
    <row r="43" spans="1:18" ht="19.5" hidden="1" customHeight="1" x14ac:dyDescent="0.35">
      <c r="A43" s="1173" t="str">
        <f>A32</f>
        <v>ARMADOR ( polivalente ) NA FABRICAÇÃO</v>
      </c>
      <c r="B43" s="75"/>
      <c r="C43" s="1174"/>
      <c r="D43" s="75"/>
      <c r="E43" s="1175"/>
      <c r="F43" s="1175"/>
      <c r="G43" s="69">
        <f ca="1">+CÁLCULOS!L746</f>
        <v>582.08092599999998</v>
      </c>
      <c r="H43" s="1233">
        <f ca="1">RELATÓRIO!$W$12</f>
        <v>4255.6799999999994</v>
      </c>
      <c r="I43" s="1234"/>
      <c r="J43" s="526">
        <f t="shared" ca="1" si="0"/>
        <v>0.13677741888487857</v>
      </c>
      <c r="K43" s="1235"/>
      <c r="L43" s="1235"/>
    </row>
    <row r="44" spans="1:18" ht="19.5" hidden="1" customHeight="1" x14ac:dyDescent="0.35">
      <c r="A44" s="1173" t="s">
        <v>270</v>
      </c>
      <c r="B44" s="75"/>
      <c r="C44" s="1174"/>
      <c r="D44" s="75"/>
      <c r="E44" s="1175"/>
      <c r="F44" s="1175"/>
      <c r="G44" s="69">
        <f ca="1">CÁLCULOS!L745</f>
        <v>3999.2357313896828</v>
      </c>
      <c r="H44" s="1233">
        <f ca="1">RELATÓRIO!$W$12</f>
        <v>4255.6799999999994</v>
      </c>
      <c r="I44" s="1234"/>
      <c r="J44" s="526">
        <f t="shared" ca="1" si="0"/>
        <v>0.93974070686463351</v>
      </c>
      <c r="K44" s="1235"/>
      <c r="L44" s="1235"/>
    </row>
    <row r="45" spans="1:18" ht="19.5" hidden="1" customHeight="1" x14ac:dyDescent="0.35">
      <c r="A45" s="1173" t="s">
        <v>96</v>
      </c>
      <c r="B45" s="75"/>
      <c r="C45" s="1174"/>
      <c r="D45" s="75"/>
      <c r="E45" s="1175"/>
      <c r="F45" s="1175"/>
      <c r="G45" s="69">
        <f ca="1">CÁLCULOS!L744</f>
        <v>1090.1294570245245</v>
      </c>
      <c r="H45" s="1233">
        <f ca="1">RELATÓRIO!$W$12</f>
        <v>4255.6799999999994</v>
      </c>
      <c r="I45" s="1234"/>
      <c r="J45" s="526">
        <f t="shared" ca="1" si="0"/>
        <v>0.25615870014299119</v>
      </c>
      <c r="K45" s="1235"/>
      <c r="L45" s="1235"/>
    </row>
    <row r="46" spans="1:18" ht="30.75" hidden="1" customHeight="1" x14ac:dyDescent="0.35">
      <c r="A46" s="2200" t="s">
        <v>2593</v>
      </c>
      <c r="B46" s="2201"/>
      <c r="C46" s="2201"/>
      <c r="D46" s="2201"/>
      <c r="E46" s="2201"/>
      <c r="F46" s="2202"/>
      <c r="G46" s="803">
        <f ca="1">G41+G42+G44+G45</f>
        <v>12147.717461141479</v>
      </c>
      <c r="H46" s="1233">
        <f ca="1">RELATÓRIO!$W$12</f>
        <v>4255.6799999999994</v>
      </c>
      <c r="I46" s="1234"/>
      <c r="J46" s="527">
        <f t="shared" ca="1" si="0"/>
        <v>2.8544715441813016</v>
      </c>
      <c r="K46" s="1235"/>
      <c r="L46" s="1235"/>
    </row>
    <row r="47" spans="1:18" ht="7.5" hidden="1" customHeight="1" x14ac:dyDescent="0.35">
      <c r="A47" s="1230"/>
      <c r="B47" s="524"/>
      <c r="C47" s="1231"/>
      <c r="D47" s="524"/>
      <c r="E47" s="1230"/>
      <c r="F47" s="1230"/>
      <c r="G47" s="524"/>
      <c r="H47" s="524"/>
      <c r="I47" s="524"/>
      <c r="J47" s="524"/>
      <c r="K47" s="1235"/>
      <c r="L47" s="1235"/>
    </row>
    <row r="48" spans="1:18" ht="39" hidden="1" customHeight="1" x14ac:dyDescent="0.35">
      <c r="A48" s="2170" t="s">
        <v>2594</v>
      </c>
      <c r="B48" s="2171"/>
      <c r="C48" s="2171"/>
      <c r="D48" s="2171"/>
      <c r="E48" s="2171"/>
      <c r="F48" s="2172"/>
      <c r="G48" s="530" t="s">
        <v>2586</v>
      </c>
      <c r="H48" s="530" t="s">
        <v>2591</v>
      </c>
      <c r="I48" s="2203" t="s">
        <v>2588</v>
      </c>
      <c r="J48" s="2204"/>
      <c r="K48" s="1235"/>
      <c r="L48" s="1235"/>
    </row>
    <row r="49" spans="1:12" ht="19.5" hidden="1" customHeight="1" x14ac:dyDescent="0.35">
      <c r="A49" s="1173" t="s">
        <v>91</v>
      </c>
      <c r="B49" s="75"/>
      <c r="C49" s="1174"/>
      <c r="D49" s="75"/>
      <c r="E49" s="1175"/>
      <c r="F49" s="1175"/>
      <c r="G49" s="69">
        <f ca="1">LAJES!H511</f>
        <v>0</v>
      </c>
      <c r="H49" s="1233">
        <f>LAJES!$AK$4*LAJES!$E$3</f>
        <v>0</v>
      </c>
      <c r="I49" s="1234"/>
      <c r="J49" s="526">
        <f t="shared" ref="J49:J54" si="1">IF(H49=0,0,G49/H49)</f>
        <v>0</v>
      </c>
      <c r="K49" s="1235"/>
      <c r="L49" s="1235"/>
    </row>
    <row r="50" spans="1:12" ht="19.5" hidden="1" customHeight="1" x14ac:dyDescent="0.35">
      <c r="A50" s="1173" t="s">
        <v>95</v>
      </c>
      <c r="B50" s="75"/>
      <c r="C50" s="1174"/>
      <c r="D50" s="75"/>
      <c r="E50" s="1175"/>
      <c r="F50" s="1175"/>
      <c r="G50" s="69">
        <f ca="1">LAJES!H514</f>
        <v>0</v>
      </c>
      <c r="H50" s="1233">
        <f>LAJES!$AK$4*LAJES!$E$3</f>
        <v>0</v>
      </c>
      <c r="I50" s="1234"/>
      <c r="J50" s="526">
        <f t="shared" si="1"/>
        <v>0</v>
      </c>
      <c r="K50" s="1235"/>
      <c r="L50" s="1235"/>
    </row>
    <row r="51" spans="1:12" ht="19.5" hidden="1" customHeight="1" x14ac:dyDescent="0.35">
      <c r="A51" s="1173" t="str">
        <f>A32</f>
        <v>ARMADOR ( polivalente ) NA FABRICAÇÃO</v>
      </c>
      <c r="B51" s="75"/>
      <c r="C51" s="1174"/>
      <c r="D51" s="75"/>
      <c r="E51" s="1175"/>
      <c r="F51" s="1175"/>
      <c r="G51" s="69">
        <f ca="1">LAJES!H517</f>
        <v>0</v>
      </c>
      <c r="H51" s="1233">
        <f>LAJES!$AK$4*LAJES!$E$3</f>
        <v>0</v>
      </c>
      <c r="I51" s="1234"/>
      <c r="J51" s="526">
        <f t="shared" si="1"/>
        <v>0</v>
      </c>
      <c r="K51" s="1235"/>
      <c r="L51" s="1235"/>
    </row>
    <row r="52" spans="1:12" ht="19.5" hidden="1" customHeight="1" x14ac:dyDescent="0.35">
      <c r="A52" s="1173" t="s">
        <v>270</v>
      </c>
      <c r="B52" s="75"/>
      <c r="C52" s="1174"/>
      <c r="D52" s="75"/>
      <c r="E52" s="1175"/>
      <c r="F52" s="1175"/>
      <c r="G52" s="69">
        <f ca="1">LAJES!H516</f>
        <v>0</v>
      </c>
      <c r="H52" s="1233">
        <f>LAJES!$AK$4*LAJES!$E$3</f>
        <v>0</v>
      </c>
      <c r="I52" s="1234"/>
      <c r="J52" s="526">
        <f t="shared" si="1"/>
        <v>0</v>
      </c>
      <c r="K52" s="1235"/>
      <c r="L52" s="1235"/>
    </row>
    <row r="53" spans="1:12" ht="19.5" hidden="1" customHeight="1" x14ac:dyDescent="0.35">
      <c r="A53" s="1173" t="s">
        <v>96</v>
      </c>
      <c r="B53" s="75"/>
      <c r="C53" s="1174"/>
      <c r="D53" s="75"/>
      <c r="E53" s="1175"/>
      <c r="F53" s="1175"/>
      <c r="G53" s="69">
        <f ca="1">LAJES!H515</f>
        <v>0</v>
      </c>
      <c r="H53" s="1233">
        <f>LAJES!$AK$4*LAJES!$E$3</f>
        <v>0</v>
      </c>
      <c r="I53" s="1234"/>
      <c r="J53" s="526">
        <f t="shared" si="1"/>
        <v>0</v>
      </c>
      <c r="K53" s="1235"/>
      <c r="L53" s="1235"/>
    </row>
    <row r="54" spans="1:12" ht="33" hidden="1" customHeight="1" x14ac:dyDescent="0.35">
      <c r="A54" s="2182" t="s">
        <v>2589</v>
      </c>
      <c r="B54" s="2182"/>
      <c r="C54" s="2182"/>
      <c r="D54" s="2182"/>
      <c r="E54" s="2182"/>
      <c r="F54" s="2182"/>
      <c r="G54" s="803">
        <f ca="1">G49+G50+G52+G53</f>
        <v>0</v>
      </c>
      <c r="H54" s="1233">
        <f>LAJES!$AK$4*LAJES!$E$3</f>
        <v>0</v>
      </c>
      <c r="I54" s="1234"/>
      <c r="J54" s="527">
        <f t="shared" si="1"/>
        <v>0</v>
      </c>
      <c r="K54" s="1235"/>
      <c r="L54" s="1235"/>
    </row>
    <row r="55" spans="1:12" ht="33" customHeight="1" x14ac:dyDescent="0.35">
      <c r="A55" s="1236"/>
      <c r="B55" s="1236"/>
      <c r="C55" s="1236"/>
      <c r="D55" s="1236"/>
      <c r="E55" s="1236"/>
      <c r="F55" s="1236"/>
      <c r="G55" s="1237"/>
      <c r="H55" s="1235"/>
      <c r="I55" s="1235"/>
      <c r="J55" s="1235"/>
      <c r="K55" s="1235"/>
      <c r="L55" s="1235"/>
    </row>
    <row r="94" spans="1:12" x14ac:dyDescent="0.35">
      <c r="A94" s="13"/>
      <c r="B94" s="14"/>
      <c r="C94" s="14"/>
      <c r="D94" s="14"/>
      <c r="E94" s="14"/>
      <c r="F94" s="14"/>
      <c r="G94" s="14"/>
      <c r="H94" s="14"/>
      <c r="I94" s="14"/>
      <c r="J94" s="15"/>
    </row>
    <row r="95" spans="1:12" x14ac:dyDescent="0.35">
      <c r="A95" s="2196" t="s">
        <v>2595</v>
      </c>
      <c r="B95" s="2197"/>
      <c r="C95" s="2197"/>
      <c r="D95" s="2197"/>
      <c r="E95" s="2197"/>
      <c r="F95" s="2197"/>
      <c r="G95" s="2197"/>
      <c r="H95" s="2197"/>
      <c r="I95" s="2197"/>
      <c r="J95" s="2198"/>
      <c r="K95" s="1238"/>
      <c r="L95" s="1238"/>
    </row>
    <row r="96" spans="1:12" x14ac:dyDescent="0.35">
      <c r="A96" s="1239"/>
      <c r="H96" s="600"/>
      <c r="J96" s="16"/>
    </row>
    <row r="97" spans="1:17" x14ac:dyDescent="0.35">
      <c r="A97" s="20"/>
      <c r="B97" s="1338" t="s">
        <v>738</v>
      </c>
      <c r="C97" s="1441"/>
      <c r="D97" s="1441"/>
      <c r="E97" s="1441"/>
      <c r="F97" s="1339"/>
      <c r="G97" s="729" t="s">
        <v>2596</v>
      </c>
      <c r="H97" s="1338" t="s">
        <v>2597</v>
      </c>
      <c r="I97" s="1339"/>
      <c r="J97" s="729" t="s">
        <v>2598</v>
      </c>
      <c r="K97" s="734"/>
      <c r="L97" s="734"/>
    </row>
    <row r="98" spans="1:17" x14ac:dyDescent="0.35">
      <c r="A98" s="1531" t="s">
        <v>2599</v>
      </c>
      <c r="B98" s="646" t="s">
        <v>2600</v>
      </c>
      <c r="C98" s="10"/>
      <c r="D98" s="10"/>
      <c r="E98" s="10"/>
      <c r="F98" s="6"/>
      <c r="G98" s="1240">
        <v>0.29166666666666669</v>
      </c>
      <c r="H98" s="1241">
        <v>0.35416666666666669</v>
      </c>
      <c r="I98" s="6"/>
      <c r="J98" s="1240">
        <f t="shared" ref="J98:J109" si="2">H98-G98</f>
        <v>6.25E-2</v>
      </c>
      <c r="K98" s="1242"/>
      <c r="L98" s="1242"/>
    </row>
    <row r="99" spans="1:17" x14ac:dyDescent="0.35">
      <c r="A99" s="1531"/>
      <c r="B99" s="646" t="s">
        <v>2601</v>
      </c>
      <c r="C99" s="10"/>
      <c r="D99" s="10"/>
      <c r="E99" s="10"/>
      <c r="F99" s="6"/>
      <c r="G99" s="1240">
        <v>0.35416666666666669</v>
      </c>
      <c r="H99" s="1241">
        <v>0.375</v>
      </c>
      <c r="I99" s="6"/>
      <c r="J99" s="1240">
        <f t="shared" si="2"/>
        <v>2.0833333333333315E-2</v>
      </c>
      <c r="K99" s="1242"/>
      <c r="L99" s="1242"/>
    </row>
    <row r="100" spans="1:17" x14ac:dyDescent="0.35">
      <c r="A100" s="1531"/>
      <c r="B100" s="646" t="s">
        <v>2602</v>
      </c>
      <c r="C100" s="10"/>
      <c r="D100" s="10"/>
      <c r="E100" s="10"/>
      <c r="F100" s="6"/>
      <c r="G100" s="1240">
        <v>0.375</v>
      </c>
      <c r="H100" s="1241">
        <v>0.41666666666666669</v>
      </c>
      <c r="I100" s="6"/>
      <c r="J100" s="1240">
        <f t="shared" si="2"/>
        <v>4.1666666666666685E-2</v>
      </c>
      <c r="K100" s="1242"/>
      <c r="L100" s="1242"/>
    </row>
    <row r="101" spans="1:17" x14ac:dyDescent="0.35">
      <c r="A101" s="1531"/>
      <c r="B101" s="646" t="s">
        <v>2603</v>
      </c>
      <c r="C101" s="10"/>
      <c r="D101" s="10"/>
      <c r="E101" s="10"/>
      <c r="F101" s="6"/>
      <c r="G101" s="1240">
        <v>0.41666666666666669</v>
      </c>
      <c r="H101" s="1241">
        <v>0.45833333333333331</v>
      </c>
      <c r="I101" s="6"/>
      <c r="J101" s="1240">
        <f t="shared" si="2"/>
        <v>4.166666666666663E-2</v>
      </c>
      <c r="K101" s="1242"/>
      <c r="L101" s="1242"/>
    </row>
    <row r="102" spans="1:17" x14ac:dyDescent="0.35">
      <c r="A102" s="1531"/>
      <c r="B102" s="646" t="s">
        <v>2604</v>
      </c>
      <c r="C102" s="10"/>
      <c r="D102" s="10"/>
      <c r="E102" s="10"/>
      <c r="F102" s="6"/>
      <c r="G102" s="1240">
        <v>0.45833333333333331</v>
      </c>
      <c r="H102" s="1241">
        <v>0.5</v>
      </c>
      <c r="I102" s="6"/>
      <c r="J102" s="1240">
        <f t="shared" si="2"/>
        <v>4.1666666666666685E-2</v>
      </c>
      <c r="K102" s="1242"/>
      <c r="L102" s="1242"/>
    </row>
    <row r="103" spans="1:17" x14ac:dyDescent="0.35">
      <c r="A103" s="1531"/>
      <c r="B103" s="646" t="s">
        <v>2605</v>
      </c>
      <c r="C103" s="10"/>
      <c r="D103" s="10"/>
      <c r="E103" s="10"/>
      <c r="F103" s="6"/>
      <c r="G103" s="1240">
        <v>0.54166666666666663</v>
      </c>
      <c r="H103" s="1241">
        <v>0.66666666666666663</v>
      </c>
      <c r="I103" s="6"/>
      <c r="J103" s="1240">
        <f t="shared" si="2"/>
        <v>0.125</v>
      </c>
      <c r="K103" s="1242"/>
      <c r="L103" s="1242"/>
    </row>
    <row r="104" spans="1:17" x14ac:dyDescent="0.35">
      <c r="A104" s="1531"/>
      <c r="B104" s="646" t="s">
        <v>2606</v>
      </c>
      <c r="C104" s="10"/>
      <c r="D104" s="10"/>
      <c r="E104" s="10"/>
      <c r="F104" s="6"/>
      <c r="G104" s="1240">
        <v>0.66666666666666663</v>
      </c>
      <c r="H104" s="1241">
        <v>0.70833333333333337</v>
      </c>
      <c r="I104" s="6"/>
      <c r="J104" s="1240">
        <f t="shared" si="2"/>
        <v>4.1666666666666741E-2</v>
      </c>
      <c r="K104" s="1242"/>
      <c r="L104" s="1242"/>
    </row>
    <row r="105" spans="1:17" x14ac:dyDescent="0.35">
      <c r="A105" s="1531"/>
      <c r="B105" s="646" t="s">
        <v>2607</v>
      </c>
      <c r="C105" s="10"/>
      <c r="D105" s="10"/>
      <c r="E105" s="10"/>
      <c r="F105" s="6"/>
      <c r="G105" s="598">
        <v>0.625</v>
      </c>
      <c r="H105" s="1241">
        <v>0.99998842592592585</v>
      </c>
      <c r="I105" s="6"/>
      <c r="J105" s="1240">
        <f t="shared" si="2"/>
        <v>0.37498842592592585</v>
      </c>
      <c r="K105" s="1242"/>
      <c r="L105" s="1242"/>
    </row>
    <row r="106" spans="1:17" x14ac:dyDescent="0.35">
      <c r="A106" s="988"/>
      <c r="B106" s="627"/>
      <c r="G106" s="601"/>
      <c r="H106" s="2194" t="s">
        <v>2608</v>
      </c>
      <c r="I106" s="2195"/>
      <c r="J106" s="1243">
        <f>SUM(J98:J105)</f>
        <v>0.74998842592592596</v>
      </c>
      <c r="K106" s="1242"/>
      <c r="L106" s="1242"/>
    </row>
    <row r="107" spans="1:17" x14ac:dyDescent="0.35">
      <c r="A107" s="988"/>
      <c r="B107" s="627" t="s">
        <v>2609</v>
      </c>
      <c r="C107" s="627"/>
      <c r="D107" s="627"/>
      <c r="E107" s="627"/>
      <c r="F107" s="627"/>
      <c r="G107" s="627"/>
      <c r="H107" s="627"/>
      <c r="I107" s="627"/>
      <c r="J107" s="719"/>
      <c r="K107" s="627"/>
      <c r="L107" s="627"/>
      <c r="M107" s="627"/>
      <c r="N107" s="627"/>
      <c r="O107" s="627"/>
      <c r="P107" s="627"/>
      <c r="Q107" s="627"/>
    </row>
    <row r="108" spans="1:17" x14ac:dyDescent="0.35">
      <c r="A108" s="2199" t="s">
        <v>2610</v>
      </c>
      <c r="B108" s="646" t="s">
        <v>2607</v>
      </c>
      <c r="C108" s="10"/>
      <c r="D108" s="10"/>
      <c r="E108" s="10"/>
      <c r="F108" s="6"/>
      <c r="G108" s="598">
        <v>1.1574074074074073E-5</v>
      </c>
      <c r="H108" s="1241">
        <v>0.62501157407407404</v>
      </c>
      <c r="I108" s="6"/>
      <c r="J108" s="1240">
        <f t="shared" si="2"/>
        <v>0.625</v>
      </c>
      <c r="K108" s="1242"/>
      <c r="L108" s="1242"/>
    </row>
    <row r="109" spans="1:17" x14ac:dyDescent="0.35">
      <c r="A109" s="1587"/>
      <c r="B109" s="646" t="s">
        <v>2611</v>
      </c>
      <c r="C109" s="10"/>
      <c r="D109" s="10"/>
      <c r="E109" s="10"/>
      <c r="F109" s="6"/>
      <c r="G109" s="599">
        <v>0.625</v>
      </c>
      <c r="H109" s="1241">
        <v>0.79166666666666663</v>
      </c>
      <c r="I109" s="6"/>
      <c r="J109" s="1240">
        <f t="shared" si="2"/>
        <v>0.16666666666666663</v>
      </c>
      <c r="K109" s="1242"/>
      <c r="L109" s="1242"/>
    </row>
    <row r="110" spans="1:17" x14ac:dyDescent="0.35">
      <c r="A110" s="20"/>
      <c r="H110" s="2194" t="s">
        <v>2612</v>
      </c>
      <c r="I110" s="2195"/>
      <c r="J110" s="1244">
        <f>SUM(J108:J109)</f>
        <v>0.79166666666666663</v>
      </c>
      <c r="K110" s="1242"/>
      <c r="L110" s="1242"/>
    </row>
    <row r="111" spans="1:17" x14ac:dyDescent="0.35">
      <c r="A111" s="20"/>
      <c r="B111" s="627" t="s">
        <v>2613</v>
      </c>
      <c r="G111" s="627"/>
      <c r="J111" s="1245"/>
      <c r="K111" s="1242"/>
      <c r="L111" s="1242"/>
    </row>
    <row r="112" spans="1:17" x14ac:dyDescent="0.35">
      <c r="A112" s="20"/>
      <c r="C112" s="627" t="s">
        <v>2614</v>
      </c>
      <c r="J112" s="602"/>
      <c r="K112" s="796"/>
      <c r="L112" s="796"/>
    </row>
    <row r="113" spans="1:12" x14ac:dyDescent="0.35">
      <c r="A113" s="20"/>
      <c r="C113" s="627" t="s">
        <v>2615</v>
      </c>
      <c r="J113" s="602"/>
      <c r="K113" s="796"/>
      <c r="L113" s="796"/>
    </row>
    <row r="114" spans="1:12" x14ac:dyDescent="0.35">
      <c r="A114" s="20"/>
      <c r="C114" s="627" t="s">
        <v>2616</v>
      </c>
      <c r="J114" s="16"/>
    </row>
    <row r="115" spans="1:12" x14ac:dyDescent="0.35">
      <c r="A115" s="18"/>
      <c r="B115" s="3"/>
      <c r="C115" s="3"/>
      <c r="D115" s="3"/>
      <c r="E115" s="3"/>
      <c r="F115" s="3"/>
      <c r="G115" s="3"/>
      <c r="H115" s="3"/>
      <c r="I115" s="3"/>
      <c r="J115" s="17"/>
    </row>
  </sheetData>
  <sheetProtection algorithmName="SHA-512" hashValue="x1ow8VcjgiiZJ4oQCN6LRUU/Bi0cLV2n9coQ6IlTbTCuHKidzvV9lpPJZKGar/RjpH6oq7+NMXz6aweCBXTQqw==" saltValue="Qx12+7sjCXwDGQwdOGRs4w==" spinCount="100000" sheet="1" sort="0"/>
  <protectedRanges>
    <protectedRange sqref="D3:L5 D26:L27" name="Intervalo17"/>
  </protectedRanges>
  <mergeCells count="38">
    <mergeCell ref="P6:P7"/>
    <mergeCell ref="L28:L29"/>
    <mergeCell ref="P28:P29"/>
    <mergeCell ref="K6:K7"/>
    <mergeCell ref="O6:O7"/>
    <mergeCell ref="K28:K29"/>
    <mergeCell ref="O28:O29"/>
    <mergeCell ref="H110:I110"/>
    <mergeCell ref="A95:J95"/>
    <mergeCell ref="A98:A105"/>
    <mergeCell ref="B97:F97"/>
    <mergeCell ref="A21:F21"/>
    <mergeCell ref="I21:J21"/>
    <mergeCell ref="A25:F25"/>
    <mergeCell ref="A108:A109"/>
    <mergeCell ref="H97:I97"/>
    <mergeCell ref="H106:I106"/>
    <mergeCell ref="A46:F46"/>
    <mergeCell ref="A48:F48"/>
    <mergeCell ref="I48:J48"/>
    <mergeCell ref="A54:F54"/>
    <mergeCell ref="H39:J39"/>
    <mergeCell ref="I40:J40"/>
    <mergeCell ref="A40:F40"/>
    <mergeCell ref="L6:L7"/>
    <mergeCell ref="A1:B4"/>
    <mergeCell ref="C1:J2"/>
    <mergeCell ref="D3:J3"/>
    <mergeCell ref="D4:J4"/>
    <mergeCell ref="A29:G29"/>
    <mergeCell ref="I29:J29"/>
    <mergeCell ref="A28:J28"/>
    <mergeCell ref="A19:F19"/>
    <mergeCell ref="A7:G7"/>
    <mergeCell ref="A6:J6"/>
    <mergeCell ref="I15:J15"/>
    <mergeCell ref="A15:F15"/>
    <mergeCell ref="I7:J7"/>
  </mergeCells>
  <printOptions horizontalCentered="1"/>
  <pageMargins left="0.78740157480314965" right="0.39370078740157483" top="0.78740157480314965" bottom="0.39370078740157483" header="0.78740157480314965" footer="0.11811023622047245"/>
  <pageSetup paperSize="9" scale="85" orientation="portrait" horizontalDpi="4294967294" verticalDpi="4294967294" r:id="rId1"/>
  <rowBreaks count="1" manualBreakCount="1">
    <brk id="5" max="9"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C93A3-19B1-401F-AC89-35584B9CAAE1}">
  <sheetPr codeName="Planilha9"/>
  <dimension ref="A2:M13"/>
  <sheetViews>
    <sheetView showGridLines="0" showZeros="0" topLeftCell="C1" workbookViewId="0">
      <selection activeCell="E6" sqref="E6"/>
    </sheetView>
  </sheetViews>
  <sheetFormatPr defaultColWidth="8.59765625" defaultRowHeight="14.25" x14ac:dyDescent="0.45"/>
  <cols>
    <col min="1" max="2" width="1.59765625" style="827" hidden="1" customWidth="1"/>
    <col min="3" max="3" width="12.1328125" style="827" customWidth="1"/>
    <col min="4" max="4" width="8.59765625" style="827"/>
    <col min="5" max="13" width="8.1328125" style="827" customWidth="1"/>
    <col min="14" max="16384" width="8.59765625" style="827"/>
  </cols>
  <sheetData>
    <row r="2" spans="1:13" x14ac:dyDescent="0.45">
      <c r="A2" s="858"/>
      <c r="B2" s="858"/>
      <c r="C2" s="859" t="s">
        <v>2617</v>
      </c>
      <c r="D2" s="859" t="s">
        <v>2618</v>
      </c>
      <c r="E2" s="859" t="s">
        <v>914</v>
      </c>
      <c r="F2" s="859" t="s">
        <v>2619</v>
      </c>
      <c r="G2" s="860" t="s">
        <v>2620</v>
      </c>
      <c r="H2" s="860" t="s">
        <v>1031</v>
      </c>
      <c r="I2" s="860" t="s">
        <v>2621</v>
      </c>
      <c r="J2" s="860" t="s">
        <v>924</v>
      </c>
      <c r="K2" s="860" t="s">
        <v>923</v>
      </c>
      <c r="L2" s="860" t="s">
        <v>2622</v>
      </c>
      <c r="M2" s="860" t="s">
        <v>2623</v>
      </c>
    </row>
    <row r="3" spans="1:13" x14ac:dyDescent="0.45">
      <c r="A3" s="861">
        <f>'X MPa '!C23</f>
        <v>0</v>
      </c>
      <c r="B3" s="861"/>
      <c r="C3" s="860" t="s">
        <v>2624</v>
      </c>
      <c r="D3" s="862">
        <v>6.4000000000000001E-2</v>
      </c>
      <c r="E3" s="863">
        <v>0.27200000000000002</v>
      </c>
      <c r="F3" s="863">
        <v>0.27200000000000002</v>
      </c>
      <c r="G3" s="864">
        <v>0.86</v>
      </c>
      <c r="H3" s="864">
        <v>0.83100000000000007</v>
      </c>
      <c r="I3" s="864">
        <v>3.802</v>
      </c>
      <c r="J3" s="863">
        <v>145</v>
      </c>
      <c r="K3" s="863">
        <v>32.58</v>
      </c>
      <c r="L3" s="865">
        <v>2</v>
      </c>
      <c r="M3" s="865">
        <v>1</v>
      </c>
    </row>
    <row r="4" spans="1:13" x14ac:dyDescent="0.45">
      <c r="A4" s="861">
        <f>'X MPa '!C24</f>
        <v>0</v>
      </c>
      <c r="B4" s="861"/>
      <c r="C4" s="860" t="s">
        <v>2625</v>
      </c>
      <c r="D4" s="862">
        <v>6.4000000000000001E-2</v>
      </c>
      <c r="E4" s="863">
        <v>0.26400000000000001</v>
      </c>
      <c r="F4" s="863">
        <v>0.26400000000000001</v>
      </c>
      <c r="G4" s="864">
        <v>0.85899999999999999</v>
      </c>
      <c r="H4" s="864">
        <v>0.84699999999999998</v>
      </c>
      <c r="I4" s="864">
        <v>3.6890000000000001</v>
      </c>
      <c r="J4" s="863">
        <v>144</v>
      </c>
      <c r="K4" s="863">
        <v>32.58</v>
      </c>
      <c r="L4" s="865">
        <v>2</v>
      </c>
      <c r="M4" s="865">
        <v>1</v>
      </c>
    </row>
    <row r="5" spans="1:13" x14ac:dyDescent="0.45">
      <c r="A5" s="861">
        <f>'X MPa '!C25</f>
        <v>0</v>
      </c>
      <c r="B5" s="861"/>
      <c r="C5" s="860" t="s">
        <v>2626</v>
      </c>
      <c r="D5" s="862">
        <v>6.4000000000000001E-2</v>
      </c>
      <c r="E5" s="863">
        <v>0.316</v>
      </c>
      <c r="F5" s="863">
        <v>0.21099999999999999</v>
      </c>
      <c r="G5" s="864">
        <v>0.85899999999999999</v>
      </c>
      <c r="H5" s="864">
        <v>0.84600000000000009</v>
      </c>
      <c r="I5" s="864">
        <v>3.6890000000000001</v>
      </c>
      <c r="J5" s="863">
        <v>144</v>
      </c>
      <c r="K5" s="863">
        <v>30.77</v>
      </c>
      <c r="L5" s="865">
        <v>2</v>
      </c>
      <c r="M5" s="865">
        <v>1</v>
      </c>
    </row>
    <row r="6" spans="1:13" x14ac:dyDescent="0.45">
      <c r="A6" s="861" t="str">
        <f>'X MPa '!C26</f>
        <v>x</v>
      </c>
      <c r="B6" s="861"/>
      <c r="C6" s="860" t="s">
        <v>2627</v>
      </c>
      <c r="D6" s="862">
        <v>6.4000000000000001E-2</v>
      </c>
      <c r="E6" s="863">
        <v>0.34300000000000003</v>
      </c>
      <c r="F6" s="863">
        <v>0.184</v>
      </c>
      <c r="G6" s="864">
        <v>0.85899999999999999</v>
      </c>
      <c r="H6" s="864">
        <v>0.84600000000000009</v>
      </c>
      <c r="I6" s="864">
        <v>3.6890000000000001</v>
      </c>
      <c r="J6" s="863">
        <v>144</v>
      </c>
      <c r="K6" s="863">
        <v>30.77</v>
      </c>
      <c r="L6" s="865">
        <v>2</v>
      </c>
      <c r="M6" s="865">
        <v>1</v>
      </c>
    </row>
    <row r="7" spans="1:13" x14ac:dyDescent="0.45">
      <c r="A7" s="861">
        <f>'X MPa '!C27</f>
        <v>0</v>
      </c>
      <c r="B7" s="861"/>
      <c r="C7" s="860" t="s">
        <v>2628</v>
      </c>
      <c r="D7" s="862">
        <v>6.4000000000000001E-2</v>
      </c>
      <c r="E7" s="863">
        <v>0.42199999999999999</v>
      </c>
      <c r="F7" s="863">
        <v>0.105</v>
      </c>
      <c r="G7" s="864">
        <v>0.85899999999999999</v>
      </c>
      <c r="H7" s="864">
        <v>0.84499999999999997</v>
      </c>
      <c r="I7" s="864">
        <v>3.6890000000000001</v>
      </c>
      <c r="J7" s="863">
        <v>144</v>
      </c>
      <c r="K7" s="863">
        <v>30.77</v>
      </c>
      <c r="L7" s="865">
        <v>2</v>
      </c>
      <c r="M7" s="865">
        <v>1</v>
      </c>
    </row>
    <row r="8" spans="1:13" x14ac:dyDescent="0.45">
      <c r="A8" s="861">
        <f>'X MPa '!C28</f>
        <v>0</v>
      </c>
      <c r="B8" s="861"/>
      <c r="C8" s="860" t="s">
        <v>2629</v>
      </c>
      <c r="D8" s="862">
        <v>6.4000000000000001E-2</v>
      </c>
      <c r="E8" s="863">
        <v>0.47399999999999998</v>
      </c>
      <c r="F8" s="863">
        <v>5.2999999999999999E-2</v>
      </c>
      <c r="G8" s="864">
        <v>0.85899999999999999</v>
      </c>
      <c r="H8" s="864">
        <v>0.84399999999999997</v>
      </c>
      <c r="I8" s="864">
        <v>3.6890000000000001</v>
      </c>
      <c r="J8" s="863">
        <v>144</v>
      </c>
      <c r="K8" s="863">
        <v>30.77</v>
      </c>
      <c r="L8" s="865">
        <v>2</v>
      </c>
      <c r="M8" s="865">
        <v>1</v>
      </c>
    </row>
    <row r="9" spans="1:13" x14ac:dyDescent="0.45">
      <c r="A9" s="861">
        <f>'X MPa '!C29</f>
        <v>0</v>
      </c>
      <c r="B9" s="861"/>
    </row>
    <row r="10" spans="1:13" x14ac:dyDescent="0.45">
      <c r="A10" s="861">
        <f>'X MPa '!C30</f>
        <v>0</v>
      </c>
      <c r="B10" s="861"/>
    </row>
    <row r="11" spans="1:13" x14ac:dyDescent="0.45">
      <c r="A11" s="861">
        <f>'X MPa '!C31</f>
        <v>0</v>
      </c>
      <c r="B11" s="861"/>
    </row>
    <row r="12" spans="1:13" x14ac:dyDescent="0.45">
      <c r="A12" s="861">
        <f>'X MPa '!C32</f>
        <v>0</v>
      </c>
      <c r="B12" s="861"/>
    </row>
    <row r="13" spans="1:13" x14ac:dyDescent="0.45">
      <c r="A13" s="861">
        <f>'X MPa '!C33</f>
        <v>0</v>
      </c>
      <c r="B13" s="861"/>
    </row>
  </sheetData>
  <sheetProtection algorithmName="SHA-512" hashValue="MWJwx0VVIe31Cq+CkVtm0zK3GvIPoCX33GJGQoq/ATp3hAkLMs8XNrg0THqzX9gq8aCuTeEhJpI6Va/9kIQuoA==" saltValue="Hos6KyootgyeQ+L1ahgNpA==" spinCount="100000" sheet="1" objects="1" scenarios="1"/>
  <protectedRanges>
    <protectedRange sqref="E7:F8 H7:H8" name="Intervalo1"/>
  </protectedRanges>
  <printOptions horizontalCentered="1"/>
  <pageMargins left="0.31496062992125984" right="0" top="0.78740157480314965" bottom="0.78740157480314965"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7"/>
  <dimension ref="B1:K56"/>
  <sheetViews>
    <sheetView showGridLines="0" showZeros="0" topLeftCell="A10" zoomScaleNormal="100" workbookViewId="0">
      <selection activeCell="O8" sqref="O8"/>
    </sheetView>
  </sheetViews>
  <sheetFormatPr defaultRowHeight="12.75" x14ac:dyDescent="0.35"/>
  <cols>
    <col min="1" max="1" width="0.86328125" customWidth="1"/>
    <col min="2" max="2" width="10.59765625" customWidth="1"/>
    <col min="3" max="3" width="12.3984375" customWidth="1"/>
    <col min="4" max="4" width="10.86328125" customWidth="1"/>
    <col min="5" max="5" width="11.86328125" customWidth="1"/>
    <col min="6" max="6" width="8.3984375" customWidth="1"/>
    <col min="7" max="7" width="7.3984375" customWidth="1"/>
    <col min="8" max="8" width="17.59765625" customWidth="1"/>
    <col min="9" max="9" width="9.59765625" customWidth="1"/>
    <col min="10" max="10" width="1.1328125" customWidth="1"/>
    <col min="11" max="11" width="7.1328125" customWidth="1"/>
    <col min="12" max="12" width="9.59765625" customWidth="1"/>
    <col min="13" max="14" width="1.1328125" customWidth="1"/>
    <col min="15" max="15" width="13.3984375" bestFit="1" customWidth="1"/>
  </cols>
  <sheetData>
    <row r="1" spans="2:11" x14ac:dyDescent="0.35">
      <c r="B1" s="1533"/>
      <c r="C1" s="1535"/>
      <c r="D1" s="1393" t="s">
        <v>2576</v>
      </c>
      <c r="E1" s="1393"/>
      <c r="F1" s="1393"/>
      <c r="G1" s="1393"/>
      <c r="H1" s="1393"/>
      <c r="I1" s="1393"/>
      <c r="J1" s="1393"/>
      <c r="K1" s="1393"/>
    </row>
    <row r="2" spans="2:11" x14ac:dyDescent="0.35">
      <c r="B2" s="1536"/>
      <c r="C2" s="1538"/>
      <c r="D2" s="1393"/>
      <c r="E2" s="1393"/>
      <c r="F2" s="1393"/>
      <c r="G2" s="1393"/>
      <c r="H2" s="1393"/>
      <c r="I2" s="1393"/>
      <c r="J2" s="1393"/>
      <c r="K2" s="1393"/>
    </row>
    <row r="3" spans="2:11" x14ac:dyDescent="0.35">
      <c r="B3" s="1536"/>
      <c r="C3" s="1538"/>
      <c r="D3" s="985" t="s">
        <v>5</v>
      </c>
      <c r="E3" s="1500" t="str">
        <f>CÁLCULOS!F3</f>
        <v>Passarelli</v>
      </c>
      <c r="F3" s="1500"/>
      <c r="G3" s="1500"/>
      <c r="H3" s="1500"/>
      <c r="I3" s="1500"/>
      <c r="J3" s="1500"/>
      <c r="K3" s="1501"/>
    </row>
    <row r="4" spans="2:11" x14ac:dyDescent="0.35">
      <c r="B4" s="1539"/>
      <c r="C4" s="1541"/>
      <c r="D4" s="821" t="s">
        <v>7</v>
      </c>
      <c r="E4" s="1487" t="str">
        <f>CÁLCULOS!F4</f>
        <v>12 tqs Nereda</v>
      </c>
      <c r="F4" s="1487"/>
      <c r="G4" s="1487"/>
      <c r="H4" s="1487"/>
      <c r="I4" s="1487"/>
      <c r="J4" s="1487"/>
      <c r="K4" s="1488"/>
    </row>
    <row r="5" spans="2:11" ht="24" customHeight="1" x14ac:dyDescent="0.35">
      <c r="B5" s="1470" t="s">
        <v>1395</v>
      </c>
      <c r="C5" s="1470">
        <f>CÁLCULOS!D510</f>
        <v>0</v>
      </c>
      <c r="D5" s="1470">
        <f>CÁLCULOS!E510</f>
        <v>0</v>
      </c>
      <c r="E5" s="1470">
        <f>CÁLCULOS!F510</f>
        <v>0</v>
      </c>
      <c r="F5" s="1470">
        <f>CÁLCULOS!G510</f>
        <v>0</v>
      </c>
      <c r="G5" s="1470">
        <f>CÁLCULOS!H510</f>
        <v>0</v>
      </c>
      <c r="H5" s="1470">
        <f>CÁLCULOS!I510</f>
        <v>0</v>
      </c>
      <c r="I5" s="1079" t="s">
        <v>275</v>
      </c>
      <c r="J5" s="1324" t="s">
        <v>891</v>
      </c>
      <c r="K5" s="1326"/>
    </row>
    <row r="6" spans="2:11" ht="20.100000000000001" customHeight="1" x14ac:dyDescent="0.35">
      <c r="B6" s="1178" t="str">
        <f>CÁLCULOS!C247</f>
        <v>CORDA DE POLIAMIDA 1/2"</v>
      </c>
      <c r="C6" s="68"/>
      <c r="D6" s="68"/>
      <c r="E6" s="68"/>
      <c r="F6" s="68"/>
      <c r="G6" s="68"/>
      <c r="H6" s="68"/>
      <c r="I6" s="69">
        <f>CÁLCULOS!L247</f>
        <v>100</v>
      </c>
      <c r="J6" s="70" t="str">
        <f>CÁLCULOS!M247</f>
        <v>m</v>
      </c>
      <c r="K6" s="71"/>
    </row>
    <row r="7" spans="2:11" ht="20.100000000000001" customHeight="1" x14ac:dyDescent="0.35">
      <c r="B7" s="1178" t="str">
        <f>CÁLCULOS!C248</f>
        <v>BROCA SDS Plus  DIÂMETRO 16 mm x 250 mm</v>
      </c>
      <c r="C7" s="68"/>
      <c r="D7" s="68"/>
      <c r="E7" s="68"/>
      <c r="F7" s="68"/>
      <c r="G7" s="68"/>
      <c r="H7" s="68"/>
      <c r="I7" s="69">
        <f>CÁLCULOS!L248</f>
        <v>5</v>
      </c>
      <c r="J7" s="70" t="str">
        <f>CÁLCULOS!M248</f>
        <v>unid.</v>
      </c>
      <c r="K7" s="71"/>
    </row>
    <row r="8" spans="2:11" ht="20.100000000000001" customHeight="1" x14ac:dyDescent="0.35">
      <c r="B8" s="1178" t="str">
        <f>CÁLCULOS!C249</f>
        <v>BROCA MISTURADORA PARA PRODUTOS BICOMPONENTES</v>
      </c>
      <c r="C8" s="68"/>
      <c r="D8" s="68"/>
      <c r="E8" s="68"/>
      <c r="F8" s="68"/>
      <c r="G8" s="68"/>
      <c r="H8" s="68"/>
      <c r="I8" s="69">
        <f>CÁLCULOS!L249</f>
        <v>1</v>
      </c>
      <c r="J8" s="70" t="str">
        <f>CÁLCULOS!M249</f>
        <v>unid.</v>
      </c>
      <c r="K8" s="71"/>
    </row>
    <row r="9" spans="2:11" ht="20.100000000000001" customHeight="1" x14ac:dyDescent="0.35">
      <c r="B9" s="1178" t="str">
        <f>CÁLCULOS!C250</f>
        <v>JOGO DE CHAVE COMBINADA 1/4" à 2"</v>
      </c>
      <c r="C9" s="68"/>
      <c r="D9" s="68"/>
      <c r="E9" s="68"/>
      <c r="F9" s="68"/>
      <c r="G9" s="68"/>
      <c r="H9" s="68"/>
      <c r="I9" s="69">
        <f>CÁLCULOS!L250</f>
        <v>2</v>
      </c>
      <c r="J9" s="70" t="str">
        <f>CÁLCULOS!M250</f>
        <v>unid.</v>
      </c>
      <c r="K9" s="71"/>
    </row>
    <row r="10" spans="2:11" ht="20.100000000000001" customHeight="1" x14ac:dyDescent="0.35">
      <c r="B10" s="1178" t="str">
        <f>CÁLCULOS!C251</f>
        <v>CHAVE DE BOCA INGLESA 2 1/2"</v>
      </c>
      <c r="C10" s="68"/>
      <c r="D10" s="68"/>
      <c r="E10" s="68"/>
      <c r="F10" s="68"/>
      <c r="G10" s="68"/>
      <c r="H10" s="68"/>
      <c r="I10" s="69">
        <f>CÁLCULOS!L251</f>
        <v>1</v>
      </c>
      <c r="J10" s="70" t="str">
        <f>CÁLCULOS!M251</f>
        <v>unid.</v>
      </c>
      <c r="K10" s="71"/>
    </row>
    <row r="11" spans="2:11" ht="20.100000000000001" customHeight="1" x14ac:dyDescent="0.35">
      <c r="B11" s="1178" t="str">
        <f>CÁLCULOS!C252</f>
        <v>ALAVANCA DE FERRO 1" x 2 m</v>
      </c>
      <c r="C11" s="68"/>
      <c r="D11" s="68"/>
      <c r="E11" s="68"/>
      <c r="F11" s="68"/>
      <c r="G11" s="68"/>
      <c r="H11" s="68"/>
      <c r="I11" s="69">
        <f>CÁLCULOS!L252</f>
        <v>2</v>
      </c>
      <c r="J11" s="70" t="str">
        <f>CÁLCULOS!M252</f>
        <v>unid.</v>
      </c>
      <c r="K11" s="71"/>
    </row>
    <row r="12" spans="2:11" ht="20.100000000000001" customHeight="1" x14ac:dyDescent="0.35">
      <c r="B12" s="1178" t="str">
        <f>CÁLCULOS!C253</f>
        <v>TRENA METÁLICA DE 30 m</v>
      </c>
      <c r="C12" s="68"/>
      <c r="D12" s="68"/>
      <c r="E12" s="68"/>
      <c r="F12" s="68"/>
      <c r="G12" s="68"/>
      <c r="H12" s="68"/>
      <c r="I12" s="69">
        <f>CÁLCULOS!L253</f>
        <v>1</v>
      </c>
      <c r="J12" s="70" t="str">
        <f>CÁLCULOS!M253</f>
        <v>unid.</v>
      </c>
      <c r="K12" s="71"/>
    </row>
    <row r="13" spans="2:11" ht="20.100000000000001" customHeight="1" x14ac:dyDescent="0.35">
      <c r="B13" s="1178" t="str">
        <f>CÁLCULOS!C254</f>
        <v>TRENA METÁLICA DE 5 m</v>
      </c>
      <c r="C13" s="68"/>
      <c r="D13" s="68"/>
      <c r="E13" s="68"/>
      <c r="F13" s="68"/>
      <c r="G13" s="68"/>
      <c r="H13" s="68"/>
      <c r="I13" s="69">
        <f>CÁLCULOS!L254</f>
        <v>3</v>
      </c>
      <c r="J13" s="70" t="str">
        <f>CÁLCULOS!M254</f>
        <v>unid.</v>
      </c>
      <c r="K13" s="71"/>
    </row>
    <row r="14" spans="2:11" ht="20.100000000000001" customHeight="1" x14ac:dyDescent="0.35">
      <c r="B14" s="1178" t="str">
        <f>CÁLCULOS!C255</f>
        <v>CHAVE DE GRIFO 2 1/2"</v>
      </c>
      <c r="C14" s="68"/>
      <c r="D14" s="68"/>
      <c r="E14" s="68"/>
      <c r="F14" s="68"/>
      <c r="G14" s="68"/>
      <c r="H14" s="68"/>
      <c r="I14" s="69">
        <f>CÁLCULOS!L255</f>
        <v>1</v>
      </c>
      <c r="J14" s="70" t="str">
        <f>CÁLCULOS!M255</f>
        <v>unid.</v>
      </c>
      <c r="K14" s="71"/>
    </row>
    <row r="15" spans="2:11" ht="20.100000000000001" customHeight="1" x14ac:dyDescent="0.35">
      <c r="B15" s="1178" t="str">
        <f>CÁLCULOS!C256</f>
        <v>ALICATE DE PRESSÃO 2"</v>
      </c>
      <c r="C15" s="68"/>
      <c r="D15" s="68"/>
      <c r="E15" s="68"/>
      <c r="F15" s="68"/>
      <c r="G15" s="68"/>
      <c r="H15" s="68"/>
      <c r="I15" s="69">
        <f>CÁLCULOS!L256</f>
        <v>1</v>
      </c>
      <c r="J15" s="70" t="str">
        <f>CÁLCULOS!M256</f>
        <v>unid.</v>
      </c>
      <c r="K15" s="71"/>
    </row>
    <row r="16" spans="2:11" ht="20.100000000000001" customHeight="1" x14ac:dyDescent="0.35">
      <c r="B16" s="1178" t="str">
        <f>CÁLCULOS!C257</f>
        <v>ROLDANA DE 150mm</v>
      </c>
      <c r="C16" s="68"/>
      <c r="D16" s="68"/>
      <c r="E16" s="68"/>
      <c r="F16" s="68"/>
      <c r="G16" s="68"/>
      <c r="H16" s="68"/>
      <c r="I16" s="69">
        <f>CÁLCULOS!L257</f>
        <v>2</v>
      </c>
      <c r="J16" s="70" t="str">
        <f>CÁLCULOS!M257</f>
        <v>unid.</v>
      </c>
      <c r="K16" s="71"/>
    </row>
    <row r="17" spans="2:11" ht="20.100000000000001" customHeight="1" x14ac:dyDescent="0.35">
      <c r="B17" s="1178" t="str">
        <f>CÁLCULOS!C258</f>
        <v>ALICATE COMUM</v>
      </c>
      <c r="C17" s="68"/>
      <c r="D17" s="68"/>
      <c r="E17" s="68"/>
      <c r="F17" s="68"/>
      <c r="G17" s="68"/>
      <c r="H17" s="68"/>
      <c r="I17" s="69">
        <f>CÁLCULOS!L258</f>
        <v>2</v>
      </c>
      <c r="J17" s="70" t="str">
        <f>CÁLCULOS!M258</f>
        <v>unid.</v>
      </c>
      <c r="K17" s="71"/>
    </row>
    <row r="18" spans="2:11" ht="20.100000000000001" customHeight="1" x14ac:dyDescent="0.35">
      <c r="B18" s="1178" t="str">
        <f>CÁLCULOS!C259</f>
        <v>JOGO DE CHAVE DE FENDA ( com 10 unid.)</v>
      </c>
      <c r="C18" s="68"/>
      <c r="D18" s="68"/>
      <c r="E18" s="68"/>
      <c r="F18" s="68"/>
      <c r="G18" s="68"/>
      <c r="H18" s="68"/>
      <c r="I18" s="69">
        <f>CÁLCULOS!L259</f>
        <v>2</v>
      </c>
      <c r="J18" s="70" t="str">
        <f>CÁLCULOS!M259</f>
        <v>unid.</v>
      </c>
      <c r="K18" s="71"/>
    </row>
    <row r="19" spans="2:11" ht="20.100000000000001" customHeight="1" x14ac:dyDescent="0.35">
      <c r="B19" s="1178" t="str">
        <f>CÁLCULOS!C260</f>
        <v>JOGO DE CHAVE CACHIMBO 1/4" à 1"</v>
      </c>
      <c r="C19" s="68"/>
      <c r="D19" s="68"/>
      <c r="E19" s="68"/>
      <c r="F19" s="68"/>
      <c r="G19" s="68"/>
      <c r="H19" s="68"/>
      <c r="I19" s="69">
        <f>CÁLCULOS!L260</f>
        <v>1</v>
      </c>
      <c r="J19" s="70" t="str">
        <f>CÁLCULOS!M260</f>
        <v>unid.</v>
      </c>
      <c r="K19" s="71"/>
    </row>
    <row r="20" spans="2:11" ht="20.100000000000001" customHeight="1" x14ac:dyDescent="0.35">
      <c r="B20" s="1178" t="str">
        <f>CÁLCULOS!C261</f>
        <v>ESCADA EXTENSIVA DE ALUMÍNIO 10m</v>
      </c>
      <c r="C20" s="68"/>
      <c r="D20" s="68"/>
      <c r="E20" s="68"/>
      <c r="F20" s="68"/>
      <c r="G20" s="68"/>
      <c r="H20" s="68"/>
      <c r="I20" s="69">
        <f>CÁLCULOS!L261</f>
        <v>1</v>
      </c>
      <c r="J20" s="70" t="str">
        <f>CÁLCULOS!M261</f>
        <v>unid.</v>
      </c>
      <c r="K20" s="71"/>
    </row>
    <row r="21" spans="2:11" ht="20.100000000000001" customHeight="1" x14ac:dyDescent="0.35">
      <c r="B21" s="1178" t="str">
        <f>CÁLCULOS!C262</f>
        <v>ESCADA ABRIR DE ALUMÍNIO 2m</v>
      </c>
      <c r="C21" s="68"/>
      <c r="D21" s="68"/>
      <c r="E21" s="68"/>
      <c r="F21" s="68"/>
      <c r="G21" s="68"/>
      <c r="H21" s="68"/>
      <c r="I21" s="69">
        <f>CÁLCULOS!L262</f>
        <v>2</v>
      </c>
      <c r="J21" s="70" t="str">
        <f>CÁLCULOS!M262</f>
        <v>unid.</v>
      </c>
      <c r="K21" s="71"/>
    </row>
    <row r="22" spans="2:11" ht="20.100000000000001" customHeight="1" x14ac:dyDescent="0.35">
      <c r="B22" s="1178" t="str">
        <f>CÁLCULOS!C263</f>
        <v>MALÃO METÁLICO 2 x 1,2 x 1m</v>
      </c>
      <c r="C22" s="68"/>
      <c r="D22" s="68"/>
      <c r="E22" s="68"/>
      <c r="F22" s="68"/>
      <c r="G22" s="68"/>
      <c r="H22" s="68"/>
      <c r="I22" s="69">
        <f>CÁLCULOS!L263</f>
        <v>1</v>
      </c>
      <c r="J22" s="70" t="str">
        <f>CÁLCULOS!M263</f>
        <v>unid.</v>
      </c>
      <c r="K22" s="71"/>
    </row>
    <row r="23" spans="2:11" ht="20.100000000000001" customHeight="1" x14ac:dyDescent="0.35">
      <c r="B23" s="1178" t="str">
        <f>CÁLCULOS!C264</f>
        <v>ESTROPO DE AÇO 1/2"</v>
      </c>
      <c r="C23" s="68"/>
      <c r="D23" s="68"/>
      <c r="E23" s="68"/>
      <c r="F23" s="68"/>
      <c r="G23" s="68"/>
      <c r="H23" s="68"/>
      <c r="I23" s="69">
        <f>CÁLCULOS!L264</f>
        <v>4</v>
      </c>
      <c r="J23" s="70" t="str">
        <f>CÁLCULOS!M264</f>
        <v>unid.</v>
      </c>
      <c r="K23" s="71"/>
    </row>
    <row r="24" spans="2:11" ht="20.100000000000001" customHeight="1" x14ac:dyDescent="0.35">
      <c r="B24" s="1178" t="str">
        <f>CÁLCULOS!C265</f>
        <v>CINTA DE 5 ton</v>
      </c>
      <c r="C24" s="68"/>
      <c r="D24" s="68"/>
      <c r="E24" s="68"/>
      <c r="F24" s="68"/>
      <c r="G24" s="68"/>
      <c r="H24" s="68"/>
      <c r="I24" s="69">
        <f>CÁLCULOS!L265</f>
        <v>8</v>
      </c>
      <c r="J24" s="70" t="str">
        <f>CÁLCULOS!M265</f>
        <v>unid.</v>
      </c>
      <c r="K24" s="71"/>
    </row>
    <row r="25" spans="2:11" ht="20.100000000000001" customHeight="1" x14ac:dyDescent="0.35">
      <c r="B25" s="1178" t="str">
        <f>CÁLCULOS!C266</f>
        <v>MANILHA 1"</v>
      </c>
      <c r="C25" s="68"/>
      <c r="D25" s="68"/>
      <c r="E25" s="68"/>
      <c r="F25" s="68"/>
      <c r="G25" s="68"/>
      <c r="H25" s="68"/>
      <c r="I25" s="69">
        <f>CÁLCULOS!L266</f>
        <v>8</v>
      </c>
      <c r="J25" s="70" t="str">
        <f>CÁLCULOS!M266</f>
        <v>unid.</v>
      </c>
      <c r="K25" s="71"/>
    </row>
    <row r="26" spans="2:11" ht="20.100000000000001" customHeight="1" x14ac:dyDescent="0.35">
      <c r="B26" s="1178" t="str">
        <f>CÁLCULOS!C267</f>
        <v>MANILHA 5/8"</v>
      </c>
      <c r="C26" s="68"/>
      <c r="D26" s="68"/>
      <c r="E26" s="68"/>
      <c r="F26" s="68"/>
      <c r="G26" s="68"/>
      <c r="H26" s="68"/>
      <c r="I26" s="69">
        <f>CÁLCULOS!L267</f>
        <v>8</v>
      </c>
      <c r="J26" s="70" t="str">
        <f>CÁLCULOS!M267</f>
        <v>unid.</v>
      </c>
      <c r="K26" s="71"/>
    </row>
    <row r="27" spans="2:11" ht="20.100000000000001" customHeight="1" x14ac:dyDescent="0.35">
      <c r="B27" s="1178" t="str">
        <f>CÁLCULOS!C268</f>
        <v>MARTELO ELÉTRICO 5 kg</v>
      </c>
      <c r="C27" s="68"/>
      <c r="D27" s="68"/>
      <c r="E27" s="68"/>
      <c r="F27" s="68"/>
      <c r="G27" s="68"/>
      <c r="H27" s="68"/>
      <c r="I27" s="69">
        <f>CÁLCULOS!L268</f>
        <v>1</v>
      </c>
      <c r="J27" s="70" t="str">
        <f>CÁLCULOS!M268</f>
        <v>unid.</v>
      </c>
      <c r="K27" s="71"/>
    </row>
    <row r="28" spans="2:11" ht="20.100000000000001" customHeight="1" x14ac:dyDescent="0.35">
      <c r="B28" s="1178" t="str">
        <f>CÁLCULOS!C269</f>
        <v>FURADEIRA SDS PLUS</v>
      </c>
      <c r="C28" s="68"/>
      <c r="D28" s="68"/>
      <c r="E28" s="68"/>
      <c r="F28" s="68"/>
      <c r="G28" s="68"/>
      <c r="H28" s="68"/>
      <c r="I28" s="69">
        <f>CÁLCULOS!L269</f>
        <v>2</v>
      </c>
      <c r="J28" s="70" t="str">
        <f>CÁLCULOS!M269</f>
        <v>unid.</v>
      </c>
      <c r="K28" s="71"/>
    </row>
    <row r="29" spans="2:11" ht="20.100000000000001" customHeight="1" x14ac:dyDescent="0.35">
      <c r="B29" s="1178" t="str">
        <f>CÁLCULOS!C270</f>
        <v>PISTOLA DE CALAFETAGEM MAKITA Modelo - DCG180ZB completa com tubo 600 ml</v>
      </c>
      <c r="C29" s="68"/>
      <c r="D29" s="68"/>
      <c r="E29" s="68"/>
      <c r="F29" s="68"/>
      <c r="G29" s="68"/>
      <c r="H29" s="68"/>
      <c r="I29" s="69">
        <f>CÁLCULOS!L270</f>
        <v>2</v>
      </c>
      <c r="J29" s="70" t="str">
        <f>CÁLCULOS!M270</f>
        <v>unid.</v>
      </c>
      <c r="K29" s="71"/>
    </row>
    <row r="30" spans="2:11" ht="20.100000000000001" customHeight="1" x14ac:dyDescent="0.35">
      <c r="B30" s="1178" t="str">
        <f>CÁLCULOS!C271</f>
        <v>KIT COM 2 BATERIAS E CARREGADOR ( 18V BI 1830 + DC18rc) MAKITA 220V</v>
      </c>
      <c r="C30" s="68"/>
      <c r="D30" s="68"/>
      <c r="E30" s="68"/>
      <c r="F30" s="68"/>
      <c r="G30" s="68"/>
      <c r="H30" s="68"/>
      <c r="I30" s="69">
        <f>CÁLCULOS!L271</f>
        <v>2</v>
      </c>
      <c r="J30" s="70" t="str">
        <f>CÁLCULOS!M271</f>
        <v>unid.</v>
      </c>
      <c r="K30" s="71"/>
    </row>
    <row r="31" spans="2:11" ht="20.100000000000001" customHeight="1" x14ac:dyDescent="0.35">
      <c r="B31" s="1178" t="str">
        <f>CÁLCULOS!C272</f>
        <v>TALHA ALAVANCA 3 ton</v>
      </c>
      <c r="C31" s="68"/>
      <c r="D31" s="68"/>
      <c r="E31" s="68"/>
      <c r="F31" s="68"/>
      <c r="G31" s="68"/>
      <c r="H31" s="68"/>
      <c r="I31" s="69">
        <f>CÁLCULOS!L272</f>
        <v>1</v>
      </c>
      <c r="J31" s="70" t="str">
        <f>CÁLCULOS!M272</f>
        <v>unid.</v>
      </c>
      <c r="K31" s="71"/>
    </row>
    <row r="32" spans="2:11" ht="20.100000000000001" customHeight="1" x14ac:dyDescent="0.35">
      <c r="B32" s="1178" t="str">
        <f>CÁLCULOS!C273</f>
        <v>CARRINHO TIPO GIRICO</v>
      </c>
      <c r="C32" s="68"/>
      <c r="D32" s="68"/>
      <c r="E32" s="68"/>
      <c r="F32" s="68"/>
      <c r="G32" s="68"/>
      <c r="H32" s="68"/>
      <c r="I32" s="69">
        <f>CÁLCULOS!L273</f>
        <v>1</v>
      </c>
      <c r="J32" s="70" t="str">
        <f>CÁLCULOS!M273</f>
        <v>unid.</v>
      </c>
      <c r="K32" s="71"/>
    </row>
    <row r="33" spans="2:11" ht="20.100000000000001" customHeight="1" x14ac:dyDescent="0.35">
      <c r="B33" s="1178" t="str">
        <f>CÁLCULOS!C274</f>
        <v>CARRINHO 4 RODAS</v>
      </c>
      <c r="C33" s="68"/>
      <c r="D33" s="68"/>
      <c r="E33" s="68"/>
      <c r="F33" s="68"/>
      <c r="G33" s="68"/>
      <c r="H33" s="68"/>
      <c r="I33" s="69">
        <f>CÁLCULOS!L274</f>
        <v>1</v>
      </c>
      <c r="J33" s="70" t="str">
        <f>CÁLCULOS!M274</f>
        <v>unid.</v>
      </c>
      <c r="K33" s="71"/>
    </row>
    <row r="34" spans="2:11" ht="20.100000000000001" customHeight="1" x14ac:dyDescent="0.35">
      <c r="B34" s="1178" t="str">
        <f>CÁLCULOS!C275</f>
        <v>ESCORA METÁLICA   comprimento =</v>
      </c>
      <c r="C34" s="68"/>
      <c r="D34" s="72"/>
      <c r="E34" s="1246" t="str">
        <f ca="1">CÁLCULOS!F275</f>
        <v>5,8 m</v>
      </c>
      <c r="F34" s="1246" t="str">
        <f ca="1">CÁLCULOS!G275</f>
        <v>62 unid. durante 75 dias</v>
      </c>
      <c r="G34" s="1246"/>
      <c r="H34" s="1246"/>
      <c r="I34" s="69">
        <f ca="1">CÁLCULOS!L275</f>
        <v>62</v>
      </c>
      <c r="J34" s="70" t="str">
        <f>CÁLCULOS!M275</f>
        <v>unid.</v>
      </c>
      <c r="K34" s="71"/>
    </row>
    <row r="35" spans="2:11" ht="6" customHeight="1" x14ac:dyDescent="0.35">
      <c r="B35" s="544"/>
      <c r="C35" s="73"/>
      <c r="D35" s="73"/>
      <c r="E35" s="73"/>
      <c r="F35" s="73"/>
      <c r="G35" s="73"/>
      <c r="H35" s="73"/>
      <c r="I35" s="73"/>
      <c r="J35" s="73"/>
      <c r="K35" s="545"/>
    </row>
    <row r="36" spans="2:11" ht="20.100000000000001" customHeight="1" x14ac:dyDescent="0.35">
      <c r="B36" s="1178" t="str">
        <f>CÁLCULOS!C374</f>
        <v>COLHER DE PEDREIRO</v>
      </c>
      <c r="C36" s="68"/>
      <c r="D36" s="68"/>
      <c r="E36" s="68"/>
      <c r="F36" s="68"/>
      <c r="G36" s="68"/>
      <c r="H36" s="74"/>
      <c r="I36" s="69">
        <f>CÁLCULOS!J374</f>
        <v>3</v>
      </c>
      <c r="J36" s="70" t="str">
        <f>CÁLCULOS!K374</f>
        <v>unid.</v>
      </c>
      <c r="K36" s="71"/>
    </row>
    <row r="37" spans="2:11" ht="20.100000000000001" customHeight="1" x14ac:dyDescent="0.35">
      <c r="B37" s="1178" t="str">
        <f>CÁLCULOS!C375</f>
        <v>DESEMPENADEIRA DE AÇO</v>
      </c>
      <c r="C37" s="68"/>
      <c r="D37" s="68"/>
      <c r="E37" s="68"/>
      <c r="F37" s="68"/>
      <c r="G37" s="68"/>
      <c r="H37" s="74"/>
      <c r="I37" s="69">
        <f>CÁLCULOS!J375</f>
        <v>3</v>
      </c>
      <c r="J37" s="70" t="str">
        <f>CÁLCULOS!K375</f>
        <v>unid.</v>
      </c>
      <c r="K37" s="71"/>
    </row>
    <row r="38" spans="2:11" ht="20.100000000000001" customHeight="1" x14ac:dyDescent="0.35">
      <c r="B38" s="1178" t="str">
        <f>CÁLCULOS!C376</f>
        <v>RÉGUA DE ALUMÍNIO 5 cm  comprimento= 2,00 m</v>
      </c>
      <c r="C38" s="68"/>
      <c r="D38" s="68"/>
      <c r="E38" s="68"/>
      <c r="F38" s="68"/>
      <c r="G38" s="68"/>
      <c r="H38" s="74"/>
      <c r="I38" s="69">
        <f>CÁLCULOS!J376</f>
        <v>3</v>
      </c>
      <c r="J38" s="70" t="str">
        <f>CÁLCULOS!K376</f>
        <v>unid.</v>
      </c>
      <c r="K38" s="71"/>
    </row>
    <row r="39" spans="2:11" ht="20.100000000000001" customHeight="1" x14ac:dyDescent="0.35">
      <c r="B39" s="1178" t="str">
        <f>CÁLCULOS!C377</f>
        <v>ESPONJA ( CAMURÇA) 15x20 cm</v>
      </c>
      <c r="C39" s="68"/>
      <c r="D39" s="68"/>
      <c r="E39" s="68"/>
      <c r="F39" s="68"/>
      <c r="G39" s="68"/>
      <c r="H39" s="74"/>
      <c r="I39" s="69">
        <f>CÁLCULOS!J377</f>
        <v>10</v>
      </c>
      <c r="J39" s="70" t="str">
        <f>CÁLCULOS!K377</f>
        <v>unid.</v>
      </c>
      <c r="K39" s="71"/>
    </row>
    <row r="40" spans="2:11" ht="20.100000000000001" customHeight="1" x14ac:dyDescent="0.35">
      <c r="B40" s="1178" t="str">
        <f>CÁLCULOS!C378</f>
        <v>MOTOR VIBRADOR À GASOLINA</v>
      </c>
      <c r="C40" s="68"/>
      <c r="D40" s="68"/>
      <c r="E40" s="68"/>
      <c r="F40" s="68"/>
      <c r="G40" s="68"/>
      <c r="H40" s="74"/>
      <c r="I40" s="69">
        <f>CÁLCULOS!J378</f>
        <v>2</v>
      </c>
      <c r="J40" s="70" t="str">
        <f>CÁLCULOS!K378</f>
        <v>unid.</v>
      </c>
      <c r="K40" s="71"/>
    </row>
    <row r="41" spans="2:11" ht="20.100000000000001" customHeight="1" x14ac:dyDescent="0.35">
      <c r="B41" s="1178" t="str">
        <f>CÁLCULOS!C379</f>
        <v>MANGOTE VIBRADOR 40 mm</v>
      </c>
      <c r="C41" s="68"/>
      <c r="D41" s="68"/>
      <c r="E41" s="68"/>
      <c r="F41" s="68"/>
      <c r="G41" s="68"/>
      <c r="H41" s="74"/>
      <c r="I41" s="69">
        <f>CÁLCULOS!J379</f>
        <v>2</v>
      </c>
      <c r="J41" s="70" t="str">
        <f>CÁLCULOS!K379</f>
        <v>unid.</v>
      </c>
      <c r="K41" s="71"/>
    </row>
    <row r="42" spans="2:11" ht="5.25" customHeight="1" x14ac:dyDescent="0.35">
      <c r="B42" s="544"/>
      <c r="C42" s="73"/>
      <c r="D42" s="73"/>
      <c r="E42" s="73"/>
      <c r="F42" s="73"/>
      <c r="G42" s="73"/>
      <c r="H42" s="73"/>
      <c r="I42" s="73"/>
      <c r="J42" s="73"/>
      <c r="K42" s="545"/>
    </row>
    <row r="43" spans="2:11" ht="20.100000000000001" customHeight="1" x14ac:dyDescent="0.35">
      <c r="B43" s="1178" t="str">
        <f>CÁLCULOS!C354</f>
        <v>TALHA ELÉTRICA de 150 a 300 kg  600W 220V</v>
      </c>
      <c r="C43" s="68"/>
      <c r="D43" s="68"/>
      <c r="E43" s="68"/>
      <c r="F43" s="68"/>
      <c r="G43" s="68"/>
      <c r="H43" s="74"/>
      <c r="I43" s="69">
        <f>CÁLCULOS!J354</f>
        <v>1</v>
      </c>
      <c r="J43" s="70" t="str">
        <f>CÁLCULOS!K354</f>
        <v>unid.</v>
      </c>
      <c r="K43" s="71"/>
    </row>
    <row r="44" spans="2:11" ht="20.100000000000001" customHeight="1" x14ac:dyDescent="0.35">
      <c r="B44" s="1178" t="str">
        <f>CÁLCULOS!C355</f>
        <v>MÁQUINA DE EMPURRAR CABOS</v>
      </c>
      <c r="C44" s="68"/>
      <c r="D44" s="68"/>
      <c r="E44" s="68"/>
      <c r="F44" s="68"/>
      <c r="G44" s="68"/>
      <c r="H44" s="74"/>
      <c r="I44" s="69">
        <f>CÁLCULOS!J355</f>
        <v>0</v>
      </c>
      <c r="J44" s="70" t="str">
        <f>CÁLCULOS!K355</f>
        <v>unid.</v>
      </c>
      <c r="K44" s="71"/>
    </row>
    <row r="45" spans="2:11" ht="20.100000000000001" customHeight="1" x14ac:dyDescent="0.35">
      <c r="B45" s="1178" t="str">
        <f>CÁLCULOS!C356</f>
        <v>MACACO HIDRÁULICO 700 bar</v>
      </c>
      <c r="C45" s="68"/>
      <c r="D45" s="68"/>
      <c r="E45" s="68"/>
      <c r="F45" s="68"/>
      <c r="G45" s="68"/>
      <c r="H45" s="74"/>
      <c r="I45" s="69">
        <f>CÁLCULOS!J356</f>
        <v>0</v>
      </c>
      <c r="J45" s="70" t="str">
        <f>CÁLCULOS!K356</f>
        <v>unid.</v>
      </c>
      <c r="K45" s="71"/>
    </row>
    <row r="46" spans="2:11" ht="20.100000000000001" customHeight="1" x14ac:dyDescent="0.35">
      <c r="B46" s="1178" t="str">
        <f>CÁLCULOS!C357</f>
        <v>ADAPTADOR PARA TENSIONAMENTO JUNTO AO MACACO</v>
      </c>
      <c r="C46" s="68"/>
      <c r="D46" s="68"/>
      <c r="E46" s="68"/>
      <c r="F46" s="68"/>
      <c r="G46" s="68"/>
      <c r="H46" s="74"/>
      <c r="I46" s="69">
        <f>CÁLCULOS!J357</f>
        <v>0</v>
      </c>
      <c r="J46" s="70" t="str">
        <f>CÁLCULOS!K357</f>
        <v>unid.</v>
      </c>
      <c r="K46" s="71"/>
    </row>
    <row r="47" spans="2:11" ht="20.100000000000001" customHeight="1" x14ac:dyDescent="0.35">
      <c r="B47" s="1178" t="str">
        <f>CÁLCULOS!C358</f>
        <v>LIXADEIRA 7"</v>
      </c>
      <c r="C47" s="68"/>
      <c r="D47" s="68"/>
      <c r="E47" s="68"/>
      <c r="F47" s="68"/>
      <c r="G47" s="68"/>
      <c r="H47" s="74"/>
      <c r="I47" s="69">
        <f>CÁLCULOS!J358</f>
        <v>2</v>
      </c>
      <c r="J47" s="70" t="str">
        <f>CÁLCULOS!K358</f>
        <v>unid.</v>
      </c>
      <c r="K47" s="71"/>
    </row>
    <row r="48" spans="2:11" ht="20.100000000000001" customHeight="1" x14ac:dyDescent="0.35">
      <c r="B48" s="1178" t="str">
        <f>CÁLCULOS!C359</f>
        <v>DECAPADOR DE CABO À QUENTE</v>
      </c>
      <c r="C48" s="68"/>
      <c r="D48" s="68"/>
      <c r="E48" s="68"/>
      <c r="F48" s="68"/>
      <c r="G48" s="68"/>
      <c r="H48" s="74"/>
      <c r="I48" s="69">
        <f>CÁLCULOS!J359</f>
        <v>2</v>
      </c>
      <c r="J48" s="70" t="str">
        <f>CÁLCULOS!K359</f>
        <v>unid.</v>
      </c>
      <c r="K48" s="71"/>
    </row>
    <row r="49" spans="2:11" ht="4.5" customHeight="1" x14ac:dyDescent="0.35">
      <c r="B49" s="544"/>
      <c r="C49" s="73"/>
      <c r="D49" s="73"/>
      <c r="E49" s="73"/>
      <c r="F49" s="73"/>
      <c r="G49" s="73"/>
      <c r="H49" s="73"/>
      <c r="I49" s="73"/>
      <c r="J49" s="73"/>
      <c r="K49" s="545"/>
    </row>
    <row r="50" spans="2:11" ht="20.100000000000001" customHeight="1" x14ac:dyDescent="0.35">
      <c r="B50" s="1178" t="str">
        <f>CÁLCULOS!C397</f>
        <v>MÁQUINA DE INJEÇÃO COM TUBULAÇÃO</v>
      </c>
      <c r="C50" s="68"/>
      <c r="D50" s="68"/>
      <c r="E50" s="68"/>
      <c r="F50" s="68"/>
      <c r="G50" s="68"/>
      <c r="H50" s="68"/>
      <c r="I50" s="69">
        <f>CÁLCULOS!L397</f>
        <v>0</v>
      </c>
      <c r="J50" s="70" t="str">
        <f>CÁLCULOS!M397</f>
        <v>unid.</v>
      </c>
      <c r="K50" s="71"/>
    </row>
    <row r="51" spans="2:11" ht="20.100000000000001" customHeight="1" x14ac:dyDescent="0.35">
      <c r="B51" s="1178" t="str">
        <f>CÁLCULOS!C398</f>
        <v>FLUTUADORES  -------------</v>
      </c>
      <c r="C51" s="1178"/>
      <c r="D51" s="1247" t="str">
        <f ca="1">CÁLCULOS!E398</f>
        <v>62 unidades durante 107 dias</v>
      </c>
      <c r="E51" s="1247"/>
      <c r="F51" s="1247"/>
      <c r="G51" s="1247"/>
      <c r="H51" s="1247"/>
      <c r="I51" s="69">
        <f>CÁLCULOS!L398</f>
        <v>0</v>
      </c>
      <c r="J51" s="70" t="str">
        <f>CÁLCULOS!M398</f>
        <v>unid.</v>
      </c>
      <c r="K51" s="71"/>
    </row>
    <row r="52" spans="2:11" ht="4.5" customHeight="1" x14ac:dyDescent="0.35">
      <c r="B52" s="544"/>
      <c r="C52" s="73"/>
      <c r="D52" s="73"/>
      <c r="E52" s="73"/>
      <c r="F52" s="73"/>
      <c r="G52" s="73"/>
      <c r="H52" s="73"/>
      <c r="I52" s="73"/>
      <c r="J52" s="73"/>
      <c r="K52" s="545"/>
    </row>
    <row r="53" spans="2:11" ht="20.100000000000001" customHeight="1" x14ac:dyDescent="0.35">
      <c r="B53" s="1178" t="str">
        <f>CÁLCULOS!C407</f>
        <v xml:space="preserve">TRINCHA </v>
      </c>
      <c r="C53" s="68"/>
      <c r="D53" s="68"/>
      <c r="E53" s="68"/>
      <c r="F53" s="68"/>
      <c r="G53" s="68"/>
      <c r="H53" s="68"/>
      <c r="I53" s="69">
        <f>CÁLCULOS!L407</f>
        <v>3</v>
      </c>
      <c r="J53" s="70" t="str">
        <f>CÁLCULOS!M407</f>
        <v>unid.</v>
      </c>
      <c r="K53" s="71"/>
    </row>
    <row r="54" spans="2:11" ht="20.100000000000001" customHeight="1" x14ac:dyDescent="0.35">
      <c r="B54" s="1178" t="str">
        <f>CÁLCULOS!C408</f>
        <v>PINCEL 2 1/2"</v>
      </c>
      <c r="C54" s="68"/>
      <c r="D54" s="68"/>
      <c r="E54" s="68"/>
      <c r="F54" s="68"/>
      <c r="G54" s="68"/>
      <c r="H54" s="68"/>
      <c r="I54" s="69">
        <f>CÁLCULOS!L408</f>
        <v>10</v>
      </c>
      <c r="J54" s="70" t="str">
        <f>CÁLCULOS!M408</f>
        <v>unid.</v>
      </c>
      <c r="K54" s="71"/>
    </row>
    <row r="55" spans="2:11" ht="20.100000000000001" customHeight="1" x14ac:dyDescent="0.35">
      <c r="B55" s="1178" t="str">
        <f>CÁLCULOS!C409</f>
        <v>BALDE PLÁSTICO</v>
      </c>
      <c r="C55" s="68"/>
      <c r="D55" s="68"/>
      <c r="E55" s="68"/>
      <c r="F55" s="68"/>
      <c r="G55" s="68"/>
      <c r="H55" s="68"/>
      <c r="I55" s="69">
        <f>CÁLCULOS!L409</f>
        <v>5</v>
      </c>
      <c r="J55" s="70" t="str">
        <f>CÁLCULOS!M409</f>
        <v>unid.</v>
      </c>
      <c r="K55" s="71"/>
    </row>
    <row r="56" spans="2:11" ht="18.75" customHeight="1" x14ac:dyDescent="0.35">
      <c r="B56" s="73"/>
      <c r="C56" s="73"/>
      <c r="D56" s="73"/>
      <c r="E56" s="73"/>
      <c r="F56" s="73"/>
      <c r="G56" s="73"/>
      <c r="H56" s="73"/>
      <c r="I56" s="2212"/>
      <c r="J56" s="2213"/>
      <c r="K56" s="2213"/>
    </row>
  </sheetData>
  <sheetProtection password="D99F" sheet="1" sort="0"/>
  <protectedRanges>
    <protectedRange sqref="E3:K4" name="Intervalo17"/>
  </protectedRanges>
  <mergeCells count="7">
    <mergeCell ref="B5:H5"/>
    <mergeCell ref="J5:K5"/>
    <mergeCell ref="I56:K56"/>
    <mergeCell ref="B1:C4"/>
    <mergeCell ref="D1:K2"/>
    <mergeCell ref="E3:K3"/>
    <mergeCell ref="E4:K4"/>
  </mergeCells>
  <printOptions horizontalCentered="1"/>
  <pageMargins left="0.59055118110236227" right="0.19685039370078741" top="0.39370078740157483" bottom="0.39370078740157483" header="0.78740157480314965" footer="0.11811023622047245"/>
  <pageSetup paperSize="9" scale="79" orientation="portrait" horizontalDpi="4294967294" verticalDpi="4294967294"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8"/>
  <dimension ref="A1:J38"/>
  <sheetViews>
    <sheetView showGridLines="0" showZeros="0" topLeftCell="A28" zoomScaleNormal="100" workbookViewId="0">
      <selection activeCell="H32" sqref="H32"/>
    </sheetView>
  </sheetViews>
  <sheetFormatPr defaultRowHeight="12.75" x14ac:dyDescent="0.35"/>
  <cols>
    <col min="1" max="1" width="10.59765625" customWidth="1"/>
    <col min="2" max="2" width="12.3984375" customWidth="1"/>
    <col min="3" max="3" width="10.86328125" customWidth="1"/>
    <col min="4" max="4" width="11.86328125" customWidth="1"/>
    <col min="5" max="5" width="8.3984375" customWidth="1"/>
    <col min="6" max="6" width="7.3984375" customWidth="1"/>
    <col min="7" max="7" width="17.59765625" customWidth="1"/>
    <col min="8" max="8" width="9.59765625" customWidth="1"/>
    <col min="9" max="9" width="1.1328125" customWidth="1"/>
    <col min="10" max="10" width="7.1328125" customWidth="1"/>
    <col min="11" max="11" width="9.59765625" customWidth="1"/>
    <col min="12" max="13" width="1.1328125" customWidth="1"/>
    <col min="14" max="14" width="13.3984375" bestFit="1" customWidth="1"/>
  </cols>
  <sheetData>
    <row r="1" spans="1:10" x14ac:dyDescent="0.35">
      <c r="A1" s="1533"/>
      <c r="B1" s="1535"/>
      <c r="C1" s="1393" t="s">
        <v>2576</v>
      </c>
      <c r="D1" s="1393"/>
      <c r="E1" s="1393"/>
      <c r="F1" s="1393"/>
      <c r="G1" s="1393"/>
      <c r="H1" s="1393"/>
      <c r="I1" s="1393"/>
      <c r="J1" s="1393"/>
    </row>
    <row r="2" spans="1:10" x14ac:dyDescent="0.35">
      <c r="A2" s="1536"/>
      <c r="B2" s="1538"/>
      <c r="C2" s="1393"/>
      <c r="D2" s="1393"/>
      <c r="E2" s="1393"/>
      <c r="F2" s="1393"/>
      <c r="G2" s="1393"/>
      <c r="H2" s="1393"/>
      <c r="I2" s="1393"/>
      <c r="J2" s="1393"/>
    </row>
    <row r="3" spans="1:10" x14ac:dyDescent="0.35">
      <c r="A3" s="1536"/>
      <c r="B3" s="1538"/>
      <c r="C3" s="985" t="s">
        <v>5</v>
      </c>
      <c r="D3" s="1500" t="str">
        <f>CÁLCULOS!F3</f>
        <v>Passarelli</v>
      </c>
      <c r="E3" s="1500"/>
      <c r="F3" s="1500"/>
      <c r="G3" s="1500"/>
      <c r="H3" s="1500"/>
      <c r="I3" s="1500"/>
      <c r="J3" s="1501"/>
    </row>
    <row r="4" spans="1:10" x14ac:dyDescent="0.35">
      <c r="A4" s="1539"/>
      <c r="B4" s="1541"/>
      <c r="C4" s="821" t="s">
        <v>7</v>
      </c>
      <c r="D4" s="1487" t="str">
        <f>CÁLCULOS!F4</f>
        <v>12 tqs Nereda</v>
      </c>
      <c r="E4" s="1487"/>
      <c r="F4" s="1487"/>
      <c r="G4" s="1487"/>
      <c r="H4" s="1487"/>
      <c r="I4" s="1487"/>
      <c r="J4" s="1488"/>
    </row>
    <row r="6" spans="1:10" ht="20.100000000000001" customHeight="1" x14ac:dyDescent="0.35">
      <c r="A6" s="1470" t="str">
        <f>CÁLCULOS!C565</f>
        <v xml:space="preserve">MONTAGEM COMPLETA - MATERIAIS E EQUIPAMENTOS DE SEGURANÇA </v>
      </c>
      <c r="B6" s="1470">
        <f>CÁLCULOS!D565</f>
        <v>0</v>
      </c>
      <c r="C6" s="1470">
        <f>CÁLCULOS!E565</f>
        <v>0</v>
      </c>
      <c r="D6" s="1470">
        <f>CÁLCULOS!F565</f>
        <v>0</v>
      </c>
      <c r="E6" s="1470">
        <f>CÁLCULOS!G565</f>
        <v>0</v>
      </c>
      <c r="F6" s="1470">
        <f>CÁLCULOS!H565</f>
        <v>0</v>
      </c>
      <c r="G6" s="1470">
        <f>CÁLCULOS!I565</f>
        <v>0</v>
      </c>
      <c r="H6" s="1079" t="s">
        <v>275</v>
      </c>
      <c r="I6" s="1324" t="s">
        <v>891</v>
      </c>
      <c r="J6" s="1326"/>
    </row>
    <row r="7" spans="1:10" ht="20.100000000000001" customHeight="1" x14ac:dyDescent="0.35">
      <c r="A7" s="1178" t="str">
        <f>CÁLCULOS!C566</f>
        <v>CALÇA UNIFORME NA MONTAGEM</v>
      </c>
      <c r="B7" s="68"/>
      <c r="C7" s="68"/>
      <c r="D7" s="68"/>
      <c r="E7" s="68"/>
      <c r="F7" s="68"/>
      <c r="G7" s="68"/>
      <c r="H7" s="69">
        <f ca="1">CÁLCULOS!L566</f>
        <v>15</v>
      </c>
      <c r="I7" s="70" t="str">
        <f>CÁLCULOS!M566</f>
        <v>unid.</v>
      </c>
      <c r="J7" s="71"/>
    </row>
    <row r="8" spans="1:10" ht="20.100000000000001" customHeight="1" x14ac:dyDescent="0.35">
      <c r="A8" s="1178" t="str">
        <f>CÁLCULOS!C567</f>
        <v>CAMISA UNIFORME NA MONTAGEM</v>
      </c>
      <c r="B8" s="68"/>
      <c r="C8" s="68"/>
      <c r="D8" s="68"/>
      <c r="E8" s="68"/>
      <c r="F8" s="68"/>
      <c r="G8" s="68"/>
      <c r="H8" s="69">
        <f ca="1">CÁLCULOS!L567</f>
        <v>16</v>
      </c>
      <c r="I8" s="70" t="str">
        <f>CÁLCULOS!M567</f>
        <v>unid.</v>
      </c>
      <c r="J8" s="71"/>
    </row>
    <row r="9" spans="1:10" ht="20.100000000000001" customHeight="1" x14ac:dyDescent="0.35">
      <c r="A9" s="1178" t="str">
        <f>CÁLCULOS!C568</f>
        <v>BOTA DE BORRACHA NA MONTAGEM</v>
      </c>
      <c r="B9" s="68"/>
      <c r="C9" s="68"/>
      <c r="D9" s="68"/>
      <c r="E9" s="68"/>
      <c r="F9" s="68"/>
      <c r="G9" s="68"/>
      <c r="H9" s="69">
        <f ca="1">CÁLCULOS!L568</f>
        <v>21</v>
      </c>
      <c r="I9" s="70" t="str">
        <f>CÁLCULOS!M568</f>
        <v>unid.</v>
      </c>
      <c r="J9" s="71"/>
    </row>
    <row r="10" spans="1:10" ht="20.100000000000001" customHeight="1" x14ac:dyDescent="0.35">
      <c r="A10" s="1178" t="str">
        <f>CÁLCULOS!C569</f>
        <v>BOTA DE COURO NA MONTAGEM</v>
      </c>
      <c r="B10" s="68"/>
      <c r="C10" s="68"/>
      <c r="D10" s="68"/>
      <c r="E10" s="68"/>
      <c r="F10" s="68"/>
      <c r="G10" s="68"/>
      <c r="H10" s="69">
        <f ca="1">CÁLCULOS!L569</f>
        <v>31</v>
      </c>
      <c r="I10" s="70" t="str">
        <f>CÁLCULOS!M569</f>
        <v>unid.</v>
      </c>
      <c r="J10" s="71"/>
    </row>
    <row r="11" spans="1:10" ht="20.100000000000001" customHeight="1" x14ac:dyDescent="0.35">
      <c r="A11" s="1178" t="str">
        <f>CÁLCULOS!C570</f>
        <v>CAPACETE NA MONTAGEM</v>
      </c>
      <c r="B11" s="68"/>
      <c r="C11" s="68"/>
      <c r="D11" s="68"/>
      <c r="E11" s="68"/>
      <c r="F11" s="68"/>
      <c r="G11" s="68"/>
      <c r="H11" s="69">
        <f ca="1">CÁLCULOS!L570</f>
        <v>8</v>
      </c>
      <c r="I11" s="70" t="str">
        <f>CÁLCULOS!M570</f>
        <v>unid.</v>
      </c>
      <c r="J11" s="71"/>
    </row>
    <row r="12" spans="1:10" ht="20.100000000000001" customHeight="1" x14ac:dyDescent="0.35">
      <c r="A12" s="1178" t="str">
        <f>CÁLCULOS!C571</f>
        <v>PROTETOR AURICULA NA MONTAGEM</v>
      </c>
      <c r="B12" s="68"/>
      <c r="C12" s="68"/>
      <c r="D12" s="68"/>
      <c r="E12" s="68"/>
      <c r="F12" s="68"/>
      <c r="G12" s="68"/>
      <c r="H12" s="69">
        <f ca="1">CÁLCULOS!L571</f>
        <v>52</v>
      </c>
      <c r="I12" s="70" t="str">
        <f>CÁLCULOS!M571</f>
        <v>unid.</v>
      </c>
      <c r="J12" s="71"/>
    </row>
    <row r="13" spans="1:10" ht="20.100000000000001" customHeight="1" x14ac:dyDescent="0.35">
      <c r="A13" s="1178" t="str">
        <f>CÁLCULOS!C572</f>
        <v>ÓCULOS DE SEGURANÇA NA MONTAGEM</v>
      </c>
      <c r="B13" s="68"/>
      <c r="C13" s="68"/>
      <c r="D13" s="68"/>
      <c r="E13" s="68"/>
      <c r="F13" s="68"/>
      <c r="G13" s="68"/>
      <c r="H13" s="69">
        <f ca="1">CÁLCULOS!L572</f>
        <v>52</v>
      </c>
      <c r="I13" s="70" t="str">
        <f>CÁLCULOS!M572</f>
        <v>unid.</v>
      </c>
      <c r="J13" s="71"/>
    </row>
    <row r="14" spans="1:10" ht="20.100000000000001" customHeight="1" x14ac:dyDescent="0.35">
      <c r="A14" s="1178" t="str">
        <f>CÁLCULOS!C573</f>
        <v>LUVA DE PIGMENTO NA MONTAGEM</v>
      </c>
      <c r="B14" s="68"/>
      <c r="C14" s="68"/>
      <c r="D14" s="68"/>
      <c r="E14" s="68"/>
      <c r="F14" s="68"/>
      <c r="G14" s="68"/>
      <c r="H14" s="69">
        <f ca="1">CÁLCULOS!L573</f>
        <v>31</v>
      </c>
      <c r="I14" s="70" t="str">
        <f>CÁLCULOS!M573</f>
        <v>unid.</v>
      </c>
      <c r="J14" s="71"/>
    </row>
    <row r="15" spans="1:10" ht="20.100000000000001" customHeight="1" x14ac:dyDescent="0.35">
      <c r="A15" s="1178" t="str">
        <f>CÁLCULOS!C574</f>
        <v>LUVA DE RASPA NA MONTAGEM</v>
      </c>
      <c r="B15" s="68"/>
      <c r="C15" s="68"/>
      <c r="D15" s="68"/>
      <c r="E15" s="68"/>
      <c r="F15" s="68"/>
      <c r="G15" s="68"/>
      <c r="H15" s="69">
        <f ca="1">CÁLCULOS!L574</f>
        <v>31</v>
      </c>
      <c r="I15" s="70" t="str">
        <f>CÁLCULOS!M574</f>
        <v>unid.</v>
      </c>
      <c r="J15" s="71"/>
    </row>
    <row r="16" spans="1:10" ht="20.100000000000001" customHeight="1" x14ac:dyDescent="0.35">
      <c r="A16" s="1178" t="str">
        <f>CÁLCULOS!C575</f>
        <v>LUVA DE PVC NA MONTAGEM</v>
      </c>
      <c r="B16" s="68"/>
      <c r="C16" s="68"/>
      <c r="D16" s="68"/>
      <c r="E16" s="68"/>
      <c r="F16" s="68"/>
      <c r="G16" s="68"/>
      <c r="H16" s="69">
        <f ca="1">CÁLCULOS!L575</f>
        <v>31</v>
      </c>
      <c r="I16" s="70" t="str">
        <f>CÁLCULOS!M575</f>
        <v>unid.</v>
      </c>
      <c r="J16" s="71"/>
    </row>
    <row r="17" spans="1:10" ht="20.100000000000001" customHeight="1" x14ac:dyDescent="0.35">
      <c r="A17" s="1178" t="str">
        <f>CÁLCULOS!C576</f>
        <v>AVENTAL DE SEGURANÇA NA MONTAGEM</v>
      </c>
      <c r="B17" s="68"/>
      <c r="C17" s="68"/>
      <c r="D17" s="68"/>
      <c r="E17" s="68"/>
      <c r="F17" s="68"/>
      <c r="G17" s="68"/>
      <c r="H17" s="69">
        <f ca="1">CÁLCULOS!L576</f>
        <v>16</v>
      </c>
      <c r="I17" s="70" t="str">
        <f>CÁLCULOS!M576</f>
        <v>unid.</v>
      </c>
      <c r="J17" s="71"/>
    </row>
    <row r="18" spans="1:10" ht="20.100000000000001" customHeight="1" x14ac:dyDescent="0.35">
      <c r="A18" s="1178" t="str">
        <f>CÁLCULOS!C577</f>
        <v>MASCARA PARA PÓ NA MONTAGEM</v>
      </c>
      <c r="B18" s="68"/>
      <c r="C18" s="68"/>
      <c r="D18" s="68"/>
      <c r="E18" s="68"/>
      <c r="F18" s="68"/>
      <c r="G18" s="68"/>
      <c r="H18" s="69">
        <f ca="1">CÁLCULOS!L577</f>
        <v>105</v>
      </c>
      <c r="I18" s="70" t="str">
        <f>CÁLCULOS!M577</f>
        <v>unid.</v>
      </c>
      <c r="J18" s="71"/>
    </row>
    <row r="19" spans="1:10" ht="20.100000000000001" customHeight="1" x14ac:dyDescent="0.35">
      <c r="A19" s="1178" t="str">
        <f>CÁLCULOS!C578</f>
        <v>PROTETOR FACIAL NA MONTAGEM</v>
      </c>
      <c r="B19" s="68"/>
      <c r="C19" s="68"/>
      <c r="D19" s="68"/>
      <c r="E19" s="68"/>
      <c r="F19" s="68"/>
      <c r="G19" s="68"/>
      <c r="H19" s="69">
        <f ca="1">CÁLCULOS!L578</f>
        <v>16</v>
      </c>
      <c r="I19" s="70" t="str">
        <f>CÁLCULOS!M578</f>
        <v>unid.</v>
      </c>
      <c r="J19" s="71"/>
    </row>
    <row r="20" spans="1:10" ht="20.100000000000001" customHeight="1" x14ac:dyDescent="0.35">
      <c r="A20" s="1178" t="str">
        <f>CÁLCULOS!C579</f>
        <v>CINTO DE SEGURANÇA NA MONTAGEM</v>
      </c>
      <c r="B20" s="68"/>
      <c r="C20" s="68"/>
      <c r="D20" s="68"/>
      <c r="E20" s="68"/>
      <c r="F20" s="68"/>
      <c r="G20" s="68"/>
      <c r="H20" s="69">
        <f ca="1">CÁLCULOS!L579</f>
        <v>8</v>
      </c>
      <c r="I20" s="70" t="str">
        <f>CÁLCULOS!M579</f>
        <v>unid.</v>
      </c>
      <c r="J20" s="71"/>
    </row>
    <row r="21" spans="1:10" ht="20.100000000000001" customHeight="1" x14ac:dyDescent="0.35">
      <c r="A21" s="1178" t="str">
        <f>CÁLCULOS!C580</f>
        <v>TRAVA QUEDA NA MONTAGEM</v>
      </c>
      <c r="B21" s="68"/>
      <c r="C21" s="68"/>
      <c r="D21" s="68"/>
      <c r="E21" s="68"/>
      <c r="F21" s="68"/>
      <c r="G21" s="68"/>
      <c r="H21" s="69">
        <f ca="1">CÁLCULOS!L580</f>
        <v>4</v>
      </c>
      <c r="I21" s="70" t="str">
        <f>CÁLCULOS!M580</f>
        <v>unid.</v>
      </c>
      <c r="J21" s="71"/>
    </row>
    <row r="22" spans="1:10" ht="20.100000000000001" customHeight="1" x14ac:dyDescent="0.35">
      <c r="A22" s="1178" t="str">
        <f>CÁLCULOS!C581</f>
        <v>CERQUITE H=1,20m NA MONTAGEM</v>
      </c>
      <c r="B22" s="68"/>
      <c r="C22" s="68"/>
      <c r="D22" s="68"/>
      <c r="E22" s="68"/>
      <c r="F22" s="68"/>
      <c r="G22" s="68"/>
      <c r="H22" s="69">
        <f ca="1">CÁLCULOS!L581</f>
        <v>1190.3999999999999</v>
      </c>
      <c r="I22" s="70" t="str">
        <f>CÁLCULOS!M581</f>
        <v>m²</v>
      </c>
      <c r="J22" s="71"/>
    </row>
    <row r="24" spans="1:10" ht="24" customHeight="1" x14ac:dyDescent="0.35">
      <c r="A24" s="1470" t="s">
        <v>628</v>
      </c>
      <c r="B24" s="1470"/>
      <c r="C24" s="1470"/>
      <c r="D24" s="1470"/>
      <c r="E24" s="1470"/>
      <c r="F24" s="1470"/>
      <c r="G24" s="1470"/>
      <c r="H24" s="1079" t="s">
        <v>275</v>
      </c>
      <c r="I24" s="1324" t="s">
        <v>891</v>
      </c>
      <c r="J24" s="1326"/>
    </row>
    <row r="25" spans="1:10" ht="19.5" customHeight="1" x14ac:dyDescent="0.35">
      <c r="A25" s="1178" t="str">
        <f>CÁLCULOS!C778</f>
        <v>CALÇA UNIFORME NA FABRICAÇÃO</v>
      </c>
      <c r="B25" s="68"/>
      <c r="C25" s="68"/>
      <c r="D25" s="68"/>
      <c r="E25" s="68"/>
      <c r="F25" s="68"/>
      <c r="G25" s="68"/>
      <c r="H25" s="1234">
        <f ca="1">CÁLCULOS!L778</f>
        <v>8</v>
      </c>
      <c r="I25" s="1626" t="str">
        <f>CÁLCULOS!M778</f>
        <v>unid.</v>
      </c>
      <c r="J25" s="1627"/>
    </row>
    <row r="26" spans="1:10" ht="19.5" customHeight="1" x14ac:dyDescent="0.35">
      <c r="A26" s="1178" t="str">
        <f>CÁLCULOS!C779</f>
        <v>CAMISA UNIFORME NA FABRICAÇÃO</v>
      </c>
      <c r="B26" s="68"/>
      <c r="C26" s="68"/>
      <c r="D26" s="68"/>
      <c r="E26" s="68"/>
      <c r="F26" s="68"/>
      <c r="G26" s="68"/>
      <c r="H26" s="1234">
        <f ca="1">CÁLCULOS!L779</f>
        <v>8</v>
      </c>
      <c r="I26" s="1626" t="str">
        <f>CÁLCULOS!M779</f>
        <v>unid.</v>
      </c>
      <c r="J26" s="1627"/>
    </row>
    <row r="27" spans="1:10" ht="19.5" customHeight="1" x14ac:dyDescent="0.35">
      <c r="A27" s="1178" t="str">
        <f>CÁLCULOS!C780</f>
        <v>BOTA DE BORRACHA NA FABRICAÇÃO</v>
      </c>
      <c r="B27" s="68"/>
      <c r="C27" s="68"/>
      <c r="D27" s="68"/>
      <c r="E27" s="68"/>
      <c r="F27" s="68"/>
      <c r="G27" s="68"/>
      <c r="H27" s="1234">
        <f ca="1">CÁLCULOS!L780</f>
        <v>9</v>
      </c>
      <c r="I27" s="1626" t="str">
        <f>CÁLCULOS!M780</f>
        <v>unid.</v>
      </c>
      <c r="J27" s="1627"/>
    </row>
    <row r="28" spans="1:10" ht="19.5" customHeight="1" x14ac:dyDescent="0.35">
      <c r="A28" s="1178" t="str">
        <f>CÁLCULOS!C781</f>
        <v>BOTA DE COURO NA FABRICAÇÃO</v>
      </c>
      <c r="B28" s="68"/>
      <c r="C28" s="68"/>
      <c r="D28" s="68"/>
      <c r="E28" s="68"/>
      <c r="F28" s="68"/>
      <c r="G28" s="68"/>
      <c r="H28" s="1234">
        <f ca="1">CÁLCULOS!L781</f>
        <v>15</v>
      </c>
      <c r="I28" s="1626" t="str">
        <f>CÁLCULOS!M781</f>
        <v>unid.</v>
      </c>
      <c r="J28" s="1627"/>
    </row>
    <row r="29" spans="1:10" ht="19.5" customHeight="1" x14ac:dyDescent="0.35">
      <c r="A29" s="1178" t="str">
        <f>CÁLCULOS!C782</f>
        <v>CAPACETE NA FABRICAÇÃO</v>
      </c>
      <c r="B29" s="68"/>
      <c r="C29" s="68"/>
      <c r="D29" s="68"/>
      <c r="E29" s="68"/>
      <c r="F29" s="68"/>
      <c r="G29" s="68"/>
      <c r="H29" s="1234">
        <f ca="1">CÁLCULOS!L782</f>
        <v>4</v>
      </c>
      <c r="I29" s="1626" t="str">
        <f>CÁLCULOS!M782</f>
        <v>unid.</v>
      </c>
      <c r="J29" s="1627"/>
    </row>
    <row r="30" spans="1:10" ht="19.5" customHeight="1" x14ac:dyDescent="0.35">
      <c r="A30" s="1178" t="str">
        <f>CÁLCULOS!C783</f>
        <v>PROTETOR AURICULA NA FABRICAÇÃO</v>
      </c>
      <c r="B30" s="68"/>
      <c r="C30" s="68"/>
      <c r="D30" s="68"/>
      <c r="E30" s="68"/>
      <c r="F30" s="68"/>
      <c r="G30" s="68"/>
      <c r="H30" s="1234">
        <f ca="1">CÁLCULOS!L783</f>
        <v>46</v>
      </c>
      <c r="I30" s="1626" t="str">
        <f>CÁLCULOS!M783</f>
        <v>unid.</v>
      </c>
      <c r="J30" s="1627"/>
    </row>
    <row r="31" spans="1:10" ht="19.5" customHeight="1" x14ac:dyDescent="0.35">
      <c r="A31" s="1178" t="str">
        <f>CÁLCULOS!C784</f>
        <v>ÓCULOS DE SEGURANÇA NA FABRICAÇÃO</v>
      </c>
      <c r="B31" s="68"/>
      <c r="C31" s="68"/>
      <c r="D31" s="68"/>
      <c r="E31" s="68"/>
      <c r="F31" s="68"/>
      <c r="G31" s="68"/>
      <c r="H31" s="1234">
        <f ca="1">CÁLCULOS!L784</f>
        <v>46</v>
      </c>
      <c r="I31" s="1626" t="str">
        <f>CÁLCULOS!M784</f>
        <v>unid.</v>
      </c>
      <c r="J31" s="1627"/>
    </row>
    <row r="32" spans="1:10" ht="19.5" customHeight="1" x14ac:dyDescent="0.35">
      <c r="A32" s="1178" t="str">
        <f>CÁLCULOS!C785</f>
        <v>LUVA DE PIGMENTO NA FABRICAÇÃO</v>
      </c>
      <c r="B32" s="68"/>
      <c r="C32" s="68"/>
      <c r="D32" s="68"/>
      <c r="E32" s="68"/>
      <c r="F32" s="68"/>
      <c r="G32" s="68"/>
      <c r="H32" s="1234">
        <f ca="1">CÁLCULOS!L785</f>
        <v>31</v>
      </c>
      <c r="I32" s="1626" t="str">
        <f>CÁLCULOS!M785</f>
        <v>unid.</v>
      </c>
      <c r="J32" s="1627"/>
    </row>
    <row r="33" spans="1:10" ht="19.5" customHeight="1" x14ac:dyDescent="0.35">
      <c r="A33" s="1178" t="str">
        <f>CÁLCULOS!C786</f>
        <v>LUVA DE RASPA NA FABRICAÇÃO</v>
      </c>
      <c r="B33" s="68"/>
      <c r="C33" s="68"/>
      <c r="D33" s="68"/>
      <c r="E33" s="68"/>
      <c r="F33" s="68"/>
      <c r="G33" s="68"/>
      <c r="H33" s="1234">
        <f ca="1">CÁLCULOS!L786</f>
        <v>31</v>
      </c>
      <c r="I33" s="1626" t="str">
        <f>CÁLCULOS!M786</f>
        <v>unid.</v>
      </c>
      <c r="J33" s="1627"/>
    </row>
    <row r="34" spans="1:10" ht="19.5" customHeight="1" x14ac:dyDescent="0.35">
      <c r="A34" s="1178" t="str">
        <f>CÁLCULOS!C787</f>
        <v>LUVA DE PVC NA FABRICAÇÃO</v>
      </c>
      <c r="B34" s="68"/>
      <c r="C34" s="68"/>
      <c r="D34" s="68"/>
      <c r="E34" s="68"/>
      <c r="F34" s="68"/>
      <c r="G34" s="68"/>
      <c r="H34" s="1234">
        <f ca="1">CÁLCULOS!L787</f>
        <v>31</v>
      </c>
      <c r="I34" s="1626" t="str">
        <f>CÁLCULOS!M787</f>
        <v>unid.</v>
      </c>
      <c r="J34" s="1627"/>
    </row>
    <row r="35" spans="1:10" ht="19.5" customHeight="1" x14ac:dyDescent="0.35">
      <c r="A35" s="1178" t="str">
        <f>CÁLCULOS!C788</f>
        <v>AVENTAL DE SEGURANÇA NA FABRICAÇÃO</v>
      </c>
      <c r="B35" s="68"/>
      <c r="C35" s="68"/>
      <c r="D35" s="68"/>
      <c r="E35" s="68"/>
      <c r="F35" s="68"/>
      <c r="G35" s="68"/>
      <c r="H35" s="1234">
        <f ca="1">CÁLCULOS!L788</f>
        <v>15</v>
      </c>
      <c r="I35" s="1626" t="str">
        <f>CÁLCULOS!M788</f>
        <v>unid.</v>
      </c>
      <c r="J35" s="1627"/>
    </row>
    <row r="36" spans="1:10" ht="19.5" customHeight="1" x14ac:dyDescent="0.35">
      <c r="A36" s="1178" t="str">
        <f>CÁLCULOS!C789</f>
        <v>MASCARA PARA PÓ NA FABRICAÇÃO</v>
      </c>
      <c r="B36" s="68"/>
      <c r="C36" s="68"/>
      <c r="D36" s="68"/>
      <c r="E36" s="68"/>
      <c r="F36" s="68"/>
      <c r="G36" s="68"/>
      <c r="H36" s="1234">
        <f ca="1">CÁLCULOS!L789</f>
        <v>92</v>
      </c>
      <c r="I36" s="1626" t="str">
        <f>CÁLCULOS!M789</f>
        <v>unid.</v>
      </c>
      <c r="J36" s="1627"/>
    </row>
    <row r="37" spans="1:10" ht="19.5" customHeight="1" x14ac:dyDescent="0.35">
      <c r="A37" s="1178" t="str">
        <f>CÁLCULOS!C790</f>
        <v>PROTETOR FACIAL NA FABRICAÇÃO</v>
      </c>
      <c r="B37" s="68"/>
      <c r="C37" s="68"/>
      <c r="D37" s="68"/>
      <c r="E37" s="68"/>
      <c r="F37" s="68"/>
      <c r="G37" s="68"/>
      <c r="H37" s="1234">
        <f ca="1">CÁLCULOS!L790</f>
        <v>8</v>
      </c>
      <c r="I37" s="1626" t="str">
        <f>CÁLCULOS!M790</f>
        <v>unid.</v>
      </c>
      <c r="J37" s="1627"/>
    </row>
    <row r="38" spans="1:10" ht="24" customHeight="1" x14ac:dyDescent="0.35">
      <c r="H38" s="1603"/>
      <c r="I38" s="1604"/>
      <c r="J38" s="1604"/>
    </row>
  </sheetData>
  <sheetProtection password="D99F" sheet="1" sort="0"/>
  <protectedRanges>
    <protectedRange sqref="D3:J4" name="Intervalo17"/>
  </protectedRanges>
  <mergeCells count="22">
    <mergeCell ref="I29:J29"/>
    <mergeCell ref="I30:J30"/>
    <mergeCell ref="I31:J31"/>
    <mergeCell ref="H38:J38"/>
    <mergeCell ref="I32:J32"/>
    <mergeCell ref="I33:J33"/>
    <mergeCell ref="I34:J34"/>
    <mergeCell ref="I35:J35"/>
    <mergeCell ref="I36:J36"/>
    <mergeCell ref="I37:J37"/>
    <mergeCell ref="I28:J28"/>
    <mergeCell ref="A1:B4"/>
    <mergeCell ref="C1:J2"/>
    <mergeCell ref="D3:J3"/>
    <mergeCell ref="D4:J4"/>
    <mergeCell ref="A24:G24"/>
    <mergeCell ref="I24:J24"/>
    <mergeCell ref="I25:J25"/>
    <mergeCell ref="A6:G6"/>
    <mergeCell ref="I6:J6"/>
    <mergeCell ref="I26:J26"/>
    <mergeCell ref="I27:J27"/>
  </mergeCells>
  <printOptions horizontalCentered="1"/>
  <pageMargins left="0.78740157480314965" right="0.39370078740157483" top="0.78740157480314965" bottom="0.39370078740157483" header="0.78740157480314965" footer="0.11811023622047245"/>
  <pageSetup paperSize="9" scale="90" orientation="portrait" horizontalDpi="4294967294" verticalDpi="4294967294" r:id="rId1"/>
  <rowBreaks count="1" manualBreakCount="1">
    <brk id="37" max="9"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ilha2"/>
  <dimension ref="A2:Y88"/>
  <sheetViews>
    <sheetView topLeftCell="K10" workbookViewId="0">
      <selection activeCell="T27" sqref="T27"/>
    </sheetView>
  </sheetViews>
  <sheetFormatPr defaultRowHeight="12.75" x14ac:dyDescent="0.35"/>
  <cols>
    <col min="14" max="14" width="13.3984375" bestFit="1" customWidth="1"/>
    <col min="17" max="17" width="12.59765625" customWidth="1"/>
    <col min="18" max="18" width="11.59765625" customWidth="1"/>
    <col min="19" max="19" width="10.3984375" bestFit="1" customWidth="1"/>
    <col min="20" max="20" width="10.3984375" customWidth="1"/>
    <col min="21" max="21" width="10.59765625" customWidth="1"/>
    <col min="22" max="22" width="14" bestFit="1" customWidth="1"/>
    <col min="24" max="24" width="10.59765625" customWidth="1"/>
    <col min="25" max="25" width="17.3984375" style="131" bestFit="1" customWidth="1"/>
    <col min="26" max="26" width="16.3984375" customWidth="1"/>
  </cols>
  <sheetData>
    <row r="2" spans="1:25" ht="27.75" x14ac:dyDescent="0.75">
      <c r="A2" s="2214" t="s">
        <v>2630</v>
      </c>
      <c r="B2" s="2214"/>
      <c r="C2" s="2214"/>
      <c r="D2" s="2214"/>
      <c r="E2" s="2214"/>
      <c r="F2" s="2214"/>
      <c r="G2" s="2214"/>
      <c r="H2" s="2214"/>
      <c r="I2" s="2214"/>
      <c r="J2" s="2214"/>
      <c r="K2" s="2215"/>
      <c r="L2" s="2216" t="s">
        <v>2631</v>
      </c>
      <c r="M2" s="2216"/>
      <c r="N2" s="2216"/>
      <c r="O2" s="2216"/>
      <c r="P2" s="2216"/>
      <c r="Q2" s="2216"/>
      <c r="R2" s="627"/>
    </row>
    <row r="3" spans="1:25" ht="13.15" x14ac:dyDescent="0.4">
      <c r="A3" s="143" t="s">
        <v>2632</v>
      </c>
      <c r="B3" s="143" t="s">
        <v>2633</v>
      </c>
      <c r="C3" s="143" t="s">
        <v>2634</v>
      </c>
      <c r="D3" s="143" t="s">
        <v>2635</v>
      </c>
      <c r="E3" s="143" t="s">
        <v>2636</v>
      </c>
      <c r="F3" s="143" t="s">
        <v>2637</v>
      </c>
      <c r="G3" s="143" t="s">
        <v>2638</v>
      </c>
      <c r="H3" s="143" t="s">
        <v>2639</v>
      </c>
      <c r="I3" s="143" t="s">
        <v>2640</v>
      </c>
      <c r="J3" s="143" t="s">
        <v>2641</v>
      </c>
      <c r="K3" s="143" t="s">
        <v>2642</v>
      </c>
      <c r="L3" s="2217" t="s">
        <v>2643</v>
      </c>
      <c r="M3" s="2218"/>
      <c r="N3" s="2218"/>
      <c r="O3" s="2219" t="s">
        <v>2644</v>
      </c>
      <c r="P3" s="2220"/>
      <c r="Q3" s="2220"/>
      <c r="R3" s="143" t="s">
        <v>2645</v>
      </c>
    </row>
    <row r="4" spans="1:25" ht="12.75" customHeight="1" x14ac:dyDescent="0.4">
      <c r="A4" s="144"/>
      <c r="B4" s="144"/>
      <c r="C4" s="144"/>
      <c r="D4" s="144"/>
      <c r="E4" s="144"/>
      <c r="F4" s="144"/>
      <c r="G4" s="144"/>
      <c r="H4" s="144">
        <v>1.5</v>
      </c>
      <c r="I4" s="145">
        <v>0.86</v>
      </c>
      <c r="J4" s="145">
        <v>1.3</v>
      </c>
      <c r="K4" s="145">
        <v>1</v>
      </c>
      <c r="L4" s="284" t="s">
        <v>2646</v>
      </c>
      <c r="M4" s="146" t="s">
        <v>2647</v>
      </c>
      <c r="N4" s="146"/>
      <c r="O4" s="146" t="s">
        <v>2646</v>
      </c>
      <c r="P4" s="146" t="s">
        <v>2647</v>
      </c>
      <c r="Q4" s="146"/>
      <c r="R4" s="147" t="s">
        <v>2648</v>
      </c>
      <c r="S4" s="2074" t="s">
        <v>161</v>
      </c>
      <c r="T4" s="1446" t="s">
        <v>162</v>
      </c>
      <c r="U4" s="1446" t="s">
        <v>163</v>
      </c>
      <c r="V4" s="2074" t="s">
        <v>164</v>
      </c>
      <c r="W4" s="2074" t="s">
        <v>165</v>
      </c>
      <c r="X4" s="1352" t="s">
        <v>323</v>
      </c>
      <c r="Y4" s="1352"/>
    </row>
    <row r="5" spans="1:25" ht="12.75" customHeight="1" x14ac:dyDescent="0.4">
      <c r="A5" s="148" t="s">
        <v>2649</v>
      </c>
      <c r="B5" s="148">
        <v>2.4</v>
      </c>
      <c r="C5" s="148">
        <v>4</v>
      </c>
      <c r="D5" s="148">
        <v>0.19</v>
      </c>
      <c r="E5" s="148">
        <v>1.18</v>
      </c>
      <c r="F5" s="148">
        <v>0</v>
      </c>
      <c r="G5" s="1248">
        <f t="shared" ref="G5:G68" si="0">((C5*E5)+F5)*1000</f>
        <v>4720</v>
      </c>
      <c r="H5" s="1248">
        <f>G5*H$4</f>
        <v>7080</v>
      </c>
      <c r="I5" s="1248">
        <f>H5/I$4</f>
        <v>8232.5581395348836</v>
      </c>
      <c r="J5" s="1248">
        <f>+I5*J$4</f>
        <v>10702.325581395349</v>
      </c>
      <c r="K5" s="1248">
        <f>+J5/K$4</f>
        <v>10702.325581395349</v>
      </c>
      <c r="L5" s="1249">
        <v>4</v>
      </c>
      <c r="M5" s="1250">
        <f>K5/L5</f>
        <v>2675.5813953488373</v>
      </c>
      <c r="N5" s="149" t="s">
        <v>2650</v>
      </c>
      <c r="O5" s="1250">
        <v>2</v>
      </c>
      <c r="P5" s="1251">
        <f t="shared" ref="P5:P68" si="1">I5/O5</f>
        <v>4116.2790697674418</v>
      </c>
      <c r="Q5" s="149" t="s">
        <v>2651</v>
      </c>
      <c r="R5" s="1251">
        <v>120</v>
      </c>
      <c r="S5" s="2074"/>
      <c r="T5" s="2074"/>
      <c r="U5" s="2074"/>
      <c r="V5" s="2074"/>
      <c r="W5" s="2074"/>
      <c r="X5" s="1352"/>
      <c r="Y5" s="1352"/>
    </row>
    <row r="6" spans="1:25" ht="13.15" x14ac:dyDescent="0.4">
      <c r="A6" s="148" t="s">
        <v>2649</v>
      </c>
      <c r="B6" s="148">
        <v>2.4</v>
      </c>
      <c r="C6" s="148">
        <v>4.5</v>
      </c>
      <c r="D6" s="148">
        <v>0.19</v>
      </c>
      <c r="E6" s="148">
        <v>1.18</v>
      </c>
      <c r="F6" s="148">
        <v>0</v>
      </c>
      <c r="G6" s="1248">
        <f t="shared" si="0"/>
        <v>5310</v>
      </c>
      <c r="H6" s="1248">
        <f t="shared" ref="H6:H69" si="2">G6*H$4</f>
        <v>7965</v>
      </c>
      <c r="I6" s="1248">
        <f t="shared" ref="I6:I69" si="3">H6/I$4</f>
        <v>9261.6279069767443</v>
      </c>
      <c r="J6" s="1248">
        <f t="shared" ref="J6:J69" si="4">+I6*J$4</f>
        <v>12040.116279069767</v>
      </c>
      <c r="K6" s="1248">
        <f t="shared" ref="K6:K69" si="5">+J6/K$4</f>
        <v>12040.116279069767</v>
      </c>
      <c r="L6" s="1249">
        <v>4</v>
      </c>
      <c r="M6" s="1250">
        <f t="shared" ref="M6:M69" si="6">K6/L6</f>
        <v>3010.0290697674418</v>
      </c>
      <c r="N6" s="149" t="s">
        <v>2650</v>
      </c>
      <c r="O6" s="1250">
        <v>2</v>
      </c>
      <c r="P6" s="1251">
        <f t="shared" si="1"/>
        <v>4630.8139534883721</v>
      </c>
      <c r="Q6" s="149" t="s">
        <v>2651</v>
      </c>
      <c r="R6" s="1251">
        <v>120</v>
      </c>
      <c r="S6" s="152">
        <f>G21</f>
        <v>7689.9999999999991</v>
      </c>
      <c r="T6" s="152">
        <f>M5</f>
        <v>2675.5813953488373</v>
      </c>
      <c r="U6" s="152">
        <f>M21</f>
        <v>4359.1569767441852</v>
      </c>
      <c r="V6" s="155">
        <f t="shared" ref="V6:V13" si="7">X6</f>
        <v>1</v>
      </c>
      <c r="W6" s="32">
        <v>4</v>
      </c>
      <c r="X6" s="41">
        <v>1</v>
      </c>
      <c r="Y6" s="290" t="str">
        <f>"TIPO: TES "&amp;5&amp;" tf /125"</f>
        <v>TIPO: TES 5 tf /125</v>
      </c>
    </row>
    <row r="7" spans="1:25" ht="13.15" x14ac:dyDescent="0.4">
      <c r="A7" s="148" t="s">
        <v>2649</v>
      </c>
      <c r="B7" s="148">
        <v>2.4</v>
      </c>
      <c r="C7" s="148">
        <v>5</v>
      </c>
      <c r="D7" s="148">
        <v>0.19</v>
      </c>
      <c r="E7" s="148">
        <v>1.18</v>
      </c>
      <c r="F7" s="148">
        <v>0</v>
      </c>
      <c r="G7" s="1248">
        <f t="shared" si="0"/>
        <v>5899.9999999999991</v>
      </c>
      <c r="H7" s="1248">
        <f t="shared" si="2"/>
        <v>8849.9999999999982</v>
      </c>
      <c r="I7" s="1248">
        <f t="shared" si="3"/>
        <v>10290.697674418603</v>
      </c>
      <c r="J7" s="1248">
        <f t="shared" si="4"/>
        <v>13377.906976744185</v>
      </c>
      <c r="K7" s="1248">
        <f t="shared" si="5"/>
        <v>13377.906976744185</v>
      </c>
      <c r="L7" s="1249">
        <v>4</v>
      </c>
      <c r="M7" s="1250">
        <f t="shared" si="6"/>
        <v>3344.4767441860463</v>
      </c>
      <c r="N7" s="149" t="s">
        <v>2650</v>
      </c>
      <c r="O7" s="1250">
        <v>2</v>
      </c>
      <c r="P7" s="1251">
        <f t="shared" si="1"/>
        <v>5145.3488372093016</v>
      </c>
      <c r="Q7" s="149" t="s">
        <v>2651</v>
      </c>
      <c r="R7" s="1251">
        <v>120</v>
      </c>
      <c r="S7" s="152">
        <f>G23</f>
        <v>8870</v>
      </c>
      <c r="T7" s="152">
        <f>M33</f>
        <v>4563.2267441860477</v>
      </c>
      <c r="U7" s="152">
        <f>M23</f>
        <v>5028.0523255813951</v>
      </c>
      <c r="V7" s="155">
        <f t="shared" si="7"/>
        <v>2</v>
      </c>
      <c r="W7" s="32">
        <v>4</v>
      </c>
      <c r="X7" s="41">
        <v>2</v>
      </c>
      <c r="Y7" s="290" t="str">
        <f>"TIPO: TES "&amp;5&amp;" tf cb/125"</f>
        <v>TIPO: TES 5 tf cb/125</v>
      </c>
    </row>
    <row r="8" spans="1:25" ht="13.15" x14ac:dyDescent="0.4">
      <c r="A8" s="148" t="s">
        <v>2649</v>
      </c>
      <c r="B8" s="148">
        <v>2.4</v>
      </c>
      <c r="C8" s="148">
        <v>5.5</v>
      </c>
      <c r="D8" s="148">
        <v>0.19</v>
      </c>
      <c r="E8" s="148">
        <v>1.18</v>
      </c>
      <c r="F8" s="148">
        <v>0</v>
      </c>
      <c r="G8" s="1248">
        <f t="shared" si="0"/>
        <v>6489.9999999999991</v>
      </c>
      <c r="H8" s="1248">
        <f t="shared" si="2"/>
        <v>9734.9999999999982</v>
      </c>
      <c r="I8" s="1248">
        <f t="shared" si="3"/>
        <v>11319.767441860464</v>
      </c>
      <c r="J8" s="1248">
        <f t="shared" si="4"/>
        <v>14715.697674418603</v>
      </c>
      <c r="K8" s="1248">
        <f t="shared" si="5"/>
        <v>14715.697674418603</v>
      </c>
      <c r="L8" s="1249">
        <v>4</v>
      </c>
      <c r="M8" s="1250">
        <f t="shared" si="6"/>
        <v>3678.9244186046508</v>
      </c>
      <c r="N8" s="149" t="s">
        <v>2650</v>
      </c>
      <c r="O8" s="1250">
        <v>2</v>
      </c>
      <c r="P8" s="1251">
        <f t="shared" si="1"/>
        <v>5659.8837209302319</v>
      </c>
      <c r="Q8" s="150" t="s">
        <v>2652</v>
      </c>
      <c r="R8" s="1251">
        <v>120</v>
      </c>
      <c r="S8" s="152">
        <f>G40</f>
        <v>13685</v>
      </c>
      <c r="T8" s="152">
        <f>M46</f>
        <v>5243.459302325582</v>
      </c>
      <c r="U8" s="153">
        <f>M40</f>
        <v>7757.4854651162796</v>
      </c>
      <c r="V8" s="155">
        <f t="shared" si="7"/>
        <v>3</v>
      </c>
      <c r="W8" s="32">
        <v>4</v>
      </c>
      <c r="X8" s="41">
        <v>3</v>
      </c>
      <c r="Y8" s="290" t="str">
        <f>"TIPO: TES "&amp;7.5&amp;" tf cb/125"</f>
        <v>TIPO: TES 7,5 tf cb/125</v>
      </c>
    </row>
    <row r="9" spans="1:25" ht="13.15" x14ac:dyDescent="0.4">
      <c r="A9" s="148" t="s">
        <v>2649</v>
      </c>
      <c r="B9" s="148">
        <v>2.4</v>
      </c>
      <c r="C9" s="148">
        <v>6</v>
      </c>
      <c r="D9" s="148">
        <v>0.19</v>
      </c>
      <c r="E9" s="148">
        <v>1.18</v>
      </c>
      <c r="F9" s="148">
        <v>0</v>
      </c>
      <c r="G9" s="1248">
        <f t="shared" si="0"/>
        <v>7080</v>
      </c>
      <c r="H9" s="1248">
        <f t="shared" si="2"/>
        <v>10620</v>
      </c>
      <c r="I9" s="1248">
        <f t="shared" si="3"/>
        <v>12348.837209302326</v>
      </c>
      <c r="J9" s="1248">
        <f t="shared" si="4"/>
        <v>16053.488372093025</v>
      </c>
      <c r="K9" s="1248">
        <f t="shared" si="5"/>
        <v>16053.488372093025</v>
      </c>
      <c r="L9" s="1249">
        <v>4</v>
      </c>
      <c r="M9" s="1250">
        <f t="shared" si="6"/>
        <v>4013.3720930232562</v>
      </c>
      <c r="N9" s="149" t="s">
        <v>2650</v>
      </c>
      <c r="O9" s="1250">
        <v>2</v>
      </c>
      <c r="P9" s="1251">
        <f t="shared" si="1"/>
        <v>6174.4186046511632</v>
      </c>
      <c r="Q9" s="150" t="s">
        <v>2652</v>
      </c>
      <c r="R9" s="1251">
        <v>120</v>
      </c>
      <c r="S9" s="152">
        <f>G56</f>
        <v>17300</v>
      </c>
      <c r="T9" s="152">
        <f>M52</f>
        <v>7981.3953488372099</v>
      </c>
      <c r="U9" s="154">
        <f>M56</f>
        <v>9806.6860465116279</v>
      </c>
      <c r="V9" s="155">
        <f t="shared" si="7"/>
        <v>4</v>
      </c>
      <c r="W9" s="32">
        <v>4</v>
      </c>
      <c r="X9" s="41">
        <v>4</v>
      </c>
      <c r="Y9" s="290" t="str">
        <f>"TIPO: TES "&amp;10&amp;" tf cb/125"</f>
        <v>TIPO: TES 10 tf cb/125</v>
      </c>
    </row>
    <row r="10" spans="1:25" ht="13.15" x14ac:dyDescent="0.4">
      <c r="A10" s="148" t="s">
        <v>2649</v>
      </c>
      <c r="B10" s="148">
        <v>2.4</v>
      </c>
      <c r="C10" s="148">
        <v>6.5</v>
      </c>
      <c r="D10" s="148">
        <v>0.19</v>
      </c>
      <c r="E10" s="148">
        <v>1.18</v>
      </c>
      <c r="F10" s="148">
        <v>0</v>
      </c>
      <c r="G10" s="1248">
        <f t="shared" si="0"/>
        <v>7670</v>
      </c>
      <c r="H10" s="1248">
        <f t="shared" si="2"/>
        <v>11505</v>
      </c>
      <c r="I10" s="1248">
        <f t="shared" si="3"/>
        <v>13377.906976744187</v>
      </c>
      <c r="J10" s="1248">
        <f t="shared" si="4"/>
        <v>17391.279069767443</v>
      </c>
      <c r="K10" s="1248">
        <f t="shared" si="5"/>
        <v>17391.279069767443</v>
      </c>
      <c r="L10" s="1249">
        <v>4</v>
      </c>
      <c r="M10" s="1250">
        <f t="shared" si="6"/>
        <v>4347.8197674418607</v>
      </c>
      <c r="N10" s="149" t="s">
        <v>2650</v>
      </c>
      <c r="O10" s="1250">
        <v>2</v>
      </c>
      <c r="P10" s="1251">
        <f t="shared" si="1"/>
        <v>6688.9534883720935</v>
      </c>
      <c r="Q10" s="150" t="s">
        <v>2652</v>
      </c>
      <c r="R10" s="1251">
        <v>120</v>
      </c>
      <c r="S10" s="152">
        <f>G62</f>
        <v>18140</v>
      </c>
      <c r="T10" s="152">
        <f>M57</f>
        <v>9166.1337209302346</v>
      </c>
      <c r="U10" s="154">
        <f>M62</f>
        <v>10282.848837209303</v>
      </c>
      <c r="V10" s="155">
        <f t="shared" si="7"/>
        <v>5</v>
      </c>
      <c r="W10" s="32">
        <v>4</v>
      </c>
      <c r="X10" s="41">
        <v>5</v>
      </c>
      <c r="Y10" s="290" t="str">
        <f>"TIPO: TES "&amp;10&amp;" tf cb/175"</f>
        <v>TIPO: TES 10 tf cb/175</v>
      </c>
    </row>
    <row r="11" spans="1:25" ht="13.15" x14ac:dyDescent="0.4">
      <c r="A11" s="148" t="s">
        <v>2649</v>
      </c>
      <c r="B11" s="148">
        <v>2.4</v>
      </c>
      <c r="C11" s="148">
        <v>7</v>
      </c>
      <c r="D11" s="148">
        <v>0.19</v>
      </c>
      <c r="E11" s="148">
        <v>1.18</v>
      </c>
      <c r="F11" s="148">
        <v>0</v>
      </c>
      <c r="G11" s="1248">
        <f t="shared" si="0"/>
        <v>8260</v>
      </c>
      <c r="H11" s="1248">
        <f t="shared" si="2"/>
        <v>12390</v>
      </c>
      <c r="I11" s="1248">
        <f t="shared" si="3"/>
        <v>14406.976744186046</v>
      </c>
      <c r="J11" s="1248">
        <f t="shared" si="4"/>
        <v>18729.069767441859</v>
      </c>
      <c r="K11" s="1248">
        <f t="shared" si="5"/>
        <v>18729.069767441859</v>
      </c>
      <c r="L11" s="1249">
        <v>4</v>
      </c>
      <c r="M11" s="1250">
        <f t="shared" si="6"/>
        <v>4682.2674418604647</v>
      </c>
      <c r="N11" s="285" t="s">
        <v>2653</v>
      </c>
      <c r="O11" s="1250">
        <v>2</v>
      </c>
      <c r="P11" s="1251">
        <f t="shared" si="1"/>
        <v>7203.4883720930229</v>
      </c>
      <c r="Q11" s="150" t="s">
        <v>2652</v>
      </c>
      <c r="R11" s="1251">
        <v>120</v>
      </c>
      <c r="S11" s="152">
        <f>G70</f>
        <v>22869.999999999996</v>
      </c>
      <c r="T11" s="152">
        <f>M60</f>
        <v>5237.7906976744189</v>
      </c>
      <c r="U11" s="154">
        <f>M70</f>
        <v>6482.0494186046508</v>
      </c>
      <c r="V11" s="155">
        <f t="shared" si="7"/>
        <v>6</v>
      </c>
      <c r="W11" s="32">
        <v>8</v>
      </c>
      <c r="X11" s="41">
        <v>6</v>
      </c>
      <c r="Y11" s="290" t="str">
        <f>"TIPO: TES "&amp;7.5&amp;" tf /175"</f>
        <v>TIPO: TES 7,5 tf /175</v>
      </c>
    </row>
    <row r="12" spans="1:25" ht="13.15" x14ac:dyDescent="0.4">
      <c r="A12" s="148" t="s">
        <v>2649</v>
      </c>
      <c r="B12" s="148">
        <v>2.4</v>
      </c>
      <c r="C12" s="148">
        <v>7.5</v>
      </c>
      <c r="D12" s="148">
        <v>0.19</v>
      </c>
      <c r="E12" s="148">
        <v>1.18</v>
      </c>
      <c r="F12" s="148">
        <v>0</v>
      </c>
      <c r="G12" s="1248">
        <f t="shared" si="0"/>
        <v>8850</v>
      </c>
      <c r="H12" s="1248">
        <f t="shared" si="2"/>
        <v>13275</v>
      </c>
      <c r="I12" s="1248">
        <f t="shared" si="3"/>
        <v>15436.046511627907</v>
      </c>
      <c r="J12" s="1248">
        <f t="shared" si="4"/>
        <v>20066.860465116279</v>
      </c>
      <c r="K12" s="1248">
        <f t="shared" si="5"/>
        <v>20066.860465116279</v>
      </c>
      <c r="L12" s="1249">
        <v>4</v>
      </c>
      <c r="M12" s="1250">
        <f t="shared" si="6"/>
        <v>5016.7151162790697</v>
      </c>
      <c r="N12" s="285" t="s">
        <v>2653</v>
      </c>
      <c r="O12" s="1250">
        <v>2</v>
      </c>
      <c r="P12" s="1251">
        <f t="shared" si="1"/>
        <v>7718.0232558139533</v>
      </c>
      <c r="Q12" s="150" t="s">
        <v>2652</v>
      </c>
      <c r="R12" s="1251">
        <v>120</v>
      </c>
      <c r="S12" s="152">
        <f>G82</f>
        <v>25610</v>
      </c>
      <c r="T12" s="152">
        <f>M68</f>
        <v>6700.2906976744189</v>
      </c>
      <c r="U12" s="154">
        <f>M82</f>
        <v>7258.6482558139542</v>
      </c>
      <c r="V12" s="155">
        <f t="shared" si="7"/>
        <v>7</v>
      </c>
      <c r="W12" s="32">
        <v>8</v>
      </c>
      <c r="X12" s="41">
        <v>7</v>
      </c>
      <c r="Y12" s="290" t="str">
        <f>"TIPO: TES "&amp;7.5&amp;" tf cb/175"</f>
        <v>TIPO: TES 7,5 tf cb/175</v>
      </c>
    </row>
    <row r="13" spans="1:25" ht="13.15" x14ac:dyDescent="0.4">
      <c r="A13" s="148" t="s">
        <v>2649</v>
      </c>
      <c r="B13" s="148">
        <v>2.4</v>
      </c>
      <c r="C13" s="148">
        <v>8</v>
      </c>
      <c r="D13" s="148">
        <v>0.19</v>
      </c>
      <c r="E13" s="148">
        <v>1.18</v>
      </c>
      <c r="F13" s="148">
        <v>0</v>
      </c>
      <c r="G13" s="1248">
        <f t="shared" si="0"/>
        <v>9440</v>
      </c>
      <c r="H13" s="1248">
        <f t="shared" si="2"/>
        <v>14160</v>
      </c>
      <c r="I13" s="1248">
        <f t="shared" si="3"/>
        <v>16465.116279069767</v>
      </c>
      <c r="J13" s="1248">
        <f t="shared" si="4"/>
        <v>21404.651162790698</v>
      </c>
      <c r="K13" s="1248">
        <f t="shared" si="5"/>
        <v>21404.651162790698</v>
      </c>
      <c r="L13" s="1249">
        <v>4</v>
      </c>
      <c r="M13" s="1250">
        <f t="shared" si="6"/>
        <v>5351.1627906976746</v>
      </c>
      <c r="N13" s="150" t="s">
        <v>2654</v>
      </c>
      <c r="O13" s="1250">
        <v>2</v>
      </c>
      <c r="P13" s="1251">
        <f t="shared" si="1"/>
        <v>8232.5581395348836</v>
      </c>
      <c r="Q13" s="151" t="s">
        <v>2655</v>
      </c>
      <c r="R13" s="1251">
        <v>120</v>
      </c>
      <c r="S13" s="152">
        <f>G88</f>
        <v>28779.999999999996</v>
      </c>
      <c r="T13" s="152">
        <f>M85</f>
        <v>7319.5857558139542</v>
      </c>
      <c r="U13" s="154">
        <f>M88</f>
        <v>8157.1220930232548</v>
      </c>
      <c r="V13" s="155">
        <f t="shared" si="7"/>
        <v>8</v>
      </c>
      <c r="W13" s="32">
        <v>8</v>
      </c>
      <c r="X13" s="41">
        <v>8</v>
      </c>
      <c r="Y13" s="290" t="str">
        <f>"TIPO: TES "&amp;10&amp;" tf cb/175"</f>
        <v>TIPO: TES 10 tf cb/175</v>
      </c>
    </row>
    <row r="14" spans="1:25" ht="13.15" x14ac:dyDescent="0.4">
      <c r="A14" s="148" t="s">
        <v>2649</v>
      </c>
      <c r="B14" s="148">
        <v>2.4</v>
      </c>
      <c r="C14" s="148">
        <v>8.5</v>
      </c>
      <c r="D14" s="148">
        <v>0.19</v>
      </c>
      <c r="E14" s="148">
        <v>1.18</v>
      </c>
      <c r="F14" s="148">
        <v>0</v>
      </c>
      <c r="G14" s="1248">
        <f t="shared" si="0"/>
        <v>10030</v>
      </c>
      <c r="H14" s="1248">
        <f t="shared" si="2"/>
        <v>15045</v>
      </c>
      <c r="I14" s="1248">
        <f t="shared" si="3"/>
        <v>17494.18604651163</v>
      </c>
      <c r="J14" s="1248">
        <f t="shared" si="4"/>
        <v>22742.441860465118</v>
      </c>
      <c r="K14" s="1248">
        <f t="shared" si="5"/>
        <v>22742.441860465118</v>
      </c>
      <c r="L14" s="1249">
        <v>4</v>
      </c>
      <c r="M14" s="1250">
        <f t="shared" si="6"/>
        <v>5685.6104651162796</v>
      </c>
      <c r="N14" s="150" t="s">
        <v>2654</v>
      </c>
      <c r="O14" s="1250">
        <v>2</v>
      </c>
      <c r="P14" s="1251">
        <f t="shared" si="1"/>
        <v>8747.0930232558148</v>
      </c>
      <c r="Q14" s="151" t="s">
        <v>2655</v>
      </c>
      <c r="R14" s="1251">
        <v>120</v>
      </c>
    </row>
    <row r="15" spans="1:25" ht="13.15" x14ac:dyDescent="0.4">
      <c r="A15" s="148" t="s">
        <v>2649</v>
      </c>
      <c r="B15" s="148">
        <v>2.4</v>
      </c>
      <c r="C15" s="148">
        <v>9</v>
      </c>
      <c r="D15" s="148">
        <v>0.19</v>
      </c>
      <c r="E15" s="148">
        <v>1.18</v>
      </c>
      <c r="F15" s="148">
        <v>0</v>
      </c>
      <c r="G15" s="1248">
        <f t="shared" si="0"/>
        <v>10620</v>
      </c>
      <c r="H15" s="1248">
        <f t="shared" si="2"/>
        <v>15930</v>
      </c>
      <c r="I15" s="1248">
        <f t="shared" si="3"/>
        <v>18523.255813953489</v>
      </c>
      <c r="J15" s="1248">
        <f t="shared" si="4"/>
        <v>24080.232558139534</v>
      </c>
      <c r="K15" s="1248">
        <f t="shared" si="5"/>
        <v>24080.232558139534</v>
      </c>
      <c r="L15" s="1249">
        <v>4</v>
      </c>
      <c r="M15" s="1250">
        <f t="shared" si="6"/>
        <v>6020.0581395348836</v>
      </c>
      <c r="N15" s="150" t="s">
        <v>2654</v>
      </c>
      <c r="O15" s="1250">
        <v>2</v>
      </c>
      <c r="P15" s="1251">
        <f t="shared" si="1"/>
        <v>9261.6279069767443</v>
      </c>
      <c r="Q15" s="151" t="s">
        <v>2655</v>
      </c>
      <c r="R15" s="1251">
        <v>120</v>
      </c>
    </row>
    <row r="16" spans="1:25" ht="13.15" x14ac:dyDescent="0.4">
      <c r="A16" s="148" t="s">
        <v>2649</v>
      </c>
      <c r="B16" s="148">
        <v>2.4</v>
      </c>
      <c r="C16" s="148">
        <v>9.5</v>
      </c>
      <c r="D16" s="148">
        <v>0.19</v>
      </c>
      <c r="E16" s="148">
        <v>1.18</v>
      </c>
      <c r="F16" s="148">
        <v>0</v>
      </c>
      <c r="G16" s="1248">
        <f t="shared" si="0"/>
        <v>11209.999999999998</v>
      </c>
      <c r="H16" s="1248">
        <f t="shared" si="2"/>
        <v>16814.999999999996</v>
      </c>
      <c r="I16" s="1248">
        <f t="shared" si="3"/>
        <v>19552.325581395344</v>
      </c>
      <c r="J16" s="1248">
        <f t="shared" si="4"/>
        <v>25418.023255813947</v>
      </c>
      <c r="K16" s="1248">
        <f t="shared" si="5"/>
        <v>25418.023255813947</v>
      </c>
      <c r="L16" s="1249">
        <v>4</v>
      </c>
      <c r="M16" s="1250">
        <f t="shared" si="6"/>
        <v>6354.5058139534867</v>
      </c>
      <c r="N16" s="150" t="s">
        <v>2654</v>
      </c>
      <c r="O16" s="1250">
        <v>2</v>
      </c>
      <c r="P16" s="1251">
        <f t="shared" si="1"/>
        <v>9776.1627906976719</v>
      </c>
      <c r="Q16" s="151" t="s">
        <v>2655</v>
      </c>
      <c r="R16" s="1251">
        <v>120</v>
      </c>
      <c r="S16" s="2074" t="s">
        <v>161</v>
      </c>
      <c r="T16" s="1446" t="s">
        <v>183</v>
      </c>
      <c r="U16" s="1446" t="s">
        <v>184</v>
      </c>
      <c r="V16" s="1446" t="s">
        <v>185</v>
      </c>
      <c r="W16" s="2074" t="s">
        <v>165</v>
      </c>
      <c r="X16" s="1352" t="s">
        <v>323</v>
      </c>
      <c r="Y16" s="1352"/>
    </row>
    <row r="17" spans="1:25" ht="13.15" x14ac:dyDescent="0.4">
      <c r="A17" s="148" t="s">
        <v>2649</v>
      </c>
      <c r="B17" s="148">
        <v>2.4</v>
      </c>
      <c r="C17" s="148">
        <v>10</v>
      </c>
      <c r="D17" s="148">
        <v>0.19</v>
      </c>
      <c r="E17" s="148">
        <v>1.18</v>
      </c>
      <c r="F17" s="148">
        <v>0</v>
      </c>
      <c r="G17" s="1248">
        <f t="shared" si="0"/>
        <v>11799.999999999998</v>
      </c>
      <c r="H17" s="1248">
        <f t="shared" si="2"/>
        <v>17699.999999999996</v>
      </c>
      <c r="I17" s="1248">
        <f t="shared" si="3"/>
        <v>20581.395348837206</v>
      </c>
      <c r="J17" s="1248">
        <f t="shared" si="4"/>
        <v>26755.81395348837</v>
      </c>
      <c r="K17" s="1248">
        <f t="shared" si="5"/>
        <v>26755.81395348837</v>
      </c>
      <c r="L17" s="1249">
        <v>4</v>
      </c>
      <c r="M17" s="1250">
        <f t="shared" si="6"/>
        <v>6688.9534883720926</v>
      </c>
      <c r="N17" s="150" t="s">
        <v>2654</v>
      </c>
      <c r="O17" s="1250">
        <v>2</v>
      </c>
      <c r="P17" s="1251">
        <f t="shared" si="1"/>
        <v>10290.697674418603</v>
      </c>
      <c r="Q17" s="151" t="s">
        <v>2655</v>
      </c>
      <c r="R17" s="1251">
        <v>120</v>
      </c>
      <c r="S17" s="2074"/>
      <c r="T17" s="2074"/>
      <c r="U17" s="2074"/>
      <c r="V17" s="2074"/>
      <c r="W17" s="2074"/>
      <c r="X17" s="1352"/>
      <c r="Y17" s="1352"/>
    </row>
    <row r="18" spans="1:25" ht="13.15" x14ac:dyDescent="0.4">
      <c r="A18" s="148" t="s">
        <v>2656</v>
      </c>
      <c r="B18" s="148">
        <v>2.4</v>
      </c>
      <c r="C18" s="148">
        <v>4</v>
      </c>
      <c r="D18" s="148">
        <v>0.19</v>
      </c>
      <c r="E18" s="148">
        <v>1.18</v>
      </c>
      <c r="F18" s="148">
        <v>1.2</v>
      </c>
      <c r="G18" s="1248">
        <f t="shared" si="0"/>
        <v>5920</v>
      </c>
      <c r="H18" s="1248">
        <f t="shared" si="2"/>
        <v>8880</v>
      </c>
      <c r="I18" s="1248">
        <f t="shared" si="3"/>
        <v>10325.581395348838</v>
      </c>
      <c r="J18" s="1248">
        <f t="shared" si="4"/>
        <v>13423.25581395349</v>
      </c>
      <c r="K18" s="1248">
        <f t="shared" si="5"/>
        <v>13423.25581395349</v>
      </c>
      <c r="L18" s="1249">
        <v>4</v>
      </c>
      <c r="M18" s="1250">
        <f t="shared" si="6"/>
        <v>3355.8139534883726</v>
      </c>
      <c r="N18" s="149" t="s">
        <v>2650</v>
      </c>
      <c r="O18" s="1250">
        <v>2</v>
      </c>
      <c r="P18" s="1251">
        <f t="shared" si="1"/>
        <v>5162.7906976744189</v>
      </c>
      <c r="Q18" s="150" t="s">
        <v>2652</v>
      </c>
      <c r="R18" s="1251">
        <v>120</v>
      </c>
      <c r="S18" s="152">
        <f>G7</f>
        <v>5899.9999999999991</v>
      </c>
      <c r="T18" s="152">
        <f>P5</f>
        <v>4116.2790697674418</v>
      </c>
      <c r="U18" s="152">
        <f>P7</f>
        <v>5145.3488372093016</v>
      </c>
      <c r="V18" s="152">
        <f t="shared" ref="V18:V23" si="8">X18</f>
        <v>1</v>
      </c>
      <c r="W18" s="32">
        <v>2</v>
      </c>
      <c r="X18" s="41">
        <v>1</v>
      </c>
      <c r="Y18" s="32" t="str">
        <f>"TIPO: TES "&amp;5&amp;" tf /180"</f>
        <v>TIPO: TES 5 tf /180</v>
      </c>
    </row>
    <row r="19" spans="1:25" ht="13.15" x14ac:dyDescent="0.4">
      <c r="A19" s="148" t="s">
        <v>2656</v>
      </c>
      <c r="B19" s="148">
        <v>2.4</v>
      </c>
      <c r="C19" s="148">
        <v>4.5</v>
      </c>
      <c r="D19" s="148">
        <v>0.19</v>
      </c>
      <c r="E19" s="148">
        <v>1.18</v>
      </c>
      <c r="F19" s="148">
        <v>1.2</v>
      </c>
      <c r="G19" s="1248">
        <f t="shared" si="0"/>
        <v>6510</v>
      </c>
      <c r="H19" s="1248">
        <f t="shared" si="2"/>
        <v>9765</v>
      </c>
      <c r="I19" s="1248">
        <f t="shared" si="3"/>
        <v>11354.651162790698</v>
      </c>
      <c r="J19" s="1248">
        <f t="shared" si="4"/>
        <v>14761.046511627908</v>
      </c>
      <c r="K19" s="1248">
        <f t="shared" si="5"/>
        <v>14761.046511627908</v>
      </c>
      <c r="L19" s="1249">
        <v>4</v>
      </c>
      <c r="M19" s="1250">
        <f t="shared" si="6"/>
        <v>3690.2616279069771</v>
      </c>
      <c r="N19" s="149" t="s">
        <v>2650</v>
      </c>
      <c r="O19" s="1250">
        <v>2</v>
      </c>
      <c r="P19" s="1251">
        <f t="shared" si="1"/>
        <v>5677.3255813953492</v>
      </c>
      <c r="Q19" s="150" t="s">
        <v>2652</v>
      </c>
      <c r="R19" s="1251">
        <v>120</v>
      </c>
      <c r="S19" s="152">
        <f>G23</f>
        <v>8870</v>
      </c>
      <c r="T19" s="152">
        <f>P18</f>
        <v>5162.7906976744189</v>
      </c>
      <c r="U19" s="152">
        <f>P23</f>
        <v>7735.4651162790697</v>
      </c>
      <c r="V19" s="152">
        <f t="shared" si="8"/>
        <v>2</v>
      </c>
      <c r="W19" s="32">
        <v>2</v>
      </c>
      <c r="X19" s="41">
        <v>2</v>
      </c>
      <c r="Y19" s="32" t="str">
        <f>"TIPO: TES "&amp;7.5&amp;" tf /300"</f>
        <v>TIPO: TES 7,5 tf /300</v>
      </c>
    </row>
    <row r="20" spans="1:25" ht="13.15" x14ac:dyDescent="0.4">
      <c r="A20" s="148" t="s">
        <v>2656</v>
      </c>
      <c r="B20" s="148">
        <v>2.4</v>
      </c>
      <c r="C20" s="148">
        <v>5</v>
      </c>
      <c r="D20" s="148">
        <v>0.19</v>
      </c>
      <c r="E20" s="148">
        <v>1.18</v>
      </c>
      <c r="F20" s="148">
        <v>1.2</v>
      </c>
      <c r="G20" s="1248">
        <f t="shared" si="0"/>
        <v>7100</v>
      </c>
      <c r="H20" s="1248">
        <f t="shared" si="2"/>
        <v>10650</v>
      </c>
      <c r="I20" s="1248">
        <f t="shared" si="3"/>
        <v>12383.720930232559</v>
      </c>
      <c r="J20" s="1248">
        <f t="shared" si="4"/>
        <v>16098.837209302328</v>
      </c>
      <c r="K20" s="1248">
        <f t="shared" si="5"/>
        <v>16098.837209302328</v>
      </c>
      <c r="L20" s="1249">
        <v>4</v>
      </c>
      <c r="M20" s="1250">
        <f t="shared" si="6"/>
        <v>4024.709302325582</v>
      </c>
      <c r="N20" s="149" t="s">
        <v>2650</v>
      </c>
      <c r="O20" s="1250">
        <v>2</v>
      </c>
      <c r="P20" s="1251">
        <f t="shared" si="1"/>
        <v>6191.8604651162796</v>
      </c>
      <c r="Q20" s="150" t="s">
        <v>2652</v>
      </c>
      <c r="R20" s="1251">
        <v>120</v>
      </c>
      <c r="S20" s="152">
        <f>G38</f>
        <v>12075.000000000002</v>
      </c>
      <c r="T20" s="152">
        <f>P46</f>
        <v>8066.8604651162796</v>
      </c>
      <c r="U20" s="152">
        <f>P38</f>
        <v>10530.523255813956</v>
      </c>
      <c r="V20" s="152">
        <f t="shared" si="8"/>
        <v>3</v>
      </c>
      <c r="W20" s="32">
        <v>2</v>
      </c>
      <c r="X20" s="41">
        <v>3</v>
      </c>
      <c r="Y20" s="32" t="str">
        <f>"TIPO: TES "&amp;10&amp;" tf /340"</f>
        <v>TIPO: TES 10 tf /340</v>
      </c>
    </row>
    <row r="21" spans="1:25" ht="13.15" x14ac:dyDescent="0.4">
      <c r="A21" s="148" t="s">
        <v>2656</v>
      </c>
      <c r="B21" s="148">
        <v>2.4</v>
      </c>
      <c r="C21" s="148">
        <v>5.5</v>
      </c>
      <c r="D21" s="148">
        <v>0.19</v>
      </c>
      <c r="E21" s="148">
        <v>1.18</v>
      </c>
      <c r="F21" s="148">
        <v>1.2</v>
      </c>
      <c r="G21" s="1248">
        <f t="shared" si="0"/>
        <v>7689.9999999999991</v>
      </c>
      <c r="H21" s="1248">
        <f t="shared" si="2"/>
        <v>11534.999999999998</v>
      </c>
      <c r="I21" s="1248">
        <f t="shared" si="3"/>
        <v>13412.790697674416</v>
      </c>
      <c r="J21" s="1248">
        <f t="shared" si="4"/>
        <v>17436.627906976741</v>
      </c>
      <c r="K21" s="1248">
        <f t="shared" si="5"/>
        <v>17436.627906976741</v>
      </c>
      <c r="L21" s="1249">
        <v>4</v>
      </c>
      <c r="M21" s="1250">
        <f t="shared" si="6"/>
        <v>4359.1569767441852</v>
      </c>
      <c r="N21" s="149" t="s">
        <v>2650</v>
      </c>
      <c r="O21" s="1250">
        <v>2</v>
      </c>
      <c r="P21" s="1251">
        <f t="shared" si="1"/>
        <v>6706.3953488372081</v>
      </c>
      <c r="Q21" s="150" t="s">
        <v>2652</v>
      </c>
      <c r="R21" s="1251">
        <v>120</v>
      </c>
      <c r="S21" s="152">
        <f>G59</f>
        <v>17370</v>
      </c>
      <c r="T21" s="152">
        <f>P28</f>
        <v>5154.0697674418598</v>
      </c>
      <c r="U21" s="154">
        <f>P59</f>
        <v>7574.1279069767443</v>
      </c>
      <c r="V21" s="152">
        <f t="shared" si="8"/>
        <v>4</v>
      </c>
      <c r="W21" s="32">
        <v>4</v>
      </c>
      <c r="X21" s="41">
        <v>4</v>
      </c>
      <c r="Y21" s="32" t="str">
        <f>"TIPO: TES "&amp;7.5&amp;" tf /300"</f>
        <v>TIPO: TES 7,5 tf /300</v>
      </c>
    </row>
    <row r="22" spans="1:25" ht="13.15" x14ac:dyDescent="0.4">
      <c r="A22" s="148" t="s">
        <v>2656</v>
      </c>
      <c r="B22" s="148">
        <v>2.4</v>
      </c>
      <c r="C22" s="148">
        <v>6</v>
      </c>
      <c r="D22" s="148">
        <v>0.19</v>
      </c>
      <c r="E22" s="148">
        <v>1.18</v>
      </c>
      <c r="F22" s="148">
        <v>1.2</v>
      </c>
      <c r="G22" s="1248">
        <f t="shared" si="0"/>
        <v>8280</v>
      </c>
      <c r="H22" s="1248">
        <f t="shared" si="2"/>
        <v>12420</v>
      </c>
      <c r="I22" s="1248">
        <f t="shared" si="3"/>
        <v>14441.860465116279</v>
      </c>
      <c r="J22" s="1248">
        <f t="shared" si="4"/>
        <v>18774.418604651164</v>
      </c>
      <c r="K22" s="1248">
        <f t="shared" si="5"/>
        <v>18774.418604651164</v>
      </c>
      <c r="L22" s="1249">
        <v>4</v>
      </c>
      <c r="M22" s="1250">
        <f t="shared" si="6"/>
        <v>4693.604651162791</v>
      </c>
      <c r="N22" s="285" t="s">
        <v>2653</v>
      </c>
      <c r="O22" s="1250">
        <v>2</v>
      </c>
      <c r="P22" s="1251">
        <f t="shared" si="1"/>
        <v>7220.9302325581393</v>
      </c>
      <c r="Q22" s="150" t="s">
        <v>2652</v>
      </c>
      <c r="R22" s="1251">
        <v>120</v>
      </c>
      <c r="S22" s="152">
        <f>G70</f>
        <v>22869.999999999996</v>
      </c>
      <c r="T22" s="152">
        <f>P61</f>
        <v>7722.3837209302328</v>
      </c>
      <c r="U22" s="154">
        <f>P70</f>
        <v>9972.383720930231</v>
      </c>
      <c r="V22" s="152">
        <f t="shared" si="8"/>
        <v>5</v>
      </c>
      <c r="W22" s="32">
        <v>4</v>
      </c>
      <c r="X22" s="41">
        <v>5</v>
      </c>
      <c r="Y22" s="32" t="str">
        <f>"TIPO: TES "&amp;10&amp;" tf /340"</f>
        <v>TIPO: TES 10 tf /340</v>
      </c>
    </row>
    <row r="23" spans="1:25" ht="13.15" x14ac:dyDescent="0.4">
      <c r="A23" s="148" t="s">
        <v>2656</v>
      </c>
      <c r="B23" s="148">
        <v>2.4</v>
      </c>
      <c r="C23" s="148">
        <v>6.5</v>
      </c>
      <c r="D23" s="148">
        <v>0.19</v>
      </c>
      <c r="E23" s="148">
        <v>1.18</v>
      </c>
      <c r="F23" s="148">
        <v>1.2</v>
      </c>
      <c r="G23" s="1248">
        <f t="shared" si="0"/>
        <v>8870</v>
      </c>
      <c r="H23" s="1248">
        <f t="shared" si="2"/>
        <v>13305</v>
      </c>
      <c r="I23" s="1248">
        <f t="shared" si="3"/>
        <v>15470.930232558139</v>
      </c>
      <c r="J23" s="1248">
        <f t="shared" si="4"/>
        <v>20112.20930232558</v>
      </c>
      <c r="K23" s="1248">
        <f t="shared" si="5"/>
        <v>20112.20930232558</v>
      </c>
      <c r="L23" s="1249">
        <v>4</v>
      </c>
      <c r="M23" s="1250">
        <f t="shared" si="6"/>
        <v>5028.0523255813951</v>
      </c>
      <c r="N23" s="285" t="s">
        <v>2653</v>
      </c>
      <c r="O23" s="1250">
        <v>2</v>
      </c>
      <c r="P23" s="1251">
        <f t="shared" si="1"/>
        <v>7735.4651162790697</v>
      </c>
      <c r="Q23" s="150" t="s">
        <v>2652</v>
      </c>
      <c r="R23" s="1251">
        <v>120</v>
      </c>
      <c r="S23" s="152">
        <f>G88</f>
        <v>28779.999999999996</v>
      </c>
      <c r="T23" s="152">
        <f>P68</f>
        <v>10308.139534883721</v>
      </c>
      <c r="U23" s="154">
        <f>P88</f>
        <v>12549.41860465116</v>
      </c>
      <c r="V23" s="152">
        <f t="shared" si="8"/>
        <v>6</v>
      </c>
      <c r="W23" s="32">
        <v>4</v>
      </c>
      <c r="X23" s="41">
        <v>6</v>
      </c>
      <c r="Y23" s="32" t="str">
        <f>"TIPO: TES "&amp;15&amp;" tf /400"</f>
        <v>TIPO: TES 15 tf /400</v>
      </c>
    </row>
    <row r="24" spans="1:25" ht="13.15" x14ac:dyDescent="0.4">
      <c r="A24" s="148" t="s">
        <v>2656</v>
      </c>
      <c r="B24" s="148">
        <v>2.4</v>
      </c>
      <c r="C24" s="148">
        <v>7</v>
      </c>
      <c r="D24" s="148">
        <v>0.19</v>
      </c>
      <c r="E24" s="148">
        <v>1.18</v>
      </c>
      <c r="F24" s="148">
        <v>1.2</v>
      </c>
      <c r="G24" s="1248">
        <f t="shared" si="0"/>
        <v>9459.9999999999982</v>
      </c>
      <c r="H24" s="1248">
        <f t="shared" si="2"/>
        <v>14189.999999999996</v>
      </c>
      <c r="I24" s="1248">
        <f t="shared" si="3"/>
        <v>16499.999999999996</v>
      </c>
      <c r="J24" s="1248">
        <f t="shared" si="4"/>
        <v>21449.999999999996</v>
      </c>
      <c r="K24" s="1248">
        <f t="shared" si="5"/>
        <v>21449.999999999996</v>
      </c>
      <c r="L24" s="1249">
        <v>4</v>
      </c>
      <c r="M24" s="1250">
        <f t="shared" si="6"/>
        <v>5362.4999999999991</v>
      </c>
      <c r="N24" s="150" t="s">
        <v>2654</v>
      </c>
      <c r="O24" s="1250">
        <v>2</v>
      </c>
      <c r="P24" s="1251">
        <f t="shared" si="1"/>
        <v>8249.9999999999982</v>
      </c>
      <c r="Q24" s="151" t="s">
        <v>2655</v>
      </c>
      <c r="R24" s="1251">
        <v>120</v>
      </c>
    </row>
    <row r="25" spans="1:25" ht="13.15" x14ac:dyDescent="0.4">
      <c r="A25" s="148" t="s">
        <v>2656</v>
      </c>
      <c r="B25" s="148">
        <v>2.4</v>
      </c>
      <c r="C25" s="148">
        <v>7.5</v>
      </c>
      <c r="D25" s="148">
        <v>0.19</v>
      </c>
      <c r="E25" s="148">
        <v>1.18</v>
      </c>
      <c r="F25" s="148">
        <v>1.2</v>
      </c>
      <c r="G25" s="1248">
        <f t="shared" si="0"/>
        <v>10049.999999999998</v>
      </c>
      <c r="H25" s="1248">
        <f t="shared" si="2"/>
        <v>15074.999999999996</v>
      </c>
      <c r="I25" s="1248">
        <f t="shared" si="3"/>
        <v>17529.069767441855</v>
      </c>
      <c r="J25" s="1248">
        <f t="shared" si="4"/>
        <v>22787.790697674413</v>
      </c>
      <c r="K25" s="1248">
        <f t="shared" si="5"/>
        <v>22787.790697674413</v>
      </c>
      <c r="L25" s="1249">
        <v>4</v>
      </c>
      <c r="M25" s="1250">
        <f t="shared" si="6"/>
        <v>5696.9476744186031</v>
      </c>
      <c r="N25" s="150" t="s">
        <v>2654</v>
      </c>
      <c r="O25" s="1250">
        <v>2</v>
      </c>
      <c r="P25" s="1251">
        <f t="shared" si="1"/>
        <v>8764.5348837209276</v>
      </c>
      <c r="Q25" s="151" t="s">
        <v>2655</v>
      </c>
      <c r="R25" s="1251">
        <v>120</v>
      </c>
    </row>
    <row r="26" spans="1:25" ht="13.15" x14ac:dyDescent="0.4">
      <c r="A26" s="148" t="s">
        <v>2656</v>
      </c>
      <c r="B26" s="148">
        <v>2.4</v>
      </c>
      <c r="C26" s="148">
        <v>8</v>
      </c>
      <c r="D26" s="148">
        <v>0.19</v>
      </c>
      <c r="E26" s="148">
        <v>1.18</v>
      </c>
      <c r="F26" s="148">
        <v>1.2</v>
      </c>
      <c r="G26" s="1248">
        <f t="shared" si="0"/>
        <v>10639.999999999998</v>
      </c>
      <c r="H26" s="1248">
        <f t="shared" si="2"/>
        <v>15959.999999999996</v>
      </c>
      <c r="I26" s="1248">
        <f t="shared" si="3"/>
        <v>18558.139534883718</v>
      </c>
      <c r="J26" s="1248">
        <f t="shared" si="4"/>
        <v>24125.581395348832</v>
      </c>
      <c r="K26" s="1248">
        <f t="shared" si="5"/>
        <v>24125.581395348832</v>
      </c>
      <c r="L26" s="1249">
        <v>4</v>
      </c>
      <c r="M26" s="1250">
        <f t="shared" si="6"/>
        <v>6031.3953488372081</v>
      </c>
      <c r="N26" s="150" t="s">
        <v>2654</v>
      </c>
      <c r="O26" s="1250">
        <v>2</v>
      </c>
      <c r="P26" s="1251">
        <f t="shared" si="1"/>
        <v>9279.0697674418589</v>
      </c>
      <c r="Q26" s="151" t="s">
        <v>2655</v>
      </c>
      <c r="R26" s="1251">
        <v>120</v>
      </c>
    </row>
    <row r="27" spans="1:25" ht="13.15" x14ac:dyDescent="0.4">
      <c r="A27" s="148" t="s">
        <v>2656</v>
      </c>
      <c r="B27" s="148">
        <v>2.4</v>
      </c>
      <c r="C27" s="148">
        <v>8.5</v>
      </c>
      <c r="D27" s="148">
        <v>0.19</v>
      </c>
      <c r="E27" s="148">
        <v>1.18</v>
      </c>
      <c r="F27" s="148">
        <v>1.2</v>
      </c>
      <c r="G27" s="1248">
        <f t="shared" si="0"/>
        <v>11229.999999999998</v>
      </c>
      <c r="H27" s="1248">
        <f t="shared" si="2"/>
        <v>16844.999999999996</v>
      </c>
      <c r="I27" s="1248">
        <f t="shared" si="3"/>
        <v>19587.209302325577</v>
      </c>
      <c r="J27" s="1248">
        <f t="shared" si="4"/>
        <v>25463.372093023252</v>
      </c>
      <c r="K27" s="1248">
        <f t="shared" si="5"/>
        <v>25463.372093023252</v>
      </c>
      <c r="L27" s="1249">
        <v>4</v>
      </c>
      <c r="M27" s="1250">
        <f t="shared" si="6"/>
        <v>6365.843023255813</v>
      </c>
      <c r="N27" s="150" t="s">
        <v>2654</v>
      </c>
      <c r="O27" s="1250">
        <v>2</v>
      </c>
      <c r="P27" s="1251">
        <f t="shared" si="1"/>
        <v>9793.6046511627883</v>
      </c>
      <c r="Q27" s="151" t="s">
        <v>2655</v>
      </c>
      <c r="R27" s="1251">
        <v>120</v>
      </c>
    </row>
    <row r="28" spans="1:25" ht="13.15" x14ac:dyDescent="0.4">
      <c r="A28" s="148" t="s">
        <v>2656</v>
      </c>
      <c r="B28" s="148">
        <v>2.4</v>
      </c>
      <c r="C28" s="148">
        <v>9</v>
      </c>
      <c r="D28" s="148">
        <v>0.19</v>
      </c>
      <c r="E28" s="148">
        <v>1.18</v>
      </c>
      <c r="F28" s="148">
        <v>1.2</v>
      </c>
      <c r="G28" s="1248">
        <f t="shared" si="0"/>
        <v>11819.999999999998</v>
      </c>
      <c r="H28" s="1248">
        <f t="shared" si="2"/>
        <v>17729.999999999996</v>
      </c>
      <c r="I28" s="1248">
        <f t="shared" si="3"/>
        <v>20616.279069767439</v>
      </c>
      <c r="J28" s="1248">
        <f t="shared" si="4"/>
        <v>26801.162790697672</v>
      </c>
      <c r="K28" s="1248">
        <f t="shared" si="5"/>
        <v>26801.162790697672</v>
      </c>
      <c r="L28" s="1249">
        <v>4</v>
      </c>
      <c r="M28" s="1250">
        <f t="shared" si="6"/>
        <v>6700.290697674418</v>
      </c>
      <c r="N28" s="150" t="s">
        <v>2654</v>
      </c>
      <c r="O28" s="1250">
        <v>4</v>
      </c>
      <c r="P28" s="1251">
        <f t="shared" si="1"/>
        <v>5154.0697674418598</v>
      </c>
      <c r="Q28" s="150" t="s">
        <v>2652</v>
      </c>
      <c r="R28" s="1251">
        <v>120</v>
      </c>
    </row>
    <row r="29" spans="1:25" ht="13.15" x14ac:dyDescent="0.4">
      <c r="A29" s="148" t="s">
        <v>2656</v>
      </c>
      <c r="B29" s="148">
        <v>2.4</v>
      </c>
      <c r="C29" s="148">
        <v>9.5</v>
      </c>
      <c r="D29" s="148">
        <v>0.19</v>
      </c>
      <c r="E29" s="148">
        <v>1.18</v>
      </c>
      <c r="F29" s="148">
        <v>1.2</v>
      </c>
      <c r="G29" s="1248">
        <f t="shared" si="0"/>
        <v>12409.999999999998</v>
      </c>
      <c r="H29" s="1248">
        <f t="shared" si="2"/>
        <v>18614.999999999996</v>
      </c>
      <c r="I29" s="1248">
        <f t="shared" si="3"/>
        <v>21645.348837209298</v>
      </c>
      <c r="J29" s="1248">
        <f t="shared" si="4"/>
        <v>28138.953488372088</v>
      </c>
      <c r="K29" s="1248">
        <f t="shared" si="5"/>
        <v>28138.953488372088</v>
      </c>
      <c r="L29" s="1249">
        <v>4</v>
      </c>
      <c r="M29" s="1250">
        <f t="shared" si="6"/>
        <v>7034.738372093022</v>
      </c>
      <c r="N29" s="150" t="s">
        <v>2654</v>
      </c>
      <c r="O29" s="1250">
        <v>4</v>
      </c>
      <c r="P29" s="1251">
        <f t="shared" si="1"/>
        <v>5411.3372093023245</v>
      </c>
      <c r="Q29" s="150" t="s">
        <v>2652</v>
      </c>
      <c r="R29" s="1251">
        <v>120</v>
      </c>
    </row>
    <row r="30" spans="1:25" ht="13.15" x14ac:dyDescent="0.4">
      <c r="A30" s="148" t="s">
        <v>2656</v>
      </c>
      <c r="B30" s="148">
        <v>2.4</v>
      </c>
      <c r="C30" s="148">
        <v>10</v>
      </c>
      <c r="D30" s="148">
        <v>0.19</v>
      </c>
      <c r="E30" s="148">
        <v>1.18</v>
      </c>
      <c r="F30" s="148">
        <v>1.2</v>
      </c>
      <c r="G30" s="1248">
        <f t="shared" si="0"/>
        <v>12999.999999999998</v>
      </c>
      <c r="H30" s="1248">
        <f t="shared" si="2"/>
        <v>19499.999999999996</v>
      </c>
      <c r="I30" s="1248">
        <f t="shared" si="3"/>
        <v>22674.41860465116</v>
      </c>
      <c r="J30" s="1248">
        <f t="shared" si="4"/>
        <v>29476.744186046508</v>
      </c>
      <c r="K30" s="1248">
        <f t="shared" si="5"/>
        <v>29476.744186046508</v>
      </c>
      <c r="L30" s="1249">
        <v>4</v>
      </c>
      <c r="M30" s="1250">
        <f t="shared" si="6"/>
        <v>7369.186046511627</v>
      </c>
      <c r="N30" s="150" t="s">
        <v>2654</v>
      </c>
      <c r="O30" s="1250">
        <v>4</v>
      </c>
      <c r="P30" s="1251">
        <f t="shared" si="1"/>
        <v>5668.6046511627901</v>
      </c>
      <c r="Q30" s="150" t="s">
        <v>2652</v>
      </c>
      <c r="R30" s="1251">
        <v>120</v>
      </c>
    </row>
    <row r="31" spans="1:25" ht="13.15" x14ac:dyDescent="0.4">
      <c r="A31" s="148" t="s">
        <v>2657</v>
      </c>
      <c r="B31" s="148">
        <v>2.4</v>
      </c>
      <c r="C31" s="148">
        <v>4</v>
      </c>
      <c r="D31" s="148">
        <v>0.19</v>
      </c>
      <c r="E31" s="148">
        <v>1.61</v>
      </c>
      <c r="F31" s="148">
        <v>0</v>
      </c>
      <c r="G31" s="1248">
        <f t="shared" si="0"/>
        <v>6440</v>
      </c>
      <c r="H31" s="1248">
        <f t="shared" si="2"/>
        <v>9660</v>
      </c>
      <c r="I31" s="1248">
        <f t="shared" si="3"/>
        <v>11232.558139534884</v>
      </c>
      <c r="J31" s="1248">
        <f t="shared" si="4"/>
        <v>14602.325581395349</v>
      </c>
      <c r="K31" s="1248">
        <f t="shared" si="5"/>
        <v>14602.325581395349</v>
      </c>
      <c r="L31" s="1249">
        <v>4</v>
      </c>
      <c r="M31" s="1250">
        <f t="shared" si="6"/>
        <v>3650.5813953488373</v>
      </c>
      <c r="N31" s="149" t="s">
        <v>2650</v>
      </c>
      <c r="O31" s="1250">
        <v>2</v>
      </c>
      <c r="P31" s="1251">
        <f t="shared" si="1"/>
        <v>5616.2790697674418</v>
      </c>
      <c r="Q31" s="150" t="s">
        <v>2652</v>
      </c>
      <c r="R31" s="1251">
        <v>120</v>
      </c>
    </row>
    <row r="32" spans="1:25" ht="13.15" x14ac:dyDescent="0.4">
      <c r="A32" s="148" t="s">
        <v>2657</v>
      </c>
      <c r="B32" s="148">
        <v>2.4</v>
      </c>
      <c r="C32" s="148">
        <v>4.5</v>
      </c>
      <c r="D32" s="148">
        <v>0.19</v>
      </c>
      <c r="E32" s="148">
        <v>1.61</v>
      </c>
      <c r="F32" s="148">
        <v>0</v>
      </c>
      <c r="G32" s="1248">
        <f t="shared" si="0"/>
        <v>7245</v>
      </c>
      <c r="H32" s="1248">
        <f t="shared" si="2"/>
        <v>10867.5</v>
      </c>
      <c r="I32" s="1248">
        <f t="shared" si="3"/>
        <v>12636.627906976744</v>
      </c>
      <c r="J32" s="1248">
        <f t="shared" si="4"/>
        <v>16427.616279069767</v>
      </c>
      <c r="K32" s="1248">
        <f t="shared" si="5"/>
        <v>16427.616279069767</v>
      </c>
      <c r="L32" s="1249">
        <v>4</v>
      </c>
      <c r="M32" s="1250">
        <f t="shared" si="6"/>
        <v>4106.9040697674418</v>
      </c>
      <c r="N32" s="149" t="s">
        <v>2650</v>
      </c>
      <c r="O32" s="1250">
        <v>2</v>
      </c>
      <c r="P32" s="1251">
        <f t="shared" si="1"/>
        <v>6318.3139534883721</v>
      </c>
      <c r="Q32" s="150" t="s">
        <v>2652</v>
      </c>
      <c r="R32" s="1251">
        <v>120</v>
      </c>
    </row>
    <row r="33" spans="1:18" ht="13.15" x14ac:dyDescent="0.4">
      <c r="A33" s="148" t="s">
        <v>2657</v>
      </c>
      <c r="B33" s="148">
        <v>2.4</v>
      </c>
      <c r="C33" s="148">
        <v>5</v>
      </c>
      <c r="D33" s="148">
        <v>0.19</v>
      </c>
      <c r="E33" s="148">
        <v>1.61</v>
      </c>
      <c r="F33" s="148">
        <v>0</v>
      </c>
      <c r="G33" s="1248">
        <f t="shared" si="0"/>
        <v>8050.0000000000009</v>
      </c>
      <c r="H33" s="1248">
        <f t="shared" si="2"/>
        <v>12075.000000000002</v>
      </c>
      <c r="I33" s="1248">
        <f t="shared" si="3"/>
        <v>14040.697674418607</v>
      </c>
      <c r="J33" s="1248">
        <f t="shared" si="4"/>
        <v>18252.906976744191</v>
      </c>
      <c r="K33" s="1248">
        <f t="shared" si="5"/>
        <v>18252.906976744191</v>
      </c>
      <c r="L33" s="1249">
        <v>4</v>
      </c>
      <c r="M33" s="1250">
        <f t="shared" si="6"/>
        <v>4563.2267441860477</v>
      </c>
      <c r="N33" s="285" t="s">
        <v>2653</v>
      </c>
      <c r="O33" s="1250">
        <v>2</v>
      </c>
      <c r="P33" s="1251">
        <f t="shared" si="1"/>
        <v>7020.3488372093034</v>
      </c>
      <c r="Q33" s="150" t="s">
        <v>2652</v>
      </c>
      <c r="R33" s="1251">
        <v>120</v>
      </c>
    </row>
    <row r="34" spans="1:18" ht="13.15" x14ac:dyDescent="0.4">
      <c r="A34" s="148" t="s">
        <v>2657</v>
      </c>
      <c r="B34" s="148">
        <v>2.4</v>
      </c>
      <c r="C34" s="148">
        <v>5.5</v>
      </c>
      <c r="D34" s="148">
        <v>0.19</v>
      </c>
      <c r="E34" s="148">
        <v>1.61</v>
      </c>
      <c r="F34" s="148">
        <v>0</v>
      </c>
      <c r="G34" s="1248">
        <f t="shared" si="0"/>
        <v>8855</v>
      </c>
      <c r="H34" s="1248">
        <f t="shared" si="2"/>
        <v>13282.5</v>
      </c>
      <c r="I34" s="1248">
        <f t="shared" si="3"/>
        <v>15444.767441860466</v>
      </c>
      <c r="J34" s="1248">
        <f t="shared" si="4"/>
        <v>20078.197674418607</v>
      </c>
      <c r="K34" s="1248">
        <f t="shared" si="5"/>
        <v>20078.197674418607</v>
      </c>
      <c r="L34" s="1249">
        <v>4</v>
      </c>
      <c r="M34" s="1250">
        <f t="shared" si="6"/>
        <v>5019.5494186046517</v>
      </c>
      <c r="N34" s="285" t="s">
        <v>2653</v>
      </c>
      <c r="O34" s="1250">
        <v>2</v>
      </c>
      <c r="P34" s="1251">
        <f t="shared" si="1"/>
        <v>7722.3837209302328</v>
      </c>
      <c r="Q34" s="150" t="s">
        <v>2652</v>
      </c>
      <c r="R34" s="1251">
        <v>120</v>
      </c>
    </row>
    <row r="35" spans="1:18" ht="13.15" x14ac:dyDescent="0.4">
      <c r="A35" s="148" t="s">
        <v>2657</v>
      </c>
      <c r="B35" s="148">
        <v>2.4</v>
      </c>
      <c r="C35" s="148">
        <v>6</v>
      </c>
      <c r="D35" s="148">
        <v>0.19</v>
      </c>
      <c r="E35" s="148">
        <v>1.61</v>
      </c>
      <c r="F35" s="148">
        <v>0</v>
      </c>
      <c r="G35" s="1248">
        <f t="shared" si="0"/>
        <v>9660</v>
      </c>
      <c r="H35" s="1248">
        <f t="shared" si="2"/>
        <v>14490</v>
      </c>
      <c r="I35" s="1248">
        <f t="shared" si="3"/>
        <v>16848.837209302324</v>
      </c>
      <c r="J35" s="1248">
        <f t="shared" si="4"/>
        <v>21903.488372093023</v>
      </c>
      <c r="K35" s="1248">
        <f t="shared" si="5"/>
        <v>21903.488372093023</v>
      </c>
      <c r="L35" s="1249">
        <v>4</v>
      </c>
      <c r="M35" s="1250">
        <f t="shared" si="6"/>
        <v>5475.8720930232557</v>
      </c>
      <c r="N35" s="150" t="s">
        <v>2654</v>
      </c>
      <c r="O35" s="1250">
        <v>2</v>
      </c>
      <c r="P35" s="1251">
        <f t="shared" si="1"/>
        <v>8424.4186046511622</v>
      </c>
      <c r="Q35" s="151" t="s">
        <v>2655</v>
      </c>
      <c r="R35" s="1251">
        <v>120</v>
      </c>
    </row>
    <row r="36" spans="1:18" ht="13.15" x14ac:dyDescent="0.4">
      <c r="A36" s="148" t="s">
        <v>2657</v>
      </c>
      <c r="B36" s="148">
        <v>2.4</v>
      </c>
      <c r="C36" s="148">
        <v>6.5</v>
      </c>
      <c r="D36" s="148">
        <v>0.19</v>
      </c>
      <c r="E36" s="148">
        <v>1.61</v>
      </c>
      <c r="F36" s="148">
        <v>0</v>
      </c>
      <c r="G36" s="1248">
        <f t="shared" si="0"/>
        <v>10465</v>
      </c>
      <c r="H36" s="1248">
        <f t="shared" si="2"/>
        <v>15697.5</v>
      </c>
      <c r="I36" s="1248">
        <f t="shared" si="3"/>
        <v>18252.906976744187</v>
      </c>
      <c r="J36" s="1248">
        <f t="shared" si="4"/>
        <v>23728.779069767443</v>
      </c>
      <c r="K36" s="1248">
        <f t="shared" si="5"/>
        <v>23728.779069767443</v>
      </c>
      <c r="L36" s="1249">
        <v>4</v>
      </c>
      <c r="M36" s="1250">
        <f t="shared" si="6"/>
        <v>5932.1947674418607</v>
      </c>
      <c r="N36" s="150" t="s">
        <v>2654</v>
      </c>
      <c r="O36" s="1250">
        <v>2</v>
      </c>
      <c r="P36" s="1251">
        <f t="shared" si="1"/>
        <v>9126.4534883720935</v>
      </c>
      <c r="Q36" s="151" t="s">
        <v>2655</v>
      </c>
      <c r="R36" s="1251">
        <v>120</v>
      </c>
    </row>
    <row r="37" spans="1:18" ht="13.15" x14ac:dyDescent="0.4">
      <c r="A37" s="148" t="s">
        <v>2657</v>
      </c>
      <c r="B37" s="148">
        <v>2.4</v>
      </c>
      <c r="C37" s="148">
        <v>7</v>
      </c>
      <c r="D37" s="148">
        <v>0.19</v>
      </c>
      <c r="E37" s="148">
        <v>1.61</v>
      </c>
      <c r="F37" s="148">
        <v>0</v>
      </c>
      <c r="G37" s="1248">
        <f t="shared" si="0"/>
        <v>11270.000000000002</v>
      </c>
      <c r="H37" s="1248">
        <f t="shared" si="2"/>
        <v>16905.000000000004</v>
      </c>
      <c r="I37" s="1248">
        <f t="shared" si="3"/>
        <v>19656.976744186049</v>
      </c>
      <c r="J37" s="1248">
        <f t="shared" si="4"/>
        <v>25554.069767441866</v>
      </c>
      <c r="K37" s="1248">
        <f t="shared" si="5"/>
        <v>25554.069767441866</v>
      </c>
      <c r="L37" s="1249">
        <v>4</v>
      </c>
      <c r="M37" s="1250">
        <f t="shared" si="6"/>
        <v>6388.5174418604665</v>
      </c>
      <c r="N37" s="150" t="s">
        <v>2654</v>
      </c>
      <c r="O37" s="1250">
        <v>2</v>
      </c>
      <c r="P37" s="1251">
        <f t="shared" si="1"/>
        <v>9828.4883720930247</v>
      </c>
      <c r="Q37" s="151" t="s">
        <v>2655</v>
      </c>
      <c r="R37" s="1251">
        <v>120</v>
      </c>
    </row>
    <row r="38" spans="1:18" ht="13.15" x14ac:dyDescent="0.4">
      <c r="A38" s="148" t="s">
        <v>2657</v>
      </c>
      <c r="B38" s="148">
        <v>2.4</v>
      </c>
      <c r="C38" s="148">
        <v>7.5</v>
      </c>
      <c r="D38" s="148">
        <v>0.19</v>
      </c>
      <c r="E38" s="148">
        <v>1.61</v>
      </c>
      <c r="F38" s="148">
        <v>0</v>
      </c>
      <c r="G38" s="1248">
        <f t="shared" si="0"/>
        <v>12075.000000000002</v>
      </c>
      <c r="H38" s="1248">
        <f t="shared" si="2"/>
        <v>18112.500000000004</v>
      </c>
      <c r="I38" s="1248">
        <f t="shared" si="3"/>
        <v>21061.046511627912</v>
      </c>
      <c r="J38" s="1248">
        <f t="shared" si="4"/>
        <v>27379.360465116286</v>
      </c>
      <c r="K38" s="1248">
        <f t="shared" si="5"/>
        <v>27379.360465116286</v>
      </c>
      <c r="L38" s="1249">
        <v>4</v>
      </c>
      <c r="M38" s="1250">
        <f t="shared" si="6"/>
        <v>6844.8401162790715</v>
      </c>
      <c r="N38" s="150" t="s">
        <v>2654</v>
      </c>
      <c r="O38" s="1250">
        <v>2</v>
      </c>
      <c r="P38" s="1251">
        <f t="shared" si="1"/>
        <v>10530.523255813956</v>
      </c>
      <c r="Q38" s="151" t="s">
        <v>2655</v>
      </c>
      <c r="R38" s="1251">
        <v>120</v>
      </c>
    </row>
    <row r="39" spans="1:18" ht="13.15" x14ac:dyDescent="0.4">
      <c r="A39" s="148" t="s">
        <v>2657</v>
      </c>
      <c r="B39" s="148">
        <v>2.4</v>
      </c>
      <c r="C39" s="148">
        <v>8</v>
      </c>
      <c r="D39" s="148">
        <v>0.19</v>
      </c>
      <c r="E39" s="148">
        <v>1.61</v>
      </c>
      <c r="F39" s="148">
        <v>0</v>
      </c>
      <c r="G39" s="1248">
        <f t="shared" si="0"/>
        <v>12880</v>
      </c>
      <c r="H39" s="1248">
        <f t="shared" si="2"/>
        <v>19320</v>
      </c>
      <c r="I39" s="1248">
        <f t="shared" si="3"/>
        <v>22465.116279069767</v>
      </c>
      <c r="J39" s="1248">
        <f t="shared" si="4"/>
        <v>29204.651162790698</v>
      </c>
      <c r="K39" s="1248">
        <f t="shared" si="5"/>
        <v>29204.651162790698</v>
      </c>
      <c r="L39" s="1249">
        <v>4</v>
      </c>
      <c r="M39" s="1250">
        <f t="shared" si="6"/>
        <v>7301.1627906976746</v>
      </c>
      <c r="N39" s="150" t="s">
        <v>2654</v>
      </c>
      <c r="O39" s="1250">
        <v>4</v>
      </c>
      <c r="P39" s="1251">
        <f t="shared" si="1"/>
        <v>5616.2790697674418</v>
      </c>
      <c r="Q39" s="150" t="s">
        <v>2652</v>
      </c>
      <c r="R39" s="1251">
        <v>120</v>
      </c>
    </row>
    <row r="40" spans="1:18" ht="13.15" x14ac:dyDescent="0.4">
      <c r="A40" s="148" t="s">
        <v>2657</v>
      </c>
      <c r="B40" s="148">
        <v>2.4</v>
      </c>
      <c r="C40" s="148">
        <v>8.5</v>
      </c>
      <c r="D40" s="148">
        <v>0.19</v>
      </c>
      <c r="E40" s="148">
        <v>1.61</v>
      </c>
      <c r="F40" s="148">
        <v>0</v>
      </c>
      <c r="G40" s="1248">
        <f t="shared" si="0"/>
        <v>13685</v>
      </c>
      <c r="H40" s="1248">
        <f t="shared" si="2"/>
        <v>20527.5</v>
      </c>
      <c r="I40" s="1248">
        <f t="shared" si="3"/>
        <v>23869.18604651163</v>
      </c>
      <c r="J40" s="1248">
        <f t="shared" si="4"/>
        <v>31029.941860465118</v>
      </c>
      <c r="K40" s="1248">
        <f t="shared" si="5"/>
        <v>31029.941860465118</v>
      </c>
      <c r="L40" s="1249">
        <v>4</v>
      </c>
      <c r="M40" s="1250">
        <f t="shared" si="6"/>
        <v>7757.4854651162796</v>
      </c>
      <c r="N40" s="150" t="s">
        <v>2654</v>
      </c>
      <c r="O40" s="1250">
        <v>4</v>
      </c>
      <c r="P40" s="1251">
        <f t="shared" si="1"/>
        <v>5967.2965116279074</v>
      </c>
      <c r="Q40" s="150" t="s">
        <v>2652</v>
      </c>
      <c r="R40" s="1251">
        <v>120</v>
      </c>
    </row>
    <row r="41" spans="1:18" ht="13.15" x14ac:dyDescent="0.4">
      <c r="A41" s="148" t="s">
        <v>2657</v>
      </c>
      <c r="B41" s="148">
        <v>2.4</v>
      </c>
      <c r="C41" s="148">
        <v>9</v>
      </c>
      <c r="D41" s="148">
        <v>0.19</v>
      </c>
      <c r="E41" s="148">
        <v>1.61</v>
      </c>
      <c r="F41" s="148">
        <v>0</v>
      </c>
      <c r="G41" s="1248">
        <f t="shared" si="0"/>
        <v>14490</v>
      </c>
      <c r="H41" s="1248">
        <f t="shared" si="2"/>
        <v>21735</v>
      </c>
      <c r="I41" s="1248">
        <f t="shared" si="3"/>
        <v>25273.255813953489</v>
      </c>
      <c r="J41" s="1248">
        <f t="shared" si="4"/>
        <v>32855.232558139534</v>
      </c>
      <c r="K41" s="1248">
        <f t="shared" si="5"/>
        <v>32855.232558139534</v>
      </c>
      <c r="L41" s="1249">
        <v>4</v>
      </c>
      <c r="M41" s="1250">
        <f t="shared" si="6"/>
        <v>8213.8081395348836</v>
      </c>
      <c r="N41" s="286" t="s">
        <v>2658</v>
      </c>
      <c r="O41" s="1250">
        <v>4</v>
      </c>
      <c r="P41" s="1251">
        <f t="shared" si="1"/>
        <v>6318.3139534883721</v>
      </c>
      <c r="Q41" s="150" t="s">
        <v>2652</v>
      </c>
      <c r="R41" s="1251">
        <v>120</v>
      </c>
    </row>
    <row r="42" spans="1:18" ht="13.15" x14ac:dyDescent="0.4">
      <c r="A42" s="148" t="s">
        <v>2657</v>
      </c>
      <c r="B42" s="148">
        <v>2.4</v>
      </c>
      <c r="C42" s="148">
        <v>9.5</v>
      </c>
      <c r="D42" s="148">
        <v>0.19</v>
      </c>
      <c r="E42" s="148">
        <v>1.61</v>
      </c>
      <c r="F42" s="148">
        <v>0</v>
      </c>
      <c r="G42" s="1248">
        <f t="shared" si="0"/>
        <v>15295.000000000002</v>
      </c>
      <c r="H42" s="1248">
        <f t="shared" si="2"/>
        <v>22942.500000000004</v>
      </c>
      <c r="I42" s="1248">
        <f t="shared" si="3"/>
        <v>26677.325581395355</v>
      </c>
      <c r="J42" s="1248">
        <f t="shared" si="4"/>
        <v>34680.523255813961</v>
      </c>
      <c r="K42" s="1248">
        <f t="shared" si="5"/>
        <v>34680.523255813961</v>
      </c>
      <c r="L42" s="1249">
        <v>4</v>
      </c>
      <c r="M42" s="1250">
        <f t="shared" si="6"/>
        <v>8670.1308139534904</v>
      </c>
      <c r="N42" s="286" t="s">
        <v>2658</v>
      </c>
      <c r="O42" s="1250">
        <v>4</v>
      </c>
      <c r="P42" s="1251">
        <f t="shared" si="1"/>
        <v>6669.3313953488387</v>
      </c>
      <c r="Q42" s="150" t="s">
        <v>2652</v>
      </c>
      <c r="R42" s="1251">
        <v>120</v>
      </c>
    </row>
    <row r="43" spans="1:18" ht="13.15" x14ac:dyDescent="0.4">
      <c r="A43" s="148" t="s">
        <v>2657</v>
      </c>
      <c r="B43" s="148">
        <v>2.4</v>
      </c>
      <c r="C43" s="148">
        <v>10</v>
      </c>
      <c r="D43" s="148">
        <v>0.19</v>
      </c>
      <c r="E43" s="148">
        <v>1.61</v>
      </c>
      <c r="F43" s="148">
        <v>0</v>
      </c>
      <c r="G43" s="1248">
        <f t="shared" si="0"/>
        <v>16100.000000000002</v>
      </c>
      <c r="H43" s="1248">
        <f t="shared" si="2"/>
        <v>24150.000000000004</v>
      </c>
      <c r="I43" s="1248">
        <f t="shared" si="3"/>
        <v>28081.395348837214</v>
      </c>
      <c r="J43" s="1248">
        <f t="shared" si="4"/>
        <v>36505.813953488381</v>
      </c>
      <c r="K43" s="1248">
        <f t="shared" si="5"/>
        <v>36505.813953488381</v>
      </c>
      <c r="L43" s="1249">
        <v>4</v>
      </c>
      <c r="M43" s="1250">
        <f t="shared" si="6"/>
        <v>9126.4534883720953</v>
      </c>
      <c r="N43" s="286" t="s">
        <v>2658</v>
      </c>
      <c r="O43" s="1250">
        <v>4</v>
      </c>
      <c r="P43" s="1251">
        <f t="shared" si="1"/>
        <v>7020.3488372093034</v>
      </c>
      <c r="Q43" s="150" t="s">
        <v>2652</v>
      </c>
      <c r="R43" s="1251">
        <v>120</v>
      </c>
    </row>
    <row r="44" spans="1:18" ht="13.15" x14ac:dyDescent="0.4">
      <c r="A44" s="148" t="s">
        <v>2659</v>
      </c>
      <c r="B44" s="148">
        <v>2.4</v>
      </c>
      <c r="C44" s="148">
        <v>4</v>
      </c>
      <c r="D44" s="148">
        <v>0.19</v>
      </c>
      <c r="E44" s="148">
        <v>1.61</v>
      </c>
      <c r="F44" s="148">
        <v>1.2</v>
      </c>
      <c r="G44" s="1248">
        <f t="shared" si="0"/>
        <v>7640.0000000000009</v>
      </c>
      <c r="H44" s="1248">
        <f t="shared" si="2"/>
        <v>11460.000000000002</v>
      </c>
      <c r="I44" s="1248">
        <f t="shared" si="3"/>
        <v>13325.58139534884</v>
      </c>
      <c r="J44" s="1248">
        <f t="shared" si="4"/>
        <v>17323.255813953492</v>
      </c>
      <c r="K44" s="1248">
        <f t="shared" si="5"/>
        <v>17323.255813953492</v>
      </c>
      <c r="L44" s="1249">
        <v>4</v>
      </c>
      <c r="M44" s="1250">
        <f t="shared" si="6"/>
        <v>4330.813953488373</v>
      </c>
      <c r="N44" s="149" t="s">
        <v>2650</v>
      </c>
      <c r="O44" s="1250">
        <v>2</v>
      </c>
      <c r="P44" s="1251">
        <f t="shared" si="1"/>
        <v>6662.7906976744198</v>
      </c>
      <c r="Q44" s="150" t="s">
        <v>2652</v>
      </c>
      <c r="R44" s="1251">
        <v>120</v>
      </c>
    </row>
    <row r="45" spans="1:18" ht="13.15" x14ac:dyDescent="0.4">
      <c r="A45" s="148" t="s">
        <v>2659</v>
      </c>
      <c r="B45" s="148">
        <v>2.4</v>
      </c>
      <c r="C45" s="148">
        <v>4.5</v>
      </c>
      <c r="D45" s="148">
        <v>0.19</v>
      </c>
      <c r="E45" s="148">
        <v>1.61</v>
      </c>
      <c r="F45" s="148">
        <v>1.2</v>
      </c>
      <c r="G45" s="1248">
        <f t="shared" si="0"/>
        <v>8445</v>
      </c>
      <c r="H45" s="1248">
        <f t="shared" si="2"/>
        <v>12667.5</v>
      </c>
      <c r="I45" s="1248">
        <f t="shared" si="3"/>
        <v>14729.651162790698</v>
      </c>
      <c r="J45" s="1248">
        <f t="shared" si="4"/>
        <v>19148.546511627908</v>
      </c>
      <c r="K45" s="1248">
        <f t="shared" si="5"/>
        <v>19148.546511627908</v>
      </c>
      <c r="L45" s="1249">
        <v>4</v>
      </c>
      <c r="M45" s="1250">
        <f t="shared" si="6"/>
        <v>4787.1366279069771</v>
      </c>
      <c r="N45" s="285" t="s">
        <v>2653</v>
      </c>
      <c r="O45" s="1250">
        <v>2</v>
      </c>
      <c r="P45" s="1251">
        <f t="shared" si="1"/>
        <v>7364.8255813953492</v>
      </c>
      <c r="Q45" s="150" t="s">
        <v>2652</v>
      </c>
      <c r="R45" s="1251">
        <v>120</v>
      </c>
    </row>
    <row r="46" spans="1:18" ht="13.15" x14ac:dyDescent="0.4">
      <c r="A46" s="148" t="s">
        <v>2659</v>
      </c>
      <c r="B46" s="148">
        <v>2.4</v>
      </c>
      <c r="C46" s="148">
        <v>5</v>
      </c>
      <c r="D46" s="148">
        <v>0.19</v>
      </c>
      <c r="E46" s="148">
        <v>1.61</v>
      </c>
      <c r="F46" s="148">
        <v>1.2</v>
      </c>
      <c r="G46" s="1248">
        <f t="shared" si="0"/>
        <v>9250</v>
      </c>
      <c r="H46" s="1248">
        <f t="shared" si="2"/>
        <v>13875</v>
      </c>
      <c r="I46" s="1248">
        <f t="shared" si="3"/>
        <v>16133.720930232559</v>
      </c>
      <c r="J46" s="1248">
        <f t="shared" si="4"/>
        <v>20973.837209302328</v>
      </c>
      <c r="K46" s="1248">
        <f t="shared" si="5"/>
        <v>20973.837209302328</v>
      </c>
      <c r="L46" s="1249">
        <v>4</v>
      </c>
      <c r="M46" s="1250">
        <f t="shared" si="6"/>
        <v>5243.459302325582</v>
      </c>
      <c r="N46" s="150" t="s">
        <v>2654</v>
      </c>
      <c r="O46" s="1250">
        <v>2</v>
      </c>
      <c r="P46" s="1251">
        <f t="shared" si="1"/>
        <v>8066.8604651162796</v>
      </c>
      <c r="Q46" s="151" t="s">
        <v>2655</v>
      </c>
      <c r="R46" s="1251">
        <v>120</v>
      </c>
    </row>
    <row r="47" spans="1:18" ht="13.15" x14ac:dyDescent="0.4">
      <c r="A47" s="148" t="s">
        <v>2659</v>
      </c>
      <c r="B47" s="148">
        <v>2.4</v>
      </c>
      <c r="C47" s="148">
        <v>5.5</v>
      </c>
      <c r="D47" s="148">
        <v>0.19</v>
      </c>
      <c r="E47" s="148">
        <v>1.61</v>
      </c>
      <c r="F47" s="148">
        <v>1.2</v>
      </c>
      <c r="G47" s="1248">
        <f t="shared" si="0"/>
        <v>10055</v>
      </c>
      <c r="H47" s="1248">
        <f t="shared" si="2"/>
        <v>15082.5</v>
      </c>
      <c r="I47" s="1248">
        <f t="shared" si="3"/>
        <v>17537.79069767442</v>
      </c>
      <c r="J47" s="1248">
        <f t="shared" si="4"/>
        <v>22799.127906976748</v>
      </c>
      <c r="K47" s="1248">
        <f t="shared" si="5"/>
        <v>22799.127906976748</v>
      </c>
      <c r="L47" s="1249">
        <v>4</v>
      </c>
      <c r="M47" s="1250">
        <f t="shared" si="6"/>
        <v>5699.781976744187</v>
      </c>
      <c r="N47" s="150" t="s">
        <v>2654</v>
      </c>
      <c r="O47" s="1250">
        <v>2</v>
      </c>
      <c r="P47" s="1251">
        <f t="shared" si="1"/>
        <v>8768.8953488372099</v>
      </c>
      <c r="Q47" s="151" t="s">
        <v>2655</v>
      </c>
      <c r="R47" s="1251">
        <v>120</v>
      </c>
    </row>
    <row r="48" spans="1:18" ht="13.15" x14ac:dyDescent="0.4">
      <c r="A48" s="148" t="s">
        <v>2659</v>
      </c>
      <c r="B48" s="148">
        <v>2.4</v>
      </c>
      <c r="C48" s="148">
        <v>6</v>
      </c>
      <c r="D48" s="148">
        <v>0.19</v>
      </c>
      <c r="E48" s="148">
        <v>1.61</v>
      </c>
      <c r="F48" s="148">
        <v>1.2</v>
      </c>
      <c r="G48" s="1248">
        <f t="shared" si="0"/>
        <v>10860</v>
      </c>
      <c r="H48" s="1248">
        <f t="shared" si="2"/>
        <v>16290</v>
      </c>
      <c r="I48" s="1248">
        <f t="shared" si="3"/>
        <v>18941.860465116279</v>
      </c>
      <c r="J48" s="1248">
        <f t="shared" si="4"/>
        <v>24624.418604651164</v>
      </c>
      <c r="K48" s="1248">
        <f t="shared" si="5"/>
        <v>24624.418604651164</v>
      </c>
      <c r="L48" s="1249">
        <v>4</v>
      </c>
      <c r="M48" s="1250">
        <f t="shared" si="6"/>
        <v>6156.104651162791</v>
      </c>
      <c r="N48" s="150" t="s">
        <v>2654</v>
      </c>
      <c r="O48" s="1250">
        <v>2</v>
      </c>
      <c r="P48" s="1251">
        <f t="shared" si="1"/>
        <v>9470.9302325581393</v>
      </c>
      <c r="Q48" s="151" t="s">
        <v>2655</v>
      </c>
      <c r="R48" s="1251">
        <v>120</v>
      </c>
    </row>
    <row r="49" spans="1:18" ht="13.15" x14ac:dyDescent="0.4">
      <c r="A49" s="148" t="s">
        <v>2659</v>
      </c>
      <c r="B49" s="148">
        <v>2.4</v>
      </c>
      <c r="C49" s="148">
        <v>6.5</v>
      </c>
      <c r="D49" s="148">
        <v>0.19</v>
      </c>
      <c r="E49" s="148">
        <v>1.61</v>
      </c>
      <c r="F49" s="148">
        <v>1.2</v>
      </c>
      <c r="G49" s="1248">
        <f t="shared" si="0"/>
        <v>11665</v>
      </c>
      <c r="H49" s="1248">
        <f t="shared" si="2"/>
        <v>17497.5</v>
      </c>
      <c r="I49" s="1248">
        <f t="shared" si="3"/>
        <v>20345.930232558141</v>
      </c>
      <c r="J49" s="1248">
        <f t="shared" si="4"/>
        <v>26449.709302325584</v>
      </c>
      <c r="K49" s="1248">
        <f t="shared" si="5"/>
        <v>26449.709302325584</v>
      </c>
      <c r="L49" s="1249">
        <v>4</v>
      </c>
      <c r="M49" s="1250">
        <f t="shared" si="6"/>
        <v>6612.427325581396</v>
      </c>
      <c r="N49" s="150" t="s">
        <v>2654</v>
      </c>
      <c r="O49" s="1250">
        <v>2</v>
      </c>
      <c r="P49" s="1251">
        <f t="shared" si="1"/>
        <v>10172.965116279071</v>
      </c>
      <c r="Q49" s="151" t="s">
        <v>2655</v>
      </c>
      <c r="R49" s="1251">
        <v>120</v>
      </c>
    </row>
    <row r="50" spans="1:18" ht="13.15" x14ac:dyDescent="0.4">
      <c r="A50" s="148" t="s">
        <v>2659</v>
      </c>
      <c r="B50" s="148">
        <v>2.4</v>
      </c>
      <c r="C50" s="148">
        <v>7</v>
      </c>
      <c r="D50" s="148">
        <v>0.19</v>
      </c>
      <c r="E50" s="148">
        <v>1.61</v>
      </c>
      <c r="F50" s="148">
        <v>1.2</v>
      </c>
      <c r="G50" s="1248">
        <f t="shared" si="0"/>
        <v>12470</v>
      </c>
      <c r="H50" s="1248">
        <f t="shared" si="2"/>
        <v>18705</v>
      </c>
      <c r="I50" s="1248">
        <f t="shared" si="3"/>
        <v>21750</v>
      </c>
      <c r="J50" s="1248">
        <f t="shared" si="4"/>
        <v>28275</v>
      </c>
      <c r="K50" s="1248">
        <f t="shared" si="5"/>
        <v>28275</v>
      </c>
      <c r="L50" s="1249">
        <v>4</v>
      </c>
      <c r="M50" s="1250">
        <f t="shared" si="6"/>
        <v>7068.75</v>
      </c>
      <c r="N50" s="150" t="s">
        <v>2654</v>
      </c>
      <c r="O50" s="1250">
        <v>4</v>
      </c>
      <c r="P50" s="1251">
        <f t="shared" si="1"/>
        <v>5437.5</v>
      </c>
      <c r="Q50" s="150" t="s">
        <v>2652</v>
      </c>
      <c r="R50" s="1251">
        <v>120</v>
      </c>
    </row>
    <row r="51" spans="1:18" ht="13.15" x14ac:dyDescent="0.4">
      <c r="A51" s="148" t="s">
        <v>2659</v>
      </c>
      <c r="B51" s="148">
        <v>2.4</v>
      </c>
      <c r="C51" s="148">
        <v>7.5</v>
      </c>
      <c r="D51" s="148">
        <v>0.19</v>
      </c>
      <c r="E51" s="148">
        <v>1.61</v>
      </c>
      <c r="F51" s="148">
        <v>1.2</v>
      </c>
      <c r="G51" s="1248">
        <f t="shared" si="0"/>
        <v>13275</v>
      </c>
      <c r="H51" s="1248">
        <f t="shared" si="2"/>
        <v>19912.5</v>
      </c>
      <c r="I51" s="1248">
        <f t="shared" si="3"/>
        <v>23154.069767441862</v>
      </c>
      <c r="J51" s="1248">
        <f t="shared" si="4"/>
        <v>30100.290697674423</v>
      </c>
      <c r="K51" s="1248">
        <f t="shared" si="5"/>
        <v>30100.290697674423</v>
      </c>
      <c r="L51" s="1249">
        <v>4</v>
      </c>
      <c r="M51" s="1250">
        <f t="shared" si="6"/>
        <v>7525.0726744186059</v>
      </c>
      <c r="N51" s="150" t="s">
        <v>2654</v>
      </c>
      <c r="O51" s="1250">
        <v>4</v>
      </c>
      <c r="P51" s="1251">
        <f t="shared" si="1"/>
        <v>5788.5174418604656</v>
      </c>
      <c r="Q51" s="150" t="s">
        <v>2652</v>
      </c>
      <c r="R51" s="1251">
        <v>120</v>
      </c>
    </row>
    <row r="52" spans="1:18" ht="13.15" x14ac:dyDescent="0.4">
      <c r="A52" s="148" t="s">
        <v>2659</v>
      </c>
      <c r="B52" s="148">
        <v>2.4</v>
      </c>
      <c r="C52" s="148">
        <v>8</v>
      </c>
      <c r="D52" s="148">
        <v>0.19</v>
      </c>
      <c r="E52" s="148">
        <v>1.61</v>
      </c>
      <c r="F52" s="148">
        <v>1.2</v>
      </c>
      <c r="G52" s="1248">
        <f t="shared" si="0"/>
        <v>14080</v>
      </c>
      <c r="H52" s="1248">
        <f t="shared" si="2"/>
        <v>21120</v>
      </c>
      <c r="I52" s="1248">
        <f t="shared" si="3"/>
        <v>24558.139534883721</v>
      </c>
      <c r="J52" s="1248">
        <f t="shared" si="4"/>
        <v>31925.58139534884</v>
      </c>
      <c r="K52" s="1248">
        <f t="shared" si="5"/>
        <v>31925.58139534884</v>
      </c>
      <c r="L52" s="1249">
        <v>4</v>
      </c>
      <c r="M52" s="1250">
        <f t="shared" si="6"/>
        <v>7981.3953488372099</v>
      </c>
      <c r="N52" s="286" t="s">
        <v>2658</v>
      </c>
      <c r="O52" s="1250">
        <v>4</v>
      </c>
      <c r="P52" s="1251">
        <f t="shared" si="1"/>
        <v>6139.5348837209303</v>
      </c>
      <c r="Q52" s="150" t="s">
        <v>2652</v>
      </c>
      <c r="R52" s="1251">
        <v>120</v>
      </c>
    </row>
    <row r="53" spans="1:18" ht="13.15" x14ac:dyDescent="0.4">
      <c r="A53" s="148" t="s">
        <v>2659</v>
      </c>
      <c r="B53" s="148">
        <v>2.4</v>
      </c>
      <c r="C53" s="148">
        <v>8.5</v>
      </c>
      <c r="D53" s="148">
        <v>0.19</v>
      </c>
      <c r="E53" s="148">
        <v>1.61</v>
      </c>
      <c r="F53" s="148">
        <v>1.2</v>
      </c>
      <c r="G53" s="1248">
        <f t="shared" si="0"/>
        <v>14885</v>
      </c>
      <c r="H53" s="1248">
        <f t="shared" si="2"/>
        <v>22327.5</v>
      </c>
      <c r="I53" s="1248">
        <f t="shared" si="3"/>
        <v>25962.20930232558</v>
      </c>
      <c r="J53" s="1248">
        <f t="shared" si="4"/>
        <v>33750.872093023252</v>
      </c>
      <c r="K53" s="1248">
        <f t="shared" si="5"/>
        <v>33750.872093023252</v>
      </c>
      <c r="L53" s="1249">
        <v>4</v>
      </c>
      <c r="M53" s="1250">
        <f t="shared" si="6"/>
        <v>8437.718023255813</v>
      </c>
      <c r="N53" s="286" t="s">
        <v>2658</v>
      </c>
      <c r="O53" s="1250">
        <v>4</v>
      </c>
      <c r="P53" s="1251">
        <f t="shared" si="1"/>
        <v>6490.5523255813951</v>
      </c>
      <c r="Q53" s="150" t="s">
        <v>2652</v>
      </c>
      <c r="R53" s="1251">
        <v>120</v>
      </c>
    </row>
    <row r="54" spans="1:18" ht="13.15" x14ac:dyDescent="0.4">
      <c r="A54" s="148" t="s">
        <v>2659</v>
      </c>
      <c r="B54" s="148">
        <v>2.4</v>
      </c>
      <c r="C54" s="148">
        <v>9</v>
      </c>
      <c r="D54" s="148">
        <v>0.19</v>
      </c>
      <c r="E54" s="148">
        <v>1.61</v>
      </c>
      <c r="F54" s="148">
        <v>1.2</v>
      </c>
      <c r="G54" s="1248">
        <f t="shared" si="0"/>
        <v>15690</v>
      </c>
      <c r="H54" s="1248">
        <f t="shared" si="2"/>
        <v>23535</v>
      </c>
      <c r="I54" s="1248">
        <f t="shared" si="3"/>
        <v>27366.279069767443</v>
      </c>
      <c r="J54" s="1248">
        <f t="shared" si="4"/>
        <v>35576.162790697679</v>
      </c>
      <c r="K54" s="1248">
        <f t="shared" si="5"/>
        <v>35576.162790697679</v>
      </c>
      <c r="L54" s="1249">
        <v>4</v>
      </c>
      <c r="M54" s="1250">
        <f t="shared" si="6"/>
        <v>8894.0406976744198</v>
      </c>
      <c r="N54" s="286" t="s">
        <v>2658</v>
      </c>
      <c r="O54" s="1250">
        <v>4</v>
      </c>
      <c r="P54" s="1251">
        <f t="shared" si="1"/>
        <v>6841.5697674418607</v>
      </c>
      <c r="Q54" s="150" t="s">
        <v>2652</v>
      </c>
      <c r="R54" s="1251">
        <v>120</v>
      </c>
    </row>
    <row r="55" spans="1:18" ht="13.15" x14ac:dyDescent="0.4">
      <c r="A55" s="148" t="s">
        <v>2659</v>
      </c>
      <c r="B55" s="148">
        <v>2.4</v>
      </c>
      <c r="C55" s="148">
        <v>9.5</v>
      </c>
      <c r="D55" s="148">
        <v>0.19</v>
      </c>
      <c r="E55" s="148">
        <v>1.61</v>
      </c>
      <c r="F55" s="148">
        <v>1.2</v>
      </c>
      <c r="G55" s="1248">
        <f t="shared" si="0"/>
        <v>16495</v>
      </c>
      <c r="H55" s="1248">
        <f t="shared" si="2"/>
        <v>24742.5</v>
      </c>
      <c r="I55" s="1248">
        <f t="shared" si="3"/>
        <v>28770.348837209302</v>
      </c>
      <c r="J55" s="1248">
        <f t="shared" si="4"/>
        <v>37401.453488372092</v>
      </c>
      <c r="K55" s="1248">
        <f t="shared" si="5"/>
        <v>37401.453488372092</v>
      </c>
      <c r="L55" s="1249">
        <v>4</v>
      </c>
      <c r="M55" s="1250">
        <f t="shared" si="6"/>
        <v>9350.3633720930229</v>
      </c>
      <c r="N55" s="286" t="s">
        <v>2658</v>
      </c>
      <c r="O55" s="1250">
        <v>4</v>
      </c>
      <c r="P55" s="1251">
        <f t="shared" si="1"/>
        <v>7192.5872093023254</v>
      </c>
      <c r="Q55" s="150" t="s">
        <v>2652</v>
      </c>
      <c r="R55" s="1251">
        <v>120</v>
      </c>
    </row>
    <row r="56" spans="1:18" ht="13.15" x14ac:dyDescent="0.4">
      <c r="A56" s="148" t="s">
        <v>2659</v>
      </c>
      <c r="B56" s="148">
        <v>2.4</v>
      </c>
      <c r="C56" s="148">
        <v>10</v>
      </c>
      <c r="D56" s="148">
        <v>0.19</v>
      </c>
      <c r="E56" s="148">
        <v>1.61</v>
      </c>
      <c r="F56" s="148">
        <v>1.2</v>
      </c>
      <c r="G56" s="1248">
        <f t="shared" si="0"/>
        <v>17300</v>
      </c>
      <c r="H56" s="1248">
        <f t="shared" si="2"/>
        <v>25950</v>
      </c>
      <c r="I56" s="1248">
        <f t="shared" si="3"/>
        <v>30174.418604651164</v>
      </c>
      <c r="J56" s="1248">
        <f t="shared" si="4"/>
        <v>39226.744186046511</v>
      </c>
      <c r="K56" s="1248">
        <f t="shared" si="5"/>
        <v>39226.744186046511</v>
      </c>
      <c r="L56" s="1249">
        <v>4</v>
      </c>
      <c r="M56" s="1250">
        <f t="shared" si="6"/>
        <v>9806.6860465116279</v>
      </c>
      <c r="N56" s="286" t="s">
        <v>2658</v>
      </c>
      <c r="O56" s="1250">
        <v>4</v>
      </c>
      <c r="P56" s="1251">
        <f t="shared" si="1"/>
        <v>7543.604651162791</v>
      </c>
      <c r="Q56" s="150" t="s">
        <v>2652</v>
      </c>
      <c r="R56" s="1251">
        <v>120</v>
      </c>
    </row>
    <row r="57" spans="1:18" ht="13.15" x14ac:dyDescent="0.4">
      <c r="A57" s="148" t="s">
        <v>2660</v>
      </c>
      <c r="B57" s="148">
        <v>2.4</v>
      </c>
      <c r="C57" s="148">
        <v>10.5</v>
      </c>
      <c r="D57" s="148">
        <v>0.24</v>
      </c>
      <c r="E57" s="148">
        <v>1.54</v>
      </c>
      <c r="F57" s="148">
        <v>0</v>
      </c>
      <c r="G57" s="1248">
        <f t="shared" si="0"/>
        <v>16170.000000000002</v>
      </c>
      <c r="H57" s="1248">
        <f t="shared" si="2"/>
        <v>24255.000000000004</v>
      </c>
      <c r="I57" s="1248">
        <f t="shared" si="3"/>
        <v>28203.488372093027</v>
      </c>
      <c r="J57" s="1248">
        <f t="shared" si="4"/>
        <v>36664.534883720939</v>
      </c>
      <c r="K57" s="1248">
        <f t="shared" si="5"/>
        <v>36664.534883720939</v>
      </c>
      <c r="L57" s="1249">
        <v>4</v>
      </c>
      <c r="M57" s="1250">
        <f t="shared" si="6"/>
        <v>9166.1337209302346</v>
      </c>
      <c r="N57" s="151" t="s">
        <v>2661</v>
      </c>
      <c r="O57" s="1250">
        <v>4</v>
      </c>
      <c r="P57" s="1251">
        <f t="shared" si="1"/>
        <v>7050.8720930232566</v>
      </c>
      <c r="Q57" s="150" t="s">
        <v>2652</v>
      </c>
      <c r="R57" s="1251">
        <v>170</v>
      </c>
    </row>
    <row r="58" spans="1:18" ht="13.15" x14ac:dyDescent="0.4">
      <c r="A58" s="148" t="s">
        <v>2660</v>
      </c>
      <c r="B58" s="148">
        <v>2.4</v>
      </c>
      <c r="C58" s="148">
        <v>11</v>
      </c>
      <c r="D58" s="148">
        <v>0.24</v>
      </c>
      <c r="E58" s="148">
        <v>1.54</v>
      </c>
      <c r="F58" s="148">
        <v>0</v>
      </c>
      <c r="G58" s="1248">
        <f t="shared" si="0"/>
        <v>16940</v>
      </c>
      <c r="H58" s="1248">
        <f t="shared" si="2"/>
        <v>25410</v>
      </c>
      <c r="I58" s="1248">
        <f t="shared" si="3"/>
        <v>29546.511627906977</v>
      </c>
      <c r="J58" s="1248">
        <f t="shared" si="4"/>
        <v>38410.465116279069</v>
      </c>
      <c r="K58" s="1248">
        <f t="shared" si="5"/>
        <v>38410.465116279069</v>
      </c>
      <c r="L58" s="1249">
        <v>4</v>
      </c>
      <c r="M58" s="1250">
        <f t="shared" si="6"/>
        <v>9602.6162790697672</v>
      </c>
      <c r="N58" s="151" t="s">
        <v>2661</v>
      </c>
      <c r="O58" s="1250">
        <v>4</v>
      </c>
      <c r="P58" s="1251">
        <f t="shared" si="1"/>
        <v>7386.6279069767443</v>
      </c>
      <c r="Q58" s="150" t="s">
        <v>2652</v>
      </c>
      <c r="R58" s="1251">
        <v>170</v>
      </c>
    </row>
    <row r="59" spans="1:18" ht="13.15" x14ac:dyDescent="0.4">
      <c r="A59" s="148" t="s">
        <v>2662</v>
      </c>
      <c r="B59" s="148">
        <v>2.4</v>
      </c>
      <c r="C59" s="148">
        <v>10.5</v>
      </c>
      <c r="D59" s="148">
        <v>0.24</v>
      </c>
      <c r="E59" s="148">
        <v>1.54</v>
      </c>
      <c r="F59" s="148">
        <v>1.2</v>
      </c>
      <c r="G59" s="1248">
        <f t="shared" si="0"/>
        <v>17370</v>
      </c>
      <c r="H59" s="1248">
        <f t="shared" si="2"/>
        <v>26055</v>
      </c>
      <c r="I59" s="1248">
        <f t="shared" si="3"/>
        <v>30296.511627906977</v>
      </c>
      <c r="J59" s="1248">
        <f t="shared" si="4"/>
        <v>39385.465116279069</v>
      </c>
      <c r="K59" s="1248">
        <f t="shared" si="5"/>
        <v>39385.465116279069</v>
      </c>
      <c r="L59" s="1249">
        <v>4</v>
      </c>
      <c r="M59" s="1250">
        <f t="shared" si="6"/>
        <v>9846.3662790697672</v>
      </c>
      <c r="N59" s="151" t="s">
        <v>2661</v>
      </c>
      <c r="O59" s="1250">
        <v>4</v>
      </c>
      <c r="P59" s="1251">
        <f t="shared" si="1"/>
        <v>7574.1279069767443</v>
      </c>
      <c r="Q59" s="150" t="s">
        <v>2652</v>
      </c>
      <c r="R59" s="1251">
        <v>170</v>
      </c>
    </row>
    <row r="60" spans="1:18" ht="13.15" x14ac:dyDescent="0.4">
      <c r="A60" s="148" t="s">
        <v>2660</v>
      </c>
      <c r="B60" s="148">
        <v>2.4</v>
      </c>
      <c r="C60" s="148">
        <v>12</v>
      </c>
      <c r="D60" s="148">
        <v>0.24</v>
      </c>
      <c r="E60" s="148">
        <v>1.54</v>
      </c>
      <c r="F60" s="148">
        <v>0</v>
      </c>
      <c r="G60" s="1248">
        <f t="shared" si="0"/>
        <v>18480</v>
      </c>
      <c r="H60" s="1248">
        <f t="shared" si="2"/>
        <v>27720</v>
      </c>
      <c r="I60" s="1248">
        <f t="shared" si="3"/>
        <v>32232.558139534885</v>
      </c>
      <c r="J60" s="1248">
        <f t="shared" si="4"/>
        <v>41902.325581395351</v>
      </c>
      <c r="K60" s="1248">
        <f t="shared" si="5"/>
        <v>41902.325581395351</v>
      </c>
      <c r="L60" s="1249">
        <v>8</v>
      </c>
      <c r="M60" s="1250">
        <f t="shared" si="6"/>
        <v>5237.7906976744189</v>
      </c>
      <c r="N60" s="287" t="s">
        <v>2663</v>
      </c>
      <c r="O60" s="1250">
        <v>4</v>
      </c>
      <c r="P60" s="1251">
        <f t="shared" si="1"/>
        <v>8058.1395348837214</v>
      </c>
      <c r="Q60" s="151" t="s">
        <v>2655</v>
      </c>
      <c r="R60" s="1251">
        <v>170</v>
      </c>
    </row>
    <row r="61" spans="1:18" ht="13.15" x14ac:dyDescent="0.4">
      <c r="A61" s="148" t="s">
        <v>2660</v>
      </c>
      <c r="B61" s="148">
        <v>2.4</v>
      </c>
      <c r="C61" s="148">
        <v>11.5</v>
      </c>
      <c r="D61" s="148">
        <v>0.24</v>
      </c>
      <c r="E61" s="148">
        <v>1.54</v>
      </c>
      <c r="F61" s="148">
        <v>0</v>
      </c>
      <c r="G61" s="1248">
        <f t="shared" si="0"/>
        <v>17710</v>
      </c>
      <c r="H61" s="1248">
        <f t="shared" si="2"/>
        <v>26565</v>
      </c>
      <c r="I61" s="1248">
        <f t="shared" si="3"/>
        <v>30889.534883720931</v>
      </c>
      <c r="J61" s="1248">
        <f t="shared" si="4"/>
        <v>40156.395348837214</v>
      </c>
      <c r="K61" s="1248">
        <f t="shared" si="5"/>
        <v>40156.395348837214</v>
      </c>
      <c r="L61" s="1249">
        <v>4</v>
      </c>
      <c r="M61" s="1250">
        <f t="shared" si="6"/>
        <v>10039.098837209303</v>
      </c>
      <c r="N61" s="151" t="s">
        <v>2661</v>
      </c>
      <c r="O61" s="1250">
        <v>4</v>
      </c>
      <c r="P61" s="1251">
        <f t="shared" si="1"/>
        <v>7722.3837209302328</v>
      </c>
      <c r="Q61" s="151" t="s">
        <v>2655</v>
      </c>
      <c r="R61" s="1251">
        <v>170</v>
      </c>
    </row>
    <row r="62" spans="1:18" ht="13.15" x14ac:dyDescent="0.4">
      <c r="A62" s="148" t="s">
        <v>2662</v>
      </c>
      <c r="B62" s="148">
        <v>2.4</v>
      </c>
      <c r="C62" s="148">
        <v>11</v>
      </c>
      <c r="D62" s="148">
        <v>0.24</v>
      </c>
      <c r="E62" s="148">
        <v>1.54</v>
      </c>
      <c r="F62" s="148">
        <v>1.2</v>
      </c>
      <c r="G62" s="1248">
        <f t="shared" si="0"/>
        <v>18140</v>
      </c>
      <c r="H62" s="1248">
        <f t="shared" si="2"/>
        <v>27210</v>
      </c>
      <c r="I62" s="1248">
        <f t="shared" si="3"/>
        <v>31639.534883720931</v>
      </c>
      <c r="J62" s="1248">
        <f t="shared" si="4"/>
        <v>41131.395348837214</v>
      </c>
      <c r="K62" s="1248">
        <f t="shared" si="5"/>
        <v>41131.395348837214</v>
      </c>
      <c r="L62" s="1249">
        <v>4</v>
      </c>
      <c r="M62" s="1250">
        <f t="shared" si="6"/>
        <v>10282.848837209303</v>
      </c>
      <c r="N62" s="151" t="s">
        <v>2661</v>
      </c>
      <c r="O62" s="1250">
        <v>4</v>
      </c>
      <c r="P62" s="1251">
        <f t="shared" si="1"/>
        <v>7909.8837209302328</v>
      </c>
      <c r="Q62" s="151" t="s">
        <v>2655</v>
      </c>
      <c r="R62" s="1251">
        <v>170</v>
      </c>
    </row>
    <row r="63" spans="1:18" ht="13.15" x14ac:dyDescent="0.4">
      <c r="A63" s="148" t="s">
        <v>2662</v>
      </c>
      <c r="B63" s="148">
        <v>2.4</v>
      </c>
      <c r="C63" s="148">
        <v>11.5</v>
      </c>
      <c r="D63" s="148">
        <v>0.24</v>
      </c>
      <c r="E63" s="148">
        <v>1.54</v>
      </c>
      <c r="F63" s="148">
        <v>1.2</v>
      </c>
      <c r="G63" s="1248">
        <f t="shared" si="0"/>
        <v>18910</v>
      </c>
      <c r="H63" s="1248">
        <f t="shared" si="2"/>
        <v>28365</v>
      </c>
      <c r="I63" s="1248">
        <f t="shared" si="3"/>
        <v>32982.558139534885</v>
      </c>
      <c r="J63" s="1248">
        <f t="shared" si="4"/>
        <v>42877.325581395351</v>
      </c>
      <c r="K63" s="1248">
        <f t="shared" si="5"/>
        <v>42877.325581395351</v>
      </c>
      <c r="L63" s="1249">
        <v>8</v>
      </c>
      <c r="M63" s="1250">
        <f t="shared" si="6"/>
        <v>5359.6656976744189</v>
      </c>
      <c r="N63" s="287" t="s">
        <v>2663</v>
      </c>
      <c r="O63" s="1250">
        <v>4</v>
      </c>
      <c r="P63" s="1251">
        <f t="shared" si="1"/>
        <v>8245.6395348837214</v>
      </c>
      <c r="Q63" s="151" t="s">
        <v>2655</v>
      </c>
      <c r="R63" s="1251">
        <v>170</v>
      </c>
    </row>
    <row r="64" spans="1:18" ht="13.15" x14ac:dyDescent="0.4">
      <c r="A64" s="148" t="s">
        <v>2662</v>
      </c>
      <c r="B64" s="148">
        <v>2.4</v>
      </c>
      <c r="C64" s="148">
        <v>12</v>
      </c>
      <c r="D64" s="148">
        <v>0.24</v>
      </c>
      <c r="E64" s="148">
        <v>1.54</v>
      </c>
      <c r="F64" s="148">
        <v>1.2</v>
      </c>
      <c r="G64" s="1248">
        <f t="shared" si="0"/>
        <v>19680</v>
      </c>
      <c r="H64" s="1248">
        <f t="shared" si="2"/>
        <v>29520</v>
      </c>
      <c r="I64" s="1248">
        <f t="shared" si="3"/>
        <v>34325.58139534884</v>
      </c>
      <c r="J64" s="1248">
        <f t="shared" si="4"/>
        <v>44623.255813953496</v>
      </c>
      <c r="K64" s="1248">
        <f t="shared" si="5"/>
        <v>44623.255813953496</v>
      </c>
      <c r="L64" s="1249">
        <v>8</v>
      </c>
      <c r="M64" s="1250">
        <f t="shared" si="6"/>
        <v>5577.906976744187</v>
      </c>
      <c r="N64" s="287" t="s">
        <v>2663</v>
      </c>
      <c r="O64" s="1250">
        <v>4</v>
      </c>
      <c r="P64" s="1251">
        <f t="shared" si="1"/>
        <v>8581.3953488372099</v>
      </c>
      <c r="Q64" s="151" t="s">
        <v>2655</v>
      </c>
      <c r="R64" s="1251">
        <v>170</v>
      </c>
    </row>
    <row r="65" spans="1:18" ht="13.15" x14ac:dyDescent="0.4">
      <c r="A65" s="148" t="s">
        <v>2664</v>
      </c>
      <c r="B65" s="148">
        <v>2.4</v>
      </c>
      <c r="C65" s="148">
        <v>10.5</v>
      </c>
      <c r="D65" s="148">
        <v>0.24</v>
      </c>
      <c r="E65" s="148">
        <v>1.97</v>
      </c>
      <c r="F65" s="148">
        <v>0</v>
      </c>
      <c r="G65" s="1248">
        <f t="shared" si="0"/>
        <v>20685</v>
      </c>
      <c r="H65" s="1248">
        <f t="shared" si="2"/>
        <v>31027.5</v>
      </c>
      <c r="I65" s="1248">
        <f t="shared" si="3"/>
        <v>36078.488372093023</v>
      </c>
      <c r="J65" s="1248">
        <f t="shared" si="4"/>
        <v>46902.034883720931</v>
      </c>
      <c r="K65" s="1248">
        <f t="shared" si="5"/>
        <v>46902.034883720931</v>
      </c>
      <c r="L65" s="1249">
        <v>8</v>
      </c>
      <c r="M65" s="1250">
        <f t="shared" si="6"/>
        <v>5862.7543604651164</v>
      </c>
      <c r="N65" s="287" t="s">
        <v>2663</v>
      </c>
      <c r="O65" s="1250">
        <v>4</v>
      </c>
      <c r="P65" s="1251">
        <f t="shared" si="1"/>
        <v>9019.6220930232557</v>
      </c>
      <c r="Q65" s="151" t="s">
        <v>2655</v>
      </c>
      <c r="R65" s="1251">
        <v>170</v>
      </c>
    </row>
    <row r="66" spans="1:18" ht="13.15" x14ac:dyDescent="0.4">
      <c r="A66" s="148" t="s">
        <v>2664</v>
      </c>
      <c r="B66" s="148">
        <v>2.4</v>
      </c>
      <c r="C66" s="148">
        <v>11</v>
      </c>
      <c r="D66" s="148">
        <v>0.24</v>
      </c>
      <c r="E66" s="148">
        <v>1.97</v>
      </c>
      <c r="F66" s="148">
        <v>0</v>
      </c>
      <c r="G66" s="1248">
        <f t="shared" si="0"/>
        <v>21669.999999999996</v>
      </c>
      <c r="H66" s="1248">
        <f t="shared" si="2"/>
        <v>32504.999999999993</v>
      </c>
      <c r="I66" s="1248">
        <f t="shared" si="3"/>
        <v>37796.51162790697</v>
      </c>
      <c r="J66" s="1248">
        <f t="shared" si="4"/>
        <v>49135.465116279061</v>
      </c>
      <c r="K66" s="1248">
        <f t="shared" si="5"/>
        <v>49135.465116279061</v>
      </c>
      <c r="L66" s="1249">
        <v>8</v>
      </c>
      <c r="M66" s="1250">
        <f t="shared" si="6"/>
        <v>6141.9331395348827</v>
      </c>
      <c r="N66" s="287" t="s">
        <v>2663</v>
      </c>
      <c r="O66" s="1250">
        <v>4</v>
      </c>
      <c r="P66" s="1251">
        <f t="shared" si="1"/>
        <v>9449.1279069767425</v>
      </c>
      <c r="Q66" s="151" t="s">
        <v>2655</v>
      </c>
      <c r="R66" s="1251">
        <v>170</v>
      </c>
    </row>
    <row r="67" spans="1:18" ht="13.15" x14ac:dyDescent="0.4">
      <c r="A67" s="148" t="s">
        <v>2664</v>
      </c>
      <c r="B67" s="148">
        <v>2.4</v>
      </c>
      <c r="C67" s="148">
        <v>11.5</v>
      </c>
      <c r="D67" s="148">
        <v>0.24</v>
      </c>
      <c r="E67" s="148">
        <v>1.97</v>
      </c>
      <c r="F67" s="148">
        <v>0</v>
      </c>
      <c r="G67" s="1248">
        <f t="shared" si="0"/>
        <v>22655</v>
      </c>
      <c r="H67" s="1248">
        <f t="shared" si="2"/>
        <v>33982.5</v>
      </c>
      <c r="I67" s="1248">
        <f t="shared" si="3"/>
        <v>39514.534883720931</v>
      </c>
      <c r="J67" s="1248">
        <f t="shared" si="4"/>
        <v>51368.895348837214</v>
      </c>
      <c r="K67" s="1248">
        <f t="shared" si="5"/>
        <v>51368.895348837214</v>
      </c>
      <c r="L67" s="1249">
        <v>8</v>
      </c>
      <c r="M67" s="1250">
        <f t="shared" si="6"/>
        <v>6421.1119186046517</v>
      </c>
      <c r="N67" s="287" t="s">
        <v>2663</v>
      </c>
      <c r="O67" s="1250">
        <v>4</v>
      </c>
      <c r="P67" s="1251">
        <f t="shared" si="1"/>
        <v>9878.6337209302328</v>
      </c>
      <c r="Q67" s="151" t="s">
        <v>2655</v>
      </c>
      <c r="R67" s="1251">
        <v>170</v>
      </c>
    </row>
    <row r="68" spans="1:18" ht="13.15" x14ac:dyDescent="0.4">
      <c r="A68" s="148" t="s">
        <v>2664</v>
      </c>
      <c r="B68" s="148">
        <v>2.4</v>
      </c>
      <c r="C68" s="148">
        <v>12</v>
      </c>
      <c r="D68" s="148">
        <v>0.24</v>
      </c>
      <c r="E68" s="148">
        <v>1.97</v>
      </c>
      <c r="F68" s="148">
        <v>0</v>
      </c>
      <c r="G68" s="1248">
        <f t="shared" si="0"/>
        <v>23640</v>
      </c>
      <c r="H68" s="1248">
        <f t="shared" si="2"/>
        <v>35460</v>
      </c>
      <c r="I68" s="1248">
        <f t="shared" si="3"/>
        <v>41232.558139534885</v>
      </c>
      <c r="J68" s="1248">
        <f t="shared" si="4"/>
        <v>53602.325581395351</v>
      </c>
      <c r="K68" s="1248">
        <f t="shared" si="5"/>
        <v>53602.325581395351</v>
      </c>
      <c r="L68" s="1249">
        <v>8</v>
      </c>
      <c r="M68" s="1250">
        <f t="shared" si="6"/>
        <v>6700.2906976744189</v>
      </c>
      <c r="N68" s="288" t="s">
        <v>2665</v>
      </c>
      <c r="O68" s="1250">
        <v>4</v>
      </c>
      <c r="P68" s="1251">
        <f t="shared" si="1"/>
        <v>10308.139534883721</v>
      </c>
      <c r="Q68" s="289" t="s">
        <v>2666</v>
      </c>
      <c r="R68" s="1251">
        <v>170</v>
      </c>
    </row>
    <row r="69" spans="1:18" ht="13.15" x14ac:dyDescent="0.4">
      <c r="A69" s="148" t="s">
        <v>2667</v>
      </c>
      <c r="B69" s="148">
        <v>2.4</v>
      </c>
      <c r="C69" s="148">
        <v>10.5</v>
      </c>
      <c r="D69" s="148">
        <v>0.24</v>
      </c>
      <c r="E69" s="148">
        <v>1.97</v>
      </c>
      <c r="F69" s="148">
        <v>1.2</v>
      </c>
      <c r="G69" s="1248">
        <f t="shared" ref="G69:G88" si="9">((C69*E69)+F69)*1000</f>
        <v>21884.999999999996</v>
      </c>
      <c r="H69" s="1248">
        <f t="shared" si="2"/>
        <v>32827.499999999993</v>
      </c>
      <c r="I69" s="1248">
        <f t="shared" si="3"/>
        <v>38171.51162790697</v>
      </c>
      <c r="J69" s="1248">
        <f t="shared" si="4"/>
        <v>49622.965116279061</v>
      </c>
      <c r="K69" s="1248">
        <f t="shared" si="5"/>
        <v>49622.965116279061</v>
      </c>
      <c r="L69" s="1249">
        <v>8</v>
      </c>
      <c r="M69" s="1250">
        <f t="shared" si="6"/>
        <v>6202.8706395348827</v>
      </c>
      <c r="N69" s="287" t="s">
        <v>2663</v>
      </c>
      <c r="O69" s="1250">
        <v>4</v>
      </c>
      <c r="P69" s="1251">
        <f t="shared" ref="P69:P88" si="10">I69/O69</f>
        <v>9542.8779069767425</v>
      </c>
      <c r="Q69" s="151" t="s">
        <v>2655</v>
      </c>
      <c r="R69" s="1251">
        <v>170</v>
      </c>
    </row>
    <row r="70" spans="1:18" ht="13.15" x14ac:dyDescent="0.4">
      <c r="A70" s="148" t="s">
        <v>2667</v>
      </c>
      <c r="B70" s="148">
        <v>2.4</v>
      </c>
      <c r="C70" s="148">
        <v>11</v>
      </c>
      <c r="D70" s="148">
        <v>0.24</v>
      </c>
      <c r="E70" s="148">
        <v>1.97</v>
      </c>
      <c r="F70" s="148">
        <v>1.2</v>
      </c>
      <c r="G70" s="1248">
        <f t="shared" si="9"/>
        <v>22869.999999999996</v>
      </c>
      <c r="H70" s="1248">
        <f t="shared" ref="H70:H88" si="11">G70*H$4</f>
        <v>34304.999999999993</v>
      </c>
      <c r="I70" s="1248">
        <f t="shared" ref="I70:I88" si="12">H70/I$4</f>
        <v>39889.534883720924</v>
      </c>
      <c r="J70" s="1248">
        <f t="shared" ref="J70:J88" si="13">+I70*J$4</f>
        <v>51856.395348837206</v>
      </c>
      <c r="K70" s="1248">
        <f t="shared" ref="K70:K88" si="14">+J70/K$4</f>
        <v>51856.395348837206</v>
      </c>
      <c r="L70" s="1249">
        <v>8</v>
      </c>
      <c r="M70" s="1250">
        <f t="shared" ref="M70:M88" si="15">K70/L70</f>
        <v>6482.0494186046508</v>
      </c>
      <c r="N70" s="287" t="s">
        <v>2663</v>
      </c>
      <c r="O70" s="1250">
        <v>4</v>
      </c>
      <c r="P70" s="1251">
        <f t="shared" si="10"/>
        <v>9972.383720930231</v>
      </c>
      <c r="Q70" s="151" t="s">
        <v>2655</v>
      </c>
      <c r="R70" s="1251">
        <v>170</v>
      </c>
    </row>
    <row r="71" spans="1:18" ht="13.15" x14ac:dyDescent="0.4">
      <c r="A71" s="148" t="s">
        <v>2667</v>
      </c>
      <c r="B71" s="148">
        <v>2.4</v>
      </c>
      <c r="C71" s="148">
        <v>11.5</v>
      </c>
      <c r="D71" s="148">
        <v>0.24</v>
      </c>
      <c r="E71" s="148">
        <v>1.97</v>
      </c>
      <c r="F71" s="148">
        <v>1.2</v>
      </c>
      <c r="G71" s="1248">
        <f t="shared" si="9"/>
        <v>23855</v>
      </c>
      <c r="H71" s="1248">
        <f t="shared" si="11"/>
        <v>35782.5</v>
      </c>
      <c r="I71" s="1248">
        <f t="shared" si="12"/>
        <v>41607.558139534885</v>
      </c>
      <c r="J71" s="1248">
        <f t="shared" si="13"/>
        <v>54089.825581395351</v>
      </c>
      <c r="K71" s="1248">
        <f t="shared" si="14"/>
        <v>54089.825581395351</v>
      </c>
      <c r="L71" s="1249">
        <v>8</v>
      </c>
      <c r="M71" s="1250">
        <f t="shared" si="15"/>
        <v>6761.2281976744189</v>
      </c>
      <c r="N71" s="288" t="s">
        <v>2665</v>
      </c>
      <c r="O71" s="1250">
        <v>4</v>
      </c>
      <c r="P71" s="1251">
        <f t="shared" si="10"/>
        <v>10401.889534883721</v>
      </c>
      <c r="Q71" s="289" t="s">
        <v>2666</v>
      </c>
      <c r="R71" s="1251">
        <v>170</v>
      </c>
    </row>
    <row r="72" spans="1:18" ht="13.15" x14ac:dyDescent="0.4">
      <c r="A72" s="148" t="s">
        <v>2667</v>
      </c>
      <c r="B72" s="148">
        <v>2.4</v>
      </c>
      <c r="C72" s="148">
        <v>12</v>
      </c>
      <c r="D72" s="148">
        <v>0.24</v>
      </c>
      <c r="E72" s="148">
        <v>1.97</v>
      </c>
      <c r="F72" s="148">
        <v>1.2</v>
      </c>
      <c r="G72" s="1248">
        <f t="shared" si="9"/>
        <v>24840</v>
      </c>
      <c r="H72" s="1248">
        <f t="shared" si="11"/>
        <v>37260</v>
      </c>
      <c r="I72" s="1248">
        <f t="shared" si="12"/>
        <v>43325.58139534884</v>
      </c>
      <c r="J72" s="1248">
        <f t="shared" si="13"/>
        <v>56323.255813953496</v>
      </c>
      <c r="K72" s="1248">
        <f t="shared" si="14"/>
        <v>56323.255813953496</v>
      </c>
      <c r="L72" s="1249">
        <v>8</v>
      </c>
      <c r="M72" s="1250">
        <f t="shared" si="15"/>
        <v>7040.406976744187</v>
      </c>
      <c r="N72" s="288" t="s">
        <v>2665</v>
      </c>
      <c r="O72" s="1250">
        <v>4</v>
      </c>
      <c r="P72" s="1251">
        <f t="shared" si="10"/>
        <v>10831.39534883721</v>
      </c>
      <c r="Q72" s="289" t="s">
        <v>2666</v>
      </c>
      <c r="R72" s="1251">
        <v>170</v>
      </c>
    </row>
    <row r="73" spans="1:18" ht="13.15" x14ac:dyDescent="0.4">
      <c r="A73" s="148" t="s">
        <v>2668</v>
      </c>
      <c r="B73" s="148">
        <v>2.4</v>
      </c>
      <c r="C73" s="148">
        <v>12.5</v>
      </c>
      <c r="D73" s="148">
        <v>0.24</v>
      </c>
      <c r="E73" s="148">
        <v>1.54</v>
      </c>
      <c r="F73" s="148">
        <v>0</v>
      </c>
      <c r="G73" s="1248">
        <f t="shared" si="9"/>
        <v>19250</v>
      </c>
      <c r="H73" s="1248">
        <f t="shared" si="11"/>
        <v>28875</v>
      </c>
      <c r="I73" s="1248">
        <f t="shared" si="12"/>
        <v>33575.58139534884</v>
      </c>
      <c r="J73" s="1248">
        <f t="shared" si="13"/>
        <v>43648.255813953496</v>
      </c>
      <c r="K73" s="1248">
        <f t="shared" si="14"/>
        <v>43648.255813953496</v>
      </c>
      <c r="L73" s="1249">
        <v>8</v>
      </c>
      <c r="M73" s="1250">
        <f t="shared" si="15"/>
        <v>5456.031976744187</v>
      </c>
      <c r="N73" s="287" t="s">
        <v>2663</v>
      </c>
      <c r="O73" s="1250">
        <v>4</v>
      </c>
      <c r="P73" s="1251">
        <f t="shared" si="10"/>
        <v>8393.8953488372099</v>
      </c>
      <c r="Q73" s="151" t="s">
        <v>2655</v>
      </c>
      <c r="R73" s="1251">
        <v>170</v>
      </c>
    </row>
    <row r="74" spans="1:18" ht="13.15" x14ac:dyDescent="0.4">
      <c r="A74" s="148" t="s">
        <v>2668</v>
      </c>
      <c r="B74" s="148">
        <v>2.4</v>
      </c>
      <c r="C74" s="148">
        <v>13</v>
      </c>
      <c r="D74" s="148">
        <v>0.24</v>
      </c>
      <c r="E74" s="148">
        <v>1.54</v>
      </c>
      <c r="F74" s="148">
        <v>0</v>
      </c>
      <c r="G74" s="1248">
        <f t="shared" si="9"/>
        <v>20020</v>
      </c>
      <c r="H74" s="1248">
        <f t="shared" si="11"/>
        <v>30030</v>
      </c>
      <c r="I74" s="1248">
        <f t="shared" si="12"/>
        <v>34918.604651162794</v>
      </c>
      <c r="J74" s="1248">
        <f t="shared" si="13"/>
        <v>45394.186046511633</v>
      </c>
      <c r="K74" s="1248">
        <f t="shared" si="14"/>
        <v>45394.186046511633</v>
      </c>
      <c r="L74" s="1249">
        <v>8</v>
      </c>
      <c r="M74" s="1250">
        <f t="shared" si="15"/>
        <v>5674.2732558139542</v>
      </c>
      <c r="N74" s="287" t="s">
        <v>2663</v>
      </c>
      <c r="O74" s="1250">
        <v>4</v>
      </c>
      <c r="P74" s="1251">
        <f t="shared" si="10"/>
        <v>8729.6511627906984</v>
      </c>
      <c r="Q74" s="151" t="s">
        <v>2655</v>
      </c>
      <c r="R74" s="1251">
        <v>170</v>
      </c>
    </row>
    <row r="75" spans="1:18" ht="13.15" x14ac:dyDescent="0.4">
      <c r="A75" s="148" t="s">
        <v>2668</v>
      </c>
      <c r="B75" s="148">
        <v>2.4</v>
      </c>
      <c r="C75" s="148">
        <v>13.5</v>
      </c>
      <c r="D75" s="148">
        <v>0.24</v>
      </c>
      <c r="E75" s="148">
        <v>1.54</v>
      </c>
      <c r="F75" s="148">
        <v>0</v>
      </c>
      <c r="G75" s="1248">
        <f t="shared" si="9"/>
        <v>20790</v>
      </c>
      <c r="H75" s="1248">
        <f t="shared" si="11"/>
        <v>31185</v>
      </c>
      <c r="I75" s="1248">
        <f t="shared" si="12"/>
        <v>36261.627906976748</v>
      </c>
      <c r="J75" s="1248">
        <f t="shared" si="13"/>
        <v>47140.116279069771</v>
      </c>
      <c r="K75" s="1248">
        <f t="shared" si="14"/>
        <v>47140.116279069771</v>
      </c>
      <c r="L75" s="1249">
        <v>8</v>
      </c>
      <c r="M75" s="1250">
        <f t="shared" si="15"/>
        <v>5892.5145348837214</v>
      </c>
      <c r="N75" s="287" t="s">
        <v>2663</v>
      </c>
      <c r="O75" s="1250">
        <v>4</v>
      </c>
      <c r="P75" s="1251">
        <f t="shared" si="10"/>
        <v>9065.406976744187</v>
      </c>
      <c r="Q75" s="151" t="s">
        <v>2655</v>
      </c>
      <c r="R75" s="1251">
        <v>170</v>
      </c>
    </row>
    <row r="76" spans="1:18" ht="13.15" x14ac:dyDescent="0.4">
      <c r="A76" s="148" t="s">
        <v>2668</v>
      </c>
      <c r="B76" s="148">
        <v>2.4</v>
      </c>
      <c r="C76" s="148">
        <v>14</v>
      </c>
      <c r="D76" s="148">
        <v>0.24</v>
      </c>
      <c r="E76" s="148">
        <v>1.54</v>
      </c>
      <c r="F76" s="148">
        <v>0</v>
      </c>
      <c r="G76" s="1248">
        <f t="shared" si="9"/>
        <v>21560.000000000004</v>
      </c>
      <c r="H76" s="1248">
        <f t="shared" si="11"/>
        <v>32340.000000000007</v>
      </c>
      <c r="I76" s="1248">
        <f t="shared" si="12"/>
        <v>37604.651162790709</v>
      </c>
      <c r="J76" s="1248">
        <f t="shared" si="13"/>
        <v>48886.046511627923</v>
      </c>
      <c r="K76" s="1248">
        <f t="shared" si="14"/>
        <v>48886.046511627923</v>
      </c>
      <c r="L76" s="1249">
        <v>8</v>
      </c>
      <c r="M76" s="1250">
        <f t="shared" si="15"/>
        <v>6110.7558139534904</v>
      </c>
      <c r="N76" s="287" t="s">
        <v>2663</v>
      </c>
      <c r="O76" s="1250">
        <v>4</v>
      </c>
      <c r="P76" s="1251">
        <f t="shared" si="10"/>
        <v>9401.1627906976773</v>
      </c>
      <c r="Q76" s="151" t="s">
        <v>2655</v>
      </c>
      <c r="R76" s="1251">
        <v>170</v>
      </c>
    </row>
    <row r="77" spans="1:18" ht="13.15" x14ac:dyDescent="0.4">
      <c r="A77" s="148" t="s">
        <v>2669</v>
      </c>
      <c r="B77" s="148">
        <v>2.4</v>
      </c>
      <c r="C77" s="148">
        <v>12.5</v>
      </c>
      <c r="D77" s="148">
        <v>0.24</v>
      </c>
      <c r="E77" s="148">
        <v>1.54</v>
      </c>
      <c r="F77" s="148">
        <v>1.2</v>
      </c>
      <c r="G77" s="1248">
        <f t="shared" si="9"/>
        <v>20450</v>
      </c>
      <c r="H77" s="1248">
        <f t="shared" si="11"/>
        <v>30675</v>
      </c>
      <c r="I77" s="1248">
        <f t="shared" si="12"/>
        <v>35668.604651162794</v>
      </c>
      <c r="J77" s="1248">
        <f t="shared" si="13"/>
        <v>46369.186046511633</v>
      </c>
      <c r="K77" s="1248">
        <f t="shared" si="14"/>
        <v>46369.186046511633</v>
      </c>
      <c r="L77" s="1249">
        <v>8</v>
      </c>
      <c r="M77" s="1250">
        <f t="shared" si="15"/>
        <v>5796.1482558139542</v>
      </c>
      <c r="N77" s="287" t="s">
        <v>2663</v>
      </c>
      <c r="O77" s="1250">
        <v>4</v>
      </c>
      <c r="P77" s="1251">
        <f t="shared" si="10"/>
        <v>8917.1511627906984</v>
      </c>
      <c r="Q77" s="151" t="s">
        <v>2655</v>
      </c>
      <c r="R77" s="1251">
        <v>170</v>
      </c>
    </row>
    <row r="78" spans="1:18" ht="13.15" x14ac:dyDescent="0.4">
      <c r="A78" s="148" t="s">
        <v>2669</v>
      </c>
      <c r="B78" s="148">
        <v>2.4</v>
      </c>
      <c r="C78" s="148">
        <v>13</v>
      </c>
      <c r="D78" s="148">
        <v>0.24</v>
      </c>
      <c r="E78" s="148">
        <v>1.54</v>
      </c>
      <c r="F78" s="148">
        <v>1.2</v>
      </c>
      <c r="G78" s="1248">
        <f t="shared" si="9"/>
        <v>21220</v>
      </c>
      <c r="H78" s="1248">
        <f t="shared" si="11"/>
        <v>31830</v>
      </c>
      <c r="I78" s="1248">
        <f t="shared" si="12"/>
        <v>37011.627906976748</v>
      </c>
      <c r="J78" s="1248">
        <f t="shared" si="13"/>
        <v>48115.116279069771</v>
      </c>
      <c r="K78" s="1248">
        <f t="shared" si="14"/>
        <v>48115.116279069771</v>
      </c>
      <c r="L78" s="1249">
        <v>8</v>
      </c>
      <c r="M78" s="1250">
        <f t="shared" si="15"/>
        <v>6014.3895348837214</v>
      </c>
      <c r="N78" s="287" t="s">
        <v>2663</v>
      </c>
      <c r="O78" s="1250">
        <v>4</v>
      </c>
      <c r="P78" s="1251">
        <f t="shared" si="10"/>
        <v>9252.906976744187</v>
      </c>
      <c r="Q78" s="151" t="s">
        <v>2655</v>
      </c>
      <c r="R78" s="1251">
        <v>170</v>
      </c>
    </row>
    <row r="79" spans="1:18" ht="13.15" x14ac:dyDescent="0.4">
      <c r="A79" s="148" t="s">
        <v>2669</v>
      </c>
      <c r="B79" s="148">
        <v>2.4</v>
      </c>
      <c r="C79" s="148">
        <v>13.5</v>
      </c>
      <c r="D79" s="148">
        <v>0.24</v>
      </c>
      <c r="E79" s="148">
        <v>1.54</v>
      </c>
      <c r="F79" s="148">
        <v>1.2</v>
      </c>
      <c r="G79" s="1248">
        <f t="shared" si="9"/>
        <v>21990</v>
      </c>
      <c r="H79" s="1248">
        <f t="shared" si="11"/>
        <v>32985</v>
      </c>
      <c r="I79" s="1248">
        <f t="shared" si="12"/>
        <v>38354.651162790695</v>
      </c>
      <c r="J79" s="1248">
        <f t="shared" si="13"/>
        <v>49861.046511627908</v>
      </c>
      <c r="K79" s="1248">
        <f t="shared" si="14"/>
        <v>49861.046511627908</v>
      </c>
      <c r="L79" s="1249">
        <v>8</v>
      </c>
      <c r="M79" s="1250">
        <f t="shared" si="15"/>
        <v>6232.6308139534885</v>
      </c>
      <c r="N79" s="287" t="s">
        <v>2663</v>
      </c>
      <c r="O79" s="1250">
        <v>4</v>
      </c>
      <c r="P79" s="1251">
        <f t="shared" si="10"/>
        <v>9588.6627906976737</v>
      </c>
      <c r="Q79" s="151" t="s">
        <v>2655</v>
      </c>
      <c r="R79" s="1251">
        <v>170</v>
      </c>
    </row>
    <row r="80" spans="1:18" ht="13.15" x14ac:dyDescent="0.4">
      <c r="A80" s="148" t="s">
        <v>2669</v>
      </c>
      <c r="B80" s="148">
        <v>2.4</v>
      </c>
      <c r="C80" s="148">
        <v>14</v>
      </c>
      <c r="D80" s="148">
        <v>0.24</v>
      </c>
      <c r="E80" s="148">
        <v>1.54</v>
      </c>
      <c r="F80" s="148">
        <v>1.2</v>
      </c>
      <c r="G80" s="1248">
        <f t="shared" si="9"/>
        <v>22760</v>
      </c>
      <c r="H80" s="1248">
        <f t="shared" si="11"/>
        <v>34140</v>
      </c>
      <c r="I80" s="1248">
        <f t="shared" si="12"/>
        <v>39697.674418604649</v>
      </c>
      <c r="J80" s="1248">
        <f t="shared" si="13"/>
        <v>51606.976744186046</v>
      </c>
      <c r="K80" s="1248">
        <f t="shared" si="14"/>
        <v>51606.976744186046</v>
      </c>
      <c r="L80" s="1249">
        <v>8</v>
      </c>
      <c r="M80" s="1250">
        <f t="shared" si="15"/>
        <v>6450.8720930232557</v>
      </c>
      <c r="N80" s="287" t="s">
        <v>2663</v>
      </c>
      <c r="O80" s="1250">
        <v>4</v>
      </c>
      <c r="P80" s="1251">
        <f t="shared" si="10"/>
        <v>9924.4186046511622</v>
      </c>
      <c r="Q80" s="151" t="s">
        <v>2655</v>
      </c>
      <c r="R80" s="1251">
        <v>170</v>
      </c>
    </row>
    <row r="81" spans="1:18" ht="13.15" x14ac:dyDescent="0.4">
      <c r="A81" s="148" t="s">
        <v>2670</v>
      </c>
      <c r="B81" s="148">
        <v>2.4</v>
      </c>
      <c r="C81" s="148">
        <v>12.5</v>
      </c>
      <c r="D81" s="148">
        <v>0.24</v>
      </c>
      <c r="E81" s="148">
        <v>1.97</v>
      </c>
      <c r="F81" s="148">
        <v>0</v>
      </c>
      <c r="G81" s="1248">
        <f t="shared" si="9"/>
        <v>24625</v>
      </c>
      <c r="H81" s="1248">
        <f t="shared" si="11"/>
        <v>36937.5</v>
      </c>
      <c r="I81" s="1248">
        <f t="shared" si="12"/>
        <v>42950.58139534884</v>
      </c>
      <c r="J81" s="1248">
        <f t="shared" si="13"/>
        <v>55835.755813953496</v>
      </c>
      <c r="K81" s="1248">
        <f t="shared" si="14"/>
        <v>55835.755813953496</v>
      </c>
      <c r="L81" s="1249">
        <v>8</v>
      </c>
      <c r="M81" s="1250">
        <f t="shared" si="15"/>
        <v>6979.469476744187</v>
      </c>
      <c r="N81" s="288" t="s">
        <v>2665</v>
      </c>
      <c r="O81" s="1250">
        <v>4</v>
      </c>
      <c r="P81" s="1251">
        <f t="shared" si="10"/>
        <v>10737.64534883721</v>
      </c>
      <c r="Q81" s="289" t="s">
        <v>2666</v>
      </c>
      <c r="R81" s="1251">
        <v>170</v>
      </c>
    </row>
    <row r="82" spans="1:18" ht="13.15" x14ac:dyDescent="0.4">
      <c r="A82" s="148" t="s">
        <v>2670</v>
      </c>
      <c r="B82" s="148">
        <v>2.4</v>
      </c>
      <c r="C82" s="148">
        <v>13</v>
      </c>
      <c r="D82" s="148">
        <v>0.24</v>
      </c>
      <c r="E82" s="148">
        <v>1.97</v>
      </c>
      <c r="F82" s="148">
        <v>0</v>
      </c>
      <c r="G82" s="1248">
        <f t="shared" si="9"/>
        <v>25610</v>
      </c>
      <c r="H82" s="1248">
        <f t="shared" si="11"/>
        <v>38415</v>
      </c>
      <c r="I82" s="1248">
        <f t="shared" si="12"/>
        <v>44668.604651162794</v>
      </c>
      <c r="J82" s="1248">
        <f t="shared" si="13"/>
        <v>58069.186046511633</v>
      </c>
      <c r="K82" s="1248">
        <f t="shared" si="14"/>
        <v>58069.186046511633</v>
      </c>
      <c r="L82" s="1249">
        <v>8</v>
      </c>
      <c r="M82" s="1250">
        <f t="shared" si="15"/>
        <v>7258.6482558139542</v>
      </c>
      <c r="N82" s="288" t="s">
        <v>2665</v>
      </c>
      <c r="O82" s="1250">
        <v>4</v>
      </c>
      <c r="P82" s="1251">
        <f t="shared" si="10"/>
        <v>11167.151162790698</v>
      </c>
      <c r="Q82" s="289" t="s">
        <v>2666</v>
      </c>
      <c r="R82" s="1251">
        <v>170</v>
      </c>
    </row>
    <row r="83" spans="1:18" ht="13.15" x14ac:dyDescent="0.4">
      <c r="A83" s="148" t="s">
        <v>2670</v>
      </c>
      <c r="B83" s="148">
        <v>2.4</v>
      </c>
      <c r="C83" s="148">
        <v>13.5</v>
      </c>
      <c r="D83" s="148">
        <v>0.24</v>
      </c>
      <c r="E83" s="148">
        <v>1.97</v>
      </c>
      <c r="F83" s="148">
        <v>0</v>
      </c>
      <c r="G83" s="1248">
        <f t="shared" si="9"/>
        <v>26595</v>
      </c>
      <c r="H83" s="1248">
        <f t="shared" si="11"/>
        <v>39892.5</v>
      </c>
      <c r="I83" s="1248">
        <f t="shared" si="12"/>
        <v>46386.627906976748</v>
      </c>
      <c r="J83" s="1248">
        <f t="shared" si="13"/>
        <v>60302.616279069771</v>
      </c>
      <c r="K83" s="1248">
        <f t="shared" si="14"/>
        <v>60302.616279069771</v>
      </c>
      <c r="L83" s="1249">
        <v>8</v>
      </c>
      <c r="M83" s="1250">
        <f t="shared" si="15"/>
        <v>7537.8270348837214</v>
      </c>
      <c r="N83" s="151" t="s">
        <v>2661</v>
      </c>
      <c r="O83" s="1250">
        <v>4</v>
      </c>
      <c r="P83" s="1251">
        <f t="shared" si="10"/>
        <v>11596.656976744187</v>
      </c>
      <c r="Q83" s="289" t="s">
        <v>2666</v>
      </c>
      <c r="R83" s="1251">
        <v>170</v>
      </c>
    </row>
    <row r="84" spans="1:18" ht="13.15" x14ac:dyDescent="0.4">
      <c r="A84" s="148" t="s">
        <v>2670</v>
      </c>
      <c r="B84" s="148">
        <v>2.4</v>
      </c>
      <c r="C84" s="148">
        <v>14</v>
      </c>
      <c r="D84" s="148">
        <v>0.24</v>
      </c>
      <c r="E84" s="148">
        <v>1.97</v>
      </c>
      <c r="F84" s="148">
        <v>0</v>
      </c>
      <c r="G84" s="1248">
        <f t="shared" si="9"/>
        <v>27580</v>
      </c>
      <c r="H84" s="1248">
        <f t="shared" si="11"/>
        <v>41370</v>
      </c>
      <c r="I84" s="1248">
        <f t="shared" si="12"/>
        <v>48104.651162790695</v>
      </c>
      <c r="J84" s="1248">
        <f t="shared" si="13"/>
        <v>62536.046511627908</v>
      </c>
      <c r="K84" s="1248">
        <f t="shared" si="14"/>
        <v>62536.046511627908</v>
      </c>
      <c r="L84" s="1249">
        <v>8</v>
      </c>
      <c r="M84" s="1250">
        <f t="shared" si="15"/>
        <v>7817.0058139534885</v>
      </c>
      <c r="N84" s="151" t="s">
        <v>2661</v>
      </c>
      <c r="O84" s="1250">
        <v>4</v>
      </c>
      <c r="P84" s="1251">
        <f t="shared" si="10"/>
        <v>12026.162790697674</v>
      </c>
      <c r="Q84" s="289" t="s">
        <v>2666</v>
      </c>
      <c r="R84" s="1251">
        <v>170</v>
      </c>
    </row>
    <row r="85" spans="1:18" ht="13.15" x14ac:dyDescent="0.4">
      <c r="A85" s="148" t="s">
        <v>2671</v>
      </c>
      <c r="B85" s="148">
        <v>2.4</v>
      </c>
      <c r="C85" s="148">
        <v>12.5</v>
      </c>
      <c r="D85" s="148">
        <v>0.24</v>
      </c>
      <c r="E85" s="148">
        <v>1.97</v>
      </c>
      <c r="F85" s="148">
        <v>1.2</v>
      </c>
      <c r="G85" s="1248">
        <f t="shared" si="9"/>
        <v>25825</v>
      </c>
      <c r="H85" s="1248">
        <f t="shared" si="11"/>
        <v>38737.5</v>
      </c>
      <c r="I85" s="1248">
        <f t="shared" si="12"/>
        <v>45043.604651162794</v>
      </c>
      <c r="J85" s="1248">
        <f t="shared" si="13"/>
        <v>58556.686046511633</v>
      </c>
      <c r="K85" s="1248">
        <f t="shared" si="14"/>
        <v>58556.686046511633</v>
      </c>
      <c r="L85" s="1249">
        <v>8</v>
      </c>
      <c r="M85" s="1250">
        <f t="shared" si="15"/>
        <v>7319.5857558139542</v>
      </c>
      <c r="N85" s="151" t="s">
        <v>2661</v>
      </c>
      <c r="O85" s="1250">
        <v>4</v>
      </c>
      <c r="P85" s="1251">
        <f t="shared" si="10"/>
        <v>11260.901162790698</v>
      </c>
      <c r="Q85" s="289" t="s">
        <v>2666</v>
      </c>
      <c r="R85" s="1251">
        <v>170</v>
      </c>
    </row>
    <row r="86" spans="1:18" ht="13.15" x14ac:dyDescent="0.4">
      <c r="A86" s="148" t="s">
        <v>2671</v>
      </c>
      <c r="B86" s="148">
        <v>2.4</v>
      </c>
      <c r="C86" s="148">
        <v>13</v>
      </c>
      <c r="D86" s="148">
        <v>0.24</v>
      </c>
      <c r="E86" s="148">
        <v>1.97</v>
      </c>
      <c r="F86" s="148">
        <v>1.2</v>
      </c>
      <c r="G86" s="1248">
        <f t="shared" si="9"/>
        <v>26810</v>
      </c>
      <c r="H86" s="1248">
        <f t="shared" si="11"/>
        <v>40215</v>
      </c>
      <c r="I86" s="1248">
        <f t="shared" si="12"/>
        <v>46761.627906976748</v>
      </c>
      <c r="J86" s="1248">
        <f t="shared" si="13"/>
        <v>60790.116279069771</v>
      </c>
      <c r="K86" s="1248">
        <f t="shared" si="14"/>
        <v>60790.116279069771</v>
      </c>
      <c r="L86" s="1249">
        <v>8</v>
      </c>
      <c r="M86" s="1250">
        <f t="shared" si="15"/>
        <v>7598.7645348837214</v>
      </c>
      <c r="N86" s="151" t="s">
        <v>2661</v>
      </c>
      <c r="O86" s="1250">
        <v>4</v>
      </c>
      <c r="P86" s="1251">
        <f t="shared" si="10"/>
        <v>11690.406976744187</v>
      </c>
      <c r="Q86" s="289" t="s">
        <v>2666</v>
      </c>
      <c r="R86" s="1251">
        <v>170</v>
      </c>
    </row>
    <row r="87" spans="1:18" ht="13.15" x14ac:dyDescent="0.4">
      <c r="A87" s="148" t="s">
        <v>2671</v>
      </c>
      <c r="B87" s="148">
        <v>2.4</v>
      </c>
      <c r="C87" s="148">
        <v>13.5</v>
      </c>
      <c r="D87" s="148">
        <v>0.24</v>
      </c>
      <c r="E87" s="148">
        <v>1.97</v>
      </c>
      <c r="F87" s="148">
        <v>1.2</v>
      </c>
      <c r="G87" s="1248">
        <f t="shared" si="9"/>
        <v>27794.999999999996</v>
      </c>
      <c r="H87" s="1248">
        <f t="shared" si="11"/>
        <v>41692.499999999993</v>
      </c>
      <c r="I87" s="1248">
        <f t="shared" si="12"/>
        <v>48479.651162790688</v>
      </c>
      <c r="J87" s="1248">
        <f t="shared" si="13"/>
        <v>63023.546511627894</v>
      </c>
      <c r="K87" s="1248">
        <f t="shared" si="14"/>
        <v>63023.546511627894</v>
      </c>
      <c r="L87" s="1249">
        <v>8</v>
      </c>
      <c r="M87" s="1250">
        <f t="shared" si="15"/>
        <v>7877.9433139534867</v>
      </c>
      <c r="N87" s="151" t="s">
        <v>2661</v>
      </c>
      <c r="O87" s="1250">
        <v>4</v>
      </c>
      <c r="P87" s="1251">
        <f t="shared" si="10"/>
        <v>12119.912790697672</v>
      </c>
      <c r="Q87" s="289" t="s">
        <v>2666</v>
      </c>
      <c r="R87" s="1251">
        <v>170</v>
      </c>
    </row>
    <row r="88" spans="1:18" ht="13.15" x14ac:dyDescent="0.4">
      <c r="A88" s="148" t="s">
        <v>2671</v>
      </c>
      <c r="B88" s="148">
        <v>2.4</v>
      </c>
      <c r="C88" s="148">
        <v>14</v>
      </c>
      <c r="D88" s="148">
        <v>0.24</v>
      </c>
      <c r="E88" s="148">
        <v>1.97</v>
      </c>
      <c r="F88" s="148">
        <v>1.2</v>
      </c>
      <c r="G88" s="1248">
        <f t="shared" si="9"/>
        <v>28779.999999999996</v>
      </c>
      <c r="H88" s="1248">
        <f t="shared" si="11"/>
        <v>43169.999999999993</v>
      </c>
      <c r="I88" s="1248">
        <f t="shared" si="12"/>
        <v>50197.674418604642</v>
      </c>
      <c r="J88" s="1248">
        <f t="shared" si="13"/>
        <v>65256.976744186039</v>
      </c>
      <c r="K88" s="1248">
        <f t="shared" si="14"/>
        <v>65256.976744186039</v>
      </c>
      <c r="L88" s="1249">
        <v>8</v>
      </c>
      <c r="M88" s="1250">
        <f t="shared" si="15"/>
        <v>8157.1220930232548</v>
      </c>
      <c r="N88" s="151" t="s">
        <v>2661</v>
      </c>
      <c r="O88" s="1250">
        <v>4</v>
      </c>
      <c r="P88" s="1251">
        <f t="shared" si="10"/>
        <v>12549.41860465116</v>
      </c>
      <c r="Q88" s="289" t="s">
        <v>2666</v>
      </c>
      <c r="R88" s="1251">
        <v>170</v>
      </c>
    </row>
  </sheetData>
  <sheetProtection algorithmName="SHA-512" hashValue="ftslzeZPk2jzv43Ff5I+xrfojZ3KDEEMT33P0TMSMH8kud3So5Ek2oX0UlptcgiCCVeAcxCrA/kAj89PPQLgKg==" saltValue="0xDWjTxwQOK8Miw127f9UQ==" spinCount="100000" sheet="1"/>
  <mergeCells count="16">
    <mergeCell ref="X4:Y5"/>
    <mergeCell ref="X16:Y17"/>
    <mergeCell ref="A2:K2"/>
    <mergeCell ref="L2:Q2"/>
    <mergeCell ref="L3:N3"/>
    <mergeCell ref="O3:Q3"/>
    <mergeCell ref="S4:S5"/>
    <mergeCell ref="U4:U5"/>
    <mergeCell ref="V4:V5"/>
    <mergeCell ref="W4:W5"/>
    <mergeCell ref="T4:T5"/>
    <mergeCell ref="S16:S17"/>
    <mergeCell ref="T16:T17"/>
    <mergeCell ref="U16:U17"/>
    <mergeCell ref="V16:V17"/>
    <mergeCell ref="W16:W17"/>
  </mergeCells>
  <pageMargins left="0.511811024" right="0.511811024" top="0.78740157499999996" bottom="0.78740157499999996" header="0.31496062000000002" footer="0.31496062000000002"/>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ilha3"/>
  <dimension ref="A1:U186"/>
  <sheetViews>
    <sheetView showGridLines="0" showZeros="0" zoomScale="115" zoomScaleNormal="115" workbookViewId="0">
      <selection activeCell="H120" sqref="H120"/>
    </sheetView>
  </sheetViews>
  <sheetFormatPr defaultRowHeight="12.75" x14ac:dyDescent="0.35"/>
  <cols>
    <col min="3" max="3" width="14.59765625" customWidth="1"/>
    <col min="4" max="4" width="14.3984375" customWidth="1"/>
    <col min="5" max="5" width="12.3984375" customWidth="1"/>
    <col min="6" max="6" width="13.59765625" customWidth="1"/>
    <col min="7" max="7" width="10.3984375" customWidth="1"/>
    <col min="9" max="9" width="5" customWidth="1"/>
    <col min="13" max="15" width="12.86328125" customWidth="1"/>
    <col min="16" max="16" width="12.3984375" customWidth="1"/>
  </cols>
  <sheetData>
    <row r="1" spans="1:10" ht="15.75" x14ac:dyDescent="0.5">
      <c r="A1" s="1533"/>
      <c r="B1" s="1534"/>
      <c r="C1" s="1535"/>
      <c r="D1" s="2251" t="s">
        <v>2672</v>
      </c>
      <c r="E1" s="2252"/>
      <c r="F1" s="2252"/>
      <c r="G1" s="2252"/>
      <c r="H1" s="2252"/>
      <c r="I1" s="2253"/>
      <c r="J1" s="627" t="s">
        <v>10</v>
      </c>
    </row>
    <row r="2" spans="1:10" x14ac:dyDescent="0.35">
      <c r="A2" s="1536"/>
      <c r="B2" s="1537"/>
      <c r="C2" s="1538"/>
      <c r="D2" s="9" t="s">
        <v>7</v>
      </c>
      <c r="E2" s="2254" t="str">
        <f>CÁLCULOS!F4</f>
        <v>12 tqs Nereda</v>
      </c>
      <c r="F2" s="2254"/>
      <c r="G2" s="2254"/>
      <c r="H2" s="2254"/>
      <c r="I2" s="2255"/>
    </row>
    <row r="3" spans="1:10" x14ac:dyDescent="0.35">
      <c r="A3" s="1539"/>
      <c r="B3" s="1540"/>
      <c r="C3" s="1541"/>
      <c r="D3" s="9" t="s">
        <v>844</v>
      </c>
      <c r="E3" s="2254" t="str">
        <f>CÁLCULOS!M4</f>
        <v>São Paulo - Tatuapé</v>
      </c>
      <c r="F3" s="2254"/>
      <c r="G3" s="2254"/>
      <c r="H3" s="2254"/>
      <c r="I3" s="2255"/>
    </row>
    <row r="4" spans="1:10" ht="4.5" customHeight="1" x14ac:dyDescent="0.35">
      <c r="A4" s="252"/>
      <c r="B4" s="1"/>
      <c r="C4" s="1"/>
      <c r="I4" s="16"/>
    </row>
    <row r="5" spans="1:10" x14ac:dyDescent="0.35">
      <c r="A5" s="269"/>
      <c r="B5" s="626"/>
      <c r="C5" s="634" t="s">
        <v>2673</v>
      </c>
      <c r="E5" s="626"/>
      <c r="F5" s="635" t="s">
        <v>2674</v>
      </c>
      <c r="I5" s="16"/>
    </row>
    <row r="6" spans="1:10" ht="15" customHeight="1" thickBot="1" x14ac:dyDescent="0.4">
      <c r="A6" s="269"/>
      <c r="B6" s="626" t="s">
        <v>35</v>
      </c>
      <c r="C6" s="635" t="s">
        <v>2675</v>
      </c>
      <c r="D6" s="82"/>
      <c r="E6" s="82"/>
      <c r="F6" s="82"/>
      <c r="G6" s="82"/>
      <c r="I6" s="16"/>
    </row>
    <row r="7" spans="1:10" ht="13.15" thickBot="1" x14ac:dyDescent="0.4">
      <c r="A7" s="20"/>
      <c r="B7" s="23" t="s">
        <v>2676</v>
      </c>
      <c r="C7" s="21"/>
      <c r="D7" s="21"/>
      <c r="E7" s="156">
        <f ca="1">CÁLCULOS!G50</f>
        <v>60</v>
      </c>
      <c r="F7" s="22" t="s">
        <v>1802</v>
      </c>
      <c r="I7" s="16"/>
    </row>
    <row r="8" spans="1:10" ht="13.15" thickBot="1" x14ac:dyDescent="0.4">
      <c r="A8" s="20"/>
      <c r="B8" s="23" t="s">
        <v>2677</v>
      </c>
      <c r="C8" s="21"/>
      <c r="D8" s="21"/>
      <c r="E8" s="271">
        <f>CÁLCULOS!G44+CÁLCULOS!G46</f>
        <v>2</v>
      </c>
      <c r="F8" s="22" t="s">
        <v>1802</v>
      </c>
      <c r="I8" s="16"/>
    </row>
    <row r="9" spans="1:10" ht="13.15" thickBot="1" x14ac:dyDescent="0.4">
      <c r="A9" s="20"/>
      <c r="B9" s="23" t="s">
        <v>2678</v>
      </c>
      <c r="C9" s="21"/>
      <c r="D9" s="21"/>
      <c r="E9" s="156">
        <f ca="1">CÁLCULOS!I11</f>
        <v>7.3000000000000007</v>
      </c>
      <c r="F9" s="22" t="s">
        <v>20</v>
      </c>
      <c r="I9" s="16"/>
    </row>
    <row r="10" spans="1:10" x14ac:dyDescent="0.35">
      <c r="A10" s="20"/>
      <c r="B10" t="s">
        <v>2679</v>
      </c>
      <c r="E10" s="4">
        <f ca="1">IF(E9=0,0,E9-0.1)</f>
        <v>7.2000000000000011</v>
      </c>
      <c r="F10" t="s">
        <v>20</v>
      </c>
      <c r="G10" t="str">
        <f ca="1">IF(E9&gt;14+ENTRADAS!G18,"ALTURA INVÁLIDA",IF(E9=0,0,IF(ENTRADAS!G66="X","SC-6",IF(ENTRADAS!E60="X","SC-14","SC-10"))))</f>
        <v>SC-10</v>
      </c>
      <c r="I10" s="16"/>
    </row>
    <row r="11" spans="1:10" x14ac:dyDescent="0.35">
      <c r="A11" s="20"/>
      <c r="B11" t="s">
        <v>2680</v>
      </c>
      <c r="E11">
        <v>2.15</v>
      </c>
      <c r="F11" t="s">
        <v>20</v>
      </c>
      <c r="G11" s="627" t="s">
        <v>2681</v>
      </c>
      <c r="H11">
        <f ca="1">CÁLCULOS!O587</f>
        <v>0.47526148320206651</v>
      </c>
      <c r="I11" s="16" t="s">
        <v>31</v>
      </c>
    </row>
    <row r="12" spans="1:10" ht="5.25" customHeight="1" x14ac:dyDescent="0.35">
      <c r="A12" s="20"/>
      <c r="I12" s="16"/>
    </row>
    <row r="13" spans="1:10" ht="15.75" x14ac:dyDescent="0.5">
      <c r="A13" s="253" t="s">
        <v>2682</v>
      </c>
      <c r="B13" s="163" t="s">
        <v>2683</v>
      </c>
      <c r="G13" s="627" t="s">
        <v>2684</v>
      </c>
      <c r="I13" s="16"/>
    </row>
    <row r="14" spans="1:10" ht="4.5" customHeight="1" x14ac:dyDescent="0.35">
      <c r="A14" s="20"/>
      <c r="I14" s="16"/>
    </row>
    <row r="15" spans="1:10" x14ac:dyDescent="0.35">
      <c r="A15" s="265" t="s">
        <v>2685</v>
      </c>
      <c r="B15" t="s">
        <v>2686</v>
      </c>
      <c r="H15" s="4">
        <f>ENTRADAS!F1237</f>
        <v>0</v>
      </c>
      <c r="I15" s="16" t="s">
        <v>31</v>
      </c>
    </row>
    <row r="16" spans="1:10" x14ac:dyDescent="0.35">
      <c r="A16" s="20"/>
      <c r="I16" s="16"/>
    </row>
    <row r="17" spans="1:9" x14ac:dyDescent="0.35">
      <c r="A17" s="20"/>
      <c r="G17" s="627" t="s">
        <v>2687</v>
      </c>
      <c r="I17" s="16"/>
    </row>
    <row r="18" spans="1:9" x14ac:dyDescent="0.35">
      <c r="A18" s="20"/>
      <c r="G18" s="627" t="s">
        <v>2688</v>
      </c>
      <c r="H18" s="4">
        <f>ENTRADAS!G1243</f>
        <v>0</v>
      </c>
      <c r="I18" s="719" t="s">
        <v>130</v>
      </c>
    </row>
    <row r="19" spans="1:9" x14ac:dyDescent="0.35">
      <c r="A19" s="20"/>
      <c r="I19" s="16"/>
    </row>
    <row r="20" spans="1:9" x14ac:dyDescent="0.35">
      <c r="A20" s="20"/>
      <c r="C20" s="34" t="s">
        <v>2689</v>
      </c>
      <c r="D20" s="82">
        <v>135</v>
      </c>
      <c r="I20" s="16"/>
    </row>
    <row r="21" spans="1:9" x14ac:dyDescent="0.35">
      <c r="A21" s="20"/>
      <c r="G21" s="627" t="s">
        <v>2690</v>
      </c>
      <c r="H21" s="668">
        <f ca="1">CÁLCULOS!N619</f>
        <v>870.91011857002059</v>
      </c>
      <c r="I21" s="16"/>
    </row>
    <row r="22" spans="1:9" x14ac:dyDescent="0.35">
      <c r="A22" s="265" t="s">
        <v>2691</v>
      </c>
      <c r="B22" t="s">
        <v>2686</v>
      </c>
      <c r="I22" s="16"/>
    </row>
    <row r="23" spans="1:9" x14ac:dyDescent="0.35">
      <c r="A23" s="20"/>
      <c r="E23" s="270" t="s">
        <v>27</v>
      </c>
      <c r="I23" s="16"/>
    </row>
    <row r="24" spans="1:9" x14ac:dyDescent="0.35">
      <c r="A24" s="20"/>
      <c r="I24" s="16"/>
    </row>
    <row r="25" spans="1:9" x14ac:dyDescent="0.35">
      <c r="A25" s="20"/>
      <c r="I25" s="16"/>
    </row>
    <row r="26" spans="1:9" x14ac:dyDescent="0.35">
      <c r="A26" s="20"/>
      <c r="I26" s="16"/>
    </row>
    <row r="27" spans="1:9" ht="3" customHeight="1" x14ac:dyDescent="0.35">
      <c r="A27" s="20"/>
      <c r="I27" s="16"/>
    </row>
    <row r="28" spans="1:9" x14ac:dyDescent="0.35">
      <c r="A28" s="20"/>
      <c r="C28" s="34" t="s">
        <v>2692</v>
      </c>
      <c r="D28" s="82">
        <v>170</v>
      </c>
      <c r="I28" s="16"/>
    </row>
    <row r="29" spans="1:9" ht="5.25" customHeight="1" x14ac:dyDescent="0.35">
      <c r="A29" s="20"/>
      <c r="I29" s="16"/>
    </row>
    <row r="30" spans="1:9" x14ac:dyDescent="0.35">
      <c r="A30" s="265" t="s">
        <v>2693</v>
      </c>
      <c r="B30" t="s">
        <v>2694</v>
      </c>
      <c r="I30" s="16"/>
    </row>
    <row r="31" spans="1:9" x14ac:dyDescent="0.35">
      <c r="A31" s="20"/>
      <c r="I31" s="16"/>
    </row>
    <row r="32" spans="1:9" x14ac:dyDescent="0.35">
      <c r="A32" s="20"/>
      <c r="F32" s="270" t="s">
        <v>27</v>
      </c>
      <c r="I32" s="16"/>
    </row>
    <row r="33" spans="1:9" x14ac:dyDescent="0.35">
      <c r="A33" s="20"/>
      <c r="I33" s="16"/>
    </row>
    <row r="34" spans="1:9" x14ac:dyDescent="0.35">
      <c r="A34" s="20"/>
      <c r="I34" s="16"/>
    </row>
    <row r="35" spans="1:9" ht="5.25" customHeight="1" x14ac:dyDescent="0.35">
      <c r="A35" s="20"/>
      <c r="I35" s="16"/>
    </row>
    <row r="36" spans="1:9" x14ac:dyDescent="0.35">
      <c r="A36" s="20"/>
      <c r="C36" s="647" t="s">
        <v>2695</v>
      </c>
      <c r="D36" s="82">
        <v>161</v>
      </c>
      <c r="I36" s="16"/>
    </row>
    <row r="37" spans="1:9" ht="6" customHeight="1" x14ac:dyDescent="0.35">
      <c r="A37" s="20"/>
      <c r="I37" s="16"/>
    </row>
    <row r="38" spans="1:9" ht="18" x14ac:dyDescent="0.55000000000000004">
      <c r="A38" s="20"/>
      <c r="C38" s="266"/>
      <c r="D38" s="2229" t="s">
        <v>2696</v>
      </c>
      <c r="E38" s="2230"/>
      <c r="F38" s="157">
        <f ca="1">IF(E9=0,0,IF(G10="sc-6",0,(4*1.35*1.58)+(0*2*1.7*2.5)+(2*10*1.61*0.63)))</f>
        <v>28.818000000000005</v>
      </c>
      <c r="G38" s="158" t="s">
        <v>64</v>
      </c>
      <c r="I38" s="16"/>
    </row>
    <row r="39" spans="1:9" ht="5.25" customHeight="1" x14ac:dyDescent="0.35">
      <c r="A39" s="20"/>
      <c r="I39" s="16"/>
    </row>
    <row r="40" spans="1:9" ht="15.75" x14ac:dyDescent="0.5">
      <c r="A40" s="253" t="s">
        <v>2697</v>
      </c>
      <c r="B40" s="163" t="s">
        <v>2698</v>
      </c>
      <c r="I40" s="16"/>
    </row>
    <row r="41" spans="1:9" ht="3" customHeight="1" x14ac:dyDescent="0.35">
      <c r="A41" s="20"/>
      <c r="I41" s="16"/>
    </row>
    <row r="42" spans="1:9" x14ac:dyDescent="0.35">
      <c r="A42" s="265" t="s">
        <v>2699</v>
      </c>
      <c r="B42" t="s">
        <v>2700</v>
      </c>
      <c r="I42" s="16"/>
    </row>
    <row r="43" spans="1:9" ht="5.25" customHeight="1" x14ac:dyDescent="0.35">
      <c r="A43" s="20"/>
      <c r="I43" s="16"/>
    </row>
    <row r="44" spans="1:9" x14ac:dyDescent="0.35">
      <c r="A44" s="20"/>
      <c r="B44" t="s">
        <v>2701</v>
      </c>
      <c r="I44" s="16"/>
    </row>
    <row r="45" spans="1:9" ht="5.25" customHeight="1" x14ac:dyDescent="0.35">
      <c r="A45" s="20"/>
      <c r="I45" s="16"/>
    </row>
    <row r="46" spans="1:9" x14ac:dyDescent="0.35">
      <c r="A46" s="20"/>
      <c r="I46" s="16"/>
    </row>
    <row r="47" spans="1:9" x14ac:dyDescent="0.35">
      <c r="A47" s="20"/>
      <c r="I47" s="16"/>
    </row>
    <row r="48" spans="1:9" x14ac:dyDescent="0.35">
      <c r="A48" s="20"/>
      <c r="I48" s="16"/>
    </row>
    <row r="49" spans="1:21" x14ac:dyDescent="0.35">
      <c r="A49" s="20"/>
      <c r="I49" s="16"/>
    </row>
    <row r="50" spans="1:21" x14ac:dyDescent="0.35">
      <c r="A50" s="20"/>
      <c r="I50" s="16"/>
    </row>
    <row r="51" spans="1:21" x14ac:dyDescent="0.35">
      <c r="A51" s="20"/>
      <c r="I51" s="16"/>
    </row>
    <row r="52" spans="1:21" x14ac:dyDescent="0.35">
      <c r="A52" s="20"/>
      <c r="I52" s="16"/>
    </row>
    <row r="53" spans="1:21" x14ac:dyDescent="0.35">
      <c r="A53" s="20"/>
      <c r="C53" s="2244" t="s">
        <v>2702</v>
      </c>
      <c r="D53" s="2244"/>
      <c r="E53" s="262">
        <f ca="1">IF(G10="sc-6",0,100)</f>
        <v>100</v>
      </c>
      <c r="F53" s="4" t="s">
        <v>64</v>
      </c>
      <c r="I53" s="16"/>
    </row>
    <row r="54" spans="1:21" x14ac:dyDescent="0.35">
      <c r="A54" s="20"/>
      <c r="C54" s="2244"/>
      <c r="D54" s="2244"/>
      <c r="E54" s="262"/>
      <c r="F54" s="4"/>
      <c r="I54" s="16"/>
    </row>
    <row r="55" spans="1:21" ht="16.899999999999999" x14ac:dyDescent="0.5">
      <c r="A55" s="20"/>
      <c r="C55" s="2249" t="s">
        <v>2703</v>
      </c>
      <c r="D55" s="2249"/>
      <c r="E55" s="263">
        <f ca="1">IF(E10=0,0,IF(G10="sc-6",0,IF(E10&lt;=6,0,M63*E53)))</f>
        <v>100</v>
      </c>
      <c r="F55" s="264" t="s">
        <v>64</v>
      </c>
      <c r="I55" s="16"/>
    </row>
    <row r="56" spans="1:21" x14ac:dyDescent="0.35">
      <c r="A56" s="20"/>
      <c r="I56" s="16"/>
    </row>
    <row r="57" spans="1:21" x14ac:dyDescent="0.35">
      <c r="A57" s="20"/>
      <c r="B57" t="s">
        <v>2704</v>
      </c>
      <c r="I57" s="16"/>
    </row>
    <row r="58" spans="1:21" ht="14.25" x14ac:dyDescent="0.45">
      <c r="A58" s="20"/>
      <c r="C58" s="2250" t="s">
        <v>2705</v>
      </c>
      <c r="D58" s="2250"/>
      <c r="E58" s="2250"/>
      <c r="F58">
        <f ca="1">ROUNDUP(E10*0.44/0.15,0)</f>
        <v>22</v>
      </c>
      <c r="G58" t="s">
        <v>2706</v>
      </c>
      <c r="I58" s="16"/>
    </row>
    <row r="59" spans="1:21" ht="16.899999999999999" x14ac:dyDescent="0.5">
      <c r="A59" s="20"/>
      <c r="C59" s="2249" t="s">
        <v>2703</v>
      </c>
      <c r="D59" s="2249"/>
      <c r="E59" s="263">
        <f ca="1">IF(G10="sc-6",0,IF(E10&lt;=6,0,F58*E11*0.63))</f>
        <v>29.798999999999999</v>
      </c>
      <c r="F59" s="264" t="s">
        <v>64</v>
      </c>
      <c r="G59" t="str">
        <f ca="1">"numa altura= "&amp;E10*0.44&amp;" m"</f>
        <v>numa altura= 3,168 m</v>
      </c>
      <c r="I59" s="16"/>
    </row>
    <row r="60" spans="1:21" x14ac:dyDescent="0.35">
      <c r="A60" s="20"/>
      <c r="I60" s="16"/>
    </row>
    <row r="61" spans="1:21" x14ac:dyDescent="0.35">
      <c r="A61" s="265"/>
      <c r="B61" t="s">
        <v>2707</v>
      </c>
      <c r="I61" s="16"/>
      <c r="O61" t="s">
        <v>2708</v>
      </c>
      <c r="Q61" s="81">
        <f ca="1">IF(E10=0,0,IF(E10&lt;=L71,ROUNDUP(E10,0),IF(AND(E10&gt;L71,E10&lt;=L72),L72,IF(AND(E10&gt;L72,E10&lt;=L73),L73,IF(AND(E10&gt;L73,E10&lt;=L74),L74,R61)))))</f>
        <v>7.5</v>
      </c>
      <c r="R61" s="32">
        <f ca="1">IF(E10=0,0,IF(AND(E10&gt;L74,E10&lt;=L75),L75,IF(AND(E10&gt;L75,E10&lt;=L76),L76,IF(AND(E10&gt;L76,E10&lt;=L77),L77,IF(AND(E10&gt;L77,E10&lt;=L78),L78,S61)))))</f>
        <v>0</v>
      </c>
      <c r="S61" s="32">
        <f ca="1">IF(E10=0,0,IF(AND(E10&gt;L78,E10&lt;=L79),L79,IF(AND(E10&gt;L79,E10&lt;=L80),L80,IF(AND(E10&gt;L80,E10&lt;=L81),L81,IF(AND(E10&gt;L81,E10&lt;=L82),L82,T61)))))</f>
        <v>0</v>
      </c>
      <c r="T61" s="32">
        <f ca="1">IF(E10=0,0,IF(AND(E10&gt;L82,E10&lt;=L83),L83,IF(AND(E10&gt;L83,E10&lt;=L84),L84,IF(AND(E10&gt;L84,E10&lt;=L85),L85,IF(AND(E10&gt;L85,E10&lt;=L86),L86,U61)))))</f>
        <v>0</v>
      </c>
      <c r="U61" s="32">
        <f ca="1">IF(E10=0,0,IF(AND(E10&gt;L86,E10&lt;=L87),L87,0))</f>
        <v>0</v>
      </c>
    </row>
    <row r="62" spans="1:21" x14ac:dyDescent="0.35">
      <c r="A62" s="20"/>
      <c r="C62" s="1510" t="s">
        <v>2709</v>
      </c>
      <c r="D62" s="1537"/>
      <c r="E62" s="1537"/>
      <c r="I62" s="16"/>
    </row>
    <row r="63" spans="1:21" ht="16.899999999999999" x14ac:dyDescent="0.5">
      <c r="A63" s="20"/>
      <c r="C63" s="2249" t="s">
        <v>2703</v>
      </c>
      <c r="D63" s="2249"/>
      <c r="E63" s="263">
        <f ca="1">IF(G10="sc-6",0,IF(E10=0,0,Q63*0.4))</f>
        <v>2.2000000000000002</v>
      </c>
      <c r="F63" s="264" t="s">
        <v>64</v>
      </c>
      <c r="I63" s="16"/>
      <c r="L63" s="4"/>
      <c r="M63" s="81">
        <f ca="1">IF(E10=0,0,VLOOKUP(Q61,$L$67:$Q$87,2,0))</f>
        <v>1</v>
      </c>
      <c r="N63" s="81"/>
      <c r="O63" s="81"/>
      <c r="P63" s="81">
        <f ca="1">IF(E10=0,0,VLOOKUP(Q61,$L$67:$Q$87,3,0))</f>
        <v>1</v>
      </c>
      <c r="Q63" s="81">
        <f ca="1">IF(E10=0,0,VLOOKUP(Q61,$L$67:$Q$87,6,0))</f>
        <v>5.5</v>
      </c>
    </row>
    <row r="64" spans="1:21" ht="5.25" customHeight="1" x14ac:dyDescent="0.35">
      <c r="A64" s="18"/>
      <c r="B64" s="3"/>
      <c r="C64" s="3"/>
      <c r="D64" s="3"/>
      <c r="E64" s="3"/>
      <c r="F64" s="3"/>
      <c r="G64" s="3"/>
      <c r="H64" s="3"/>
      <c r="I64" s="17"/>
    </row>
    <row r="65" spans="1:17" x14ac:dyDescent="0.35">
      <c r="A65" s="40" t="s">
        <v>2710</v>
      </c>
      <c r="B65" s="14" t="s">
        <v>2711</v>
      </c>
      <c r="C65" s="14"/>
      <c r="D65" s="14"/>
      <c r="E65" s="14"/>
      <c r="F65" s="14"/>
      <c r="G65" s="14"/>
      <c r="H65" s="14"/>
      <c r="I65" s="15"/>
      <c r="L65" s="2" t="s">
        <v>2712</v>
      </c>
      <c r="M65" s="32" t="s">
        <v>2713</v>
      </c>
      <c r="N65" s="32" t="s">
        <v>2714</v>
      </c>
      <c r="O65" s="32" t="s">
        <v>2715</v>
      </c>
      <c r="P65" s="32" t="s">
        <v>2716</v>
      </c>
      <c r="Q65" s="32" t="s">
        <v>2717</v>
      </c>
    </row>
    <row r="66" spans="1:17" ht="3.75" customHeight="1" x14ac:dyDescent="0.35">
      <c r="A66" s="20"/>
      <c r="I66" s="16"/>
    </row>
    <row r="67" spans="1:17" x14ac:dyDescent="0.35">
      <c r="A67" s="20"/>
      <c r="B67" t="s">
        <v>2718</v>
      </c>
      <c r="I67" s="16"/>
      <c r="L67" s="32">
        <v>2</v>
      </c>
      <c r="M67" s="32">
        <v>0.3</v>
      </c>
      <c r="N67" s="32"/>
      <c r="O67" s="32"/>
      <c r="P67" s="32"/>
      <c r="Q67" s="32">
        <f>11*P67</f>
        <v>0</v>
      </c>
    </row>
    <row r="68" spans="1:17" ht="6.75" customHeight="1" x14ac:dyDescent="0.35">
      <c r="A68" s="20"/>
      <c r="I68" s="16"/>
      <c r="L68" s="32">
        <v>3</v>
      </c>
      <c r="M68" s="32">
        <v>0.41</v>
      </c>
      <c r="N68" s="32"/>
      <c r="O68" s="32"/>
      <c r="P68" s="32"/>
      <c r="Q68" s="32">
        <f>11*P68</f>
        <v>0</v>
      </c>
    </row>
    <row r="69" spans="1:17" x14ac:dyDescent="0.35">
      <c r="A69" s="20"/>
      <c r="I69" s="16"/>
      <c r="L69" s="32">
        <v>4</v>
      </c>
      <c r="M69" s="32">
        <v>0.54</v>
      </c>
      <c r="N69" s="32"/>
      <c r="O69" s="32"/>
      <c r="P69" s="32"/>
      <c r="Q69" s="32">
        <f t="shared" ref="Q69:Q70" si="0">11*P69</f>
        <v>0</v>
      </c>
    </row>
    <row r="70" spans="1:17" x14ac:dyDescent="0.35">
      <c r="A70" s="20"/>
      <c r="I70" s="16"/>
      <c r="L70" s="32">
        <v>5</v>
      </c>
      <c r="M70" s="32">
        <v>0.67</v>
      </c>
      <c r="N70" s="32"/>
      <c r="O70" s="32"/>
      <c r="P70" s="32"/>
      <c r="Q70" s="32">
        <f t="shared" si="0"/>
        <v>0</v>
      </c>
    </row>
    <row r="71" spans="1:17" x14ac:dyDescent="0.35">
      <c r="A71" s="20"/>
      <c r="I71" s="16"/>
      <c r="L71" s="32">
        <v>6</v>
      </c>
      <c r="M71" s="32">
        <v>0.83299999999999996</v>
      </c>
      <c r="N71" s="32">
        <v>1</v>
      </c>
      <c r="O71" s="32">
        <v>1.35</v>
      </c>
      <c r="P71" s="32">
        <f>1*1.35</f>
        <v>1.35</v>
      </c>
      <c r="Q71" s="32">
        <f>11*P71</f>
        <v>14.850000000000001</v>
      </c>
    </row>
    <row r="72" spans="1:17" x14ac:dyDescent="0.35">
      <c r="A72" s="20"/>
      <c r="I72" s="16"/>
      <c r="L72" s="32">
        <v>6.5</v>
      </c>
      <c r="M72" s="32">
        <v>0.83299999999999996</v>
      </c>
      <c r="N72" s="32">
        <v>1</v>
      </c>
      <c r="O72" s="32">
        <v>1.35</v>
      </c>
      <c r="P72" s="32">
        <f>1*1.35</f>
        <v>1.35</v>
      </c>
      <c r="Q72" s="32">
        <f>11*P72</f>
        <v>14.850000000000001</v>
      </c>
    </row>
    <row r="73" spans="1:17" x14ac:dyDescent="0.35">
      <c r="A73" s="20"/>
      <c r="I73" s="16"/>
      <c r="L73" s="32">
        <v>7</v>
      </c>
      <c r="M73" s="32">
        <v>1</v>
      </c>
      <c r="N73" s="32"/>
      <c r="O73" s="32"/>
      <c r="P73" s="32"/>
      <c r="Q73" s="32"/>
    </row>
    <row r="74" spans="1:17" x14ac:dyDescent="0.35">
      <c r="A74" s="20"/>
      <c r="I74" s="16"/>
      <c r="L74" s="32">
        <v>7.5</v>
      </c>
      <c r="M74" s="32">
        <v>1</v>
      </c>
      <c r="N74" s="32">
        <v>1</v>
      </c>
      <c r="O74" s="32">
        <v>0.5</v>
      </c>
      <c r="P74" s="32">
        <v>0.5</v>
      </c>
      <c r="Q74" s="32">
        <f>11*P74</f>
        <v>5.5</v>
      </c>
    </row>
    <row r="75" spans="1:17" x14ac:dyDescent="0.35">
      <c r="A75" s="20"/>
      <c r="I75" s="16"/>
      <c r="L75" s="32">
        <v>8</v>
      </c>
      <c r="M75" s="32">
        <v>1.0832999999999999</v>
      </c>
      <c r="N75" s="32">
        <v>1</v>
      </c>
      <c r="O75" s="32">
        <v>1.2</v>
      </c>
      <c r="P75" s="32">
        <f>1*1.2</f>
        <v>1.2</v>
      </c>
      <c r="Q75" s="32">
        <f t="shared" ref="Q75:Q87" si="1">11*P75</f>
        <v>13.2</v>
      </c>
    </row>
    <row r="76" spans="1:17" ht="18.75" customHeight="1" x14ac:dyDescent="0.35">
      <c r="A76" s="20"/>
      <c r="C76" s="2243" t="s">
        <v>2702</v>
      </c>
      <c r="D76" s="2243"/>
      <c r="E76" s="262">
        <f ca="1">IF(G10="sc-6",0,83)</f>
        <v>83</v>
      </c>
      <c r="F76" s="262" t="s">
        <v>64</v>
      </c>
      <c r="G76" s="25"/>
      <c r="I76" s="16"/>
      <c r="L76" s="32">
        <v>8.5</v>
      </c>
      <c r="M76" s="32">
        <v>1.143</v>
      </c>
      <c r="N76" s="32">
        <v>1</v>
      </c>
      <c r="O76" s="32">
        <v>1.2</v>
      </c>
      <c r="P76" s="32">
        <f>1*1.2</f>
        <v>1.2</v>
      </c>
      <c r="Q76" s="32">
        <f t="shared" si="1"/>
        <v>13.2</v>
      </c>
    </row>
    <row r="77" spans="1:17" x14ac:dyDescent="0.35">
      <c r="A77" s="20"/>
      <c r="C77" s="2244"/>
      <c r="D77" s="2244"/>
      <c r="E77" s="262"/>
      <c r="F77" s="4"/>
      <c r="I77" s="16"/>
      <c r="L77" s="32">
        <v>9</v>
      </c>
      <c r="M77" s="32">
        <v>1.2</v>
      </c>
      <c r="N77" s="32">
        <v>1</v>
      </c>
      <c r="O77" s="32">
        <v>1.05</v>
      </c>
      <c r="P77" s="32">
        <f>1*1.05</f>
        <v>1.05</v>
      </c>
      <c r="Q77" s="32">
        <f t="shared" si="1"/>
        <v>11.55</v>
      </c>
    </row>
    <row r="78" spans="1:17" ht="16.899999999999999" x14ac:dyDescent="0.5">
      <c r="A78" s="20"/>
      <c r="C78" s="2249" t="s">
        <v>2703</v>
      </c>
      <c r="D78" s="2249"/>
      <c r="E78" s="263">
        <f ca="1">IF(E10=0,0,IF(E10&lt;=6,2*M63*E76,M63*E76))</f>
        <v>83</v>
      </c>
      <c r="F78" s="264" t="s">
        <v>64</v>
      </c>
      <c r="I78" s="16"/>
      <c r="L78" s="32">
        <v>9.5</v>
      </c>
      <c r="M78" s="32">
        <v>1.25</v>
      </c>
      <c r="N78" s="32">
        <v>1</v>
      </c>
      <c r="O78" s="32">
        <v>1.25</v>
      </c>
      <c r="P78" s="32">
        <f>1*1.25</f>
        <v>1.25</v>
      </c>
      <c r="Q78" s="32">
        <f t="shared" si="1"/>
        <v>13.75</v>
      </c>
    </row>
    <row r="79" spans="1:17" ht="4.5" customHeight="1" x14ac:dyDescent="0.35">
      <c r="A79" s="20"/>
      <c r="I79" s="16"/>
      <c r="L79" s="32">
        <v>10</v>
      </c>
      <c r="M79" s="32">
        <v>1.333</v>
      </c>
      <c r="N79" s="32">
        <v>1</v>
      </c>
      <c r="O79" s="32">
        <v>1.25</v>
      </c>
      <c r="P79" s="32">
        <f>1*1.25</f>
        <v>1.25</v>
      </c>
      <c r="Q79" s="32">
        <f t="shared" si="1"/>
        <v>13.75</v>
      </c>
    </row>
    <row r="80" spans="1:17" x14ac:dyDescent="0.35">
      <c r="A80" s="265"/>
      <c r="B80" t="s">
        <v>2707</v>
      </c>
      <c r="I80" s="16"/>
      <c r="L80" s="32">
        <v>10.5</v>
      </c>
      <c r="M80" s="32">
        <v>1.5</v>
      </c>
      <c r="N80" s="32">
        <v>1</v>
      </c>
      <c r="O80" s="32">
        <v>1.25</v>
      </c>
      <c r="P80" s="32">
        <f>1*1.25</f>
        <v>1.25</v>
      </c>
      <c r="Q80" s="32">
        <f t="shared" si="1"/>
        <v>13.75</v>
      </c>
    </row>
    <row r="81" spans="1:17" x14ac:dyDescent="0.35">
      <c r="A81" s="20"/>
      <c r="C81" s="1510" t="s">
        <v>2709</v>
      </c>
      <c r="D81" s="1537"/>
      <c r="E81" s="1537"/>
      <c r="I81" s="16"/>
      <c r="L81" s="32">
        <v>11</v>
      </c>
      <c r="M81" s="32">
        <v>1.5</v>
      </c>
      <c r="N81" s="32">
        <v>1</v>
      </c>
      <c r="O81" s="32">
        <v>1.25</v>
      </c>
      <c r="P81" s="32">
        <f>1*1.25</f>
        <v>1.25</v>
      </c>
      <c r="Q81" s="32">
        <f t="shared" si="1"/>
        <v>13.75</v>
      </c>
    </row>
    <row r="82" spans="1:17" ht="16.899999999999999" x14ac:dyDescent="0.5">
      <c r="A82" s="20"/>
      <c r="C82" s="2249" t="s">
        <v>2703</v>
      </c>
      <c r="D82" s="2249"/>
      <c r="E82" s="263">
        <f ca="1">IF(G10="sc-6",0,IF(E10=0,0,Q63*0.4))</f>
        <v>2.2000000000000002</v>
      </c>
      <c r="F82" s="264" t="s">
        <v>64</v>
      </c>
      <c r="I82" s="16"/>
      <c r="L82" s="32">
        <v>11.5</v>
      </c>
      <c r="M82" s="32">
        <v>1.5</v>
      </c>
      <c r="N82" s="32">
        <v>1</v>
      </c>
      <c r="O82" s="32">
        <v>1.5</v>
      </c>
      <c r="P82" s="32">
        <f>1*1.5</f>
        <v>1.5</v>
      </c>
      <c r="Q82" s="32">
        <f t="shared" si="1"/>
        <v>16.5</v>
      </c>
    </row>
    <row r="83" spans="1:17" ht="4.5" customHeight="1" x14ac:dyDescent="0.35">
      <c r="A83" s="20"/>
      <c r="I83" s="16"/>
      <c r="L83" s="32">
        <v>12</v>
      </c>
      <c r="M83" s="32">
        <v>1.67</v>
      </c>
      <c r="N83" s="32"/>
      <c r="O83" s="32">
        <v>1.2</v>
      </c>
      <c r="P83" s="32">
        <f>4*1.2/3</f>
        <v>1.5999999999999999</v>
      </c>
      <c r="Q83" s="32">
        <f t="shared" si="1"/>
        <v>17.599999999999998</v>
      </c>
    </row>
    <row r="84" spans="1:17" ht="16.149999999999999" x14ac:dyDescent="0.5">
      <c r="A84" s="20"/>
      <c r="C84" s="163"/>
      <c r="D84" s="2241" t="s">
        <v>2719</v>
      </c>
      <c r="E84" s="2242"/>
      <c r="F84" s="260">
        <f ca="1">F85+F86</f>
        <v>217.19900000000001</v>
      </c>
      <c r="G84" s="261" t="s">
        <v>64</v>
      </c>
      <c r="I84" s="16"/>
      <c r="L84" s="32">
        <v>12.5</v>
      </c>
      <c r="M84" s="32">
        <v>1.67</v>
      </c>
      <c r="N84" s="32">
        <v>1.5</v>
      </c>
      <c r="O84" s="32">
        <v>1.2</v>
      </c>
      <c r="P84" s="32">
        <f>9*1.2/6</f>
        <v>1.7999999999999998</v>
      </c>
      <c r="Q84" s="32">
        <f t="shared" si="1"/>
        <v>19.799999999999997</v>
      </c>
    </row>
    <row r="85" spans="1:17" ht="15.75" x14ac:dyDescent="0.5">
      <c r="A85" s="20"/>
      <c r="C85" s="254"/>
      <c r="D85" s="2245" t="s">
        <v>2720</v>
      </c>
      <c r="E85" s="2246"/>
      <c r="F85" s="256">
        <f ca="1">E55+E78</f>
        <v>183</v>
      </c>
      <c r="G85" s="257" t="s">
        <v>64</v>
      </c>
      <c r="I85" s="16"/>
      <c r="L85" s="32">
        <v>13</v>
      </c>
      <c r="M85" s="32">
        <v>1.75</v>
      </c>
      <c r="N85" s="32">
        <v>2</v>
      </c>
      <c r="O85" s="32">
        <v>1.25</v>
      </c>
      <c r="P85" s="32">
        <f>2*1.25</f>
        <v>2.5</v>
      </c>
      <c r="Q85" s="32">
        <f t="shared" si="1"/>
        <v>27.5</v>
      </c>
    </row>
    <row r="86" spans="1:17" ht="15.75" x14ac:dyDescent="0.5">
      <c r="A86" s="20"/>
      <c r="C86" s="254"/>
      <c r="D86" s="2247" t="s">
        <v>2721</v>
      </c>
      <c r="E86" s="2248"/>
      <c r="F86" s="258">
        <f ca="1">E59+E63+E82</f>
        <v>34.198999999999998</v>
      </c>
      <c r="G86" s="259" t="s">
        <v>64</v>
      </c>
      <c r="I86" s="16"/>
      <c r="L86" s="32">
        <v>13.5</v>
      </c>
      <c r="M86" s="32">
        <v>1.833</v>
      </c>
      <c r="N86" s="32">
        <v>2</v>
      </c>
      <c r="O86" s="32">
        <v>1.25</v>
      </c>
      <c r="P86" s="32">
        <f>2*1.25</f>
        <v>2.5</v>
      </c>
      <c r="Q86" s="32">
        <f t="shared" si="1"/>
        <v>27.5</v>
      </c>
    </row>
    <row r="87" spans="1:17" ht="5.25" customHeight="1" x14ac:dyDescent="0.35">
      <c r="A87" s="20"/>
      <c r="I87" s="16"/>
      <c r="L87" s="7">
        <f>14+ENTRADAS!G18</f>
        <v>14.15</v>
      </c>
      <c r="M87" s="32">
        <v>1.833</v>
      </c>
      <c r="N87" s="32">
        <v>2</v>
      </c>
      <c r="O87" s="32">
        <v>2</v>
      </c>
      <c r="P87" s="32">
        <f>2*1.25</f>
        <v>2.5</v>
      </c>
      <c r="Q87" s="32">
        <f t="shared" si="1"/>
        <v>27.5</v>
      </c>
    </row>
    <row r="88" spans="1:17" ht="15.75" x14ac:dyDescent="0.5">
      <c r="A88" s="253" t="s">
        <v>2722</v>
      </c>
      <c r="B88" s="163" t="s">
        <v>2535</v>
      </c>
      <c r="I88" s="16"/>
    </row>
    <row r="89" spans="1:17" ht="3.75" customHeight="1" x14ac:dyDescent="0.35">
      <c r="A89" s="20"/>
      <c r="I89" s="16"/>
    </row>
    <row r="90" spans="1:17" x14ac:dyDescent="0.35">
      <c r="A90" s="20"/>
      <c r="B90" s="34" t="s">
        <v>2723</v>
      </c>
      <c r="F90" s="34" t="s">
        <v>2724</v>
      </c>
      <c r="I90" s="16"/>
    </row>
    <row r="91" spans="1:17" x14ac:dyDescent="0.35">
      <c r="A91" s="20"/>
      <c r="I91" s="16"/>
    </row>
    <row r="92" spans="1:17" x14ac:dyDescent="0.35">
      <c r="A92" s="20"/>
      <c r="I92" s="16"/>
    </row>
    <row r="93" spans="1:17" x14ac:dyDescent="0.35">
      <c r="A93" s="20"/>
      <c r="I93" s="16"/>
    </row>
    <row r="94" spans="1:17" x14ac:dyDescent="0.35">
      <c r="A94" s="20"/>
      <c r="I94" s="16"/>
    </row>
    <row r="95" spans="1:17" x14ac:dyDescent="0.35">
      <c r="A95" s="20"/>
      <c r="I95" s="16"/>
    </row>
    <row r="96" spans="1:17" x14ac:dyDescent="0.35">
      <c r="A96" s="20"/>
      <c r="I96" s="16"/>
    </row>
    <row r="97" spans="1:9" x14ac:dyDescent="0.35">
      <c r="A97" s="20"/>
      <c r="I97" s="16"/>
    </row>
    <row r="98" spans="1:9" ht="14.25" x14ac:dyDescent="0.45">
      <c r="A98" s="20"/>
      <c r="C98" t="s">
        <v>2725</v>
      </c>
      <c r="G98" t="s">
        <v>2725</v>
      </c>
      <c r="I98" s="16"/>
    </row>
    <row r="99" spans="1:9" x14ac:dyDescent="0.35">
      <c r="A99" s="20"/>
      <c r="D99" s="4">
        <f ca="1">ROUNDUP(E10/0.3,0)*0.66*0.4</f>
        <v>6.3360000000000003</v>
      </c>
      <c r="E99" t="s">
        <v>64</v>
      </c>
      <c r="H99" s="4">
        <f ca="1">ROUNDUP(E10/0.3,0)*0.63*0.4</f>
        <v>6.0480000000000009</v>
      </c>
      <c r="I99" s="16" t="s">
        <v>64</v>
      </c>
    </row>
    <row r="100" spans="1:9" x14ac:dyDescent="0.35">
      <c r="A100" s="20"/>
      <c r="C100" t="s">
        <v>2726</v>
      </c>
      <c r="G100" t="s">
        <v>2726</v>
      </c>
      <c r="I100" s="16"/>
    </row>
    <row r="101" spans="1:9" x14ac:dyDescent="0.35">
      <c r="A101" s="20"/>
      <c r="D101">
        <f ca="1">3*E10*1</f>
        <v>21.6</v>
      </c>
      <c r="E101" t="s">
        <v>64</v>
      </c>
      <c r="H101">
        <f ca="1">3*E10*1</f>
        <v>21.6</v>
      </c>
      <c r="I101" s="16" t="s">
        <v>64</v>
      </c>
    </row>
    <row r="102" spans="1:9" ht="3.75" customHeight="1" x14ac:dyDescent="0.35">
      <c r="A102" s="20"/>
      <c r="I102" s="16"/>
    </row>
    <row r="103" spans="1:9" ht="18" x14ac:dyDescent="0.55000000000000004">
      <c r="A103" s="20"/>
      <c r="C103" s="266"/>
      <c r="D103" s="2229" t="s">
        <v>2727</v>
      </c>
      <c r="E103" s="2230"/>
      <c r="F103" s="160">
        <f ca="1">IF(G10="sc-6",0,D99+D101+H99+H101)</f>
        <v>55.584000000000003</v>
      </c>
      <c r="G103" s="161" t="s">
        <v>64</v>
      </c>
      <c r="I103" s="16"/>
    </row>
    <row r="104" spans="1:9" ht="6.75" customHeight="1" x14ac:dyDescent="0.55000000000000004">
      <c r="A104" s="20"/>
      <c r="C104" s="266"/>
      <c r="D104" s="162"/>
      <c r="E104" s="162"/>
      <c r="F104" s="159"/>
      <c r="G104" s="163"/>
      <c r="I104" s="16"/>
    </row>
    <row r="105" spans="1:9" ht="15.75" x14ac:dyDescent="0.5">
      <c r="A105" s="253" t="s">
        <v>2728</v>
      </c>
      <c r="B105" s="163" t="s">
        <v>2729</v>
      </c>
      <c r="I105" s="16"/>
    </row>
    <row r="106" spans="1:9" ht="2.25" customHeight="1" x14ac:dyDescent="0.35">
      <c r="A106" s="20"/>
      <c r="I106" s="16"/>
    </row>
    <row r="107" spans="1:9" ht="15.75" x14ac:dyDescent="0.5">
      <c r="A107" s="253"/>
      <c r="B107" s="2231" t="s">
        <v>2730</v>
      </c>
      <c r="C107" s="2232"/>
      <c r="D107" s="2232"/>
      <c r="E107" s="2232"/>
      <c r="F107" s="2232"/>
      <c r="G107" s="2232"/>
      <c r="H107" s="2233"/>
      <c r="I107" s="267"/>
    </row>
    <row r="108" spans="1:9" ht="15.75" x14ac:dyDescent="0.5">
      <c r="A108" s="253"/>
      <c r="B108" s="2234" t="s">
        <v>2731</v>
      </c>
      <c r="C108" s="2235"/>
      <c r="D108" s="2235"/>
      <c r="E108" s="2236"/>
      <c r="F108" s="2234" t="s">
        <v>2732</v>
      </c>
      <c r="G108" s="2235"/>
      <c r="H108" s="2236"/>
      <c r="I108" s="267"/>
    </row>
    <row r="109" spans="1:9" ht="15.75" x14ac:dyDescent="0.5">
      <c r="A109" s="268"/>
      <c r="B109" s="164" t="s">
        <v>2733</v>
      </c>
      <c r="C109" s="165"/>
      <c r="D109" s="166">
        <f ca="1">IF(E9&lt;=4,IF(H18&gt;0,F85*(1+(H18/100)),F85)*0.7,IF(H18&gt;0,F85*(1+(H18/100)),F85))</f>
        <v>183</v>
      </c>
      <c r="E109" s="167" t="s">
        <v>64</v>
      </c>
      <c r="F109" s="164" t="s">
        <v>2733</v>
      </c>
      <c r="G109" s="166">
        <f ca="1">IF(E9=0,0,IF(H18&gt;0,D109/(E9*H15),D109/(H11*E9)))</f>
        <v>52.74673845182312</v>
      </c>
      <c r="H109" s="167" t="s">
        <v>132</v>
      </c>
      <c r="I109" s="267"/>
    </row>
    <row r="110" spans="1:9" ht="15.75" x14ac:dyDescent="0.5">
      <c r="A110" s="268"/>
      <c r="B110" s="168" t="s">
        <v>2734</v>
      </c>
      <c r="C110" s="169"/>
      <c r="D110" s="170">
        <f ca="1">IF(G10="SC-6",H11*E9*83,IF(E10&lt;=4,IF(E10=0,0,IF(H18&gt;0,(F38+F86+F103+(H143/(E7+E8)))*(1+(H18/100)),F38+F86+F103+(H143/(E7+E8))))*0.7,IF(E10=0,0,IF(H18&gt;0,(F38+F86+F103+(H143/(E7+E8)))*(1+(H18/100)),F38+F86+F103+(H143/(E7+E8))))))</f>
        <v>123.001</v>
      </c>
      <c r="E110" s="171" t="s">
        <v>64</v>
      </c>
      <c r="F110" s="168" t="s">
        <v>2734</v>
      </c>
      <c r="G110" s="170">
        <f ca="1">IF(E9=0,0,IF(H18&gt;0,D110/(E9*H15),D110/(H11*E9)))</f>
        <v>35.453014078211453</v>
      </c>
      <c r="H110" s="171" t="s">
        <v>132</v>
      </c>
      <c r="I110" s="267"/>
    </row>
    <row r="111" spans="1:9" ht="2.25" customHeight="1" x14ac:dyDescent="0.5">
      <c r="A111" s="268"/>
      <c r="B111" s="169"/>
      <c r="C111" s="169"/>
      <c r="D111" s="170"/>
      <c r="E111" s="169"/>
      <c r="F111" s="169"/>
      <c r="G111" s="170"/>
      <c r="H111" s="169"/>
      <c r="I111" s="267"/>
    </row>
    <row r="112" spans="1:9" ht="13.15" x14ac:dyDescent="0.4">
      <c r="A112" s="20"/>
      <c r="B112" s="168" t="s">
        <v>2735</v>
      </c>
      <c r="C112" s="169"/>
      <c r="D112" s="170">
        <f ca="1">D110+D109</f>
        <v>306.00099999999998</v>
      </c>
      <c r="E112" s="171" t="s">
        <v>64</v>
      </c>
      <c r="F112" s="168" t="s">
        <v>2736</v>
      </c>
      <c r="G112" s="170">
        <f ca="1">G109+G110</f>
        <v>88.199752530034573</v>
      </c>
      <c r="H112" s="171" t="s">
        <v>132</v>
      </c>
      <c r="I112" s="16"/>
    </row>
    <row r="113" spans="1:9" ht="9.75" customHeight="1" x14ac:dyDescent="0.35">
      <c r="A113" s="20"/>
      <c r="I113" s="16"/>
    </row>
    <row r="114" spans="1:9" ht="13.15" x14ac:dyDescent="0.35">
      <c r="A114" s="20"/>
      <c r="B114" s="2231" t="s">
        <v>2731</v>
      </c>
      <c r="C114" s="2233"/>
      <c r="D114" s="729" t="str">
        <f ca="1">"PN= "&amp;E7&amp;" unid."</f>
        <v>PN= 60 unid.</v>
      </c>
      <c r="E114" s="729" t="str">
        <f>"PF= "&amp;E8&amp;" unid."</f>
        <v>PF= 2 unid.</v>
      </c>
      <c r="F114" s="729" t="s">
        <v>2737</v>
      </c>
      <c r="I114" s="16"/>
    </row>
    <row r="115" spans="1:9" x14ac:dyDescent="0.35">
      <c r="A115" s="20"/>
      <c r="B115" s="727" t="s">
        <v>2738</v>
      </c>
      <c r="C115" s="997"/>
      <c r="D115" s="1252">
        <f>IF(B6="X",0,IF(B5="x",0,D109*E7))</f>
        <v>0</v>
      </c>
      <c r="E115" s="1252">
        <f>IF(B6="X",0,IF(B5="x",0,D109*E8))</f>
        <v>0</v>
      </c>
      <c r="F115" s="1253">
        <f>D115+E115</f>
        <v>0</v>
      </c>
      <c r="I115" s="16"/>
    </row>
    <row r="116" spans="1:9" x14ac:dyDescent="0.35">
      <c r="A116" s="20"/>
      <c r="B116" s="727" t="s">
        <v>2739</v>
      </c>
      <c r="C116" s="997"/>
      <c r="D116" s="1252">
        <f>IF(B6="X",0,IF(B5="x",IF(E10&lt;=12,D112*E7-(E63+E82)*E7,D112*E7),D110*E7))</f>
        <v>0</v>
      </c>
      <c r="E116" s="1252">
        <f>IF(B6="X",0,IF(B5="x",IF(E10&lt;=12,(D112*E8-(E63+E82)*E8)*1.5,D112*E8*1.5),D110*E8*1.7))</f>
        <v>0</v>
      </c>
      <c r="F116" s="1253">
        <f ca="1">IF(B6="X",IF(G10="SC-14",IF(E9&gt;12,H21/ENTRADAS!F22*90,H21/ENTRADAS!F22*77),IF(G10="SC-10",H21/ENTRADAS!F22*80,IF(G10="SC-6",H21/ENTRADAS!F22*82.3,D116+E116))))</f>
        <v>17418.20237140041</v>
      </c>
      <c r="I116" s="16"/>
    </row>
    <row r="117" spans="1:9" ht="3" customHeight="1" x14ac:dyDescent="0.35">
      <c r="A117" s="20"/>
      <c r="B117" s="627"/>
      <c r="C117" s="627"/>
      <c r="D117" s="627"/>
      <c r="E117" s="627"/>
      <c r="F117" s="627"/>
      <c r="I117" s="16"/>
    </row>
    <row r="118" spans="1:9" ht="15.75" x14ac:dyDescent="0.5">
      <c r="A118" s="20"/>
      <c r="B118" s="2237" t="s">
        <v>2740</v>
      </c>
      <c r="C118" s="2238"/>
      <c r="D118" s="2240">
        <f ca="1">F115+F116</f>
        <v>17418.20237140041</v>
      </c>
      <c r="E118" s="2240"/>
      <c r="F118" s="161" t="s">
        <v>64</v>
      </c>
      <c r="I118" s="16"/>
    </row>
    <row r="119" spans="1:9" ht="10.5" customHeight="1" x14ac:dyDescent="0.35">
      <c r="A119" s="20"/>
      <c r="B119" s="627"/>
      <c r="C119" s="627"/>
      <c r="D119" s="627"/>
      <c r="E119" s="627"/>
      <c r="F119" s="627"/>
      <c r="I119" s="16"/>
    </row>
    <row r="120" spans="1:9" ht="25.5" x14ac:dyDescent="0.35">
      <c r="A120" s="20"/>
      <c r="B120" s="2231" t="s">
        <v>2741</v>
      </c>
      <c r="C120" s="2233"/>
      <c r="D120" s="974" t="s">
        <v>2742</v>
      </c>
      <c r="E120" s="974" t="s">
        <v>2743</v>
      </c>
      <c r="F120" s="974" t="s">
        <v>2744</v>
      </c>
      <c r="I120" s="16"/>
    </row>
    <row r="121" spans="1:9" x14ac:dyDescent="0.35">
      <c r="A121" s="20"/>
      <c r="B121" s="1373" t="s">
        <v>2745</v>
      </c>
      <c r="C121" s="1374"/>
      <c r="D121" s="1254">
        <f>INSUMOS!Q158</f>
        <v>4.9000000000000004</v>
      </c>
      <c r="E121" s="1252">
        <f>IF(B5="x",0,F115)</f>
        <v>0</v>
      </c>
      <c r="F121" s="1254">
        <f>D121*E121</f>
        <v>0</v>
      </c>
      <c r="I121" s="16"/>
    </row>
    <row r="122" spans="1:9" x14ac:dyDescent="0.35">
      <c r="A122" s="20"/>
      <c r="B122" s="1373" t="s">
        <v>2746</v>
      </c>
      <c r="C122" s="1374"/>
      <c r="D122" s="1254">
        <f>INSUMOS!Q159</f>
        <v>5.8999999999999995</v>
      </c>
      <c r="E122" s="1252">
        <f ca="1">IF(B5="x",D118,F116)</f>
        <v>17418.20237140041</v>
      </c>
      <c r="F122" s="1254">
        <f ca="1">D122*E122</f>
        <v>102767.3939912624</v>
      </c>
      <c r="I122" s="16"/>
    </row>
    <row r="123" spans="1:9" ht="3" customHeight="1" x14ac:dyDescent="0.35">
      <c r="A123" s="20"/>
      <c r="I123" s="16"/>
    </row>
    <row r="124" spans="1:9" ht="18" x14ac:dyDescent="0.55000000000000004">
      <c r="A124" s="18"/>
      <c r="B124" s="2237" t="s">
        <v>2747</v>
      </c>
      <c r="C124" s="2238"/>
      <c r="D124" s="2239">
        <f ca="1">IF(B5="x",D118*D122,F121+F122)</f>
        <v>102767.3939912624</v>
      </c>
      <c r="E124" s="2239"/>
      <c r="F124" s="158"/>
      <c r="G124" s="3"/>
      <c r="H124" s="3"/>
      <c r="I124" s="17"/>
    </row>
    <row r="128" spans="1:9" x14ac:dyDescent="0.35">
      <c r="A128" s="636" t="s">
        <v>2748</v>
      </c>
      <c r="B128" s="14"/>
      <c r="C128" s="14"/>
      <c r="D128" s="14"/>
      <c r="E128" s="273">
        <f ca="1">E7</f>
        <v>60</v>
      </c>
      <c r="F128" s="14" t="s">
        <v>2749</v>
      </c>
      <c r="G128" s="14"/>
      <c r="H128" s="14"/>
      <c r="I128" s="15"/>
    </row>
    <row r="129" spans="1:9" x14ac:dyDescent="0.35">
      <c r="A129" s="18"/>
      <c r="B129" s="3"/>
      <c r="C129" s="3"/>
      <c r="D129" s="3"/>
      <c r="E129" s="274">
        <f>E8</f>
        <v>2</v>
      </c>
      <c r="F129" s="3" t="str">
        <f>IF(E129&lt;=1,"PAINEL FECHO",IF(E129&gt;1,"PAINÉIS FECHOS",0))</f>
        <v>PAINÉIS FECHOS</v>
      </c>
      <c r="G129" s="3"/>
      <c r="H129" s="3"/>
      <c r="I129" s="17"/>
    </row>
    <row r="131" spans="1:9" x14ac:dyDescent="0.35">
      <c r="A131" s="1661" t="s">
        <v>324</v>
      </c>
      <c r="B131" s="1662"/>
      <c r="C131" s="1662"/>
      <c r="D131" s="1662"/>
      <c r="E131" s="1663"/>
      <c r="F131" s="1661" t="s">
        <v>2750</v>
      </c>
      <c r="G131" s="1663"/>
      <c r="H131" s="1661" t="s">
        <v>2731</v>
      </c>
      <c r="I131" s="1663"/>
    </row>
    <row r="132" spans="1:9" ht="4.5" customHeight="1" x14ac:dyDescent="0.35">
      <c r="A132" s="131"/>
      <c r="B132" s="131"/>
      <c r="C132" s="131"/>
      <c r="D132" s="131"/>
      <c r="E132" s="131"/>
      <c r="F132" s="131"/>
      <c r="G132" s="131"/>
      <c r="H132" s="131"/>
      <c r="I132" s="131"/>
    </row>
    <row r="133" spans="1:9" x14ac:dyDescent="0.35">
      <c r="A133" s="9" t="s">
        <v>2751</v>
      </c>
      <c r="B133" s="10"/>
      <c r="C133" s="10"/>
      <c r="D133" s="10"/>
      <c r="E133" s="6"/>
      <c r="F133" s="275">
        <f ca="1">4*(E7+E8)</f>
        <v>248</v>
      </c>
      <c r="G133" s="255" t="s">
        <v>2752</v>
      </c>
      <c r="H133" s="276">
        <f ca="1">F133*1.35*1.58</f>
        <v>528.98400000000004</v>
      </c>
      <c r="I133" s="6" t="s">
        <v>64</v>
      </c>
    </row>
    <row r="134" spans="1:9" ht="4.5" customHeight="1" x14ac:dyDescent="0.35">
      <c r="F134" s="4"/>
      <c r="G134" s="131"/>
      <c r="H134" s="277"/>
    </row>
    <row r="135" spans="1:9" x14ac:dyDescent="0.35">
      <c r="A135" s="9" t="s">
        <v>2753</v>
      </c>
      <c r="B135" s="10"/>
      <c r="C135" s="10"/>
      <c r="D135" s="10"/>
      <c r="E135" s="6"/>
      <c r="F135" s="275">
        <f ca="1">2*10*(E7)</f>
        <v>1200</v>
      </c>
      <c r="G135" s="255" t="s">
        <v>2752</v>
      </c>
      <c r="H135" s="276">
        <f ca="1">F135*1.61*0.63</f>
        <v>1217.1600000000001</v>
      </c>
      <c r="I135" s="6" t="s">
        <v>64</v>
      </c>
    </row>
    <row r="136" spans="1:9" ht="4.5" customHeight="1" x14ac:dyDescent="0.35">
      <c r="F136" s="4"/>
      <c r="G136" s="131"/>
      <c r="H136" s="277"/>
    </row>
    <row r="137" spans="1:9" x14ac:dyDescent="0.35">
      <c r="A137" s="13" t="s">
        <v>2754</v>
      </c>
      <c r="B137" s="14"/>
      <c r="C137" s="14"/>
      <c r="D137" s="14"/>
      <c r="E137" s="15"/>
      <c r="F137" s="2047">
        <f>2*10*E8</f>
        <v>40</v>
      </c>
      <c r="G137" s="2221" t="s">
        <v>2752</v>
      </c>
      <c r="H137" s="2223">
        <f>IF(F137=0,0,(((0.07*12+0.27*4+0.25*4+0.23*4+0.21*4+0.19*2)+(12+4+4+4+4+2)*2*0.75)*0.63))</f>
        <v>31.537800000000001</v>
      </c>
      <c r="I137" s="2221" t="s">
        <v>64</v>
      </c>
    </row>
    <row r="138" spans="1:9" x14ac:dyDescent="0.35">
      <c r="A138" s="18"/>
      <c r="B138" s="3"/>
      <c r="C138" s="3"/>
      <c r="D138" s="3"/>
      <c r="E138" s="17" t="s">
        <v>2755</v>
      </c>
      <c r="F138" s="2048"/>
      <c r="G138" s="2222"/>
      <c r="H138" s="2224"/>
      <c r="I138" s="2222"/>
    </row>
    <row r="139" spans="1:9" ht="4.5" customHeight="1" x14ac:dyDescent="0.35">
      <c r="F139" s="4"/>
      <c r="G139" s="272"/>
      <c r="H139" s="277"/>
    </row>
    <row r="140" spans="1:9" x14ac:dyDescent="0.35">
      <c r="A140" s="13" t="s">
        <v>2756</v>
      </c>
      <c r="B140" s="14"/>
      <c r="C140" s="14"/>
      <c r="D140" s="14"/>
      <c r="E140" s="15"/>
      <c r="F140" s="2047">
        <f ca="1">IF(E10&lt;=6,0,F58*(E7+E8))</f>
        <v>1364</v>
      </c>
      <c r="G140" s="2221" t="s">
        <v>2752</v>
      </c>
      <c r="H140" s="2223">
        <f ca="1">F140*E11*0.63</f>
        <v>1847.538</v>
      </c>
      <c r="I140" s="2221" t="s">
        <v>64</v>
      </c>
    </row>
    <row r="141" spans="1:9" x14ac:dyDescent="0.35">
      <c r="A141" s="18"/>
      <c r="B141" s="3"/>
      <c r="C141" s="3"/>
      <c r="D141" s="3"/>
      <c r="E141" s="17" t="s">
        <v>2757</v>
      </c>
      <c r="F141" s="2048"/>
      <c r="G141" s="2222"/>
      <c r="H141" s="2224"/>
      <c r="I141" s="2222"/>
    </row>
    <row r="142" spans="1:9" ht="4.5" customHeight="1" x14ac:dyDescent="0.35">
      <c r="F142" s="4"/>
      <c r="G142" s="131"/>
      <c r="H142" s="277"/>
    </row>
    <row r="143" spans="1:9" x14ac:dyDescent="0.35">
      <c r="A143" s="13" t="s">
        <v>2758</v>
      </c>
      <c r="B143" s="14"/>
      <c r="C143" s="14"/>
      <c r="D143" s="14"/>
      <c r="E143" s="15"/>
      <c r="F143" s="2047">
        <f ca="1">IF(E10=0,0,VLOOKUP(Q61,L67:Q87,3,0)*11*2)*(E7+E8)</f>
        <v>1364</v>
      </c>
      <c r="G143" s="2221" t="s">
        <v>2752</v>
      </c>
      <c r="H143" s="2223">
        <f ca="1">F143*D144*0.4</f>
        <v>272.8</v>
      </c>
      <c r="I143" s="2221" t="s">
        <v>64</v>
      </c>
    </row>
    <row r="144" spans="1:9" x14ac:dyDescent="0.35">
      <c r="A144" s="18"/>
      <c r="B144" s="3"/>
      <c r="C144" s="3" t="s">
        <v>2759</v>
      </c>
      <c r="D144" s="3">
        <f ca="1">IF(E10=0,0,VLOOKUP(Q61,L67:Q87,4,0))</f>
        <v>0.5</v>
      </c>
      <c r="E144" s="17" t="s">
        <v>20</v>
      </c>
      <c r="F144" s="2048"/>
      <c r="G144" s="2222"/>
      <c r="H144" s="2224"/>
      <c r="I144" s="2222"/>
    </row>
    <row r="145" spans="1:9" ht="4.5" customHeight="1" x14ac:dyDescent="0.35">
      <c r="F145" s="4"/>
      <c r="G145" s="131"/>
      <c r="H145" s="277"/>
    </row>
    <row r="146" spans="1:9" x14ac:dyDescent="0.35">
      <c r="A146" s="9" t="s">
        <v>2760</v>
      </c>
      <c r="B146" s="10"/>
      <c r="C146" s="10"/>
      <c r="D146" s="10"/>
      <c r="E146" s="6"/>
      <c r="F146" s="275">
        <f ca="1">ROUNDUP(E10/0.3,0)*(E7+E8)</f>
        <v>1488</v>
      </c>
      <c r="G146" s="255" t="s">
        <v>2752</v>
      </c>
      <c r="H146" s="276">
        <f ca="1">F146*0.66*0.4</f>
        <v>392.83200000000005</v>
      </c>
      <c r="I146" s="6" t="s">
        <v>64</v>
      </c>
    </row>
    <row r="147" spans="1:9" ht="4.5" customHeight="1" x14ac:dyDescent="0.35">
      <c r="F147" s="4"/>
      <c r="G147" s="131"/>
      <c r="H147" s="277"/>
    </row>
    <row r="148" spans="1:9" x14ac:dyDescent="0.35">
      <c r="A148" s="9" t="s">
        <v>2761</v>
      </c>
      <c r="B148" s="10"/>
      <c r="C148" s="10"/>
      <c r="D148" s="10"/>
      <c r="E148" s="6"/>
      <c r="F148" s="275">
        <f ca="1">ROUNDUP(E10/0.3,0)*(E7+E8)</f>
        <v>1488</v>
      </c>
      <c r="G148" s="255" t="s">
        <v>2752</v>
      </c>
      <c r="H148" s="276">
        <f ca="1">F148*0.63*0.4</f>
        <v>374.97600000000006</v>
      </c>
      <c r="I148" s="6" t="s">
        <v>64</v>
      </c>
    </row>
    <row r="149" spans="1:9" ht="4.5" customHeight="1" x14ac:dyDescent="0.35">
      <c r="F149" s="4"/>
      <c r="G149" s="131"/>
      <c r="H149" s="277"/>
    </row>
    <row r="150" spans="1:9" x14ac:dyDescent="0.35">
      <c r="A150" s="13" t="s">
        <v>2762</v>
      </c>
      <c r="B150" s="14"/>
      <c r="C150" s="14"/>
      <c r="D150" s="14"/>
      <c r="E150" s="15"/>
      <c r="F150" s="2047">
        <f ca="1">(E7*6)+(E8*8)</f>
        <v>376</v>
      </c>
      <c r="G150" s="2221" t="s">
        <v>2752</v>
      </c>
      <c r="H150" s="2223">
        <f ca="1">F150*D151*1</f>
        <v>2707.2000000000003</v>
      </c>
      <c r="I150" s="2221" t="s">
        <v>64</v>
      </c>
    </row>
    <row r="151" spans="1:9" x14ac:dyDescent="0.35">
      <c r="A151" s="18"/>
      <c r="B151" s="3"/>
      <c r="C151" s="3" t="s">
        <v>2759</v>
      </c>
      <c r="D151" s="3">
        <f ca="1">E10</f>
        <v>7.2000000000000011</v>
      </c>
      <c r="E151" s="17" t="s">
        <v>20</v>
      </c>
      <c r="F151" s="2048"/>
      <c r="G151" s="2222"/>
      <c r="H151" s="2224"/>
      <c r="I151" s="2222"/>
    </row>
    <row r="152" spans="1:9" ht="4.5" customHeight="1" x14ac:dyDescent="0.35">
      <c r="F152" s="4"/>
      <c r="G152" s="131"/>
      <c r="H152" s="277"/>
    </row>
    <row r="153" spans="1:9" x14ac:dyDescent="0.35">
      <c r="A153" s="13" t="s">
        <v>2763</v>
      </c>
      <c r="B153" s="14"/>
      <c r="C153" s="14"/>
      <c r="D153" s="14"/>
      <c r="E153" s="15"/>
      <c r="F153" s="2047">
        <f>(E8*6)</f>
        <v>12</v>
      </c>
      <c r="G153" s="2221" t="s">
        <v>2752</v>
      </c>
      <c r="H153" s="2223">
        <f ca="1">F153*D154*1.58</f>
        <v>136.51200000000003</v>
      </c>
      <c r="I153" s="2221" t="s">
        <v>64</v>
      </c>
    </row>
    <row r="154" spans="1:9" x14ac:dyDescent="0.35">
      <c r="A154" s="18"/>
      <c r="B154" s="3"/>
      <c r="C154" s="3" t="s">
        <v>2759</v>
      </c>
      <c r="D154" s="3">
        <f ca="1">E10</f>
        <v>7.2000000000000011</v>
      </c>
      <c r="E154" s="17" t="s">
        <v>20</v>
      </c>
      <c r="F154" s="2048"/>
      <c r="G154" s="2222"/>
      <c r="H154" s="2224"/>
      <c r="I154" s="2222"/>
    </row>
    <row r="155" spans="1:9" ht="4.5" customHeight="1" x14ac:dyDescent="0.35">
      <c r="F155" s="4"/>
      <c r="G155" s="131"/>
      <c r="H155" s="277"/>
    </row>
    <row r="156" spans="1:9" x14ac:dyDescent="0.35">
      <c r="A156" s="13" t="s">
        <v>2764</v>
      </c>
      <c r="B156" s="14"/>
      <c r="C156" s="14"/>
      <c r="D156" s="14"/>
      <c r="E156" s="15"/>
      <c r="F156" s="2047">
        <f>(E8*6)</f>
        <v>12</v>
      </c>
      <c r="G156" s="2221" t="s">
        <v>2752</v>
      </c>
      <c r="H156" s="2223">
        <f ca="1">F156*D157*0.4</f>
        <v>34.56</v>
      </c>
      <c r="I156" s="2221" t="s">
        <v>64</v>
      </c>
    </row>
    <row r="157" spans="1:9" x14ac:dyDescent="0.35">
      <c r="A157" s="18"/>
      <c r="B157" s="3"/>
      <c r="C157" s="3" t="s">
        <v>2759</v>
      </c>
      <c r="D157" s="3">
        <f ca="1">E10</f>
        <v>7.2000000000000011</v>
      </c>
      <c r="E157" s="17" t="s">
        <v>20</v>
      </c>
      <c r="F157" s="2048"/>
      <c r="G157" s="2222"/>
      <c r="H157" s="2224"/>
      <c r="I157" s="2222"/>
    </row>
    <row r="158" spans="1:9" ht="4.5" customHeight="1" x14ac:dyDescent="0.35">
      <c r="F158" s="4"/>
      <c r="G158" s="131"/>
      <c r="H158" s="277"/>
    </row>
    <row r="159" spans="1:9" x14ac:dyDescent="0.35">
      <c r="A159" s="13" t="s">
        <v>2765</v>
      </c>
      <c r="B159" s="14"/>
      <c r="C159" s="14"/>
      <c r="D159" s="14"/>
      <c r="E159" s="15"/>
      <c r="F159" s="2047">
        <f>(E8*2)</f>
        <v>4</v>
      </c>
      <c r="G159" s="2221" t="s">
        <v>2752</v>
      </c>
      <c r="H159" s="2223">
        <f ca="1">F159*D160*0.25</f>
        <v>7.2000000000000011</v>
      </c>
      <c r="I159" s="2221" t="s">
        <v>64</v>
      </c>
    </row>
    <row r="160" spans="1:9" x14ac:dyDescent="0.35">
      <c r="A160" s="18"/>
      <c r="B160" s="3"/>
      <c r="C160" s="3" t="s">
        <v>2759</v>
      </c>
      <c r="D160" s="3">
        <f ca="1">E10</f>
        <v>7.2000000000000011</v>
      </c>
      <c r="E160" s="17" t="s">
        <v>20</v>
      </c>
      <c r="F160" s="2048"/>
      <c r="G160" s="2222"/>
      <c r="H160" s="2224"/>
      <c r="I160" s="2222"/>
    </row>
    <row r="161" spans="1:9" ht="4.5" customHeight="1" x14ac:dyDescent="0.35">
      <c r="F161" s="4"/>
      <c r="G161" s="131"/>
      <c r="H161" s="277"/>
    </row>
    <row r="162" spans="1:9" x14ac:dyDescent="0.35">
      <c r="A162" s="13" t="s">
        <v>2766</v>
      </c>
      <c r="B162" s="14"/>
      <c r="C162" s="14"/>
      <c r="D162" s="14"/>
      <c r="E162" s="15"/>
      <c r="F162" s="2047">
        <f ca="1">ROUNDUP(E10/0.2,0)</f>
        <v>36</v>
      </c>
      <c r="G162" s="2221" t="s">
        <v>2752</v>
      </c>
      <c r="H162" s="2223">
        <f ca="1">F162*D163*0.63</f>
        <v>48.761999999999993</v>
      </c>
      <c r="I162" s="2221" t="s">
        <v>64</v>
      </c>
    </row>
    <row r="163" spans="1:9" x14ac:dyDescent="0.35">
      <c r="A163" s="18"/>
      <c r="B163" s="3"/>
      <c r="C163" s="3" t="s">
        <v>2767</v>
      </c>
      <c r="D163" s="33">
        <v>2.15</v>
      </c>
      <c r="E163" s="17" t="s">
        <v>20</v>
      </c>
      <c r="F163" s="2048"/>
      <c r="G163" s="2222"/>
      <c r="H163" s="2224"/>
      <c r="I163" s="2222"/>
    </row>
    <row r="164" spans="1:9" ht="4.5" customHeight="1" x14ac:dyDescent="0.35">
      <c r="F164" s="279"/>
      <c r="G164" s="272"/>
      <c r="H164" s="280"/>
      <c r="I164" s="272"/>
    </row>
    <row r="165" spans="1:9" x14ac:dyDescent="0.35">
      <c r="A165" s="13" t="s">
        <v>2768</v>
      </c>
      <c r="B165" s="14"/>
      <c r="C165" s="14"/>
      <c r="D165" s="14"/>
      <c r="E165" s="15"/>
      <c r="F165" s="2047">
        <f ca="1">CÁLCULOS!J340+CÁLCULOS!J341</f>
        <v>208</v>
      </c>
      <c r="G165" s="2221" t="s">
        <v>2752</v>
      </c>
      <c r="H165" s="2223">
        <f ca="1">F165*D166*0.4</f>
        <v>158.08000000000001</v>
      </c>
      <c r="I165" s="2221" t="s">
        <v>64</v>
      </c>
    </row>
    <row r="166" spans="1:9" x14ac:dyDescent="0.35">
      <c r="A166" s="18"/>
      <c r="B166" s="3"/>
      <c r="C166" s="3" t="s">
        <v>2767</v>
      </c>
      <c r="D166" s="33">
        <v>1.9</v>
      </c>
      <c r="E166" s="17" t="s">
        <v>20</v>
      </c>
      <c r="F166" s="2048"/>
      <c r="G166" s="2222"/>
      <c r="H166" s="2224"/>
      <c r="I166" s="2222"/>
    </row>
    <row r="167" spans="1:9" ht="5.25" customHeight="1" x14ac:dyDescent="0.35">
      <c r="F167" s="279"/>
      <c r="G167" s="272"/>
      <c r="H167" s="280"/>
      <c r="I167" s="272"/>
    </row>
    <row r="168" spans="1:9" x14ac:dyDescent="0.35">
      <c r="A168" s="636" t="s">
        <v>2769</v>
      </c>
      <c r="B168" s="14"/>
      <c r="C168" s="14"/>
      <c r="D168" s="14"/>
      <c r="E168" s="15"/>
      <c r="F168" s="2228" t="s">
        <v>896</v>
      </c>
      <c r="G168" s="2221"/>
      <c r="H168" s="2223">
        <f ca="1">((E7+E8)*CÁLCULOS!Z159/2.5+(E7+E8)*CÁLCULOS!Z160/2.5)*CÁLCULOS!J599</f>
        <v>0</v>
      </c>
      <c r="I168" s="2221" t="s">
        <v>64</v>
      </c>
    </row>
    <row r="169" spans="1:9" x14ac:dyDescent="0.35">
      <c r="A169" s="18"/>
      <c r="B169" s="3"/>
      <c r="C169" s="749" t="s">
        <v>2770</v>
      </c>
      <c r="D169" s="33"/>
      <c r="E169" s="17"/>
      <c r="F169" s="2048"/>
      <c r="G169" s="2222"/>
      <c r="H169" s="2224"/>
      <c r="I169" s="2222"/>
    </row>
    <row r="170" spans="1:9" x14ac:dyDescent="0.35">
      <c r="F170" s="279"/>
      <c r="G170" s="272"/>
      <c r="H170" s="280"/>
      <c r="I170" s="272"/>
    </row>
    <row r="172" spans="1:9" ht="13.15" x14ac:dyDescent="0.4">
      <c r="F172" s="2226" t="s">
        <v>2771</v>
      </c>
      <c r="G172" s="2227"/>
      <c r="H172" s="14"/>
      <c r="I172" s="15"/>
    </row>
    <row r="173" spans="1:9" ht="13.15" x14ac:dyDescent="0.4">
      <c r="F173" s="18"/>
      <c r="G173" s="2225">
        <f ca="1">IF(G10="SC-6",0,SUM(H133:H169))</f>
        <v>7758.1417999999994</v>
      </c>
      <c r="H173" s="2225"/>
      <c r="I173" s="278" t="s">
        <v>64</v>
      </c>
    </row>
    <row r="176" spans="1:9" x14ac:dyDescent="0.35">
      <c r="A176" s="636" t="s">
        <v>2772</v>
      </c>
      <c r="B176" s="14"/>
      <c r="C176" s="14"/>
      <c r="D176" s="14"/>
      <c r="E176" s="273">
        <f ca="1">$E$7</f>
        <v>60</v>
      </c>
      <c r="F176" s="14" t="s">
        <v>2749</v>
      </c>
      <c r="G176" s="14"/>
      <c r="H176" s="14"/>
      <c r="I176" s="15"/>
    </row>
    <row r="177" spans="1:9" x14ac:dyDescent="0.35">
      <c r="A177" s="18"/>
      <c r="B177" s="3"/>
      <c r="C177" s="3"/>
      <c r="D177" s="3"/>
      <c r="E177" s="274">
        <f>$E$8</f>
        <v>2</v>
      </c>
      <c r="F177" s="3" t="str">
        <f>IF(E177&lt;=1,"PAINEL FECHO",IF(E177&gt;1,"PAINÉIS FECHOS",0))</f>
        <v>PAINÉIS FECHOS</v>
      </c>
      <c r="G177" s="3"/>
      <c r="H177" s="3"/>
      <c r="I177" s="17"/>
    </row>
    <row r="179" spans="1:9" x14ac:dyDescent="0.35">
      <c r="A179" s="636" t="s">
        <v>2773</v>
      </c>
      <c r="B179" s="14"/>
      <c r="C179" s="14"/>
      <c r="D179" s="14"/>
      <c r="E179" s="15"/>
      <c r="F179" s="2047">
        <f ca="1">IF(E10&lt;=6,0,IF(E10=0,0,ROUNDUP((VLOOKUP(Q61,L67:Q87,2,0))*E7,0)))</f>
        <v>60</v>
      </c>
      <c r="G179" s="2221" t="s">
        <v>2752</v>
      </c>
      <c r="H179" s="2223">
        <f ca="1">F179*E53</f>
        <v>6000</v>
      </c>
      <c r="I179" s="2221" t="s">
        <v>64</v>
      </c>
    </row>
    <row r="180" spans="1:9" x14ac:dyDescent="0.35">
      <c r="A180" s="18"/>
      <c r="B180" s="3"/>
      <c r="C180" s="3" t="s">
        <v>2767</v>
      </c>
      <c r="D180" s="33">
        <f ca="1">E10</f>
        <v>7.2000000000000011</v>
      </c>
      <c r="E180" s="17" t="s">
        <v>20</v>
      </c>
      <c r="F180" s="2048"/>
      <c r="G180" s="2222"/>
      <c r="H180" s="2224"/>
      <c r="I180" s="2222"/>
    </row>
    <row r="181" spans="1:9" x14ac:dyDescent="0.35">
      <c r="F181" s="4"/>
      <c r="H181" s="277"/>
    </row>
    <row r="182" spans="1:9" x14ac:dyDescent="0.35">
      <c r="A182" s="636" t="s">
        <v>2774</v>
      </c>
      <c r="B182" s="14"/>
      <c r="C182" s="14"/>
      <c r="D182" s="14"/>
      <c r="E182" s="15"/>
      <c r="F182" s="2047">
        <f ca="1">IF(E10&lt;=6,2*IF(E10=0,0,ROUNDUP((VLOOKUP(Q61,L67:Q87,2,0))*(E7+E8),0)),IF(E10=0,0,ROUNDUP((VLOOKUP(Q61,L67:Q87,2,0))*(E7+E8),0)))</f>
        <v>62</v>
      </c>
      <c r="G182" s="2221" t="s">
        <v>2752</v>
      </c>
      <c r="H182" s="2223">
        <f ca="1">F182*E76</f>
        <v>5146</v>
      </c>
      <c r="I182" s="2221" t="s">
        <v>64</v>
      </c>
    </row>
    <row r="183" spans="1:9" x14ac:dyDescent="0.35">
      <c r="A183" s="18"/>
      <c r="B183" s="3"/>
      <c r="C183" s="3" t="s">
        <v>2767</v>
      </c>
      <c r="D183" s="33">
        <f ca="1">E10</f>
        <v>7.2000000000000011</v>
      </c>
      <c r="E183" s="17" t="s">
        <v>20</v>
      </c>
      <c r="F183" s="2048"/>
      <c r="G183" s="2222"/>
      <c r="H183" s="2224"/>
      <c r="I183" s="2222"/>
    </row>
    <row r="184" spans="1:9" x14ac:dyDescent="0.35">
      <c r="F184" t="s">
        <v>2775</v>
      </c>
      <c r="H184">
        <f ca="1">IF(E9&lt;=4,(H179+H182)*0.7,H179+H182)</f>
        <v>11146</v>
      </c>
    </row>
    <row r="185" spans="1:9" ht="13.15" x14ac:dyDescent="0.4">
      <c r="F185" s="2226" t="s">
        <v>2771</v>
      </c>
      <c r="G185" s="2227"/>
      <c r="H185" s="14"/>
      <c r="I185" s="15"/>
    </row>
    <row r="186" spans="1:9" ht="13.15" x14ac:dyDescent="0.4">
      <c r="F186" s="18"/>
      <c r="G186" s="2225">
        <f ca="1">H184</f>
        <v>11146</v>
      </c>
      <c r="H186" s="2225"/>
      <c r="I186" s="278" t="s">
        <v>64</v>
      </c>
    </row>
  </sheetData>
  <sheetProtection algorithmName="SHA-512" hashValue="ukMF8O7G6aEVpeQjmeizj2Wb5CT3vOunt5a1XERoxJFWU+zISXfuysUhupw7de2dRSHMY53PQc5QvRpsgTCSBA==" saltValue="e4DJrFe6RDCAjyZIojv86g==" spinCount="100000" sheet="1" objects="1" scenarios="1"/>
  <protectedRanges>
    <protectedRange sqref="E5 B5:B6" name="Intervalo1_1"/>
  </protectedRanges>
  <mergeCells count="87">
    <mergeCell ref="A1:C3"/>
    <mergeCell ref="D1:I1"/>
    <mergeCell ref="E2:I2"/>
    <mergeCell ref="E3:I3"/>
    <mergeCell ref="D38:E38"/>
    <mergeCell ref="C53:D53"/>
    <mergeCell ref="C55:D55"/>
    <mergeCell ref="C58:E58"/>
    <mergeCell ref="C59:D59"/>
    <mergeCell ref="C62:E62"/>
    <mergeCell ref="C63:D63"/>
    <mergeCell ref="C54:D54"/>
    <mergeCell ref="C78:D78"/>
    <mergeCell ref="C81:E81"/>
    <mergeCell ref="C82:D82"/>
    <mergeCell ref="D84:E84"/>
    <mergeCell ref="C76:D76"/>
    <mergeCell ref="C77:D77"/>
    <mergeCell ref="D85:E85"/>
    <mergeCell ref="D86:E86"/>
    <mergeCell ref="D103:E103"/>
    <mergeCell ref="B107:H107"/>
    <mergeCell ref="B108:E108"/>
    <mergeCell ref="F108:H108"/>
    <mergeCell ref="B124:C124"/>
    <mergeCell ref="D124:E124"/>
    <mergeCell ref="B114:C114"/>
    <mergeCell ref="B118:C118"/>
    <mergeCell ref="D118:E118"/>
    <mergeCell ref="B120:C120"/>
    <mergeCell ref="B121:C121"/>
    <mergeCell ref="B122:C122"/>
    <mergeCell ref="H131:I131"/>
    <mergeCell ref="A131:E131"/>
    <mergeCell ref="F131:G131"/>
    <mergeCell ref="F172:G172"/>
    <mergeCell ref="G173:H173"/>
    <mergeCell ref="F168:F169"/>
    <mergeCell ref="G168:G169"/>
    <mergeCell ref="H168:H169"/>
    <mergeCell ref="I168:I169"/>
    <mergeCell ref="F165:F166"/>
    <mergeCell ref="G165:G166"/>
    <mergeCell ref="H165:H166"/>
    <mergeCell ref="I165:I166"/>
    <mergeCell ref="F185:G185"/>
    <mergeCell ref="G143:G144"/>
    <mergeCell ref="H143:H144"/>
    <mergeCell ref="I143:I144"/>
    <mergeCell ref="F150:F151"/>
    <mergeCell ref="I153:I154"/>
    <mergeCell ref="H179:H180"/>
    <mergeCell ref="I179:I180"/>
    <mergeCell ref="F156:F157"/>
    <mergeCell ref="G156:G157"/>
    <mergeCell ref="H156:H157"/>
    <mergeCell ref="I156:I157"/>
    <mergeCell ref="F159:F160"/>
    <mergeCell ref="G159:G160"/>
    <mergeCell ref="H159:H160"/>
    <mergeCell ref="I159:I160"/>
    <mergeCell ref="G186:H186"/>
    <mergeCell ref="F137:F138"/>
    <mergeCell ref="G137:G138"/>
    <mergeCell ref="H137:H138"/>
    <mergeCell ref="I137:I138"/>
    <mergeCell ref="F140:F141"/>
    <mergeCell ref="G140:G141"/>
    <mergeCell ref="H140:H141"/>
    <mergeCell ref="I140:I141"/>
    <mergeCell ref="F143:F144"/>
    <mergeCell ref="G150:G151"/>
    <mergeCell ref="H150:H151"/>
    <mergeCell ref="I150:I151"/>
    <mergeCell ref="F153:F154"/>
    <mergeCell ref="G153:G154"/>
    <mergeCell ref="H153:H154"/>
    <mergeCell ref="F182:F183"/>
    <mergeCell ref="G182:G183"/>
    <mergeCell ref="H182:H183"/>
    <mergeCell ref="I182:I183"/>
    <mergeCell ref="F162:F163"/>
    <mergeCell ref="G162:G163"/>
    <mergeCell ref="H162:H163"/>
    <mergeCell ref="I162:I163"/>
    <mergeCell ref="F179:F180"/>
    <mergeCell ref="G179:G180"/>
  </mergeCells>
  <conditionalFormatting sqref="B5:B6">
    <cfRule type="cellIs" dxfId="2" priority="1" stopIfTrue="1" operator="equal">
      <formula>0</formula>
    </cfRule>
  </conditionalFormatting>
  <conditionalFormatting sqref="D121:D122">
    <cfRule type="cellIs" dxfId="1" priority="8" operator="equal">
      <formula>0</formula>
    </cfRule>
  </conditionalFormatting>
  <conditionalFormatting sqref="E5">
    <cfRule type="cellIs" dxfId="0" priority="4" stopIfTrue="1" operator="equal">
      <formula>0</formula>
    </cfRule>
  </conditionalFormatting>
  <dataValidations count="1">
    <dataValidation type="list" allowBlank="1" showInputMessage="1" showErrorMessage="1" error="TEM QUE SER &quot;X&quot; !!&quot;" sqref="E5 B5:B6" xr:uid="{00000000-0002-0000-0E00-000000000000}">
      <formula1>$J$1</formula1>
    </dataValidation>
  </dataValidations>
  <pageMargins left="0.59055118110236227" right="0.19685039370078741" top="0.59055118110236227" bottom="0" header="0.11811023622047245" footer="0.31496062992125984"/>
  <pageSetup paperSize="9" scale="96" orientation="portrait" r:id="rId1"/>
  <rowBreaks count="3" manualBreakCount="3">
    <brk id="64" max="16383" man="1"/>
    <brk id="125" max="8" man="1"/>
    <brk id="190" max="8"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4F60118CF4DD941A5203D2B469A8CE2" ma:contentTypeVersion="20" ma:contentTypeDescription="Crie um novo documento." ma:contentTypeScope="" ma:versionID="8c2e10d7b649811152195ee9610a88b8">
  <xsd:schema xmlns:xsd="http://www.w3.org/2001/XMLSchema" xmlns:xs="http://www.w3.org/2001/XMLSchema" xmlns:p="http://schemas.microsoft.com/office/2006/metadata/properties" xmlns:ns2="4f78bd75-e5af-473e-a771-af58d935aeec" xmlns:ns3="2e1cb776-6995-4ef2-a2af-ac4d4b6f4925" targetNamespace="http://schemas.microsoft.com/office/2006/metadata/properties" ma:root="true" ma:fieldsID="0046e9d28b07df2b6219cf8e5fe46efc" ns2:_="" ns3:_="">
    <xsd:import namespace="4f78bd75-e5af-473e-a771-af58d935aeec"/>
    <xsd:import namespace="2e1cb776-6995-4ef2-a2af-ac4d4b6f492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test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8bd75-e5af-473e-a771-af58d935ae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339697e3-62eb-412e-b6ec-2aacf9b208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teste" ma:index="26" nillable="true" ma:displayName="teste" ma:format="Dropdown" ma:internalName="teste">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e1cb776-6995-4ef2-a2af-ac4d4b6f4925"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d191ebc-237e-4a87-a075-334d50cd7af5}" ma:internalName="TaxCatchAll" ma:showField="CatchAllData" ma:web="2e1cb776-6995-4ef2-a2af-ac4d4b6f4925">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78bd75-e5af-473e-a771-af58d935aeec">
      <Terms xmlns="http://schemas.microsoft.com/office/infopath/2007/PartnerControls"/>
    </lcf76f155ced4ddcb4097134ff3c332f>
    <teste xmlns="4f78bd75-e5af-473e-a771-af58d935aeec" xsi:nil="true"/>
    <TaxCatchAll xmlns="2e1cb776-6995-4ef2-a2af-ac4d4b6f4925" xsi:nil="true"/>
  </documentManagement>
</p:properties>
</file>

<file path=customXml/itemProps1.xml><?xml version="1.0" encoding="utf-8"?>
<ds:datastoreItem xmlns:ds="http://schemas.openxmlformats.org/officeDocument/2006/customXml" ds:itemID="{E99519C2-5C5B-49BF-A184-D20BCF809C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8bd75-e5af-473e-a771-af58d935aeec"/>
    <ds:schemaRef ds:uri="2e1cb776-6995-4ef2-a2af-ac4d4b6f49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BD94AC-981E-4118-B10C-911F7B37ED6B}">
  <ds:schemaRefs>
    <ds:schemaRef ds:uri="http://schemas.microsoft.com/sharepoint/v3/contenttype/forms"/>
  </ds:schemaRefs>
</ds:datastoreItem>
</file>

<file path=customXml/itemProps3.xml><?xml version="1.0" encoding="utf-8"?>
<ds:datastoreItem xmlns:ds="http://schemas.openxmlformats.org/officeDocument/2006/customXml" ds:itemID="{6AD6A117-467B-4D49-ABBB-889EB5FCE3E8}">
  <ds:schemaRefs>
    <ds:schemaRef ds:uri="http://schemas.microsoft.com/office/2006/metadata/properties"/>
    <ds:schemaRef ds:uri="http://schemas.microsoft.com/office/infopath/2007/PartnerControls"/>
    <ds:schemaRef ds:uri="4f78bd75-e5af-473e-a771-af58d935aeec"/>
    <ds:schemaRef ds:uri="2e1cb776-6995-4ef2-a2af-ac4d4b6f49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12</vt:i4>
      </vt:variant>
      <vt:variant>
        <vt:lpstr>Intervalos Nomeados</vt:lpstr>
      </vt:variant>
      <vt:variant>
        <vt:i4>18</vt:i4>
      </vt:variant>
    </vt:vector>
  </HeadingPairs>
  <TitlesOfParts>
    <vt:vector size="30" baseType="lpstr">
      <vt:lpstr>ENTRADAS</vt:lpstr>
      <vt:lpstr>GUINDASTE</vt:lpstr>
      <vt:lpstr>X MPa </vt:lpstr>
      <vt:lpstr>INSUMOS</vt:lpstr>
      <vt:lpstr>Aux.</vt:lpstr>
      <vt:lpstr>ICMS</vt:lpstr>
      <vt:lpstr>FECHAMENTO</vt:lpstr>
      <vt:lpstr>cronograma unit.</vt:lpstr>
      <vt:lpstr>RELATÓRIO</vt:lpstr>
      <vt:lpstr>CLASSE</vt:lpstr>
      <vt:lpstr>RESUMO M.O.</vt:lpstr>
      <vt:lpstr>tabela traços</vt:lpstr>
      <vt:lpstr>ARMAÇÃO!Area_de_impressao</vt:lpstr>
      <vt:lpstr>CÁLCULOS!Area_de_impressao</vt:lpstr>
      <vt:lpstr>CLASSE!Area_de_impressao</vt:lpstr>
      <vt:lpstr>'cronograma unit.'!Area_de_impressao</vt:lpstr>
      <vt:lpstr>ENTRADAS!Area_de_impressao</vt:lpstr>
      <vt:lpstr>FECHAMENTO!Area_de_impressao</vt:lpstr>
      <vt:lpstr>'FECHAMENTO cobertura'!Area_de_impressao</vt:lpstr>
      <vt:lpstr>GUINDASTE!Area_de_impressao</vt:lpstr>
      <vt:lpstr>INSUMOS!Area_de_impressao</vt:lpstr>
      <vt:lpstr>'KIT MONTAGEM'!Area_de_impressao</vt:lpstr>
      <vt:lpstr>'MATERIAIS SEG. TRABALHO'!Area_de_impressao</vt:lpstr>
      <vt:lpstr>RELATÓRIO!Area_de_impressao</vt:lpstr>
      <vt:lpstr>'RESUMO M.O.'!Area_de_impressao</vt:lpstr>
      <vt:lpstr>CÁLCULOS!Titulos_de_impressao</vt:lpstr>
      <vt:lpstr>CLASSE!Titulos_de_impressao</vt:lpstr>
      <vt:lpstr>ENTRADAS!Titulos_de_impressao</vt:lpstr>
      <vt:lpstr>RELATÓRIO!Titulos_de_impressao</vt:lpstr>
      <vt:lpstr>'RESUMO M.O.'!Titulos_de_impressao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Marcelo Porto</dc:creator>
  <cp:keywords/>
  <dc:description/>
  <cp:lastModifiedBy>Leandro Netto</cp:lastModifiedBy>
  <cp:revision/>
  <dcterms:created xsi:type="dcterms:W3CDTF">2000-07-10T10:36:30Z</dcterms:created>
  <dcterms:modified xsi:type="dcterms:W3CDTF">2025-09-17T15:38:32Z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